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1"/>
  <workbookPr hidePivotFieldList="1" defaultThemeVersion="166925"/>
  <mc:AlternateContent xmlns:mc="http://schemas.openxmlformats.org/markup-compatibility/2006">
    <mc:Choice Requires="x15">
      <x15ac:absPath xmlns:x15ac="http://schemas.microsoft.com/office/spreadsheetml/2010/11/ac" url="/Users/thibaudpoulain/dossiers actifs/04-Projets/06 - Carbone France/DDP V2/"/>
    </mc:Choice>
  </mc:AlternateContent>
  <xr:revisionPtr revIDLastSave="0" documentId="13_ncr:1_{172C6C61-5293-814E-8350-8A656D8DE422}" xr6:coauthVersionLast="36" xr6:coauthVersionMax="36" xr10:uidLastSave="{00000000-0000-0000-0000-000000000000}"/>
  <bookViews>
    <workbookView xWindow="11260" yWindow="460" windowWidth="18920" windowHeight="14140" firstSheet="1" activeTab="1" xr2:uid="{2996FDFE-0FA1-D645-85B0-990CCD59392C}"/>
  </bookViews>
  <sheets>
    <sheet name="PROJETS" sheetId="3" r:id="rId1"/>
    <sheet name="BOISEMENT" sheetId="1" r:id="rId2"/>
    <sheet name="COEFFICIENTS" sheetId="2" r:id="rId3"/>
    <sheet name="REF BOIS." sheetId="6" r:id="rId4"/>
    <sheet name="RECONSTITUTION" sheetId="9" r:id="rId5"/>
    <sheet name="ITI. FEUILLUS" sheetId="13" r:id="rId6"/>
    <sheet name="ITI. RESINEUX" sheetId="14" r:id="rId7"/>
    <sheet name="Bibliographie" sheetId="15"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0" i="1" l="1"/>
  <c r="J22" i="1"/>
  <c r="B59" i="1" l="1"/>
  <c r="J20" i="1"/>
  <c r="J21" i="1" l="1"/>
  <c r="AI99" i="13" l="1"/>
  <c r="E103" i="13"/>
  <c r="F103" i="13"/>
  <c r="G103" i="13"/>
  <c r="H103" i="13"/>
  <c r="I103" i="13"/>
  <c r="J103" i="13"/>
  <c r="K103" i="13"/>
  <c r="L103" i="13"/>
  <c r="M103" i="13"/>
  <c r="N103" i="13"/>
  <c r="O103" i="13"/>
  <c r="E104" i="13"/>
  <c r="F104" i="13"/>
  <c r="G104" i="13"/>
  <c r="H104" i="13"/>
  <c r="I104" i="13"/>
  <c r="J104" i="13"/>
  <c r="K104" i="13"/>
  <c r="L104" i="13"/>
  <c r="M104" i="13"/>
  <c r="N104" i="13"/>
  <c r="O104" i="13"/>
  <c r="E102" i="13"/>
  <c r="F102" i="13"/>
  <c r="G102" i="13"/>
  <c r="H102" i="13"/>
  <c r="I102" i="13"/>
  <c r="J102" i="13"/>
  <c r="K102" i="13"/>
  <c r="L102" i="13"/>
  <c r="M102" i="13"/>
  <c r="N102" i="13"/>
  <c r="O102" i="13"/>
  <c r="B29" i="6"/>
  <c r="D41" i="1" l="1"/>
  <c r="E41" i="1"/>
  <c r="F41" i="1"/>
  <c r="G41" i="1"/>
  <c r="H41" i="1"/>
  <c r="J41" i="1" s="1"/>
  <c r="C41" i="1"/>
  <c r="B4" i="6"/>
  <c r="B5" i="6"/>
  <c r="B6" i="6"/>
  <c r="B7" i="6"/>
  <c r="B8" i="6"/>
  <c r="B3" i="6"/>
  <c r="Y41" i="1" l="1"/>
  <c r="U41" i="1"/>
  <c r="Q41" i="1"/>
  <c r="AC41" i="1"/>
  <c r="M41" i="1"/>
  <c r="AB41" i="1"/>
  <c r="X41" i="1"/>
  <c r="T41" i="1"/>
  <c r="P41" i="1"/>
  <c r="L41" i="1"/>
  <c r="K41" i="1"/>
  <c r="I41" i="1"/>
  <c r="AA41" i="1"/>
  <c r="W41" i="1"/>
  <c r="S41" i="1"/>
  <c r="O41" i="1"/>
  <c r="AD41" i="1"/>
  <c r="Z41" i="1"/>
  <c r="V41" i="1"/>
  <c r="R41" i="1"/>
  <c r="N41" i="1"/>
  <c r="E17" i="14"/>
  <c r="E26" i="14" s="1"/>
  <c r="F17" i="14"/>
  <c r="F26" i="14" s="1"/>
  <c r="K17" i="14"/>
  <c r="K26" i="14" s="1"/>
  <c r="L17" i="14"/>
  <c r="L26" i="14" s="1"/>
  <c r="M17" i="14"/>
  <c r="M26" i="14" s="1"/>
  <c r="N17" i="14"/>
  <c r="N26" i="14" s="1"/>
  <c r="D17" i="14"/>
  <c r="D26" i="14" s="1"/>
  <c r="E143" i="13"/>
  <c r="E144" i="13" s="1"/>
  <c r="G143" i="13"/>
  <c r="G144" i="13" s="1"/>
  <c r="I143" i="13"/>
  <c r="I144" i="13" s="1"/>
  <c r="K143" i="13"/>
  <c r="K144" i="13" s="1"/>
  <c r="M143" i="13"/>
  <c r="M144" i="13" s="1"/>
  <c r="O143" i="13"/>
  <c r="O144" i="13" s="1"/>
  <c r="Q143" i="13"/>
  <c r="Q144" i="13" s="1"/>
  <c r="R143" i="13"/>
  <c r="R144" i="13" s="1"/>
  <c r="D143" i="13"/>
  <c r="D144" i="13" s="1"/>
  <c r="D74" i="13"/>
  <c r="E74" i="13" s="1"/>
  <c r="F74" i="13" s="1"/>
  <c r="G74" i="13" s="1"/>
  <c r="H74" i="13" s="1"/>
  <c r="I74" i="13" s="1"/>
  <c r="J74" i="13" s="1"/>
  <c r="K74" i="13" s="1"/>
  <c r="L74" i="13" s="1"/>
  <c r="M74" i="13" s="1"/>
  <c r="N74" i="13" s="1"/>
  <c r="O74" i="13" s="1"/>
  <c r="P74" i="13" s="1"/>
  <c r="Q74" i="13" s="1"/>
  <c r="R74" i="13" s="1"/>
  <c r="S74" i="13" s="1"/>
  <c r="T74" i="13" s="1"/>
  <c r="U74" i="13" s="1"/>
  <c r="V74" i="13" s="1"/>
  <c r="W74" i="13" s="1"/>
  <c r="X74" i="13" s="1"/>
  <c r="Y74" i="13" s="1"/>
  <c r="Z74" i="13" s="1"/>
  <c r="AA74" i="13" s="1"/>
  <c r="AB74" i="13" s="1"/>
  <c r="AC74" i="13" s="1"/>
  <c r="AD74" i="13" s="1"/>
  <c r="AE74" i="13" s="1"/>
  <c r="D77" i="13"/>
  <c r="E77" i="13" s="1"/>
  <c r="F77" i="13" s="1"/>
  <c r="G77" i="13" s="1"/>
  <c r="H77" i="13" s="1"/>
  <c r="I77" i="13" s="1"/>
  <c r="J77" i="13" s="1"/>
  <c r="K77" i="13" s="1"/>
  <c r="L77" i="13" s="1"/>
  <c r="M77" i="13" s="1"/>
  <c r="N77" i="13" s="1"/>
  <c r="O77" i="13" s="1"/>
  <c r="P77" i="13" s="1"/>
  <c r="Q77" i="13" s="1"/>
  <c r="R77" i="13" s="1"/>
  <c r="S77" i="13" s="1"/>
  <c r="T77" i="13" s="1"/>
  <c r="U77" i="13" s="1"/>
  <c r="V77" i="13" s="1"/>
  <c r="W77" i="13" s="1"/>
  <c r="X77" i="13" s="1"/>
  <c r="Y77" i="13" s="1"/>
  <c r="Z77" i="13" s="1"/>
  <c r="AA77" i="13" s="1"/>
  <c r="AB77" i="13" s="1"/>
  <c r="AC77" i="13" s="1"/>
  <c r="AD77" i="13" s="1"/>
  <c r="AE77" i="13" s="1"/>
  <c r="D76" i="13"/>
  <c r="E76" i="13" s="1"/>
  <c r="F76" i="13" s="1"/>
  <c r="G76" i="13" s="1"/>
  <c r="H76" i="13" s="1"/>
  <c r="I76" i="13" s="1"/>
  <c r="J76" i="13" s="1"/>
  <c r="K76" i="13" s="1"/>
  <c r="L76" i="13" s="1"/>
  <c r="M76" i="13" s="1"/>
  <c r="N76" i="13" s="1"/>
  <c r="O76" i="13" s="1"/>
  <c r="P76" i="13" s="1"/>
  <c r="Q76" i="13" s="1"/>
  <c r="R76" i="13" s="1"/>
  <c r="S76" i="13" s="1"/>
  <c r="T76" i="13" s="1"/>
  <c r="U76" i="13" s="1"/>
  <c r="V76" i="13" s="1"/>
  <c r="W76" i="13" s="1"/>
  <c r="X76" i="13" s="1"/>
  <c r="Y76" i="13" s="1"/>
  <c r="Z76" i="13" s="1"/>
  <c r="AA76" i="13" s="1"/>
  <c r="AB76" i="13" s="1"/>
  <c r="AC76" i="13" s="1"/>
  <c r="AD76" i="13" s="1"/>
  <c r="AE76" i="13" s="1"/>
  <c r="D75" i="13"/>
  <c r="E75" i="13" s="1"/>
  <c r="F75" i="13" s="1"/>
  <c r="G75" i="13" s="1"/>
  <c r="H75" i="13" s="1"/>
  <c r="I75" i="13" s="1"/>
  <c r="J75" i="13" s="1"/>
  <c r="K75" i="13" s="1"/>
  <c r="L75" i="13" s="1"/>
  <c r="M75" i="13" s="1"/>
  <c r="N75" i="13" s="1"/>
  <c r="O75" i="13" s="1"/>
  <c r="P75" i="13" s="1"/>
  <c r="Q75" i="13" s="1"/>
  <c r="R75" i="13" s="1"/>
  <c r="S75" i="13" s="1"/>
  <c r="T75" i="13" s="1"/>
  <c r="U75" i="13" s="1"/>
  <c r="V75" i="13" s="1"/>
  <c r="W75" i="13" s="1"/>
  <c r="X75" i="13" s="1"/>
  <c r="Y75" i="13" s="1"/>
  <c r="Z75" i="13" s="1"/>
  <c r="AA75" i="13" s="1"/>
  <c r="AB75" i="13" s="1"/>
  <c r="AC75" i="13" s="1"/>
  <c r="AD75" i="13" s="1"/>
  <c r="AE75" i="13" s="1"/>
  <c r="D14" i="13"/>
  <c r="E14" i="13"/>
  <c r="F14" i="13"/>
  <c r="G14" i="13"/>
  <c r="H14" i="13"/>
  <c r="I14" i="13"/>
  <c r="J14" i="13"/>
  <c r="K14" i="13"/>
  <c r="L14" i="13"/>
  <c r="M14" i="13"/>
  <c r="N14" i="13"/>
  <c r="O14" i="13"/>
  <c r="D15" i="13"/>
  <c r="E15" i="13"/>
  <c r="F15" i="13"/>
  <c r="G15" i="13"/>
  <c r="H15" i="13"/>
  <c r="I15" i="13"/>
  <c r="J15" i="13"/>
  <c r="K15" i="13"/>
  <c r="L15" i="13"/>
  <c r="M15" i="13"/>
  <c r="N15" i="13"/>
  <c r="O15" i="13"/>
  <c r="D16" i="13"/>
  <c r="E16" i="13"/>
  <c r="F16" i="13"/>
  <c r="G16" i="13"/>
  <c r="H16" i="13"/>
  <c r="I16" i="13"/>
  <c r="J16" i="13"/>
  <c r="K16" i="13"/>
  <c r="L16" i="13"/>
  <c r="M16" i="13"/>
  <c r="N16" i="13"/>
  <c r="O16" i="13"/>
  <c r="D17" i="13"/>
  <c r="E17" i="13"/>
  <c r="F17" i="13"/>
  <c r="G17" i="13"/>
  <c r="H17" i="13"/>
  <c r="I17" i="13"/>
  <c r="J17" i="13"/>
  <c r="K17" i="13"/>
  <c r="L17" i="13"/>
  <c r="M17" i="13"/>
  <c r="N17" i="13"/>
  <c r="O17" i="13"/>
  <c r="D18" i="13"/>
  <c r="E18" i="13"/>
  <c r="F18" i="13"/>
  <c r="G18" i="13"/>
  <c r="H18" i="13"/>
  <c r="I18" i="13"/>
  <c r="J18" i="13"/>
  <c r="K18" i="13"/>
  <c r="L18" i="13"/>
  <c r="M18" i="13"/>
  <c r="N18" i="13"/>
  <c r="O18" i="13"/>
  <c r="E13" i="13"/>
  <c r="F13" i="13"/>
  <c r="G13" i="13"/>
  <c r="H13" i="13"/>
  <c r="I13" i="13"/>
  <c r="J13" i="13"/>
  <c r="K13" i="13"/>
  <c r="L13" i="13"/>
  <c r="M13" i="13"/>
  <c r="N13" i="13"/>
  <c r="O13" i="13"/>
  <c r="D13" i="13"/>
  <c r="AI6" i="13"/>
  <c r="AI5" i="13"/>
  <c r="D18" i="14" l="1"/>
  <c r="D22" i="14"/>
  <c r="L18" i="14"/>
  <c r="D20" i="14"/>
  <c r="L20" i="14"/>
  <c r="L22" i="14"/>
  <c r="D24" i="14"/>
  <c r="L24" i="14"/>
  <c r="K18" i="14"/>
  <c r="K20" i="14"/>
  <c r="K22" i="14"/>
  <c r="K24" i="14"/>
  <c r="N18" i="14"/>
  <c r="F18" i="14"/>
  <c r="N20" i="14"/>
  <c r="F20" i="14"/>
  <c r="N22" i="14"/>
  <c r="F22" i="14"/>
  <c r="N24" i="14"/>
  <c r="F24" i="14"/>
  <c r="M18" i="14"/>
  <c r="E18" i="14"/>
  <c r="M20" i="14"/>
  <c r="E20" i="14"/>
  <c r="M22" i="14"/>
  <c r="E22" i="14"/>
  <c r="M24" i="14"/>
  <c r="E24" i="14"/>
  <c r="E19" i="13"/>
  <c r="AH15" i="13"/>
  <c r="I19" i="13"/>
  <c r="D19" i="13"/>
  <c r="L19" i="13"/>
  <c r="H19" i="13"/>
  <c r="M19" i="13"/>
  <c r="O19" i="13"/>
  <c r="K19" i="13"/>
  <c r="G19" i="13"/>
  <c r="F19" i="13"/>
  <c r="N19" i="13"/>
  <c r="J19" i="13"/>
  <c r="AI128" i="13"/>
  <c r="D132" i="13" l="1"/>
  <c r="D135" i="13" s="1"/>
  <c r="AI98" i="13"/>
  <c r="H46" i="13"/>
  <c r="J46" i="13"/>
  <c r="L46" i="13"/>
  <c r="N46" i="13"/>
  <c r="P46" i="13"/>
  <c r="R46" i="13"/>
  <c r="T46" i="13"/>
  <c r="V46" i="13"/>
  <c r="H44" i="13"/>
  <c r="H45" i="13"/>
  <c r="J44" i="13"/>
  <c r="J45" i="13"/>
  <c r="L44" i="13"/>
  <c r="N44" i="13"/>
  <c r="P44" i="13"/>
  <c r="R44" i="13"/>
  <c r="T44" i="13"/>
  <c r="V44" i="13"/>
  <c r="V45" i="13"/>
  <c r="T45" i="13"/>
  <c r="R45" i="13"/>
  <c r="P45" i="13"/>
  <c r="N45" i="13"/>
  <c r="L45" i="13"/>
  <c r="B41" i="1"/>
  <c r="E101" i="13" l="1"/>
  <c r="D134" i="13"/>
  <c r="D137" i="13"/>
  <c r="E132" i="13"/>
  <c r="D136" i="13"/>
  <c r="D101" i="13"/>
  <c r="D133" i="13"/>
  <c r="D102" i="13" l="1"/>
  <c r="D105" i="13" s="1"/>
  <c r="D103" i="13"/>
  <c r="D104" i="13"/>
  <c r="D110" i="13"/>
  <c r="D111" i="13" s="1"/>
  <c r="K110" i="13"/>
  <c r="K111" i="13" s="1"/>
  <c r="L110" i="13"/>
  <c r="L111" i="13" s="1"/>
  <c r="N110" i="13"/>
  <c r="N111" i="13" s="1"/>
  <c r="E110" i="13"/>
  <c r="E111" i="13" s="1"/>
  <c r="M110" i="13"/>
  <c r="M111" i="13" s="1"/>
  <c r="F132" i="13"/>
  <c r="E134" i="13"/>
  <c r="E133" i="13"/>
  <c r="E135" i="13"/>
  <c r="E137" i="13"/>
  <c r="E136" i="13"/>
  <c r="E105" i="13" l="1"/>
  <c r="G132" i="13"/>
  <c r="F135" i="13"/>
  <c r="F136" i="13"/>
  <c r="F134" i="13"/>
  <c r="F137" i="13"/>
  <c r="F133" i="13"/>
  <c r="H132" i="13" l="1"/>
  <c r="G136" i="13"/>
  <c r="G137" i="13"/>
  <c r="G135" i="13"/>
  <c r="G133" i="13"/>
  <c r="G134" i="13"/>
  <c r="I132" i="13" l="1"/>
  <c r="H137" i="13"/>
  <c r="H135" i="13"/>
  <c r="H133" i="13"/>
  <c r="H134" i="13"/>
  <c r="H136" i="13"/>
  <c r="J132" i="13" l="1"/>
  <c r="I134" i="13"/>
  <c r="I136" i="13"/>
  <c r="I135" i="13"/>
  <c r="I137" i="13"/>
  <c r="I133" i="13"/>
  <c r="K132" i="13" l="1"/>
  <c r="J135" i="13"/>
  <c r="J133" i="13"/>
  <c r="J137" i="13"/>
  <c r="J136" i="13"/>
  <c r="J134" i="13"/>
  <c r="L132" i="13" l="1"/>
  <c r="K136" i="13"/>
  <c r="K134" i="13"/>
  <c r="K135" i="13"/>
  <c r="K133" i="13"/>
  <c r="K137" i="13"/>
  <c r="M132" i="13" l="1"/>
  <c r="L137" i="13"/>
  <c r="L133" i="13"/>
  <c r="L136" i="13"/>
  <c r="L135" i="13"/>
  <c r="L134" i="13"/>
  <c r="N132" i="13" l="1"/>
  <c r="M134" i="13"/>
  <c r="M135" i="13"/>
  <c r="M137" i="13"/>
  <c r="M136" i="13"/>
  <c r="M133" i="13"/>
  <c r="O132" i="13" l="1"/>
  <c r="N135" i="13"/>
  <c r="N133" i="13"/>
  <c r="N134" i="13"/>
  <c r="N137" i="13"/>
  <c r="N136" i="13"/>
  <c r="P132" i="13" l="1"/>
  <c r="O136" i="13"/>
  <c r="O137" i="13"/>
  <c r="O135" i="13"/>
  <c r="O133" i="13"/>
  <c r="O134" i="13"/>
  <c r="Q132" i="13" l="1"/>
  <c r="P137" i="13"/>
  <c r="P135" i="13"/>
  <c r="P133" i="13"/>
  <c r="P134" i="13"/>
  <c r="P136" i="13"/>
  <c r="R132" i="13" l="1"/>
  <c r="Q134" i="13"/>
  <c r="Q136" i="13"/>
  <c r="Q137" i="13"/>
  <c r="Q135" i="13"/>
  <c r="Q133" i="13"/>
  <c r="S132" i="13" l="1"/>
  <c r="R135" i="13"/>
  <c r="R133" i="13"/>
  <c r="R137" i="13"/>
  <c r="R134" i="13"/>
  <c r="R136" i="13"/>
  <c r="S136" i="13" l="1"/>
  <c r="S135" i="13"/>
  <c r="S133" i="13"/>
  <c r="S134" i="13"/>
  <c r="S137" i="13"/>
  <c r="AI6" i="14" l="1"/>
  <c r="H8" i="14" s="1"/>
  <c r="H9" i="14" s="1"/>
  <c r="AI5" i="14"/>
  <c r="AI3" i="14"/>
  <c r="AI143" i="13"/>
  <c r="AI127" i="13"/>
  <c r="AI125" i="13"/>
  <c r="AI96" i="13"/>
  <c r="AI70" i="13"/>
  <c r="AI69" i="13"/>
  <c r="AI67" i="13"/>
  <c r="AI41" i="13"/>
  <c r="AI40" i="13"/>
  <c r="AI38" i="13"/>
  <c r="AI3" i="13"/>
  <c r="O25" i="14"/>
  <c r="N25" i="14"/>
  <c r="M25" i="14"/>
  <c r="L25" i="14"/>
  <c r="K25" i="14"/>
  <c r="J25" i="14"/>
  <c r="I25" i="14"/>
  <c r="H25" i="14"/>
  <c r="G25" i="14"/>
  <c r="F25" i="14"/>
  <c r="E25" i="14"/>
  <c r="D25" i="14"/>
  <c r="O23" i="14"/>
  <c r="N23" i="14"/>
  <c r="M23" i="14"/>
  <c r="L23" i="14"/>
  <c r="K23" i="14"/>
  <c r="J23" i="14"/>
  <c r="I23" i="14"/>
  <c r="H23" i="14"/>
  <c r="G23" i="14"/>
  <c r="F23" i="14"/>
  <c r="E23" i="14"/>
  <c r="D23" i="14"/>
  <c r="O21" i="14"/>
  <c r="N21" i="14"/>
  <c r="M21" i="14"/>
  <c r="L21" i="14"/>
  <c r="K21" i="14"/>
  <c r="J21" i="14"/>
  <c r="I21" i="14"/>
  <c r="H21" i="14"/>
  <c r="G21" i="14"/>
  <c r="F21" i="14"/>
  <c r="E21" i="14"/>
  <c r="D21" i="14"/>
  <c r="O19" i="14"/>
  <c r="N19" i="14"/>
  <c r="M19" i="14"/>
  <c r="L19" i="14"/>
  <c r="K19" i="14"/>
  <c r="J19" i="14"/>
  <c r="I19" i="14"/>
  <c r="H19" i="14"/>
  <c r="G19" i="14"/>
  <c r="F19" i="14"/>
  <c r="E19" i="14"/>
  <c r="D19" i="14"/>
  <c r="AK19" i="14"/>
  <c r="AK18" i="14"/>
  <c r="AK17" i="14"/>
  <c r="AK16" i="14"/>
  <c r="S151" i="13"/>
  <c r="R151" i="13"/>
  <c r="R152" i="13" s="1"/>
  <c r="Q151" i="13"/>
  <c r="Q152" i="13" s="1"/>
  <c r="P151" i="13"/>
  <c r="O151" i="13"/>
  <c r="O152" i="13" s="1"/>
  <c r="N151" i="13"/>
  <c r="M151" i="13"/>
  <c r="M152" i="13" s="1"/>
  <c r="L151" i="13"/>
  <c r="K151" i="13"/>
  <c r="K152" i="13" s="1"/>
  <c r="J151" i="13"/>
  <c r="I151" i="13"/>
  <c r="I152" i="13" s="1"/>
  <c r="H151" i="13"/>
  <c r="G151" i="13"/>
  <c r="G152" i="13" s="1"/>
  <c r="F151" i="13"/>
  <c r="E151" i="13"/>
  <c r="E152" i="13" s="1"/>
  <c r="D151" i="13"/>
  <c r="D152" i="13" s="1"/>
  <c r="S149" i="13"/>
  <c r="R149" i="13"/>
  <c r="R150" i="13" s="1"/>
  <c r="Q149" i="13"/>
  <c r="Q150" i="13" s="1"/>
  <c r="P149" i="13"/>
  <c r="O149" i="13"/>
  <c r="O150" i="13" s="1"/>
  <c r="N149" i="13"/>
  <c r="M149" i="13"/>
  <c r="M150" i="13" s="1"/>
  <c r="L149" i="13"/>
  <c r="K149" i="13"/>
  <c r="K150" i="13" s="1"/>
  <c r="J149" i="13"/>
  <c r="I149" i="13"/>
  <c r="I150" i="13" s="1"/>
  <c r="H149" i="13"/>
  <c r="G149" i="13"/>
  <c r="G150" i="13" s="1"/>
  <c r="F149" i="13"/>
  <c r="E149" i="13"/>
  <c r="E150" i="13" s="1"/>
  <c r="D149" i="13"/>
  <c r="D150" i="13" s="1"/>
  <c r="S147" i="13"/>
  <c r="R147" i="13"/>
  <c r="R148" i="13" s="1"/>
  <c r="Q147" i="13"/>
  <c r="Q148" i="13" s="1"/>
  <c r="P147" i="13"/>
  <c r="O147" i="13"/>
  <c r="O148" i="13" s="1"/>
  <c r="N147" i="13"/>
  <c r="M147" i="13"/>
  <c r="M148" i="13" s="1"/>
  <c r="L147" i="13"/>
  <c r="K147" i="13"/>
  <c r="K148" i="13" s="1"/>
  <c r="J147" i="13"/>
  <c r="I147" i="13"/>
  <c r="I148" i="13" s="1"/>
  <c r="H147" i="13"/>
  <c r="G147" i="13"/>
  <c r="G148" i="13" s="1"/>
  <c r="F147" i="13"/>
  <c r="E147" i="13"/>
  <c r="E148" i="13" s="1"/>
  <c r="D147" i="13"/>
  <c r="D148" i="13" s="1"/>
  <c r="S145" i="13"/>
  <c r="R145" i="13"/>
  <c r="R146" i="13" s="1"/>
  <c r="Q145" i="13"/>
  <c r="Q146" i="13" s="1"/>
  <c r="P145" i="13"/>
  <c r="O145" i="13"/>
  <c r="O146" i="13" s="1"/>
  <c r="N145" i="13"/>
  <c r="M145" i="13"/>
  <c r="M146" i="13" s="1"/>
  <c r="L145" i="13"/>
  <c r="K145" i="13"/>
  <c r="K146" i="13" s="1"/>
  <c r="J145" i="13"/>
  <c r="I145" i="13"/>
  <c r="I146" i="13" s="1"/>
  <c r="H145" i="13"/>
  <c r="G145" i="13"/>
  <c r="G146" i="13" s="1"/>
  <c r="F145" i="13"/>
  <c r="E145" i="13"/>
  <c r="E146" i="13" s="1"/>
  <c r="D145" i="13"/>
  <c r="D146" i="13" s="1"/>
  <c r="AK143" i="13"/>
  <c r="AK142" i="13"/>
  <c r="AI142" i="13"/>
  <c r="AK141" i="13"/>
  <c r="Q139" i="13"/>
  <c r="O139" i="13"/>
  <c r="M139" i="13"/>
  <c r="K139" i="13"/>
  <c r="I139" i="13"/>
  <c r="G139" i="13"/>
  <c r="AK140" i="13"/>
  <c r="AK139" i="13"/>
  <c r="AI139" i="13"/>
  <c r="AK138" i="13"/>
  <c r="AI137" i="13"/>
  <c r="AK110" i="13"/>
  <c r="AK109" i="13"/>
  <c r="AK108" i="13"/>
  <c r="O101" i="13"/>
  <c r="N101" i="13"/>
  <c r="M101" i="13"/>
  <c r="L101" i="13"/>
  <c r="K101" i="13"/>
  <c r="J101" i="13"/>
  <c r="I101" i="13"/>
  <c r="H101" i="13"/>
  <c r="G101" i="13"/>
  <c r="F101" i="13"/>
  <c r="AK91" i="13"/>
  <c r="AK90" i="13"/>
  <c r="AK89" i="13"/>
  <c r="AK88" i="13"/>
  <c r="AK87" i="13"/>
  <c r="AK86" i="13"/>
  <c r="AK85" i="13"/>
  <c r="AK84" i="13"/>
  <c r="AH84" i="13"/>
  <c r="AK83" i="13"/>
  <c r="AK82" i="13"/>
  <c r="AK81" i="13"/>
  <c r="AH81" i="13"/>
  <c r="D81" i="13" s="1"/>
  <c r="D82" i="13" s="1"/>
  <c r="AK80" i="13"/>
  <c r="AK79" i="13"/>
  <c r="D73" i="13"/>
  <c r="E72" i="13"/>
  <c r="E73" i="13" s="1"/>
  <c r="AI61" i="13"/>
  <c r="I58" i="13"/>
  <c r="AI60" i="13"/>
  <c r="AI59" i="13"/>
  <c r="I56" i="13"/>
  <c r="AI58" i="13"/>
  <c r="AI57" i="13"/>
  <c r="I54" i="13"/>
  <c r="AI56" i="13"/>
  <c r="AI55" i="13"/>
  <c r="I52" i="13"/>
  <c r="AI54" i="13"/>
  <c r="AI53" i="13"/>
  <c r="AI52" i="13"/>
  <c r="AI51" i="13"/>
  <c r="AH51" i="13"/>
  <c r="AI50" i="13"/>
  <c r="W43" i="13"/>
  <c r="V43" i="13"/>
  <c r="U43" i="13"/>
  <c r="T43" i="13"/>
  <c r="S43" i="13"/>
  <c r="R43" i="13"/>
  <c r="Q43" i="13"/>
  <c r="P43" i="13"/>
  <c r="O43" i="13"/>
  <c r="N43" i="13"/>
  <c r="M43" i="13"/>
  <c r="L43" i="13"/>
  <c r="K43" i="13"/>
  <c r="J43" i="13"/>
  <c r="I43" i="13"/>
  <c r="H43" i="13"/>
  <c r="G43" i="13"/>
  <c r="F43" i="13"/>
  <c r="E43" i="13"/>
  <c r="D43" i="13"/>
  <c r="AK17" i="13"/>
  <c r="AK16" i="13"/>
  <c r="AK15" i="13"/>
  <c r="D11" i="13"/>
  <c r="J89" i="13" l="1"/>
  <c r="E81" i="13"/>
  <c r="E82" i="13" s="1"/>
  <c r="L83" i="13"/>
  <c r="L87" i="13"/>
  <c r="L85" i="13"/>
  <c r="F81" i="13"/>
  <c r="F82" i="13" s="1"/>
  <c r="K81" i="13"/>
  <c r="K82" i="13" s="1"/>
  <c r="U81" i="13"/>
  <c r="U82" i="13" s="1"/>
  <c r="AD81" i="13"/>
  <c r="AD82" i="13" s="1"/>
  <c r="G81" i="13"/>
  <c r="G82" i="13" s="1"/>
  <c r="N81" i="13"/>
  <c r="N82" i="13" s="1"/>
  <c r="W81" i="13"/>
  <c r="W82" i="13" s="1"/>
  <c r="H81" i="13"/>
  <c r="H82" i="13" s="1"/>
  <c r="P81" i="13"/>
  <c r="P82" i="13" s="1"/>
  <c r="Y81" i="13"/>
  <c r="Y82" i="13" s="1"/>
  <c r="I81" i="13"/>
  <c r="I82" i="13" s="1"/>
  <c r="S81" i="13"/>
  <c r="S82" i="13" s="1"/>
  <c r="AA81" i="13"/>
  <c r="AA82" i="13" s="1"/>
  <c r="L89" i="13"/>
  <c r="J83" i="13"/>
  <c r="J85" i="13"/>
  <c r="J87" i="13"/>
  <c r="E11" i="13"/>
  <c r="E12" i="13" s="1"/>
  <c r="D12" i="13"/>
  <c r="J139" i="13"/>
  <c r="R139" i="13"/>
  <c r="N139" i="13"/>
  <c r="AH16" i="13"/>
  <c r="AH17" i="13"/>
  <c r="O29" i="13" s="1"/>
  <c r="AI18" i="14"/>
  <c r="F14" i="14"/>
  <c r="J14" i="14"/>
  <c r="N14" i="14"/>
  <c r="G14" i="14"/>
  <c r="O14" i="14"/>
  <c r="L14" i="14"/>
  <c r="K14" i="14"/>
  <c r="H14" i="14"/>
  <c r="D14" i="14"/>
  <c r="E14" i="14"/>
  <c r="I14" i="14"/>
  <c r="M14" i="14"/>
  <c r="G105" i="13"/>
  <c r="K105" i="13"/>
  <c r="O105" i="13"/>
  <c r="H105" i="13"/>
  <c r="L105" i="13"/>
  <c r="M105" i="13"/>
  <c r="I105" i="13"/>
  <c r="F105" i="13"/>
  <c r="J105" i="13"/>
  <c r="N105" i="13"/>
  <c r="AI17" i="14"/>
  <c r="D8" i="14"/>
  <c r="D9" i="14" s="1"/>
  <c r="O8" i="14"/>
  <c r="O9" i="14" s="1"/>
  <c r="J8" i="14"/>
  <c r="J9" i="14" s="1"/>
  <c r="N8" i="14"/>
  <c r="N9" i="14" s="1"/>
  <c r="G78" i="13"/>
  <c r="K78" i="13"/>
  <c r="O78" i="13"/>
  <c r="S78" i="13"/>
  <c r="W78" i="13"/>
  <c r="AA78" i="13"/>
  <c r="AE78" i="13"/>
  <c r="F78" i="13"/>
  <c r="J78" i="13"/>
  <c r="N78" i="13"/>
  <c r="V78" i="13"/>
  <c r="Z78" i="13"/>
  <c r="H78" i="13"/>
  <c r="L78" i="13"/>
  <c r="P78" i="13"/>
  <c r="T78" i="13"/>
  <c r="X78" i="13"/>
  <c r="AB78" i="13"/>
  <c r="D78" i="13"/>
  <c r="E78" i="13"/>
  <c r="I78" i="13"/>
  <c r="M78" i="13"/>
  <c r="Q78" i="13"/>
  <c r="U78" i="13"/>
  <c r="Y78" i="13"/>
  <c r="AC78" i="13"/>
  <c r="R78" i="13"/>
  <c r="AD78" i="13"/>
  <c r="Q87" i="13"/>
  <c r="O118" i="13"/>
  <c r="G47" i="13"/>
  <c r="K47" i="13"/>
  <c r="O47" i="13"/>
  <c r="S47" i="13"/>
  <c r="W47" i="13"/>
  <c r="J47" i="13"/>
  <c r="R47" i="13"/>
  <c r="H47" i="13"/>
  <c r="L47" i="13"/>
  <c r="P47" i="13"/>
  <c r="T47" i="13"/>
  <c r="D47" i="13"/>
  <c r="E47" i="13"/>
  <c r="I47" i="13"/>
  <c r="M47" i="13"/>
  <c r="Q47" i="13"/>
  <c r="U47" i="13"/>
  <c r="F47" i="13"/>
  <c r="N47" i="13"/>
  <c r="V47" i="13"/>
  <c r="F8" i="14"/>
  <c r="F9" i="14" s="1"/>
  <c r="K8" i="14"/>
  <c r="K9" i="14" s="1"/>
  <c r="AI15" i="14"/>
  <c r="G8" i="14"/>
  <c r="G9" i="14" s="1"/>
  <c r="L8" i="14"/>
  <c r="L9" i="14" s="1"/>
  <c r="AI138" i="13"/>
  <c r="AI140" i="13"/>
  <c r="AI141" i="13"/>
  <c r="AI19" i="14"/>
  <c r="E8" i="14"/>
  <c r="E9" i="14" s="1"/>
  <c r="I8" i="14"/>
  <c r="I9" i="14" s="1"/>
  <c r="M8" i="14"/>
  <c r="M9" i="14" s="1"/>
  <c r="AI16" i="14"/>
  <c r="D131" i="13"/>
  <c r="L139" i="13"/>
  <c r="H139" i="13"/>
  <c r="P139" i="13"/>
  <c r="D118" i="13"/>
  <c r="D119" i="13" s="1"/>
  <c r="M112" i="13"/>
  <c r="M113" i="13" s="1"/>
  <c r="M118" i="13"/>
  <c r="M119" i="13" s="1"/>
  <c r="Y85" i="13"/>
  <c r="Y86" i="13" s="1"/>
  <c r="AC85" i="13"/>
  <c r="H112" i="13"/>
  <c r="H114" i="13"/>
  <c r="H116" i="13"/>
  <c r="H118" i="13"/>
  <c r="D112" i="13"/>
  <c r="D113" i="13" s="1"/>
  <c r="L112" i="13"/>
  <c r="L113" i="13" s="1"/>
  <c r="D114" i="13"/>
  <c r="D115" i="13" s="1"/>
  <c r="L114" i="13"/>
  <c r="L115" i="13" s="1"/>
  <c r="D116" i="13"/>
  <c r="D117" i="13" s="1"/>
  <c r="L116" i="13"/>
  <c r="L117" i="13" s="1"/>
  <c r="L118" i="13"/>
  <c r="L119" i="13" s="1"/>
  <c r="Q83" i="13"/>
  <c r="E112" i="13"/>
  <c r="E113" i="13" s="1"/>
  <c r="E114" i="13"/>
  <c r="E115" i="13" s="1"/>
  <c r="M114" i="13"/>
  <c r="M115" i="13" s="1"/>
  <c r="E116" i="13"/>
  <c r="E117" i="13" s="1"/>
  <c r="M116" i="13"/>
  <c r="M117" i="13" s="1"/>
  <c r="E118" i="13"/>
  <c r="E119" i="13" s="1"/>
  <c r="I112" i="13"/>
  <c r="I114" i="13"/>
  <c r="I116" i="13"/>
  <c r="I118" i="13"/>
  <c r="F112" i="13"/>
  <c r="J112" i="13"/>
  <c r="N112" i="13"/>
  <c r="N113" i="13" s="1"/>
  <c r="F114" i="13"/>
  <c r="J114" i="13"/>
  <c r="N114" i="13"/>
  <c r="N115" i="13" s="1"/>
  <c r="F116" i="13"/>
  <c r="J116" i="13"/>
  <c r="N116" i="13"/>
  <c r="N117" i="13" s="1"/>
  <c r="F118" i="13"/>
  <c r="J118" i="13"/>
  <c r="N118" i="13"/>
  <c r="N119" i="13" s="1"/>
  <c r="G112" i="13"/>
  <c r="K112" i="13"/>
  <c r="K113" i="13" s="1"/>
  <c r="O112" i="13"/>
  <c r="G114" i="13"/>
  <c r="K114" i="13"/>
  <c r="K115" i="13" s="1"/>
  <c r="O114" i="13"/>
  <c r="G116" i="13"/>
  <c r="K116" i="13"/>
  <c r="K117" i="13" s="1"/>
  <c r="O116" i="13"/>
  <c r="G118" i="13"/>
  <c r="K118" i="13"/>
  <c r="K119" i="13" s="1"/>
  <c r="I89" i="13"/>
  <c r="Z87" i="13"/>
  <c r="F72" i="13"/>
  <c r="H83" i="13"/>
  <c r="H84" i="13" s="1"/>
  <c r="X83" i="13"/>
  <c r="AC87" i="13"/>
  <c r="Y89" i="13"/>
  <c r="Y90" i="13" s="1"/>
  <c r="AB83" i="13"/>
  <c r="P85" i="13"/>
  <c r="P86" i="13" s="1"/>
  <c r="AE89" i="13"/>
  <c r="AA89" i="13"/>
  <c r="W89" i="13"/>
  <c r="S89" i="13"/>
  <c r="O89" i="13"/>
  <c r="K89" i="13"/>
  <c r="K90" i="13" s="1"/>
  <c r="G89" i="13"/>
  <c r="AE87" i="13"/>
  <c r="AA87" i="13"/>
  <c r="W87" i="13"/>
  <c r="S87" i="13"/>
  <c r="S88" i="13" s="1"/>
  <c r="O87" i="13"/>
  <c r="K87" i="13"/>
  <c r="K88" i="13" s="1"/>
  <c r="G87" i="13"/>
  <c r="AE85" i="13"/>
  <c r="AA85" i="13"/>
  <c r="AA86" i="13" s="1"/>
  <c r="W85" i="13"/>
  <c r="S85" i="13"/>
  <c r="O85" i="13"/>
  <c r="K85" i="13"/>
  <c r="G85" i="13"/>
  <c r="AE83" i="13"/>
  <c r="AA83" i="13"/>
  <c r="W83" i="13"/>
  <c r="S83" i="13"/>
  <c r="O83" i="13"/>
  <c r="K83" i="13"/>
  <c r="G83" i="13"/>
  <c r="G84" i="13" s="1"/>
  <c r="AB89" i="13"/>
  <c r="V89" i="13"/>
  <c r="Q89" i="13"/>
  <c r="F89" i="13"/>
  <c r="F90" i="13" s="1"/>
  <c r="AD87" i="13"/>
  <c r="Y87" i="13"/>
  <c r="Y88" i="13" s="1"/>
  <c r="T87" i="13"/>
  <c r="N87" i="13"/>
  <c r="I87" i="13"/>
  <c r="D87" i="13"/>
  <c r="D88" i="13" s="1"/>
  <c r="AB85" i="13"/>
  <c r="V85" i="13"/>
  <c r="Q85" i="13"/>
  <c r="F85" i="13"/>
  <c r="AD83" i="13"/>
  <c r="AD84" i="13" s="1"/>
  <c r="Y83" i="13"/>
  <c r="T83" i="13"/>
  <c r="N83" i="13"/>
  <c r="N84" i="13" s="1"/>
  <c r="I83" i="13"/>
  <c r="D83" i="13"/>
  <c r="D84" i="13" s="1"/>
  <c r="Z89" i="13"/>
  <c r="T89" i="13"/>
  <c r="M89" i="13"/>
  <c r="H89" i="13"/>
  <c r="AB87" i="13"/>
  <c r="U87" i="13"/>
  <c r="M87" i="13"/>
  <c r="F87" i="13"/>
  <c r="F88" i="13" s="1"/>
  <c r="Z85" i="13"/>
  <c r="T85" i="13"/>
  <c r="M85" i="13"/>
  <c r="H85" i="13"/>
  <c r="Z83" i="13"/>
  <c r="R83" i="13"/>
  <c r="E83" i="13"/>
  <c r="X89" i="13"/>
  <c r="N89" i="13"/>
  <c r="N90" i="13" s="1"/>
  <c r="E89" i="13"/>
  <c r="X87" i="13"/>
  <c r="P87" i="13"/>
  <c r="P88" i="13" s="1"/>
  <c r="E87" i="13"/>
  <c r="X85" i="13"/>
  <c r="N85" i="13"/>
  <c r="E85" i="13"/>
  <c r="E86" i="13" s="1"/>
  <c r="V83" i="13"/>
  <c r="M83" i="13"/>
  <c r="F83" i="13"/>
  <c r="AD89" i="13"/>
  <c r="U89" i="13"/>
  <c r="D89" i="13"/>
  <c r="D90" i="13" s="1"/>
  <c r="V87" i="13"/>
  <c r="AD85" i="13"/>
  <c r="U85" i="13"/>
  <c r="D85" i="13"/>
  <c r="D86" i="13" s="1"/>
  <c r="AC83" i="13"/>
  <c r="U83" i="13"/>
  <c r="AC89" i="13"/>
  <c r="R89" i="13"/>
  <c r="P83" i="13"/>
  <c r="I85" i="13"/>
  <c r="R85" i="13"/>
  <c r="H87" i="13"/>
  <c r="R87" i="13"/>
  <c r="P89" i="13"/>
  <c r="P90" i="13" s="1"/>
  <c r="AH52" i="13"/>
  <c r="K58" i="13" s="1"/>
  <c r="J52" i="13"/>
  <c r="J54" i="13"/>
  <c r="J58" i="13"/>
  <c r="J56" i="13"/>
  <c r="C17" i="1"/>
  <c r="C21" i="1" s="1"/>
  <c r="U88" i="13" l="1"/>
  <c r="Y84" i="13"/>
  <c r="N88" i="13"/>
  <c r="K86" i="13"/>
  <c r="N86" i="13"/>
  <c r="K84" i="13"/>
  <c r="H88" i="13"/>
  <c r="S86" i="13"/>
  <c r="AD88" i="13"/>
  <c r="S84" i="13"/>
  <c r="AD86" i="13"/>
  <c r="AD90" i="13"/>
  <c r="H86" i="13"/>
  <c r="H90" i="13"/>
  <c r="S90" i="13"/>
  <c r="W88" i="13"/>
  <c r="U86" i="13"/>
  <c r="U90" i="13"/>
  <c r="I88" i="13"/>
  <c r="W86" i="13"/>
  <c r="I90" i="13"/>
  <c r="I86" i="13"/>
  <c r="U84" i="13"/>
  <c r="W84" i="13"/>
  <c r="I84" i="13"/>
  <c r="W90" i="13"/>
  <c r="P84" i="13"/>
  <c r="F84" i="13"/>
  <c r="E84" i="13"/>
  <c r="AA84" i="13"/>
  <c r="G90" i="13"/>
  <c r="E90" i="13"/>
  <c r="F86" i="13"/>
  <c r="G88" i="13"/>
  <c r="AA90" i="13"/>
  <c r="E88" i="13"/>
  <c r="G86" i="13"/>
  <c r="AA88" i="13"/>
  <c r="X43" i="1"/>
  <c r="Z43" i="1"/>
  <c r="AC43" i="1"/>
  <c r="H23" i="13"/>
  <c r="H24" i="13" s="1"/>
  <c r="E23" i="13"/>
  <c r="E24" i="13" s="1"/>
  <c r="L23" i="13"/>
  <c r="L24" i="13" s="1"/>
  <c r="J23" i="13"/>
  <c r="J24" i="13" s="1"/>
  <c r="F23" i="13"/>
  <c r="F24" i="13" s="1"/>
  <c r="M23" i="13"/>
  <c r="M24" i="13" s="1"/>
  <c r="K23" i="13"/>
  <c r="K24" i="13" s="1"/>
  <c r="D23" i="13"/>
  <c r="D24" i="13" s="1"/>
  <c r="N23" i="13"/>
  <c r="N24" i="13" s="1"/>
  <c r="F11" i="13"/>
  <c r="F12" i="13" s="1"/>
  <c r="L31" i="13"/>
  <c r="L32" i="13" s="1"/>
  <c r="O25" i="13"/>
  <c r="I31" i="13"/>
  <c r="I29" i="13"/>
  <c r="F25" i="13"/>
  <c r="N29" i="13"/>
  <c r="H31" i="13"/>
  <c r="H32" i="13" s="1"/>
  <c r="J25" i="13"/>
  <c r="O27" i="13"/>
  <c r="L27" i="13"/>
  <c r="M27" i="13"/>
  <c r="G25" i="13"/>
  <c r="M31" i="13"/>
  <c r="J27" i="13"/>
  <c r="J28" i="13" s="1"/>
  <c r="K27" i="13"/>
  <c r="I27" i="13"/>
  <c r="D25" i="13"/>
  <c r="H29" i="13"/>
  <c r="E27" i="13"/>
  <c r="N27" i="13"/>
  <c r="K25" i="13"/>
  <c r="K26" i="13" s="1"/>
  <c r="D31" i="13"/>
  <c r="D32" i="13" s="1"/>
  <c r="S139" i="13"/>
  <c r="H27" i="13"/>
  <c r="M29" i="13"/>
  <c r="M25" i="13"/>
  <c r="N25" i="13"/>
  <c r="F29" i="13"/>
  <c r="J31" i="13"/>
  <c r="J32" i="13" s="1"/>
  <c r="G29" i="13"/>
  <c r="K31" i="13"/>
  <c r="L29" i="13"/>
  <c r="L30" i="13" s="1"/>
  <c r="L25" i="13"/>
  <c r="I25" i="13"/>
  <c r="E31" i="13"/>
  <c r="E32" i="13" s="1"/>
  <c r="F31" i="13"/>
  <c r="G31" i="13"/>
  <c r="D27" i="13"/>
  <c r="H25" i="13"/>
  <c r="E29" i="13"/>
  <c r="E25" i="13"/>
  <c r="F27" i="13"/>
  <c r="F28" i="13" s="1"/>
  <c r="J29" i="13"/>
  <c r="N31" i="13"/>
  <c r="G27" i="13"/>
  <c r="K29" i="13"/>
  <c r="O31" i="13"/>
  <c r="D29" i="13"/>
  <c r="AI4" i="14"/>
  <c r="AI126" i="13"/>
  <c r="D139" i="13" s="1"/>
  <c r="AI97" i="13"/>
  <c r="D106" i="13" s="1"/>
  <c r="D107" i="13" s="1"/>
  <c r="AI68" i="13"/>
  <c r="D79" i="13" s="1"/>
  <c r="AI39" i="13"/>
  <c r="D48" i="13" s="1"/>
  <c r="D49" i="13" s="1"/>
  <c r="AI4" i="13"/>
  <c r="D138" i="13"/>
  <c r="D5" i="1"/>
  <c r="C5" i="6" s="1"/>
  <c r="D5" i="6" s="1"/>
  <c r="E5" i="6" s="1"/>
  <c r="D3" i="1"/>
  <c r="C3" i="6" s="1"/>
  <c r="D8" i="1"/>
  <c r="C8" i="6" s="1"/>
  <c r="D8" i="6" s="1"/>
  <c r="E8" i="6" s="1"/>
  <c r="D7" i="1"/>
  <c r="C7" i="6" s="1"/>
  <c r="D7" i="6" s="1"/>
  <c r="E7" i="6" s="1"/>
  <c r="D4" i="1"/>
  <c r="C4" i="6" s="1"/>
  <c r="D4" i="6" s="1"/>
  <c r="E4" i="6" s="1"/>
  <c r="D6" i="1"/>
  <c r="C6" i="6" s="1"/>
  <c r="D6" i="6" s="1"/>
  <c r="E6" i="6" s="1"/>
  <c r="E138" i="13"/>
  <c r="E131" i="13"/>
  <c r="F73" i="13"/>
  <c r="G72" i="13"/>
  <c r="AH53" i="13"/>
  <c r="K54" i="13"/>
  <c r="K56" i="13"/>
  <c r="K52" i="13"/>
  <c r="B16" i="6"/>
  <c r="B15" i="6"/>
  <c r="D44" i="9"/>
  <c r="E44" i="9"/>
  <c r="F44" i="9"/>
  <c r="G44" i="9"/>
  <c r="H44" i="9"/>
  <c r="I44" i="9"/>
  <c r="J44" i="9"/>
  <c r="K44" i="9"/>
  <c r="L44" i="9"/>
  <c r="M44" i="9"/>
  <c r="N44" i="9"/>
  <c r="O44" i="9"/>
  <c r="P44" i="9"/>
  <c r="Q44" i="9"/>
  <c r="R44" i="9"/>
  <c r="S44" i="9"/>
  <c r="T44" i="9"/>
  <c r="U44" i="9"/>
  <c r="V44" i="9"/>
  <c r="W44" i="9"/>
  <c r="X44" i="9"/>
  <c r="Y44" i="9"/>
  <c r="Z44" i="9"/>
  <c r="AA44" i="9"/>
  <c r="AB44" i="9"/>
  <c r="AC44" i="9"/>
  <c r="AD44" i="9"/>
  <c r="AE44" i="9"/>
  <c r="AF44" i="9"/>
  <c r="AG44" i="9"/>
  <c r="B44" i="9" s="1"/>
  <c r="C44" i="9"/>
  <c r="D43" i="9"/>
  <c r="E43" i="9"/>
  <c r="F43" i="9"/>
  <c r="G43" i="9"/>
  <c r="H43" i="9"/>
  <c r="I43" i="9"/>
  <c r="J43" i="9"/>
  <c r="K43" i="9"/>
  <c r="L43" i="9"/>
  <c r="M43" i="9"/>
  <c r="N43" i="9"/>
  <c r="O43" i="9"/>
  <c r="P43" i="9"/>
  <c r="Q43" i="9"/>
  <c r="R43" i="9"/>
  <c r="S43" i="9"/>
  <c r="T43" i="9"/>
  <c r="U43" i="9"/>
  <c r="V43" i="9"/>
  <c r="W43" i="9"/>
  <c r="X43" i="9"/>
  <c r="Y43" i="9"/>
  <c r="Z43" i="9"/>
  <c r="AA43" i="9"/>
  <c r="AB43" i="9"/>
  <c r="AC43" i="9"/>
  <c r="AD43" i="9"/>
  <c r="AE43" i="9"/>
  <c r="AF43" i="9"/>
  <c r="AG43" i="9"/>
  <c r="B43" i="9" s="1"/>
  <c r="C43" i="9"/>
  <c r="U23" i="9"/>
  <c r="U14" i="9"/>
  <c r="U13" i="9"/>
  <c r="U12" i="9"/>
  <c r="U11" i="9"/>
  <c r="U10" i="9"/>
  <c r="U18" i="9"/>
  <c r="U6" i="9"/>
  <c r="O26" i="9"/>
  <c r="C64" i="9"/>
  <c r="C63" i="9"/>
  <c r="C59" i="9"/>
  <c r="C76" i="9"/>
  <c r="C73" i="9"/>
  <c r="C61" i="9"/>
  <c r="C57" i="9"/>
  <c r="C53" i="9"/>
  <c r="B50" i="9"/>
  <c r="C49" i="9"/>
  <c r="C51" i="9"/>
  <c r="Z33" i="9"/>
  <c r="Y33" i="9"/>
  <c r="X33" i="9"/>
  <c r="W33" i="9"/>
  <c r="V33" i="9"/>
  <c r="U33" i="9"/>
  <c r="T33" i="9"/>
  <c r="O30" i="9"/>
  <c r="U22" i="9"/>
  <c r="U21" i="9"/>
  <c r="C17" i="9"/>
  <c r="U20" i="9"/>
  <c r="C16" i="9"/>
  <c r="U19" i="9"/>
  <c r="C15" i="9"/>
  <c r="U17" i="9"/>
  <c r="C14" i="9"/>
  <c r="U16" i="9"/>
  <c r="C13" i="9"/>
  <c r="U15" i="9"/>
  <c r="D12" i="9"/>
  <c r="E12" i="9"/>
  <c r="D11" i="9"/>
  <c r="F11" i="9"/>
  <c r="G11" i="9" s="1"/>
  <c r="D10" i="9"/>
  <c r="E10" i="9"/>
  <c r="U9" i="9"/>
  <c r="D9" i="9"/>
  <c r="F9" i="9"/>
  <c r="G9" i="9" s="1"/>
  <c r="U8" i="9"/>
  <c r="D8" i="9"/>
  <c r="F8" i="9"/>
  <c r="U7" i="9"/>
  <c r="D7" i="9"/>
  <c r="E7" i="9"/>
  <c r="D6" i="9"/>
  <c r="F6" i="9"/>
  <c r="G6" i="9" s="1"/>
  <c r="U5" i="9"/>
  <c r="D5" i="9"/>
  <c r="F5" i="9"/>
  <c r="G5" i="9" s="1"/>
  <c r="U4" i="9"/>
  <c r="D4" i="9"/>
  <c r="E4" i="9"/>
  <c r="U3" i="9"/>
  <c r="D3" i="9"/>
  <c r="F3" i="9"/>
  <c r="G3" i="9" s="1"/>
  <c r="C55" i="9"/>
  <c r="F4" i="9"/>
  <c r="G4" i="9"/>
  <c r="C78" i="9"/>
  <c r="E9" i="9"/>
  <c r="F12" i="9"/>
  <c r="O34" i="9"/>
  <c r="P34" i="9"/>
  <c r="E8" i="9"/>
  <c r="D13" i="9"/>
  <c r="F7" i="9"/>
  <c r="G7" i="9"/>
  <c r="E5" i="9"/>
  <c r="F10" i="9"/>
  <c r="G10" i="9"/>
  <c r="E11" i="9"/>
  <c r="M56" i="9"/>
  <c r="W56" i="9"/>
  <c r="AG52" i="9"/>
  <c r="W52" i="9"/>
  <c r="AG48" i="9"/>
  <c r="M52" i="9"/>
  <c r="W48" i="9"/>
  <c r="AG56" i="9"/>
  <c r="M48" i="9"/>
  <c r="E6" i="9"/>
  <c r="E3" i="9"/>
  <c r="W60" i="9"/>
  <c r="M60" i="9"/>
  <c r="AG60" i="9"/>
  <c r="B46" i="9"/>
  <c r="B48" i="9"/>
  <c r="B52" i="9"/>
  <c r="B56" i="9"/>
  <c r="B60" i="9"/>
  <c r="R32" i="1"/>
  <c r="S32" i="1"/>
  <c r="T32" i="1"/>
  <c r="U32" i="1"/>
  <c r="V32" i="1"/>
  <c r="W32" i="1"/>
  <c r="Q32" i="1"/>
  <c r="L28" i="1"/>
  <c r="L24" i="1"/>
  <c r="L27" i="1"/>
  <c r="J17" i="1"/>
  <c r="J14" i="1"/>
  <c r="J19" i="1" s="1"/>
  <c r="X3" i="1"/>
  <c r="X19" i="1"/>
  <c r="X17" i="1"/>
  <c r="X16" i="1"/>
  <c r="X15" i="1"/>
  <c r="X14" i="1"/>
  <c r="X13" i="1"/>
  <c r="X12" i="1"/>
  <c r="X11" i="1"/>
  <c r="X10" i="1"/>
  <c r="X9" i="1"/>
  <c r="X8" i="1"/>
  <c r="X7" i="1"/>
  <c r="X6" i="1"/>
  <c r="X5" i="1"/>
  <c r="X4" i="1"/>
  <c r="X18" i="1"/>
  <c r="C43" i="6"/>
  <c r="C56" i="1" s="1"/>
  <c r="C40" i="6"/>
  <c r="C42" i="6"/>
  <c r="B39" i="6"/>
  <c r="C36" i="6"/>
  <c r="C38" i="6" s="1"/>
  <c r="B35" i="6"/>
  <c r="C32" i="6"/>
  <c r="C34" i="6" s="1"/>
  <c r="B31" i="6"/>
  <c r="C28" i="6"/>
  <c r="C30" i="6" s="1"/>
  <c r="B27" i="6"/>
  <c r="B25" i="6"/>
  <c r="CL4" i="3"/>
  <c r="CL5" i="3"/>
  <c r="CU5" i="3"/>
  <c r="CU4" i="3"/>
  <c r="CV5" i="3"/>
  <c r="CV4" i="3"/>
  <c r="CO4" i="3"/>
  <c r="CM5" i="3"/>
  <c r="CO5" i="3"/>
  <c r="BL5" i="3"/>
  <c r="BG5" i="3"/>
  <c r="BB5" i="3"/>
  <c r="BC5" i="3"/>
  <c r="AW5" i="3"/>
  <c r="AX5" i="3"/>
  <c r="AR5" i="3"/>
  <c r="AS5" i="3"/>
  <c r="AM5" i="3"/>
  <c r="AN5" i="3"/>
  <c r="BL4" i="3"/>
  <c r="BG4" i="3"/>
  <c r="BB4" i="3"/>
  <c r="BC4" i="3"/>
  <c r="BD4" i="3"/>
  <c r="BE4" i="3"/>
  <c r="AW4" i="3"/>
  <c r="AX4" i="3"/>
  <c r="AY4" i="3"/>
  <c r="AZ4" i="3"/>
  <c r="AR4" i="3"/>
  <c r="AS4" i="3"/>
  <c r="AT4" i="3"/>
  <c r="AU4" i="3"/>
  <c r="AM4" i="3"/>
  <c r="AN4" i="3"/>
  <c r="AO4" i="3"/>
  <c r="AP4" i="3"/>
  <c r="CB4" i="3" s="1"/>
  <c r="BZ5" i="3"/>
  <c r="BM5" i="3"/>
  <c r="BM4" i="3"/>
  <c r="BN4" i="3"/>
  <c r="BO4" i="3" s="1"/>
  <c r="BZ4" i="3"/>
  <c r="CM4" i="3"/>
  <c r="CN4" i="3"/>
  <c r="CQ4" i="3"/>
  <c r="CA4" i="3"/>
  <c r="BH4" i="3"/>
  <c r="BI4" i="3"/>
  <c r="BJ4" i="3" s="1"/>
  <c r="BH5" i="3"/>
  <c r="CA5" i="3"/>
  <c r="CN5" i="3"/>
  <c r="CQ5" i="3"/>
  <c r="Y3" i="1" l="1"/>
  <c r="Y12" i="1"/>
  <c r="Y16" i="1"/>
  <c r="Y10" i="1"/>
  <c r="D3" i="6"/>
  <c r="C13" i="6"/>
  <c r="D23" i="6"/>
  <c r="D40" i="1" s="1"/>
  <c r="H23" i="6"/>
  <c r="H40" i="1" s="1"/>
  <c r="L23" i="6"/>
  <c r="L40" i="1" s="1"/>
  <c r="P23" i="6"/>
  <c r="P40" i="1" s="1"/>
  <c r="T23" i="6"/>
  <c r="T40" i="1" s="1"/>
  <c r="X23" i="6"/>
  <c r="X40" i="1" s="1"/>
  <c r="AB23" i="6"/>
  <c r="AB40" i="1" s="1"/>
  <c r="E23" i="6"/>
  <c r="E40" i="1" s="1"/>
  <c r="I23" i="6"/>
  <c r="I40" i="1" s="1"/>
  <c r="M23" i="6"/>
  <c r="M40" i="1" s="1"/>
  <c r="Q23" i="6"/>
  <c r="Q40" i="1" s="1"/>
  <c r="U23" i="6"/>
  <c r="U40" i="1" s="1"/>
  <c r="Y23" i="6"/>
  <c r="Y40" i="1" s="1"/>
  <c r="AC23" i="6"/>
  <c r="AC40" i="1" s="1"/>
  <c r="F23" i="6"/>
  <c r="F40" i="1" s="1"/>
  <c r="J23" i="6"/>
  <c r="J40" i="1" s="1"/>
  <c r="N23" i="6"/>
  <c r="N40" i="1" s="1"/>
  <c r="R23" i="6"/>
  <c r="R40" i="1" s="1"/>
  <c r="V23" i="6"/>
  <c r="V40" i="1" s="1"/>
  <c r="Z23" i="6"/>
  <c r="Z40" i="1" s="1"/>
  <c r="AD23" i="6"/>
  <c r="AD40" i="1" s="1"/>
  <c r="G23" i="6"/>
  <c r="G40" i="1" s="1"/>
  <c r="K23" i="6"/>
  <c r="K40" i="1" s="1"/>
  <c r="O23" i="6"/>
  <c r="O40" i="1" s="1"/>
  <c r="S23" i="6"/>
  <c r="S40" i="1" s="1"/>
  <c r="W23" i="6"/>
  <c r="W40" i="1" s="1"/>
  <c r="AA23" i="6"/>
  <c r="AA40" i="1" s="1"/>
  <c r="C23" i="6"/>
  <c r="C40" i="1" s="1"/>
  <c r="C20" i="6"/>
  <c r="C19" i="6"/>
  <c r="D19" i="6" s="1"/>
  <c r="C44" i="6"/>
  <c r="AK15" i="14"/>
  <c r="E15" i="14"/>
  <c r="E16" i="14" s="1"/>
  <c r="M15" i="14"/>
  <c r="M16" i="14" s="1"/>
  <c r="F15" i="14"/>
  <c r="O15" i="14"/>
  <c r="N15" i="14"/>
  <c r="L15" i="14"/>
  <c r="L16" i="14" s="1"/>
  <c r="G15" i="14"/>
  <c r="J30" i="13"/>
  <c r="J26" i="13"/>
  <c r="D28" i="13"/>
  <c r="L79" i="13"/>
  <c r="F20" i="13"/>
  <c r="E20" i="13"/>
  <c r="O20" i="13"/>
  <c r="I20" i="13"/>
  <c r="D80" i="13"/>
  <c r="K20" i="13"/>
  <c r="N20" i="13"/>
  <c r="G20" i="13"/>
  <c r="D30" i="13"/>
  <c r="E30" i="13"/>
  <c r="D26" i="13"/>
  <c r="L20" i="13"/>
  <c r="M20" i="13"/>
  <c r="M32" i="13"/>
  <c r="H30" i="13"/>
  <c r="N30" i="13"/>
  <c r="N32" i="13"/>
  <c r="F32" i="13"/>
  <c r="F30" i="13"/>
  <c r="H28" i="13"/>
  <c r="F26" i="13"/>
  <c r="H26" i="13"/>
  <c r="N26" i="13"/>
  <c r="N28" i="13"/>
  <c r="K32" i="13"/>
  <c r="K30" i="13"/>
  <c r="M26" i="13"/>
  <c r="E28" i="13"/>
  <c r="K28" i="13"/>
  <c r="M28" i="13"/>
  <c r="E26" i="13"/>
  <c r="L26" i="13"/>
  <c r="M30" i="13"/>
  <c r="L28" i="13"/>
  <c r="G11" i="13"/>
  <c r="G12" i="13" s="1"/>
  <c r="E106" i="13"/>
  <c r="D15" i="14"/>
  <c r="D16" i="14" s="1"/>
  <c r="E21" i="13"/>
  <c r="D20" i="13"/>
  <c r="D21" i="13" s="1"/>
  <c r="D22" i="13" s="1"/>
  <c r="E139" i="13"/>
  <c r="AK137" i="13"/>
  <c r="AJ50" i="13"/>
  <c r="D108" i="13"/>
  <c r="D109" i="13" s="1"/>
  <c r="D140" i="13"/>
  <c r="D141" i="13" s="1"/>
  <c r="D142" i="13" s="1"/>
  <c r="D17" i="1"/>
  <c r="F131" i="13"/>
  <c r="H72" i="13"/>
  <c r="G73" i="13"/>
  <c r="L58" i="13"/>
  <c r="AH54" i="13"/>
  <c r="L52" i="13"/>
  <c r="L56" i="13"/>
  <c r="L54" i="13"/>
  <c r="C65" i="9"/>
  <c r="L29" i="1"/>
  <c r="L33" i="1" s="1"/>
  <c r="X20" i="1"/>
  <c r="CC4" i="3"/>
  <c r="CS4" i="3" s="1"/>
  <c r="CR4" i="3"/>
  <c r="G13" i="9"/>
  <c r="C40" i="9" s="1"/>
  <c r="F13" i="9"/>
  <c r="C39" i="9" s="1"/>
  <c r="E13" i="9"/>
  <c r="C38" i="9" s="1"/>
  <c r="E3" i="6" l="1"/>
  <c r="E13" i="6" s="1"/>
  <c r="D13" i="6"/>
  <c r="B23" i="6"/>
  <c r="B40" i="1"/>
  <c r="C21" i="6"/>
  <c r="C22" i="6" s="1"/>
  <c r="D20" i="6"/>
  <c r="C37" i="1"/>
  <c r="C38" i="1" s="1"/>
  <c r="C36" i="1"/>
  <c r="H11" i="13"/>
  <c r="I11" i="13" s="1"/>
  <c r="I12" i="13" s="1"/>
  <c r="F21" i="13"/>
  <c r="F139" i="13"/>
  <c r="F106" i="13"/>
  <c r="G106" i="13" s="1"/>
  <c r="E107" i="13"/>
  <c r="E108" i="13" s="1"/>
  <c r="E109" i="13" s="1"/>
  <c r="F79" i="13"/>
  <c r="E79" i="13"/>
  <c r="M52" i="13"/>
  <c r="E140" i="13"/>
  <c r="E141" i="13" s="1"/>
  <c r="E142" i="13" s="1"/>
  <c r="G79" i="13"/>
  <c r="AJ51" i="13"/>
  <c r="F138" i="13"/>
  <c r="N16" i="14"/>
  <c r="M58" i="13"/>
  <c r="G131" i="13"/>
  <c r="M56" i="13"/>
  <c r="M54" i="13"/>
  <c r="H73" i="13"/>
  <c r="I72" i="13"/>
  <c r="AH55" i="13"/>
  <c r="D40" i="9"/>
  <c r="C41" i="9"/>
  <c r="C42" i="9" s="1"/>
  <c r="CT4" i="3"/>
  <c r="CW4" i="3" s="1"/>
  <c r="D38" i="9"/>
  <c r="D47" i="9"/>
  <c r="D39" i="9"/>
  <c r="D21" i="6" l="1"/>
  <c r="D22" i="6" s="1"/>
  <c r="E20" i="6"/>
  <c r="J11" i="13"/>
  <c r="J12" i="13" s="1"/>
  <c r="G80" i="13"/>
  <c r="F80" i="13"/>
  <c r="E80" i="13"/>
  <c r="H12" i="13"/>
  <c r="G21" i="13"/>
  <c r="F107" i="13"/>
  <c r="F108" i="13" s="1"/>
  <c r="F109" i="13" s="1"/>
  <c r="F110" i="13" s="1"/>
  <c r="F140" i="13"/>
  <c r="F141" i="13" s="1"/>
  <c r="F142" i="13" s="1"/>
  <c r="F143" i="13" s="1"/>
  <c r="H106" i="13"/>
  <c r="G107" i="13"/>
  <c r="G108" i="13" s="1"/>
  <c r="G109" i="13" s="1"/>
  <c r="G110" i="13" s="1"/>
  <c r="H79" i="13"/>
  <c r="G138" i="13"/>
  <c r="AJ52" i="13"/>
  <c r="F16" i="14"/>
  <c r="O16" i="14"/>
  <c r="O17" i="14" s="1"/>
  <c r="H131" i="13"/>
  <c r="J72" i="13"/>
  <c r="I73" i="13"/>
  <c r="N58" i="13"/>
  <c r="AH56" i="13"/>
  <c r="S50" i="13" s="1"/>
  <c r="S51" i="13" s="1"/>
  <c r="T48" i="13" s="1"/>
  <c r="N54" i="13"/>
  <c r="N56" i="13"/>
  <c r="N52" i="13"/>
  <c r="K11" i="13"/>
  <c r="C39" i="1"/>
  <c r="C42" i="1" s="1"/>
  <c r="D53" i="9"/>
  <c r="D61" i="9"/>
  <c r="D57" i="9"/>
  <c r="D49" i="9"/>
  <c r="E47" i="9"/>
  <c r="E38" i="9"/>
  <c r="E40" i="9"/>
  <c r="D41" i="9"/>
  <c r="D42" i="9" s="1"/>
  <c r="G111" i="13" l="1"/>
  <c r="G119" i="13"/>
  <c r="G113" i="13"/>
  <c r="G115" i="13"/>
  <c r="G117" i="13"/>
  <c r="F111" i="13"/>
  <c r="F113" i="13"/>
  <c r="F119" i="13"/>
  <c r="F115" i="13"/>
  <c r="F117" i="13"/>
  <c r="E21" i="6"/>
  <c r="E22" i="6" s="1"/>
  <c r="F20" i="6"/>
  <c r="D26" i="6"/>
  <c r="D28" i="6" s="1"/>
  <c r="E19" i="6" s="1"/>
  <c r="H80" i="13"/>
  <c r="O26" i="14"/>
  <c r="O24" i="14"/>
  <c r="O22" i="14"/>
  <c r="O20" i="14"/>
  <c r="O18" i="14"/>
  <c r="F144" i="13"/>
  <c r="F150" i="13"/>
  <c r="F148" i="13"/>
  <c r="F152" i="13"/>
  <c r="F146" i="13"/>
  <c r="Q56" i="13"/>
  <c r="E50" i="13"/>
  <c r="E51" i="13" s="1"/>
  <c r="F48" i="13" s="1"/>
  <c r="E36" i="1" s="1"/>
  <c r="P50" i="13"/>
  <c r="P51" i="13" s="1"/>
  <c r="Q48" i="13" s="1"/>
  <c r="F50" i="13"/>
  <c r="D50" i="13"/>
  <c r="V50" i="13"/>
  <c r="V51" i="13" s="1"/>
  <c r="W48" i="13" s="1"/>
  <c r="G50" i="13"/>
  <c r="G51" i="13" s="1"/>
  <c r="H48" i="13" s="1"/>
  <c r="H50" i="13"/>
  <c r="G23" i="13"/>
  <c r="G140" i="13"/>
  <c r="G141" i="13" s="1"/>
  <c r="G142" i="13" s="1"/>
  <c r="I106" i="13"/>
  <c r="H107" i="13"/>
  <c r="H108" i="13" s="1"/>
  <c r="H109" i="13" s="1"/>
  <c r="H110" i="13" s="1"/>
  <c r="F56" i="13"/>
  <c r="I79" i="13"/>
  <c r="D54" i="13"/>
  <c r="H138" i="13"/>
  <c r="AJ53" i="13"/>
  <c r="G16" i="14"/>
  <c r="G17" i="14" s="1"/>
  <c r="V54" i="13"/>
  <c r="F54" i="13"/>
  <c r="W58" i="13"/>
  <c r="R56" i="13"/>
  <c r="R54" i="13"/>
  <c r="G58" i="13"/>
  <c r="D56" i="13"/>
  <c r="I131" i="13"/>
  <c r="Q54" i="13"/>
  <c r="O54" i="13"/>
  <c r="H56" i="13"/>
  <c r="H52" i="13"/>
  <c r="U54" i="13"/>
  <c r="P56" i="13"/>
  <c r="O52" i="13"/>
  <c r="G52" i="13"/>
  <c r="E54" i="13"/>
  <c r="R52" i="13"/>
  <c r="S52" i="13"/>
  <c r="S53" i="13" s="1"/>
  <c r="O58" i="13"/>
  <c r="P54" i="13"/>
  <c r="H58" i="13"/>
  <c r="W56" i="13"/>
  <c r="G54" i="13"/>
  <c r="S58" i="13"/>
  <c r="S59" i="13" s="1"/>
  <c r="P52" i="13"/>
  <c r="H54" i="13"/>
  <c r="F58" i="13"/>
  <c r="T52" i="13"/>
  <c r="O56" i="13"/>
  <c r="E52" i="13"/>
  <c r="S56" i="13"/>
  <c r="S57" i="13" s="1"/>
  <c r="V56" i="13"/>
  <c r="AI79" i="13"/>
  <c r="K72" i="13"/>
  <c r="J73" i="13"/>
  <c r="V58" i="13"/>
  <c r="Q52" i="13"/>
  <c r="Q58" i="13"/>
  <c r="P58" i="13"/>
  <c r="W54" i="13"/>
  <c r="S54" i="13"/>
  <c r="S55" i="13" s="1"/>
  <c r="U52" i="13"/>
  <c r="D58" i="13"/>
  <c r="T58" i="13"/>
  <c r="V52" i="13"/>
  <c r="F52" i="13"/>
  <c r="U58" i="13"/>
  <c r="E56" i="13"/>
  <c r="R58" i="13"/>
  <c r="G56" i="13"/>
  <c r="D52" i="13"/>
  <c r="W52" i="13"/>
  <c r="T56" i="13"/>
  <c r="U56" i="13"/>
  <c r="E58" i="13"/>
  <c r="T54" i="13"/>
  <c r="K12" i="13"/>
  <c r="L11" i="13"/>
  <c r="D62" i="9"/>
  <c r="D63" i="9"/>
  <c r="F38" i="9"/>
  <c r="F47" i="9"/>
  <c r="D51" i="9"/>
  <c r="D55" i="9"/>
  <c r="D54" i="9"/>
  <c r="E41" i="9"/>
  <c r="F40" i="9"/>
  <c r="E49" i="9"/>
  <c r="E51" i="9" s="1"/>
  <c r="E53" i="9"/>
  <c r="E57" i="9"/>
  <c r="E61" i="9"/>
  <c r="D59" i="9"/>
  <c r="D58" i="9"/>
  <c r="E39" i="9"/>
  <c r="F53" i="13" l="1"/>
  <c r="H55" i="13"/>
  <c r="H57" i="13"/>
  <c r="E59" i="13"/>
  <c r="D57" i="13"/>
  <c r="E57" i="13"/>
  <c r="F57" i="13"/>
  <c r="F59" i="13"/>
  <c r="F21" i="6"/>
  <c r="F22" i="6" s="1"/>
  <c r="G20" i="6"/>
  <c r="E55" i="13"/>
  <c r="D47" i="1" s="1"/>
  <c r="E53" i="13"/>
  <c r="D36" i="6"/>
  <c r="D37" i="6" s="1"/>
  <c r="D32" i="6"/>
  <c r="D33" i="6" s="1"/>
  <c r="D40" i="6"/>
  <c r="D42" i="6" s="1"/>
  <c r="D55" i="13"/>
  <c r="D53" i="13"/>
  <c r="D59" i="13"/>
  <c r="H53" i="13"/>
  <c r="I80" i="13"/>
  <c r="V53" i="13"/>
  <c r="H59" i="13"/>
  <c r="F55" i="13"/>
  <c r="G55" i="13"/>
  <c r="G53" i="13"/>
  <c r="V59" i="13"/>
  <c r="V57" i="13"/>
  <c r="V55" i="13"/>
  <c r="G26" i="14"/>
  <c r="G24" i="14"/>
  <c r="G22" i="14"/>
  <c r="G20" i="14"/>
  <c r="G18" i="14"/>
  <c r="H15" i="14" s="1"/>
  <c r="G57" i="13"/>
  <c r="P53" i="13"/>
  <c r="P57" i="13"/>
  <c r="G59" i="13"/>
  <c r="H111" i="13"/>
  <c r="H115" i="13"/>
  <c r="H117" i="13"/>
  <c r="H113" i="13"/>
  <c r="H119" i="13"/>
  <c r="G24" i="13"/>
  <c r="H20" i="13" s="1"/>
  <c r="H21" i="13" s="1"/>
  <c r="G26" i="13"/>
  <c r="G32" i="13"/>
  <c r="G28" i="13"/>
  <c r="G30" i="13"/>
  <c r="C43" i="1"/>
  <c r="D51" i="13"/>
  <c r="E48" i="13" s="1"/>
  <c r="D36" i="1" s="1"/>
  <c r="P59" i="13"/>
  <c r="P55" i="13"/>
  <c r="H51" i="13"/>
  <c r="I48" i="13" s="1"/>
  <c r="E43" i="1"/>
  <c r="F51" i="13"/>
  <c r="G48" i="13" s="1"/>
  <c r="F36" i="1" s="1"/>
  <c r="I21" i="13"/>
  <c r="I23" i="13" s="1"/>
  <c r="F43" i="1"/>
  <c r="D43" i="1"/>
  <c r="H140" i="13"/>
  <c r="H141" i="13" s="1"/>
  <c r="H142" i="13" s="1"/>
  <c r="H143" i="13" s="1"/>
  <c r="J106" i="13"/>
  <c r="I107" i="13"/>
  <c r="I108" i="13" s="1"/>
  <c r="I109" i="13" s="1"/>
  <c r="I110" i="13" s="1"/>
  <c r="I138" i="13"/>
  <c r="AJ54" i="13"/>
  <c r="J131" i="13"/>
  <c r="C47" i="1"/>
  <c r="L72" i="13"/>
  <c r="K73" i="13"/>
  <c r="M11" i="13"/>
  <c r="L12" i="13"/>
  <c r="F41" i="9"/>
  <c r="G40" i="9"/>
  <c r="G38" i="9"/>
  <c r="G47" i="9"/>
  <c r="D64" i="9"/>
  <c r="E54" i="9"/>
  <c r="E55" i="9"/>
  <c r="F49" i="9"/>
  <c r="F61" i="9"/>
  <c r="F57" i="9"/>
  <c r="F53" i="9"/>
  <c r="F39" i="9"/>
  <c r="G39" i="9" s="1"/>
  <c r="E62" i="9"/>
  <c r="E63" i="9"/>
  <c r="E42" i="9"/>
  <c r="E58" i="9"/>
  <c r="E59" i="9"/>
  <c r="D30" i="6"/>
  <c r="D65" i="9"/>
  <c r="I111" i="13" l="1"/>
  <c r="I119" i="13"/>
  <c r="I115" i="13"/>
  <c r="I117" i="13"/>
  <c r="I113" i="13"/>
  <c r="H20" i="6"/>
  <c r="G21" i="6"/>
  <c r="G22" i="6" s="1"/>
  <c r="E26" i="6"/>
  <c r="D34" i="6"/>
  <c r="D49" i="1" s="1"/>
  <c r="D38" i="6"/>
  <c r="D41" i="6"/>
  <c r="G36" i="1"/>
  <c r="H16" i="14"/>
  <c r="H17" i="14" s="1"/>
  <c r="H144" i="13"/>
  <c r="H148" i="13"/>
  <c r="H146" i="13"/>
  <c r="H152" i="13"/>
  <c r="H150" i="13"/>
  <c r="I24" i="13"/>
  <c r="J20" i="13" s="1"/>
  <c r="J21" i="13" s="1"/>
  <c r="I28" i="13"/>
  <c r="I30" i="13"/>
  <c r="I26" i="13"/>
  <c r="I32" i="13"/>
  <c r="C49" i="1"/>
  <c r="D48" i="1"/>
  <c r="J107" i="13"/>
  <c r="J108" i="13" s="1"/>
  <c r="J109" i="13" s="1"/>
  <c r="J110" i="13" s="1"/>
  <c r="K106" i="13"/>
  <c r="J79" i="13"/>
  <c r="I140" i="13"/>
  <c r="I141" i="13" s="1"/>
  <c r="I142" i="13" s="1"/>
  <c r="G49" i="13"/>
  <c r="F37" i="1" s="1"/>
  <c r="E49" i="13"/>
  <c r="D37" i="1" s="1"/>
  <c r="F49" i="13"/>
  <c r="E37" i="1" s="1"/>
  <c r="AJ55" i="13"/>
  <c r="J138" i="13"/>
  <c r="D50" i="1"/>
  <c r="D44" i="1"/>
  <c r="D46" i="1" s="1"/>
  <c r="C53" i="1"/>
  <c r="C55" i="1" s="1"/>
  <c r="C44" i="1"/>
  <c r="C46" i="1" s="1"/>
  <c r="D53" i="1"/>
  <c r="K131" i="13"/>
  <c r="C50" i="1"/>
  <c r="C52" i="1" s="1"/>
  <c r="L73" i="13"/>
  <c r="AI80" i="13"/>
  <c r="M72" i="13"/>
  <c r="F47" i="1"/>
  <c r="F53" i="1"/>
  <c r="E47" i="1"/>
  <c r="E44" i="1"/>
  <c r="E50" i="1"/>
  <c r="E53" i="1"/>
  <c r="M12" i="13"/>
  <c r="N11" i="13"/>
  <c r="F26" i="6"/>
  <c r="F54" i="9"/>
  <c r="F55" i="9"/>
  <c r="E65" i="9"/>
  <c r="F58" i="9"/>
  <c r="G61" i="9"/>
  <c r="G49" i="9"/>
  <c r="G57" i="9"/>
  <c r="G53" i="9"/>
  <c r="E64" i="9"/>
  <c r="F62" i="9"/>
  <c r="H47" i="9"/>
  <c r="H38" i="9"/>
  <c r="H40" i="9"/>
  <c r="G41" i="9"/>
  <c r="B20" i="6" l="1"/>
  <c r="I20" i="6"/>
  <c r="H21" i="6"/>
  <c r="B21" i="6" s="1"/>
  <c r="E28" i="6"/>
  <c r="F19" i="6" s="1"/>
  <c r="E40" i="6"/>
  <c r="E42" i="6" s="1"/>
  <c r="E55" i="1" s="1"/>
  <c r="E36" i="6"/>
  <c r="E32" i="6"/>
  <c r="D44" i="6"/>
  <c r="D52" i="1"/>
  <c r="D43" i="6"/>
  <c r="J80" i="13"/>
  <c r="H24" i="14"/>
  <c r="G50" i="1" s="1"/>
  <c r="H20" i="14"/>
  <c r="G44" i="1" s="1"/>
  <c r="H18" i="14"/>
  <c r="I15" i="14" s="1"/>
  <c r="H36" i="1" s="1"/>
  <c r="H22" i="14"/>
  <c r="G47" i="1" s="1"/>
  <c r="H26" i="14"/>
  <c r="G43" i="1"/>
  <c r="J111" i="13"/>
  <c r="J119" i="13"/>
  <c r="J117" i="13"/>
  <c r="J113" i="13"/>
  <c r="J115" i="13"/>
  <c r="K21" i="13"/>
  <c r="F50" i="1"/>
  <c r="D54" i="1"/>
  <c r="E54" i="1" s="1"/>
  <c r="F54" i="1" s="1"/>
  <c r="D51" i="1"/>
  <c r="E51" i="1" s="1"/>
  <c r="E48" i="1"/>
  <c r="F48" i="1" s="1"/>
  <c r="D55" i="1"/>
  <c r="F44" i="1"/>
  <c r="C57" i="1"/>
  <c r="J140" i="13"/>
  <c r="J141" i="13" s="1"/>
  <c r="J142" i="13" s="1"/>
  <c r="J143" i="13" s="1"/>
  <c r="D38" i="1"/>
  <c r="D39" i="1" s="1"/>
  <c r="D42" i="1" s="1"/>
  <c r="F38" i="1"/>
  <c r="F39" i="1" s="1"/>
  <c r="F42" i="1" s="1"/>
  <c r="E38" i="1"/>
  <c r="E39" i="1" s="1"/>
  <c r="E42" i="1" s="1"/>
  <c r="K107" i="13"/>
  <c r="K108" i="13" s="1"/>
  <c r="K109" i="13" s="1"/>
  <c r="L106" i="13"/>
  <c r="K138" i="13"/>
  <c r="H49" i="13"/>
  <c r="G37" i="1" s="1"/>
  <c r="AJ56" i="13"/>
  <c r="L131" i="13"/>
  <c r="AI81" i="13"/>
  <c r="M73" i="13"/>
  <c r="N72" i="13"/>
  <c r="G53" i="1"/>
  <c r="O11" i="13"/>
  <c r="N12" i="13"/>
  <c r="F42" i="9"/>
  <c r="I47" i="9"/>
  <c r="I38" i="9"/>
  <c r="G54" i="9"/>
  <c r="H49" i="9"/>
  <c r="H57" i="9"/>
  <c r="H61" i="9"/>
  <c r="H53" i="9"/>
  <c r="F63" i="9"/>
  <c r="G58" i="9"/>
  <c r="H39" i="9"/>
  <c r="G62" i="9"/>
  <c r="F51" i="9"/>
  <c r="F64" i="9"/>
  <c r="I40" i="9"/>
  <c r="H41" i="9"/>
  <c r="F59" i="9"/>
  <c r="F28" i="6"/>
  <c r="G19" i="6" s="1"/>
  <c r="F40" i="6"/>
  <c r="F36" i="6"/>
  <c r="F32" i="6"/>
  <c r="H22" i="6" l="1"/>
  <c r="B22" i="6" s="1"/>
  <c r="J20" i="6"/>
  <c r="I21" i="6"/>
  <c r="I22" i="6" s="1"/>
  <c r="E41" i="6"/>
  <c r="F41" i="6" s="1"/>
  <c r="E34" i="6"/>
  <c r="E49" i="1" s="1"/>
  <c r="E33" i="6"/>
  <c r="F33" i="6" s="1"/>
  <c r="E30" i="6"/>
  <c r="E46" i="1" s="1"/>
  <c r="E37" i="6"/>
  <c r="F37" i="6" s="1"/>
  <c r="E38" i="6"/>
  <c r="G26" i="6"/>
  <c r="D57" i="1"/>
  <c r="J81" i="13"/>
  <c r="I16" i="14"/>
  <c r="I17" i="14" s="1"/>
  <c r="J144" i="13"/>
  <c r="J152" i="13"/>
  <c r="J150" i="13"/>
  <c r="J146" i="13"/>
  <c r="J148" i="13"/>
  <c r="L21" i="13"/>
  <c r="D56" i="1"/>
  <c r="F51" i="1"/>
  <c r="G51" i="1" s="1"/>
  <c r="G54" i="1"/>
  <c r="G48" i="1"/>
  <c r="M106" i="13"/>
  <c r="M107" i="13" s="1"/>
  <c r="M108" i="13" s="1"/>
  <c r="M109" i="13" s="1"/>
  <c r="K140" i="13"/>
  <c r="K141" i="13" s="1"/>
  <c r="K142" i="13" s="1"/>
  <c r="G38" i="1"/>
  <c r="G39" i="1" s="1"/>
  <c r="G42" i="1" s="1"/>
  <c r="L107" i="13"/>
  <c r="L108" i="13" s="1"/>
  <c r="L109" i="13" s="1"/>
  <c r="L80" i="13"/>
  <c r="B36" i="1"/>
  <c r="I49" i="13"/>
  <c r="L138" i="13"/>
  <c r="AJ57" i="13"/>
  <c r="G59" i="9"/>
  <c r="M131" i="13"/>
  <c r="O72" i="13"/>
  <c r="N73" i="13"/>
  <c r="O12" i="13"/>
  <c r="H26" i="6"/>
  <c r="F38" i="6"/>
  <c r="H54" i="9"/>
  <c r="H62" i="9"/>
  <c r="I61" i="9"/>
  <c r="I49" i="9"/>
  <c r="I53" i="9"/>
  <c r="I57" i="9"/>
  <c r="F30" i="6"/>
  <c r="F65" i="9"/>
  <c r="H58" i="9"/>
  <c r="I41" i="9"/>
  <c r="J40" i="9"/>
  <c r="F42" i="6"/>
  <c r="F34" i="6"/>
  <c r="I39" i="9"/>
  <c r="J38" i="9"/>
  <c r="J47" i="9"/>
  <c r="K20" i="6" l="1"/>
  <c r="J21" i="6"/>
  <c r="J22" i="6" s="1"/>
  <c r="E52" i="1"/>
  <c r="E57" i="1" s="1"/>
  <c r="E44" i="6"/>
  <c r="E43" i="6"/>
  <c r="E56" i="1" s="1"/>
  <c r="G36" i="6"/>
  <c r="G38" i="6" s="1"/>
  <c r="G52" i="1" s="1"/>
  <c r="G28" i="6"/>
  <c r="G32" i="6"/>
  <c r="G34" i="6" s="1"/>
  <c r="G49" i="1" s="1"/>
  <c r="G40" i="6"/>
  <c r="G42" i="6" s="1"/>
  <c r="L81" i="13"/>
  <c r="L82" i="13" s="1"/>
  <c r="M79" i="13" s="1"/>
  <c r="I50" i="13"/>
  <c r="I57" i="13" s="1"/>
  <c r="H37" i="1"/>
  <c r="H38" i="1" s="1"/>
  <c r="B38" i="1" s="1"/>
  <c r="J88" i="13"/>
  <c r="J82" i="13"/>
  <c r="K79" i="13" s="1"/>
  <c r="J84" i="13"/>
  <c r="J90" i="13"/>
  <c r="J86" i="13"/>
  <c r="I20" i="14"/>
  <c r="I24" i="14"/>
  <c r="I26" i="14"/>
  <c r="I22" i="14"/>
  <c r="I18" i="14"/>
  <c r="J15" i="14" s="1"/>
  <c r="N21" i="13"/>
  <c r="M21" i="13"/>
  <c r="G64" i="9"/>
  <c r="G55" i="9"/>
  <c r="N106" i="13"/>
  <c r="L140" i="13"/>
  <c r="L141" i="13" s="1"/>
  <c r="L142" i="13" s="1"/>
  <c r="L143" i="13" s="1"/>
  <c r="AJ58" i="13"/>
  <c r="M138" i="13"/>
  <c r="N131" i="13"/>
  <c r="O73" i="13"/>
  <c r="AI82" i="13"/>
  <c r="P72" i="13"/>
  <c r="I26" i="6"/>
  <c r="J39" i="9"/>
  <c r="F43" i="6"/>
  <c r="G51" i="9"/>
  <c r="G63" i="9"/>
  <c r="F44" i="6"/>
  <c r="F55" i="1"/>
  <c r="I54" i="9"/>
  <c r="J49" i="9"/>
  <c r="J57" i="9"/>
  <c r="J61" i="9"/>
  <c r="J53" i="9"/>
  <c r="K47" i="9"/>
  <c r="K38" i="9"/>
  <c r="F46" i="1"/>
  <c r="I62" i="9"/>
  <c r="F52" i="1"/>
  <c r="H28" i="6"/>
  <c r="H36" i="6"/>
  <c r="H40" i="6"/>
  <c r="H32" i="6"/>
  <c r="F49" i="1"/>
  <c r="G42" i="9"/>
  <c r="J41" i="9"/>
  <c r="K40" i="9"/>
  <c r="I58" i="9"/>
  <c r="H39" i="1" l="1"/>
  <c r="H42" i="1" s="1"/>
  <c r="B42" i="1" s="1"/>
  <c r="B58" i="1" s="1"/>
  <c r="L20" i="6"/>
  <c r="K21" i="6"/>
  <c r="K22" i="6" s="1"/>
  <c r="G33" i="6"/>
  <c r="H33" i="6" s="1"/>
  <c r="B33" i="6" s="1"/>
  <c r="G30" i="6"/>
  <c r="G46" i="1" s="1"/>
  <c r="H19" i="6"/>
  <c r="G37" i="6"/>
  <c r="H37" i="6" s="1"/>
  <c r="B37" i="6" s="1"/>
  <c r="G55" i="1"/>
  <c r="G41" i="6"/>
  <c r="L88" i="13"/>
  <c r="I51" i="13"/>
  <c r="J48" i="13" s="1"/>
  <c r="I36" i="1" s="1"/>
  <c r="L84" i="13"/>
  <c r="I55" i="13"/>
  <c r="I59" i="13"/>
  <c r="I53" i="13"/>
  <c r="H43" i="1"/>
  <c r="B43" i="1" s="1"/>
  <c r="L90" i="13"/>
  <c r="L86" i="13"/>
  <c r="K80" i="13"/>
  <c r="J16" i="14"/>
  <c r="J17" i="14" s="1"/>
  <c r="L144" i="13"/>
  <c r="L150" i="13"/>
  <c r="L148" i="13"/>
  <c r="L152" i="13"/>
  <c r="L146" i="13"/>
  <c r="B37" i="1"/>
  <c r="M140" i="13"/>
  <c r="M141" i="13" s="1"/>
  <c r="M142" i="13" s="1"/>
  <c r="O106" i="13"/>
  <c r="N107" i="13"/>
  <c r="N108" i="13" s="1"/>
  <c r="N109" i="13" s="1"/>
  <c r="M80" i="13"/>
  <c r="AJ59" i="13"/>
  <c r="Q49" i="13"/>
  <c r="Q50" i="13" s="1"/>
  <c r="N138" i="13"/>
  <c r="O131" i="13"/>
  <c r="P73" i="13"/>
  <c r="Q72" i="13"/>
  <c r="H34" i="6"/>
  <c r="F57" i="1"/>
  <c r="H42" i="6"/>
  <c r="K53" i="9"/>
  <c r="K61" i="9"/>
  <c r="K49" i="9"/>
  <c r="K57" i="9"/>
  <c r="J62" i="9"/>
  <c r="L47" i="9"/>
  <c r="L38" i="9"/>
  <c r="K41" i="9"/>
  <c r="L40" i="9"/>
  <c r="H38" i="6"/>
  <c r="J58" i="9"/>
  <c r="F56" i="1"/>
  <c r="I36" i="6"/>
  <c r="I32" i="6"/>
  <c r="I28" i="6"/>
  <c r="I30" i="6" s="1"/>
  <c r="I40" i="6"/>
  <c r="J54" i="9"/>
  <c r="H30" i="6"/>
  <c r="G65" i="9"/>
  <c r="K39" i="9"/>
  <c r="L39" i="9" s="1"/>
  <c r="B39" i="1" l="1"/>
  <c r="G57" i="1"/>
  <c r="I19" i="6"/>
  <c r="J19" i="6" s="1"/>
  <c r="B19" i="6"/>
  <c r="M20" i="6"/>
  <c r="L21" i="6"/>
  <c r="L22" i="6" s="1"/>
  <c r="G43" i="6"/>
  <c r="G56" i="1" s="1"/>
  <c r="G44" i="6"/>
  <c r="H41" i="6"/>
  <c r="J26" i="6"/>
  <c r="M81" i="13"/>
  <c r="M90" i="13" s="1"/>
  <c r="J22" i="14"/>
  <c r="J20" i="14"/>
  <c r="J18" i="14"/>
  <c r="K15" i="14" s="1"/>
  <c r="J26" i="14"/>
  <c r="J24" i="14"/>
  <c r="Q51" i="13"/>
  <c r="R48" i="13" s="1"/>
  <c r="R49" i="13" s="1"/>
  <c r="R50" i="13" s="1"/>
  <c r="Q53" i="13"/>
  <c r="Q55" i="13"/>
  <c r="Q59" i="13"/>
  <c r="Q57" i="13"/>
  <c r="H53" i="1"/>
  <c r="H54" i="1" s="1"/>
  <c r="B54" i="1" s="1"/>
  <c r="H47" i="1"/>
  <c r="H49" i="1" s="1"/>
  <c r="B49" i="1" s="1"/>
  <c r="H44" i="1"/>
  <c r="H46" i="1" s="1"/>
  <c r="B46" i="1" s="1"/>
  <c r="H50" i="1"/>
  <c r="H51" i="1" s="1"/>
  <c r="B51" i="1" s="1"/>
  <c r="J49" i="13"/>
  <c r="N140" i="13"/>
  <c r="N141" i="13" s="1"/>
  <c r="N142" i="13" s="1"/>
  <c r="N143" i="13" s="1"/>
  <c r="O107" i="13"/>
  <c r="O108" i="13" s="1"/>
  <c r="O109" i="13" s="1"/>
  <c r="O110" i="13" s="1"/>
  <c r="O79" i="13"/>
  <c r="O21" i="13"/>
  <c r="AJ60" i="13"/>
  <c r="O138" i="13"/>
  <c r="P131" i="13"/>
  <c r="AI83" i="13"/>
  <c r="R72" i="13"/>
  <c r="Q73" i="13"/>
  <c r="K26" i="6"/>
  <c r="M39" i="9"/>
  <c r="I42" i="6"/>
  <c r="M47" i="9"/>
  <c r="M38" i="9"/>
  <c r="H44" i="6"/>
  <c r="I38" i="6"/>
  <c r="I37" i="6"/>
  <c r="H59" i="9"/>
  <c r="L49" i="9"/>
  <c r="L57" i="9"/>
  <c r="L53" i="9"/>
  <c r="L61" i="9"/>
  <c r="K62" i="9"/>
  <c r="H51" i="9"/>
  <c r="K58" i="9"/>
  <c r="H55" i="9"/>
  <c r="I34" i="6"/>
  <c r="I33" i="6"/>
  <c r="M40" i="9"/>
  <c r="L41" i="9"/>
  <c r="K54" i="9"/>
  <c r="O111" i="13" l="1"/>
  <c r="O117" i="13"/>
  <c r="O115" i="13"/>
  <c r="O113" i="13"/>
  <c r="O119" i="13"/>
  <c r="I41" i="6"/>
  <c r="B41" i="6"/>
  <c r="N20" i="6"/>
  <c r="M21" i="6"/>
  <c r="M22" i="6" s="1"/>
  <c r="H43" i="6"/>
  <c r="J32" i="6"/>
  <c r="J34" i="6" s="1"/>
  <c r="J36" i="6"/>
  <c r="J38" i="6" s="1"/>
  <c r="J40" i="6"/>
  <c r="J42" i="6" s="1"/>
  <c r="J28" i="6"/>
  <c r="J30" i="6" s="1"/>
  <c r="O23" i="13"/>
  <c r="O30" i="13" s="1"/>
  <c r="M84" i="13"/>
  <c r="M82" i="13"/>
  <c r="N79" i="13" s="1"/>
  <c r="M88" i="13"/>
  <c r="M86" i="13"/>
  <c r="O80" i="13"/>
  <c r="J50" i="13"/>
  <c r="J51" i="13" s="1"/>
  <c r="K48" i="13" s="1"/>
  <c r="J36" i="1" s="1"/>
  <c r="I37" i="1"/>
  <c r="I38" i="1" s="1"/>
  <c r="I39" i="1" s="1"/>
  <c r="I42" i="1" s="1"/>
  <c r="K16" i="14"/>
  <c r="R51" i="13"/>
  <c r="S48" i="13" s="1"/>
  <c r="S49" i="13" s="1"/>
  <c r="R57" i="13"/>
  <c r="R59" i="13"/>
  <c r="R55" i="13"/>
  <c r="R53" i="13"/>
  <c r="O24" i="13"/>
  <c r="N144" i="13"/>
  <c r="N146" i="13"/>
  <c r="N152" i="13"/>
  <c r="N150" i="13"/>
  <c r="N148" i="13"/>
  <c r="H55" i="1"/>
  <c r="B55" i="1" s="1"/>
  <c r="H52" i="1"/>
  <c r="B52" i="1" s="1"/>
  <c r="B53" i="1"/>
  <c r="B50" i="1"/>
  <c r="B47" i="1"/>
  <c r="H48" i="1"/>
  <c r="B48" i="1" s="1"/>
  <c r="O140" i="13"/>
  <c r="O141" i="13" s="1"/>
  <c r="O142" i="13" s="1"/>
  <c r="AJ61" i="13"/>
  <c r="T49" i="13"/>
  <c r="T50" i="13" s="1"/>
  <c r="P138" i="13"/>
  <c r="Q131" i="13"/>
  <c r="AI84" i="13"/>
  <c r="R73" i="13"/>
  <c r="S72" i="13"/>
  <c r="H42" i="9"/>
  <c r="L26" i="6"/>
  <c r="N40" i="9"/>
  <c r="M41" i="9"/>
  <c r="L54" i="9"/>
  <c r="N38" i="9"/>
  <c r="N47" i="9"/>
  <c r="H64" i="9"/>
  <c r="I43" i="6"/>
  <c r="H63" i="9"/>
  <c r="L58" i="9"/>
  <c r="M49" i="9"/>
  <c r="M61" i="9"/>
  <c r="M57" i="9"/>
  <c r="M53" i="9"/>
  <c r="L62" i="9"/>
  <c r="N39" i="9"/>
  <c r="I44" i="6"/>
  <c r="K28" i="6"/>
  <c r="K36" i="6"/>
  <c r="K40" i="6"/>
  <c r="K32" i="6"/>
  <c r="O26" i="13" l="1"/>
  <c r="O32" i="13"/>
  <c r="O28" i="13"/>
  <c r="J41" i="6"/>
  <c r="K41" i="6" s="1"/>
  <c r="O20" i="6"/>
  <c r="N21" i="6"/>
  <c r="N22" i="6" s="1"/>
  <c r="J33" i="6"/>
  <c r="K33" i="6" s="1"/>
  <c r="J44" i="6"/>
  <c r="K19" i="6"/>
  <c r="L19" i="6" s="1"/>
  <c r="J37" i="6"/>
  <c r="I43" i="1"/>
  <c r="J55" i="13"/>
  <c r="J53" i="13"/>
  <c r="J59" i="13"/>
  <c r="J57" i="13"/>
  <c r="N80" i="13"/>
  <c r="O81" i="13"/>
  <c r="T51" i="13"/>
  <c r="U48" i="13" s="1"/>
  <c r="U49" i="13" s="1"/>
  <c r="T57" i="13"/>
  <c r="T59" i="13"/>
  <c r="T55" i="13"/>
  <c r="T53" i="13"/>
  <c r="H57" i="1"/>
  <c r="B57" i="1" s="1"/>
  <c r="H56" i="1"/>
  <c r="P140" i="13"/>
  <c r="P141" i="13" s="1"/>
  <c r="P142" i="13" s="1"/>
  <c r="Q79" i="13"/>
  <c r="Q138" i="13"/>
  <c r="R131" i="13"/>
  <c r="S73" i="13"/>
  <c r="T72" i="13"/>
  <c r="M26" i="6"/>
  <c r="K42" i="6"/>
  <c r="K38" i="6"/>
  <c r="H65" i="9"/>
  <c r="N41" i="9"/>
  <c r="O40" i="9"/>
  <c r="L28" i="6"/>
  <c r="L30" i="6" s="1"/>
  <c r="L32" i="6"/>
  <c r="L40" i="6"/>
  <c r="L36" i="6"/>
  <c r="K30" i="6"/>
  <c r="M54" i="9"/>
  <c r="M62" i="9"/>
  <c r="O38" i="9"/>
  <c r="O47" i="9"/>
  <c r="K34" i="6"/>
  <c r="M58" i="9"/>
  <c r="N61" i="9"/>
  <c r="N57" i="9"/>
  <c r="N49" i="9"/>
  <c r="N53" i="9"/>
  <c r="J43" i="6" l="1"/>
  <c r="P20" i="6"/>
  <c r="O21" i="6"/>
  <c r="O22" i="6" s="1"/>
  <c r="K37" i="6"/>
  <c r="L37" i="6" s="1"/>
  <c r="M19" i="6"/>
  <c r="O84" i="13"/>
  <c r="O82" i="13"/>
  <c r="P79" i="13" s="1"/>
  <c r="O90" i="13"/>
  <c r="O88" i="13"/>
  <c r="O86" i="13"/>
  <c r="Q80" i="13"/>
  <c r="P143" i="13"/>
  <c r="O43" i="1" s="1"/>
  <c r="U50" i="13"/>
  <c r="K49" i="13"/>
  <c r="I53" i="1"/>
  <c r="I54" i="1" s="1"/>
  <c r="I44" i="1"/>
  <c r="I46" i="1" s="1"/>
  <c r="I50" i="1"/>
  <c r="I51" i="1" s="1"/>
  <c r="Q140" i="13"/>
  <c r="Q141" i="13" s="1"/>
  <c r="P36" i="1" s="1"/>
  <c r="R138" i="13"/>
  <c r="W49" i="13"/>
  <c r="S131" i="13"/>
  <c r="AI85" i="13"/>
  <c r="U72" i="13"/>
  <c r="T73" i="13"/>
  <c r="L33" i="6"/>
  <c r="L34" i="6"/>
  <c r="I55" i="9"/>
  <c r="N62" i="9"/>
  <c r="N58" i="9"/>
  <c r="O41" i="9"/>
  <c r="P40" i="9"/>
  <c r="I51" i="9"/>
  <c r="N54" i="9"/>
  <c r="O49" i="9"/>
  <c r="O57" i="9"/>
  <c r="O61" i="9"/>
  <c r="O53" i="9"/>
  <c r="O39" i="9"/>
  <c r="L38" i="6"/>
  <c r="K44" i="6"/>
  <c r="I59" i="9"/>
  <c r="P47" i="9"/>
  <c r="P38" i="9"/>
  <c r="L41" i="6"/>
  <c r="L42" i="6"/>
  <c r="M36" i="6"/>
  <c r="M32" i="6"/>
  <c r="M40" i="6"/>
  <c r="M28" i="6"/>
  <c r="K43" i="6" l="1"/>
  <c r="Q20" i="6"/>
  <c r="P21" i="6"/>
  <c r="P22" i="6" s="1"/>
  <c r="N19" i="6"/>
  <c r="N26" i="6"/>
  <c r="Q81" i="13"/>
  <c r="P43" i="1" s="1"/>
  <c r="P80" i="13"/>
  <c r="K50" i="13"/>
  <c r="K51" i="13" s="1"/>
  <c r="L48" i="13" s="1"/>
  <c r="K36" i="1" s="1"/>
  <c r="J37" i="1"/>
  <c r="J38" i="1" s="1"/>
  <c r="J39" i="1" s="1"/>
  <c r="J42" i="1" s="1"/>
  <c r="P144" i="13"/>
  <c r="P152" i="13"/>
  <c r="O53" i="1" s="1"/>
  <c r="P150" i="13"/>
  <c r="O50" i="1" s="1"/>
  <c r="P146" i="13"/>
  <c r="O44" i="1" s="1"/>
  <c r="P148" i="13"/>
  <c r="O47" i="1" s="1"/>
  <c r="T43" i="1"/>
  <c r="U51" i="13"/>
  <c r="V48" i="13" s="1"/>
  <c r="V49" i="13" s="1"/>
  <c r="U57" i="13"/>
  <c r="U59" i="13"/>
  <c r="U55" i="13"/>
  <c r="U53" i="13"/>
  <c r="W50" i="13"/>
  <c r="I55" i="1"/>
  <c r="I47" i="1"/>
  <c r="I48" i="1" s="1"/>
  <c r="I56" i="1" s="1"/>
  <c r="I52" i="1"/>
  <c r="R140" i="13"/>
  <c r="R141" i="13" s="1"/>
  <c r="Q142" i="13"/>
  <c r="S138" i="13"/>
  <c r="U73" i="13"/>
  <c r="V72" i="13"/>
  <c r="L43" i="6"/>
  <c r="O26" i="6"/>
  <c r="M30" i="6"/>
  <c r="P49" i="9"/>
  <c r="P53" i="9"/>
  <c r="P57" i="9"/>
  <c r="P61" i="9"/>
  <c r="O58" i="9"/>
  <c r="I64" i="9"/>
  <c r="Q47" i="9"/>
  <c r="Q38" i="9"/>
  <c r="O62" i="9"/>
  <c r="P39" i="9"/>
  <c r="Q39" i="9" s="1"/>
  <c r="Q40" i="9"/>
  <c r="P41" i="9"/>
  <c r="I63" i="9"/>
  <c r="M42" i="6"/>
  <c r="M41" i="6"/>
  <c r="M33" i="6"/>
  <c r="M34" i="6"/>
  <c r="M38" i="6"/>
  <c r="M37" i="6"/>
  <c r="L44" i="6"/>
  <c r="O54" i="9"/>
  <c r="I42" i="9"/>
  <c r="R20" i="6" l="1"/>
  <c r="Q21" i="6"/>
  <c r="Q22" i="6" s="1"/>
  <c r="N36" i="6"/>
  <c r="N38" i="6" s="1"/>
  <c r="N40" i="6"/>
  <c r="N42" i="6" s="1"/>
  <c r="N28" i="6"/>
  <c r="O19" i="6" s="1"/>
  <c r="N32" i="6"/>
  <c r="N34" i="6" s="1"/>
  <c r="K55" i="13"/>
  <c r="J43" i="1"/>
  <c r="K59" i="13"/>
  <c r="K53" i="13"/>
  <c r="K57" i="13"/>
  <c r="P37" i="1"/>
  <c r="P38" i="1" s="1"/>
  <c r="P39" i="1" s="1"/>
  <c r="P42" i="1" s="1"/>
  <c r="Q86" i="13"/>
  <c r="Q82" i="13"/>
  <c r="R79" i="13" s="1"/>
  <c r="Q90" i="13"/>
  <c r="P53" i="1" s="1"/>
  <c r="Q84" i="13"/>
  <c r="P44" i="1" s="1"/>
  <c r="Q88" i="13"/>
  <c r="P50" i="1" s="1"/>
  <c r="V43" i="1"/>
  <c r="W51" i="13"/>
  <c r="W57" i="13"/>
  <c r="W55" i="13"/>
  <c r="W59" i="13"/>
  <c r="W53" i="13"/>
  <c r="I49" i="1"/>
  <c r="I57" i="1" s="1"/>
  <c r="P47" i="1"/>
  <c r="R142" i="13"/>
  <c r="S140" i="13"/>
  <c r="S141" i="13" s="1"/>
  <c r="S142" i="13" s="1"/>
  <c r="T79" i="13"/>
  <c r="AI86" i="13"/>
  <c r="V73" i="13"/>
  <c r="W72" i="13"/>
  <c r="P26" i="6"/>
  <c r="I65" i="9"/>
  <c r="M43" i="6"/>
  <c r="R40" i="9"/>
  <c r="Q41" i="9"/>
  <c r="Q49" i="9"/>
  <c r="Q61" i="9"/>
  <c r="Q57" i="9"/>
  <c r="Q53" i="9"/>
  <c r="P62" i="9"/>
  <c r="M44" i="6"/>
  <c r="P58" i="9"/>
  <c r="R38" i="9"/>
  <c r="R47" i="9"/>
  <c r="J51" i="9"/>
  <c r="R39" i="9"/>
  <c r="P54" i="9"/>
  <c r="O28" i="6"/>
  <c r="O30" i="6" s="1"/>
  <c r="O32" i="6"/>
  <c r="O36" i="6"/>
  <c r="O40" i="6"/>
  <c r="N37" i="6" l="1"/>
  <c r="O37" i="6" s="1"/>
  <c r="S20" i="6"/>
  <c r="R21" i="6"/>
  <c r="R22" i="6" s="1"/>
  <c r="P19" i="6"/>
  <c r="N33" i="6"/>
  <c r="O33" i="6" s="1"/>
  <c r="Q26" i="6"/>
  <c r="Q32" i="6" s="1"/>
  <c r="N30" i="6"/>
  <c r="N44" i="6" s="1"/>
  <c r="N41" i="6"/>
  <c r="T80" i="13"/>
  <c r="S37" i="1" s="1"/>
  <c r="S38" i="1" s="1"/>
  <c r="S36" i="1"/>
  <c r="R80" i="13"/>
  <c r="Q36" i="1"/>
  <c r="S143" i="13"/>
  <c r="J53" i="1"/>
  <c r="J55" i="1" s="1"/>
  <c r="J50" i="1"/>
  <c r="J51" i="1" s="1"/>
  <c r="J44" i="1"/>
  <c r="J46" i="1" s="1"/>
  <c r="L49" i="13"/>
  <c r="X72" i="13"/>
  <c r="W73" i="13"/>
  <c r="O34" i="6"/>
  <c r="J55" i="9"/>
  <c r="R49" i="9"/>
  <c r="R53" i="9"/>
  <c r="R57" i="9"/>
  <c r="R61" i="9"/>
  <c r="R41" i="9"/>
  <c r="S40" i="9"/>
  <c r="O38" i="6"/>
  <c r="J59" i="9"/>
  <c r="Q62" i="9"/>
  <c r="O46" i="1"/>
  <c r="S38" i="9"/>
  <c r="S47" i="9"/>
  <c r="Q54" i="9"/>
  <c r="O42" i="6"/>
  <c r="Q58" i="9"/>
  <c r="P28" i="6"/>
  <c r="P30" i="6" s="1"/>
  <c r="P32" i="6"/>
  <c r="P36" i="6"/>
  <c r="P40" i="6"/>
  <c r="Q40" i="6" l="1"/>
  <c r="Q42" i="6" s="1"/>
  <c r="Q36" i="6"/>
  <c r="Q38" i="6" s="1"/>
  <c r="Q28" i="6"/>
  <c r="Q30" i="6" s="1"/>
  <c r="T20" i="6"/>
  <c r="S21" i="6"/>
  <c r="S22" i="6" s="1"/>
  <c r="N43" i="6"/>
  <c r="Q19" i="6"/>
  <c r="R19" i="6" s="1"/>
  <c r="O41" i="6"/>
  <c r="O43" i="6" s="1"/>
  <c r="L50" i="13"/>
  <c r="L59" i="13" s="1"/>
  <c r="K37" i="1"/>
  <c r="K38" i="1" s="1"/>
  <c r="K39" i="1" s="1"/>
  <c r="K42" i="1" s="1"/>
  <c r="T81" i="13"/>
  <c r="T82" i="13" s="1"/>
  <c r="Q37" i="1"/>
  <c r="Q38" i="1" s="1"/>
  <c r="Q39" i="1" s="1"/>
  <c r="Q42" i="1" s="1"/>
  <c r="R81" i="13"/>
  <c r="S144" i="13"/>
  <c r="S148" i="13"/>
  <c r="R47" i="1" s="1"/>
  <c r="S152" i="13"/>
  <c r="R53" i="1" s="1"/>
  <c r="S150" i="13"/>
  <c r="R50" i="1" s="1"/>
  <c r="S146" i="13"/>
  <c r="R44" i="1" s="1"/>
  <c r="R43" i="1"/>
  <c r="J54" i="1"/>
  <c r="J47" i="1"/>
  <c r="J49" i="1" s="1"/>
  <c r="J52" i="1"/>
  <c r="V79" i="13"/>
  <c r="T44" i="1"/>
  <c r="T47" i="1"/>
  <c r="T50" i="1"/>
  <c r="T53" i="1"/>
  <c r="AI87" i="13"/>
  <c r="X73" i="13"/>
  <c r="Y72" i="13"/>
  <c r="R26" i="6"/>
  <c r="P46" i="1"/>
  <c r="O52" i="1"/>
  <c r="O49" i="1"/>
  <c r="J42" i="9"/>
  <c r="O44" i="6"/>
  <c r="O55" i="1"/>
  <c r="T47" i="9"/>
  <c r="T38" i="9"/>
  <c r="R54" i="9"/>
  <c r="S61" i="9"/>
  <c r="S49" i="9"/>
  <c r="S57" i="9"/>
  <c r="S53" i="9"/>
  <c r="T40" i="9"/>
  <c r="S41" i="9"/>
  <c r="R58" i="9"/>
  <c r="P37" i="6"/>
  <c r="P38" i="6"/>
  <c r="J63" i="9"/>
  <c r="J65" i="9" s="1"/>
  <c r="P42" i="6"/>
  <c r="P33" i="6"/>
  <c r="Q33" i="6" s="1"/>
  <c r="P34" i="6"/>
  <c r="J64" i="9"/>
  <c r="S39" i="9"/>
  <c r="T39" i="9" s="1"/>
  <c r="R62" i="9"/>
  <c r="Q34" i="6"/>
  <c r="L55" i="13" l="1"/>
  <c r="Q37" i="6"/>
  <c r="U20" i="6"/>
  <c r="T21" i="6"/>
  <c r="T22" i="6" s="1"/>
  <c r="P41" i="6"/>
  <c r="P43" i="6" s="1"/>
  <c r="L53" i="13"/>
  <c r="K43" i="1"/>
  <c r="L51" i="13"/>
  <c r="M48" i="13" s="1"/>
  <c r="L36" i="1" s="1"/>
  <c r="T88" i="13"/>
  <c r="S50" i="1" s="1"/>
  <c r="T86" i="13"/>
  <c r="S47" i="1" s="1"/>
  <c r="L57" i="13"/>
  <c r="T84" i="13"/>
  <c r="S44" i="1" s="1"/>
  <c r="S43" i="1"/>
  <c r="T90" i="13"/>
  <c r="S53" i="1" s="1"/>
  <c r="V80" i="13"/>
  <c r="U37" i="1" s="1"/>
  <c r="U38" i="1" s="1"/>
  <c r="U36" i="1"/>
  <c r="R86" i="13"/>
  <c r="Q47" i="1" s="1"/>
  <c r="Q49" i="1" s="1"/>
  <c r="Q43" i="1"/>
  <c r="R88" i="13"/>
  <c r="Q50" i="1" s="1"/>
  <c r="Q52" i="1" s="1"/>
  <c r="R84" i="13"/>
  <c r="Q44" i="1" s="1"/>
  <c r="Q46" i="1" s="1"/>
  <c r="R82" i="13"/>
  <c r="S79" i="13" s="1"/>
  <c r="R90" i="13"/>
  <c r="Q53" i="1" s="1"/>
  <c r="Q55" i="1" s="1"/>
  <c r="U79" i="13"/>
  <c r="J48" i="1"/>
  <c r="J56" i="1" s="1"/>
  <c r="J57" i="1"/>
  <c r="Y73" i="13"/>
  <c r="Z72" i="13"/>
  <c r="O57" i="1"/>
  <c r="S26" i="6"/>
  <c r="U47" i="9"/>
  <c r="U39" i="9" s="1"/>
  <c r="U38" i="9"/>
  <c r="P49" i="1"/>
  <c r="S58" i="9"/>
  <c r="U40" i="9"/>
  <c r="T41" i="9"/>
  <c r="S62" i="9"/>
  <c r="T53" i="9"/>
  <c r="T49" i="9"/>
  <c r="T61" i="9"/>
  <c r="T57" i="9"/>
  <c r="K51" i="9"/>
  <c r="P44" i="6"/>
  <c r="P55" i="1"/>
  <c r="Q44" i="6"/>
  <c r="P52" i="1"/>
  <c r="S54" i="9"/>
  <c r="R36" i="6"/>
  <c r="R40" i="6"/>
  <c r="R28" i="6"/>
  <c r="S19" i="6" s="1"/>
  <c r="R32" i="6"/>
  <c r="Q41" i="6" l="1"/>
  <c r="Q43" i="6" s="1"/>
  <c r="V20" i="6"/>
  <c r="U21" i="6"/>
  <c r="U22" i="6" s="1"/>
  <c r="R30" i="6"/>
  <c r="R46" i="1" s="1"/>
  <c r="S39" i="1"/>
  <c r="S42" i="1" s="1"/>
  <c r="V81" i="13"/>
  <c r="V82" i="13" s="1"/>
  <c r="W79" i="13" s="1"/>
  <c r="V36" i="1" s="1"/>
  <c r="R36" i="1"/>
  <c r="S80" i="13"/>
  <c r="R37" i="1" s="1"/>
  <c r="R38" i="1" s="1"/>
  <c r="R39" i="1" s="1"/>
  <c r="R42" i="1" s="1"/>
  <c r="U80" i="13"/>
  <c r="T36" i="1"/>
  <c r="K50" i="1"/>
  <c r="K51" i="1" s="1"/>
  <c r="K53" i="1"/>
  <c r="K54" i="1" s="1"/>
  <c r="K44" i="1"/>
  <c r="K46" i="1" s="1"/>
  <c r="M49" i="13"/>
  <c r="X79" i="13"/>
  <c r="V53" i="1"/>
  <c r="V47" i="1"/>
  <c r="V50" i="1"/>
  <c r="V44" i="1"/>
  <c r="AA72" i="13"/>
  <c r="Z73" i="13"/>
  <c r="AI88" i="13"/>
  <c r="Q57" i="1"/>
  <c r="R33" i="6"/>
  <c r="R34" i="6"/>
  <c r="T54" i="9"/>
  <c r="R42" i="6"/>
  <c r="K59" i="9"/>
  <c r="T58" i="9"/>
  <c r="V47" i="9"/>
  <c r="V38" i="9"/>
  <c r="P57" i="1"/>
  <c r="U41" i="9"/>
  <c r="V40" i="9"/>
  <c r="R38" i="6"/>
  <c r="R37" i="6"/>
  <c r="K55" i="9"/>
  <c r="T62" i="9"/>
  <c r="U49" i="9"/>
  <c r="U53" i="9"/>
  <c r="U57" i="9"/>
  <c r="U61" i="9"/>
  <c r="S28" i="6"/>
  <c r="S30" i="6" s="1"/>
  <c r="S32" i="6"/>
  <c r="S40" i="6"/>
  <c r="S36" i="6"/>
  <c r="V86" i="13" l="1"/>
  <c r="V90" i="13"/>
  <c r="U53" i="1" s="1"/>
  <c r="U43" i="1"/>
  <c r="V88" i="13"/>
  <c r="U50" i="1" s="1"/>
  <c r="R41" i="6"/>
  <c r="R43" i="6" s="1"/>
  <c r="W20" i="6"/>
  <c r="V21" i="6"/>
  <c r="V22" i="6" s="1"/>
  <c r="T19" i="6"/>
  <c r="T26" i="6"/>
  <c r="T36" i="6" s="1"/>
  <c r="T38" i="6" s="1"/>
  <c r="V84" i="13"/>
  <c r="U44" i="1" s="1"/>
  <c r="X80" i="13"/>
  <c r="W37" i="1" s="1"/>
  <c r="W38" i="1" s="1"/>
  <c r="W36" i="1"/>
  <c r="T37" i="1"/>
  <c r="T38" i="1" s="1"/>
  <c r="T39" i="1" s="1"/>
  <c r="T42" i="1" s="1"/>
  <c r="M50" i="13"/>
  <c r="M51" i="13" s="1"/>
  <c r="N48" i="13" s="1"/>
  <c r="M36" i="1" s="1"/>
  <c r="L37" i="1"/>
  <c r="L38" i="1" s="1"/>
  <c r="L39" i="1" s="1"/>
  <c r="L42" i="1" s="1"/>
  <c r="W80" i="13"/>
  <c r="U47" i="1"/>
  <c r="X81" i="13"/>
  <c r="K52" i="1"/>
  <c r="K55" i="1"/>
  <c r="K47" i="1"/>
  <c r="K48" i="1" s="1"/>
  <c r="K56" i="1" s="1"/>
  <c r="AB72" i="13"/>
  <c r="AA73" i="13"/>
  <c r="U39" i="1"/>
  <c r="U42" i="1" s="1"/>
  <c r="S46" i="1"/>
  <c r="R44" i="6"/>
  <c r="R55" i="1"/>
  <c r="U62" i="9"/>
  <c r="V41" i="9"/>
  <c r="W40" i="9"/>
  <c r="W47" i="9"/>
  <c r="W38" i="9"/>
  <c r="S34" i="6"/>
  <c r="S33" i="6"/>
  <c r="U54" i="9"/>
  <c r="K64" i="9"/>
  <c r="K42" i="9"/>
  <c r="R49" i="1"/>
  <c r="S37" i="6"/>
  <c r="S38" i="6"/>
  <c r="S42" i="6"/>
  <c r="U58" i="9"/>
  <c r="R52" i="1"/>
  <c r="K63" i="9"/>
  <c r="K65" i="9" s="1"/>
  <c r="V57" i="9"/>
  <c r="V61" i="9"/>
  <c r="V49" i="9"/>
  <c r="V53" i="9"/>
  <c r="V39" i="9"/>
  <c r="W39" i="9" s="1"/>
  <c r="S41" i="6" l="1"/>
  <c r="X20" i="6"/>
  <c r="W21" i="6"/>
  <c r="W22" i="6" s="1"/>
  <c r="T40" i="6"/>
  <c r="T42" i="6" s="1"/>
  <c r="T55" i="1" s="1"/>
  <c r="T37" i="6"/>
  <c r="U26" i="6"/>
  <c r="T28" i="6"/>
  <c r="T30" i="6" s="1"/>
  <c r="T46" i="1" s="1"/>
  <c r="T32" i="6"/>
  <c r="T34" i="6" s="1"/>
  <c r="T49" i="1" s="1"/>
  <c r="M59" i="13"/>
  <c r="M55" i="13"/>
  <c r="L43" i="1"/>
  <c r="M57" i="13"/>
  <c r="V37" i="1"/>
  <c r="V38" i="1" s="1"/>
  <c r="M53" i="13"/>
  <c r="X82" i="13"/>
  <c r="Y79" i="13" s="1"/>
  <c r="X36" i="1" s="1"/>
  <c r="X90" i="13"/>
  <c r="X86" i="13"/>
  <c r="X84" i="13"/>
  <c r="X88" i="13"/>
  <c r="W43" i="1"/>
  <c r="K49" i="1"/>
  <c r="K57" i="1" s="1"/>
  <c r="S43" i="6"/>
  <c r="Z79" i="13"/>
  <c r="X47" i="1"/>
  <c r="X44" i="1"/>
  <c r="X53" i="1"/>
  <c r="X50" i="1"/>
  <c r="AC72" i="13"/>
  <c r="AB73" i="13"/>
  <c r="AI89" i="13"/>
  <c r="V26" i="6"/>
  <c r="S52" i="1"/>
  <c r="R57" i="1"/>
  <c r="V58" i="9"/>
  <c r="X47" i="9"/>
  <c r="X38" i="9"/>
  <c r="S49" i="1"/>
  <c r="V62" i="9"/>
  <c r="S44" i="6"/>
  <c r="S55" i="1"/>
  <c r="L51" i="9"/>
  <c r="X39" i="9"/>
  <c r="V54" i="9"/>
  <c r="W49" i="9"/>
  <c r="W53" i="9"/>
  <c r="W57" i="9"/>
  <c r="W61" i="9"/>
  <c r="T52" i="1"/>
  <c r="W41" i="9"/>
  <c r="X40" i="9"/>
  <c r="U19" i="6" l="1"/>
  <c r="T44" i="6"/>
  <c r="T41" i="6"/>
  <c r="Y20" i="6"/>
  <c r="X21" i="6"/>
  <c r="X22" i="6" s="1"/>
  <c r="U40" i="6"/>
  <c r="U42" i="6" s="1"/>
  <c r="U55" i="1" s="1"/>
  <c r="U36" i="6"/>
  <c r="U32" i="6"/>
  <c r="U28" i="6"/>
  <c r="U30" i="6" s="1"/>
  <c r="U46" i="1" s="1"/>
  <c r="T33" i="6"/>
  <c r="V39" i="1"/>
  <c r="V42" i="1" s="1"/>
  <c r="Z80" i="13"/>
  <c r="Y37" i="1" s="1"/>
  <c r="Y38" i="1" s="1"/>
  <c r="Y36" i="1"/>
  <c r="W47" i="1"/>
  <c r="W50" i="1"/>
  <c r="Y80" i="13"/>
  <c r="W53" i="1"/>
  <c r="W44" i="1"/>
  <c r="L44" i="1"/>
  <c r="L46" i="1" s="1"/>
  <c r="L53" i="1"/>
  <c r="L54" i="1" s="1"/>
  <c r="L50" i="1"/>
  <c r="L52" i="1" s="1"/>
  <c r="N49" i="13"/>
  <c r="AI90" i="13"/>
  <c r="AD72" i="13"/>
  <c r="AC73" i="13"/>
  <c r="S57" i="1"/>
  <c r="W54" i="9"/>
  <c r="L59" i="9"/>
  <c r="T57" i="1"/>
  <c r="X41" i="9"/>
  <c r="Y40" i="9"/>
  <c r="W39" i="1"/>
  <c r="W42" i="1" s="1"/>
  <c r="W58" i="9"/>
  <c r="W62" i="9"/>
  <c r="Y47" i="9"/>
  <c r="Y38" i="9"/>
  <c r="L55" i="9"/>
  <c r="X53" i="9"/>
  <c r="X61" i="9"/>
  <c r="X49" i="9"/>
  <c r="X57" i="9"/>
  <c r="V40" i="6"/>
  <c r="V36" i="6"/>
  <c r="V28" i="6"/>
  <c r="V30" i="6" s="1"/>
  <c r="V32" i="6"/>
  <c r="T43" i="6" l="1"/>
  <c r="Z20" i="6"/>
  <c r="Y21" i="6"/>
  <c r="Y22" i="6" s="1"/>
  <c r="U41" i="6"/>
  <c r="V41" i="6" s="1"/>
  <c r="V19" i="6"/>
  <c r="W19" i="6" s="1"/>
  <c r="U33" i="6"/>
  <c r="V33" i="6" s="1"/>
  <c r="U34" i="6"/>
  <c r="U49" i="1" s="1"/>
  <c r="U38" i="6"/>
  <c r="U37" i="6"/>
  <c r="X26" i="6"/>
  <c r="X28" i="6" s="1"/>
  <c r="X30" i="6" s="1"/>
  <c r="W26" i="6"/>
  <c r="Z81" i="13"/>
  <c r="Z84" i="13" s="1"/>
  <c r="N50" i="13"/>
  <c r="N55" i="13" s="1"/>
  <c r="M37" i="1"/>
  <c r="M38" i="1" s="1"/>
  <c r="M39" i="1" s="1"/>
  <c r="M42" i="1" s="1"/>
  <c r="X37" i="1"/>
  <c r="X38" i="1" s="1"/>
  <c r="X39" i="1" s="1"/>
  <c r="X42" i="1" s="1"/>
  <c r="L51" i="1"/>
  <c r="L55" i="1"/>
  <c r="L47" i="1"/>
  <c r="L49" i="1" s="1"/>
  <c r="AB79" i="13"/>
  <c r="AD73" i="13"/>
  <c r="AE72" i="13"/>
  <c r="L42" i="9"/>
  <c r="X58" i="9"/>
  <c r="L63" i="9"/>
  <c r="L65" i="9" s="1"/>
  <c r="L64" i="9"/>
  <c r="Y41" i="9"/>
  <c r="Z40" i="9"/>
  <c r="V46" i="1"/>
  <c r="V38" i="6"/>
  <c r="Z38" i="9"/>
  <c r="Z47" i="9"/>
  <c r="V42" i="6"/>
  <c r="X62" i="9"/>
  <c r="V34" i="6"/>
  <c r="X54" i="9"/>
  <c r="Y61" i="9"/>
  <c r="Y53" i="9"/>
  <c r="Y49" i="9"/>
  <c r="Y57" i="9"/>
  <c r="Y39" i="9"/>
  <c r="Z39" i="9" s="1"/>
  <c r="Z82" i="13" l="1"/>
  <c r="AA79" i="13" s="1"/>
  <c r="AA80" i="13" s="1"/>
  <c r="Y43" i="1"/>
  <c r="Z86" i="13"/>
  <c r="Z90" i="13"/>
  <c r="Y53" i="1" s="1"/>
  <c r="Z88" i="13"/>
  <c r="Y50" i="1" s="1"/>
  <c r="X40" i="6"/>
  <c r="X42" i="6" s="1"/>
  <c r="X32" i="6"/>
  <c r="X34" i="6" s="1"/>
  <c r="U43" i="6"/>
  <c r="V37" i="6"/>
  <c r="AA20" i="6"/>
  <c r="Z21" i="6"/>
  <c r="Z22" i="6" s="1"/>
  <c r="U44" i="6"/>
  <c r="U52" i="1"/>
  <c r="U57" i="1" s="1"/>
  <c r="X36" i="6"/>
  <c r="W36" i="6"/>
  <c r="W38" i="6" s="1"/>
  <c r="W52" i="1" s="1"/>
  <c r="W32" i="6"/>
  <c r="W34" i="6" s="1"/>
  <c r="W49" i="1" s="1"/>
  <c r="W40" i="6"/>
  <c r="W42" i="6" s="1"/>
  <c r="W55" i="1" s="1"/>
  <c r="W28" i="6"/>
  <c r="W30" i="6" s="1"/>
  <c r="W46" i="1" s="1"/>
  <c r="M43" i="1"/>
  <c r="N59" i="13"/>
  <c r="N51" i="13"/>
  <c r="O48" i="13" s="1"/>
  <c r="N36" i="1" s="1"/>
  <c r="N53" i="13"/>
  <c r="N57" i="13"/>
  <c r="Z36" i="1"/>
  <c r="AB80" i="13"/>
  <c r="AA37" i="1" s="1"/>
  <c r="AA36" i="1"/>
  <c r="Y47" i="1"/>
  <c r="Y44" i="1"/>
  <c r="L57" i="1"/>
  <c r="L48" i="1"/>
  <c r="L56" i="1" s="1"/>
  <c r="Z47" i="1"/>
  <c r="Z50" i="1"/>
  <c r="Z44" i="1"/>
  <c r="Z53" i="1"/>
  <c r="AI91" i="13"/>
  <c r="AE73" i="13"/>
  <c r="Y26" i="6"/>
  <c r="Y58" i="9"/>
  <c r="Z41" i="9"/>
  <c r="AA40" i="9"/>
  <c r="Y39" i="1"/>
  <c r="Y42" i="1" s="1"/>
  <c r="X46" i="1"/>
  <c r="Z61" i="9"/>
  <c r="Z49" i="9"/>
  <c r="Z53" i="9"/>
  <c r="Z57" i="9"/>
  <c r="Y54" i="9"/>
  <c r="AA47" i="9"/>
  <c r="AA38" i="9"/>
  <c r="V52" i="1"/>
  <c r="M51" i="9"/>
  <c r="Y62" i="9"/>
  <c r="V49" i="1"/>
  <c r="V44" i="6"/>
  <c r="V55" i="1"/>
  <c r="X38" i="6"/>
  <c r="W37" i="6" l="1"/>
  <c r="X37" i="6" s="1"/>
  <c r="W41" i="6"/>
  <c r="X41" i="6" s="1"/>
  <c r="V43" i="6"/>
  <c r="AB20" i="6"/>
  <c r="AA21" i="6"/>
  <c r="AA22" i="6" s="1"/>
  <c r="X19" i="6"/>
  <c r="Y19" i="6" s="1"/>
  <c r="W44" i="6"/>
  <c r="W33" i="6"/>
  <c r="X33" i="6" s="1"/>
  <c r="AB81" i="13"/>
  <c r="AB82" i="13" s="1"/>
  <c r="AC79" i="13" s="1"/>
  <c r="AB36" i="1" s="1"/>
  <c r="Z37" i="1"/>
  <c r="Z38" i="1" s="1"/>
  <c r="Z39" i="1" s="1"/>
  <c r="Z42" i="1" s="1"/>
  <c r="M44" i="1"/>
  <c r="M46" i="1" s="1"/>
  <c r="M50" i="1"/>
  <c r="M51" i="1" s="1"/>
  <c r="M53" i="1"/>
  <c r="M54" i="1" s="1"/>
  <c r="O49" i="13"/>
  <c r="AA38" i="1"/>
  <c r="Z26" i="6"/>
  <c r="Z32" i="6" s="1"/>
  <c r="W57" i="1"/>
  <c r="M55" i="9"/>
  <c r="Z58" i="9"/>
  <c r="AB40" i="9"/>
  <c r="AA41" i="9"/>
  <c r="AB47" i="9"/>
  <c r="AB38" i="9"/>
  <c r="Z54" i="9"/>
  <c r="AA53" i="9"/>
  <c r="AA49" i="9"/>
  <c r="AA61" i="9"/>
  <c r="AA57" i="9"/>
  <c r="AA39" i="9"/>
  <c r="AB39" i="9" s="1"/>
  <c r="X52" i="1"/>
  <c r="V57" i="1"/>
  <c r="M59" i="9"/>
  <c r="X49" i="1"/>
  <c r="Z62" i="9"/>
  <c r="X44" i="6"/>
  <c r="X55" i="1"/>
  <c r="Y40" i="6"/>
  <c r="Y36" i="6"/>
  <c r="Y28" i="6"/>
  <c r="Y30" i="6" s="1"/>
  <c r="Y32" i="6"/>
  <c r="AC20" i="6" l="1"/>
  <c r="AB21" i="6"/>
  <c r="AB22" i="6" s="1"/>
  <c r="Z19" i="6"/>
  <c r="W43" i="6"/>
  <c r="X43" i="6"/>
  <c r="AA43" i="1"/>
  <c r="AB88" i="13"/>
  <c r="AA50" i="1" s="1"/>
  <c r="AB84" i="13"/>
  <c r="AA44" i="1" s="1"/>
  <c r="AB86" i="13"/>
  <c r="AA47" i="1" s="1"/>
  <c r="AB90" i="13"/>
  <c r="AA53" i="1" s="1"/>
  <c r="O50" i="13"/>
  <c r="O51" i="13" s="1"/>
  <c r="P48" i="13" s="1"/>
  <c r="O36" i="1" s="1"/>
  <c r="N37" i="1"/>
  <c r="N38" i="1" s="1"/>
  <c r="N39" i="1" s="1"/>
  <c r="N42" i="1" s="1"/>
  <c r="AC80" i="13"/>
  <c r="M55" i="1"/>
  <c r="M47" i="1"/>
  <c r="M49" i="1" s="1"/>
  <c r="M52" i="1"/>
  <c r="AE79" i="13"/>
  <c r="Z28" i="6"/>
  <c r="Z30" i="6" s="1"/>
  <c r="Z46" i="1" s="1"/>
  <c r="Z36" i="6"/>
  <c r="Z38" i="6" s="1"/>
  <c r="AC47" i="1"/>
  <c r="AC44" i="1"/>
  <c r="AC53" i="1"/>
  <c r="AC50" i="1"/>
  <c r="X57" i="1"/>
  <c r="Z40" i="6"/>
  <c r="Z42" i="6" s="1"/>
  <c r="AA26" i="6"/>
  <c r="Y46" i="1"/>
  <c r="Z34" i="6"/>
  <c r="AA62" i="9"/>
  <c r="AC47" i="9"/>
  <c r="AC38" i="9"/>
  <c r="M63" i="9"/>
  <c r="M65" i="9" s="1"/>
  <c r="Y37" i="6"/>
  <c r="Y38" i="6"/>
  <c r="AA39" i="1"/>
  <c r="AA42" i="1" s="1"/>
  <c r="AB57" i="9"/>
  <c r="AB49" i="9"/>
  <c r="AB53" i="9"/>
  <c r="AB61" i="9"/>
  <c r="M64" i="9"/>
  <c r="AC40" i="9"/>
  <c r="AB41" i="9"/>
  <c r="Y41" i="6"/>
  <c r="Y42" i="6"/>
  <c r="AA54" i="9"/>
  <c r="M42" i="9"/>
  <c r="Y34" i="6"/>
  <c r="Y33" i="6"/>
  <c r="Z33" i="6" s="1"/>
  <c r="AA58" i="9"/>
  <c r="AD20" i="6" l="1"/>
  <c r="AC21" i="6"/>
  <c r="AC22" i="6" s="1"/>
  <c r="AA19" i="6"/>
  <c r="N43" i="1"/>
  <c r="O57" i="13"/>
  <c r="O55" i="13"/>
  <c r="O53" i="13"/>
  <c r="AC81" i="13"/>
  <c r="AC84" i="13" s="1"/>
  <c r="AB44" i="1" s="1"/>
  <c r="AB37" i="1"/>
  <c r="AB38" i="1" s="1"/>
  <c r="AB39" i="1" s="1"/>
  <c r="AB42" i="1" s="1"/>
  <c r="O59" i="13"/>
  <c r="AE80" i="13"/>
  <c r="AD36" i="1"/>
  <c r="M57" i="1"/>
  <c r="M48" i="1"/>
  <c r="M56" i="1" s="1"/>
  <c r="Z37" i="6"/>
  <c r="Z41" i="6"/>
  <c r="AB26" i="6"/>
  <c r="Z44" i="6"/>
  <c r="Z55" i="1"/>
  <c r="AB62" i="9"/>
  <c r="AC57" i="9"/>
  <c r="AC49" i="9"/>
  <c r="AC61" i="9"/>
  <c r="AC53" i="9"/>
  <c r="N51" i="9"/>
  <c r="AB54" i="9"/>
  <c r="Z52" i="1"/>
  <c r="AA28" i="6"/>
  <c r="AA30" i="6" s="1"/>
  <c r="AA36" i="6"/>
  <c r="AA32" i="6"/>
  <c r="AA40" i="6"/>
  <c r="Y49" i="1"/>
  <c r="Y44" i="6"/>
  <c r="Y55" i="1"/>
  <c r="AC41" i="9"/>
  <c r="AD40" i="9"/>
  <c r="Y52" i="1"/>
  <c r="AC39" i="9"/>
  <c r="Y43" i="6"/>
  <c r="AB58" i="9"/>
  <c r="AD47" i="9"/>
  <c r="AD38" i="9"/>
  <c r="Z49" i="1"/>
  <c r="AD21" i="6" l="1"/>
  <c r="AD22" i="6" s="1"/>
  <c r="AB19" i="6"/>
  <c r="AD37" i="1"/>
  <c r="AD38" i="1" s="1"/>
  <c r="AC86" i="13"/>
  <c r="AB47" i="1" s="1"/>
  <c r="AC88" i="13"/>
  <c r="AB50" i="1" s="1"/>
  <c r="AC82" i="13"/>
  <c r="AD79" i="13" s="1"/>
  <c r="AC36" i="1" s="1"/>
  <c r="AC90" i="13"/>
  <c r="AB53" i="1" s="1"/>
  <c r="AB43" i="1"/>
  <c r="AE81" i="13"/>
  <c r="AE82" i="13" s="1"/>
  <c r="Z43" i="6"/>
  <c r="P49" i="13"/>
  <c r="N53" i="1"/>
  <c r="N54" i="1" s="1"/>
  <c r="N47" i="1"/>
  <c r="N49" i="1" s="1"/>
  <c r="N50" i="1"/>
  <c r="N51" i="1" s="1"/>
  <c r="O51" i="1" s="1"/>
  <c r="P51" i="1" s="1"/>
  <c r="Q51" i="1" s="1"/>
  <c r="R51" i="1" s="1"/>
  <c r="S51" i="1" s="1"/>
  <c r="T51" i="1" s="1"/>
  <c r="U51" i="1" s="1"/>
  <c r="V51" i="1" s="1"/>
  <c r="W51" i="1" s="1"/>
  <c r="X51" i="1" s="1"/>
  <c r="Y51" i="1" s="1"/>
  <c r="Z51" i="1" s="1"/>
  <c r="AA51" i="1" s="1"/>
  <c r="N44" i="1"/>
  <c r="N46" i="1" s="1"/>
  <c r="Y57" i="1"/>
  <c r="AC26" i="6"/>
  <c r="AA42" i="6"/>
  <c r="AA41" i="6"/>
  <c r="N59" i="9"/>
  <c r="AC62" i="9"/>
  <c r="AD41" i="9"/>
  <c r="AE40" i="9"/>
  <c r="AA34" i="6"/>
  <c r="AA33" i="6"/>
  <c r="N55" i="9"/>
  <c r="AE47" i="9"/>
  <c r="AE38" i="9"/>
  <c r="AD53" i="9"/>
  <c r="AD57" i="9"/>
  <c r="AD49" i="9"/>
  <c r="AD61" i="9"/>
  <c r="AD39" i="9"/>
  <c r="AE39" i="9" s="1"/>
  <c r="AA38" i="6"/>
  <c r="AA37" i="6"/>
  <c r="AC58" i="9"/>
  <c r="Z57" i="1"/>
  <c r="AA46" i="1"/>
  <c r="AC54" i="9"/>
  <c r="AB32" i="6"/>
  <c r="AB28" i="6"/>
  <c r="AB30" i="6" s="1"/>
  <c r="AB40" i="6"/>
  <c r="AB36" i="6"/>
  <c r="AC19" i="6" l="1"/>
  <c r="AB51" i="1"/>
  <c r="AC51" i="1" s="1"/>
  <c r="AE84" i="13"/>
  <c r="AD44" i="1" s="1"/>
  <c r="AD43" i="1"/>
  <c r="AE88" i="13"/>
  <c r="AD50" i="1" s="1"/>
  <c r="AE90" i="13"/>
  <c r="AD53" i="1" s="1"/>
  <c r="O37" i="1"/>
  <c r="O38" i="1" s="1"/>
  <c r="O39" i="1" s="1"/>
  <c r="O42" i="1" s="1"/>
  <c r="AE86" i="13"/>
  <c r="AD47" i="1" s="1"/>
  <c r="AD80" i="13"/>
  <c r="N55" i="1"/>
  <c r="N48" i="1"/>
  <c r="O48" i="1" s="1"/>
  <c r="P48" i="1" s="1"/>
  <c r="Q48" i="1" s="1"/>
  <c r="R48" i="1" s="1"/>
  <c r="S48" i="1" s="1"/>
  <c r="T48" i="1" s="1"/>
  <c r="U48" i="1" s="1"/>
  <c r="V48" i="1" s="1"/>
  <c r="W48" i="1" s="1"/>
  <c r="X48" i="1" s="1"/>
  <c r="Y48" i="1" s="1"/>
  <c r="Z48" i="1" s="1"/>
  <c r="AA48" i="1" s="1"/>
  <c r="AB48" i="1" s="1"/>
  <c r="AC48" i="1" s="1"/>
  <c r="AD48" i="1" s="1"/>
  <c r="N52" i="1"/>
  <c r="O54" i="1"/>
  <c r="N64" i="9"/>
  <c r="N42" i="9"/>
  <c r="AB33" i="6"/>
  <c r="AB34" i="6"/>
  <c r="AF40" i="9"/>
  <c r="AE41" i="9"/>
  <c r="AB46" i="1"/>
  <c r="AA52" i="1"/>
  <c r="AB38" i="6"/>
  <c r="AB37" i="6"/>
  <c r="AD58" i="9"/>
  <c r="AF38" i="9"/>
  <c r="AF47" i="9"/>
  <c r="AB42" i="6"/>
  <c r="AB41" i="6"/>
  <c r="AD54" i="9"/>
  <c r="AE57" i="9"/>
  <c r="AE53" i="9"/>
  <c r="AE49" i="9"/>
  <c r="AE61" i="9"/>
  <c r="AA43" i="6"/>
  <c r="N63" i="9"/>
  <c r="N65" i="9" s="1"/>
  <c r="AF39" i="9"/>
  <c r="AD62" i="9"/>
  <c r="AA49" i="1"/>
  <c r="AA44" i="6"/>
  <c r="AA55" i="1"/>
  <c r="AC36" i="6"/>
  <c r="AC32" i="6"/>
  <c r="AC28" i="6"/>
  <c r="AC30" i="6" s="1"/>
  <c r="AC40" i="6"/>
  <c r="AD51" i="1" l="1"/>
  <c r="AD19" i="6"/>
  <c r="AD39" i="1"/>
  <c r="AD26" i="6"/>
  <c r="AC37" i="1"/>
  <c r="AC38" i="1" s="1"/>
  <c r="AC39" i="1" s="1"/>
  <c r="AC42" i="1" s="1"/>
  <c r="N57" i="1"/>
  <c r="N56" i="1"/>
  <c r="P54" i="1"/>
  <c r="O56" i="1"/>
  <c r="AC38" i="6"/>
  <c r="AC37" i="6"/>
  <c r="AF57" i="9"/>
  <c r="AF61" i="9"/>
  <c r="AF49" i="9"/>
  <c r="AF53" i="9"/>
  <c r="AB52" i="1"/>
  <c r="O51" i="9"/>
  <c r="AB44" i="6"/>
  <c r="AB55" i="1"/>
  <c r="AG47" i="9"/>
  <c r="AG38" i="9"/>
  <c r="B38" i="9" s="1"/>
  <c r="AB49" i="1"/>
  <c r="AC33" i="6"/>
  <c r="AC34" i="6"/>
  <c r="AE62" i="9"/>
  <c r="AC41" i="6"/>
  <c r="AC42" i="6"/>
  <c r="AE54" i="9"/>
  <c r="AC46" i="1"/>
  <c r="AA57" i="1"/>
  <c r="AE58" i="9"/>
  <c r="AB43" i="6"/>
  <c r="AF41" i="9"/>
  <c r="AG40" i="9"/>
  <c r="AD42" i="1" l="1"/>
  <c r="AF42" i="1" s="1"/>
  <c r="AD28" i="6"/>
  <c r="AD30" i="6" s="1"/>
  <c r="AD46" i="1" s="1"/>
  <c r="AD36" i="6"/>
  <c r="AD38" i="6" s="1"/>
  <c r="AD52" i="1" s="1"/>
  <c r="AD40" i="6"/>
  <c r="AD42" i="6" s="1"/>
  <c r="AD55" i="1" s="1"/>
  <c r="AD32" i="6"/>
  <c r="AD34" i="6" s="1"/>
  <c r="AD49" i="1" s="1"/>
  <c r="Q54" i="1"/>
  <c r="P56" i="1"/>
  <c r="AB57" i="1"/>
  <c r="AC49" i="1"/>
  <c r="AG57" i="9"/>
  <c r="AG61" i="9"/>
  <c r="AG53" i="9"/>
  <c r="AG49" i="9"/>
  <c r="B47" i="9"/>
  <c r="AF62" i="9"/>
  <c r="AG41" i="9"/>
  <c r="B40" i="9"/>
  <c r="AF58" i="9"/>
  <c r="AC52" i="1"/>
  <c r="AC44" i="6"/>
  <c r="AC55" i="1"/>
  <c r="AG39" i="9"/>
  <c r="B39" i="9" s="1"/>
  <c r="O55" i="9"/>
  <c r="AF54" i="9"/>
  <c r="AC43" i="6"/>
  <c r="O59" i="9"/>
  <c r="AD44" i="6" l="1"/>
  <c r="AD41" i="6"/>
  <c r="AD33" i="6"/>
  <c r="AD37" i="6"/>
  <c r="R54" i="1"/>
  <c r="Q56" i="1"/>
  <c r="AC57" i="1"/>
  <c r="O42" i="9"/>
  <c r="AG54" i="9"/>
  <c r="B54" i="9" s="1"/>
  <c r="B53" i="9"/>
  <c r="AG62" i="9"/>
  <c r="B70" i="9"/>
  <c r="B61" i="9"/>
  <c r="B41" i="9"/>
  <c r="O63" i="9"/>
  <c r="O65" i="9" s="1"/>
  <c r="AG58" i="9"/>
  <c r="B58" i="9" s="1"/>
  <c r="B57" i="9"/>
  <c r="B44" i="1"/>
  <c r="AD57" i="1"/>
  <c r="O64" i="9"/>
  <c r="B49" i="9"/>
  <c r="AD43" i="6" l="1"/>
  <c r="S54" i="1"/>
  <c r="R56" i="1"/>
  <c r="B62" i="9"/>
  <c r="P51" i="9"/>
  <c r="B26" i="6"/>
  <c r="T54" i="1" l="1"/>
  <c r="S56" i="1"/>
  <c r="B32" i="6"/>
  <c r="B36" i="6"/>
  <c r="P55" i="9"/>
  <c r="B24" i="6"/>
  <c r="B28" i="6"/>
  <c r="B40" i="6"/>
  <c r="B49" i="6"/>
  <c r="P59" i="9"/>
  <c r="U54" i="1" l="1"/>
  <c r="T56" i="1"/>
  <c r="B43" i="6"/>
  <c r="B34" i="6"/>
  <c r="P63" i="9"/>
  <c r="P65" i="9" s="1"/>
  <c r="B30" i="6"/>
  <c r="B44" i="6"/>
  <c r="B46" i="6" s="1"/>
  <c r="B42" i="6"/>
  <c r="P42" i="9"/>
  <c r="P64" i="9"/>
  <c r="B38" i="6"/>
  <c r="V54" i="1" l="1"/>
  <c r="U56" i="1"/>
  <c r="B56" i="1"/>
  <c r="Q51" i="9"/>
  <c r="B45" i="6"/>
  <c r="B47" i="6"/>
  <c r="W54" i="1" l="1"/>
  <c r="V56" i="1"/>
  <c r="Q55" i="9"/>
  <c r="Q59" i="9"/>
  <c r="X54" i="1" l="1"/>
  <c r="W56" i="1"/>
  <c r="Q64" i="9"/>
  <c r="Q42" i="9"/>
  <c r="Q63" i="9"/>
  <c r="Q65" i="9" s="1"/>
  <c r="Y54" i="1" l="1"/>
  <c r="X56" i="1"/>
  <c r="R51" i="9"/>
  <c r="Z54" i="1" l="1"/>
  <c r="Y56" i="1"/>
  <c r="R59" i="9"/>
  <c r="R55" i="9"/>
  <c r="AA54" i="1" l="1"/>
  <c r="Z56" i="1"/>
  <c r="R42" i="9"/>
  <c r="R64" i="9"/>
  <c r="R63" i="9"/>
  <c r="R65" i="9" s="1"/>
  <c r="AB54" i="1" l="1"/>
  <c r="AA56" i="1"/>
  <c r="S51" i="9"/>
  <c r="AC54" i="1" l="1"/>
  <c r="AB56" i="1"/>
  <c r="S59" i="9"/>
  <c r="S55" i="9"/>
  <c r="AD54" i="1" l="1"/>
  <c r="AD56" i="1" s="1"/>
  <c r="AC56" i="1"/>
  <c r="S42" i="9"/>
  <c r="S63" i="9"/>
  <c r="S65" i="9" s="1"/>
  <c r="S64" i="9"/>
  <c r="T51" i="9" l="1"/>
  <c r="T59" i="9" l="1"/>
  <c r="T55" i="9"/>
  <c r="T64" i="9" l="1"/>
  <c r="T42" i="9"/>
  <c r="T63" i="9"/>
  <c r="T65" i="9" s="1"/>
  <c r="U51" i="9" l="1"/>
  <c r="U55" i="9" l="1"/>
  <c r="U59" i="9"/>
  <c r="U42" i="9" l="1"/>
  <c r="U64" i="9"/>
  <c r="U63" i="9"/>
  <c r="U65" i="9" s="1"/>
  <c r="V51" i="9" l="1"/>
  <c r="V59" i="9" l="1"/>
  <c r="V55" i="9"/>
  <c r="V63" i="9" l="1"/>
  <c r="V65" i="9" s="1"/>
  <c r="V42" i="9"/>
  <c r="V64" i="9"/>
  <c r="W51" i="9" l="1"/>
  <c r="W59" i="9" l="1"/>
  <c r="W55" i="9"/>
  <c r="W63" i="9" l="1"/>
  <c r="W65" i="9" s="1"/>
  <c r="W64" i="9"/>
  <c r="W42" i="9"/>
  <c r="X51" i="9" l="1"/>
  <c r="X55" i="9" l="1"/>
  <c r="X59" i="9"/>
  <c r="X64" i="9" l="1"/>
  <c r="X63" i="9"/>
  <c r="X65" i="9" s="1"/>
  <c r="X42" i="9"/>
  <c r="Y51" i="9" l="1"/>
  <c r="Y59" i="9" l="1"/>
  <c r="Y55" i="9"/>
  <c r="Y42" i="9" l="1"/>
  <c r="Y64" i="9"/>
  <c r="Y63" i="9"/>
  <c r="Y65" i="9" s="1"/>
  <c r="Z51" i="9" l="1"/>
  <c r="Z55" i="9" l="1"/>
  <c r="Z59" i="9"/>
  <c r="Z64" i="9" l="1"/>
  <c r="Z42" i="9"/>
  <c r="Z63" i="9"/>
  <c r="Z65" i="9" s="1"/>
  <c r="AA51" i="9" l="1"/>
  <c r="AA55" i="9" l="1"/>
  <c r="AA59" i="9"/>
  <c r="AA42" i="9" l="1"/>
  <c r="AA63" i="9"/>
  <c r="AA65" i="9" s="1"/>
  <c r="AA64" i="9"/>
  <c r="AB51" i="9" l="1"/>
  <c r="AB59" i="9" l="1"/>
  <c r="AB55" i="9"/>
  <c r="AB64" i="9" l="1"/>
  <c r="AB42" i="9"/>
  <c r="AB63" i="9"/>
  <c r="AB65" i="9" s="1"/>
  <c r="AC51" i="9" l="1"/>
  <c r="AC55" i="9" l="1"/>
  <c r="AC59" i="9"/>
  <c r="AC64" i="9" l="1"/>
  <c r="AC42" i="9"/>
  <c r="AC63" i="9"/>
  <c r="AC65" i="9" s="1"/>
  <c r="AD51" i="9" l="1"/>
  <c r="AD59" i="9" l="1"/>
  <c r="AD55" i="9"/>
  <c r="AD42" i="9" l="1"/>
  <c r="AD64" i="9"/>
  <c r="AD63" i="9"/>
  <c r="AD65" i="9" s="1"/>
  <c r="AE51" i="9" l="1"/>
  <c r="AE55" i="9" l="1"/>
  <c r="AE59" i="9"/>
  <c r="AE63" i="9" l="1"/>
  <c r="AE65" i="9" s="1"/>
  <c r="AE42" i="9"/>
  <c r="AE64" i="9"/>
  <c r="AF51" i="9" l="1"/>
  <c r="AF55" i="9" l="1"/>
  <c r="AF59" i="9"/>
  <c r="AF64" i="9" l="1"/>
  <c r="AF42" i="9"/>
  <c r="AF63" i="9"/>
  <c r="AF65" i="9" s="1"/>
  <c r="AG55" i="9" l="1"/>
  <c r="B55" i="9" s="1"/>
  <c r="AG64" i="9"/>
  <c r="B64" i="9"/>
  <c r="AG59" i="9"/>
  <c r="B59" i="9" s="1"/>
  <c r="AG63" i="9"/>
  <c r="AG51" i="9"/>
  <c r="B51" i="9" s="1"/>
  <c r="AG42" i="9" l="1"/>
  <c r="B42" i="9" s="1"/>
  <c r="B45" i="9" s="1"/>
  <c r="B66" i="9" s="1"/>
  <c r="AG65" i="9"/>
  <c r="B65" i="9" s="1"/>
  <c r="B67" i="9" s="1"/>
  <c r="B63" i="9"/>
  <c r="B68" i="9" l="1"/>
  <c r="C79" i="9" s="1"/>
  <c r="B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Carole Renner</author>
  </authors>
  <commentList>
    <comment ref="E2" authorId="0" shapeId="0" xr:uid="{DF9F4DF8-93AC-7C40-A5FE-E0DD510F3D99}">
      <text>
        <r>
          <rPr>
            <sz val="12"/>
            <color rgb="FF000000"/>
            <rFont val="Proxima Nova"/>
            <family val="2"/>
          </rPr>
          <t xml:space="preserve">La classe de fertilité se choisit en fonction de la taille à un âge donné (en gras dans les tableaux correspondants de la feuille ITI. FEUILLUS/RESINEUX
</t>
        </r>
      </text>
    </comment>
    <comment ref="G16" authorId="0" shapeId="0" xr:uid="{0E659CD1-9DFE-0546-A70D-FDEA9FD51216}">
      <text>
        <r>
          <rPr>
            <sz val="12"/>
            <color rgb="FF000000"/>
            <rFont val="Proxima Nova"/>
            <family val="2"/>
          </rPr>
          <t xml:space="preserve">Pourcentage de rabais à indiquer soi-même le cas échéant, car variable en </t>
        </r>
        <r>
          <rPr>
            <b/>
            <sz val="12"/>
            <color rgb="FF000000"/>
            <rFont val="Proxima Nova"/>
            <family val="2"/>
          </rPr>
          <t xml:space="preserve">fonction de la région </t>
        </r>
        <r>
          <rPr>
            <sz val="12"/>
            <color rgb="FF000000"/>
            <rFont val="Proxima Nova"/>
            <family val="2"/>
          </rPr>
          <t>(cf. tableau 3 p. 13-14) - pour le rabais, se référer au</t>
        </r>
        <r>
          <rPr>
            <sz val="10"/>
            <color rgb="FF000000"/>
            <rFont val="Proxima Nova"/>
            <family val="2"/>
          </rPr>
          <t xml:space="preserve"> </t>
        </r>
        <r>
          <rPr>
            <b/>
            <sz val="10"/>
            <color rgb="FF000000"/>
            <rFont val="Calibri"/>
            <family val="2"/>
            <scheme val="minor"/>
          </rPr>
          <t>PDPFCI</t>
        </r>
        <r>
          <rPr>
            <sz val="12"/>
            <color rgb="FF000000"/>
            <rFont val="Proxima Nova"/>
            <family val="2"/>
          </rPr>
          <t xml:space="preserve"> (</t>
        </r>
        <r>
          <rPr>
            <sz val="12"/>
            <color rgb="FF000000"/>
            <rFont val="Proxima Nova"/>
            <family val="2"/>
          </rPr>
          <t xml:space="preserve">plan départemental de protection des forêts contre l’incendie) </t>
        </r>
        <r>
          <rPr>
            <sz val="12"/>
            <color rgb="FF000000"/>
            <rFont val="Proxima Nova"/>
            <family val="2"/>
          </rPr>
          <t xml:space="preserve">
</t>
        </r>
      </text>
    </comment>
    <comment ref="G18" authorId="0" shapeId="0" xr:uid="{AAC4EB8D-F2D8-2A43-B15C-2086F8F70207}">
      <text>
        <r>
          <rPr>
            <sz val="12"/>
            <color rgb="FF000000"/>
            <rFont val="Proxima Nova"/>
            <family val="2"/>
          </rPr>
          <t xml:space="preserve">Pourcentage de rabais à renseigner une fois la vérification effectuée (cf. paragraphe 8.2 p. 25)
</t>
        </r>
      </text>
    </comment>
    <comment ref="G24" authorId="0" shapeId="0" xr:uid="{8533A4E4-6BBE-C24A-9A86-F88F756D0013}">
      <text>
        <r>
          <rPr>
            <sz val="10"/>
            <color rgb="FF000000"/>
            <rFont val="Tahoma"/>
            <family val="2"/>
          </rPr>
          <t xml:space="preserve">L'idée est de démontrer que le scénario de projet est </t>
        </r>
        <r>
          <rPr>
            <b/>
            <sz val="10"/>
            <color rgb="FF000000"/>
            <rFont val="Tahoma"/>
            <family val="2"/>
          </rPr>
          <t xml:space="preserve">moins rentable </t>
        </r>
        <r>
          <rPr>
            <sz val="10"/>
            <color rgb="FF000000"/>
            <rFont val="Tahoma"/>
            <family val="2"/>
          </rPr>
          <t xml:space="preserve">pour le propriétaire que le scénario de référence. Les scénarios de référence renseignés doivent donc être la </t>
        </r>
        <r>
          <rPr>
            <b/>
            <sz val="10"/>
            <color rgb="FF000000"/>
            <rFont val="Tahoma"/>
            <family val="2"/>
          </rPr>
          <t>réalité</t>
        </r>
        <r>
          <rPr>
            <sz val="10"/>
            <color rgb="FF000000"/>
            <rFont val="Tahoma"/>
            <family val="2"/>
          </rPr>
          <t xml:space="preserve"> de ce que peut devenir la parcelle. 
</t>
        </r>
        <r>
          <rPr>
            <sz val="10"/>
            <color rgb="FF000000"/>
            <rFont val="Tahoma"/>
            <family val="2"/>
          </rPr>
          <t xml:space="preserve">Si c'est une friche agricole par exemple, la référence peut être de poursuivre l'agriculture, de mettre en pâture ou de laisser s'embroussailler. En revanche, si c'est un terrain embroussaillé, on ne peut pas décider utiliser la poursuite de l'agriculture comme scénario de référence. Il faut que le terrain soit exploité en agriculture depuis au moins 5 ans (marge à justifier et photos à fournir). </t>
        </r>
      </text>
    </comment>
    <comment ref="L24" authorId="0" shapeId="0" xr:uid="{D6F1559C-E43B-984F-915E-481B77CEBDD0}">
      <text>
        <r>
          <rPr>
            <sz val="12"/>
            <color rgb="FF000000"/>
            <rFont val="Proxima Nova"/>
            <family val="2"/>
          </rPr>
          <t xml:space="preserve">Cf. équation 1 p. 9
</t>
        </r>
      </text>
    </comment>
    <comment ref="L27" authorId="0" shapeId="0" xr:uid="{ED79F340-26A8-0A45-A9FD-B6DBF58DD231}">
      <text>
        <r>
          <rPr>
            <sz val="12"/>
            <color rgb="FF000000"/>
            <rFont val="Proxima Nova"/>
            <family val="2"/>
          </rPr>
          <t>Cf. équation 3 p. 9</t>
        </r>
      </text>
    </comment>
    <comment ref="M27" authorId="0" shapeId="0" xr:uid="{7D15BE7A-999E-2A4B-BB40-EA4ACAC35511}">
      <text>
        <r>
          <rPr>
            <sz val="12"/>
            <color rgb="FF000000"/>
            <rFont val="Proxima Nova"/>
            <family val="2"/>
          </rPr>
          <t xml:space="preserve">Justifiée par  l'expert comptable
</t>
        </r>
        <r>
          <rPr>
            <sz val="12"/>
            <color rgb="FF000000"/>
            <rFont val="Proxima Nova"/>
            <family val="2"/>
          </rPr>
          <t xml:space="preserve">
</t>
        </r>
      </text>
    </comment>
    <comment ref="L29" authorId="0" shapeId="0" xr:uid="{06E1A238-DB89-574D-A1AB-22BD711F9891}">
      <text>
        <r>
          <rPr>
            <sz val="12"/>
            <color rgb="FF000000"/>
            <rFont val="Proxima Nova"/>
            <family val="2"/>
          </rPr>
          <t xml:space="preserve">Cf. équation 2 p. 9
</t>
        </r>
      </text>
    </comment>
    <comment ref="M29" authorId="0" shapeId="0" xr:uid="{0B17440B-8A9F-D142-88EB-D7025A3BF01D}">
      <text>
        <r>
          <rPr>
            <sz val="12"/>
            <color rgb="FF000000"/>
            <rFont val="Proxima Nova"/>
            <family val="2"/>
          </rPr>
          <t xml:space="preserve">A renseigner en fonction de l'itinéraire sylvicole sur </t>
        </r>
        <r>
          <rPr>
            <b/>
            <sz val="12"/>
            <color rgb="FF000000"/>
            <rFont val="Proxima Nova"/>
            <family val="2"/>
          </rPr>
          <t>toute la durée de révolution de l'essence</t>
        </r>
        <r>
          <rPr>
            <sz val="12"/>
            <color rgb="FF000000"/>
            <rFont val="Proxima Nova"/>
            <family val="2"/>
          </rPr>
          <t xml:space="preserve">. Le bilan financier, en effet, ne s'arrête pas au bout des 30 ans au cours desquels les réductions d'émissions générées sont comptabilisées. </t>
        </r>
        <r>
          <rPr>
            <b/>
            <sz val="10"/>
            <color rgb="FF000000"/>
            <rFont val="Tahoma"/>
            <family val="2"/>
          </rPr>
          <t xml:space="preserve"> </t>
        </r>
        <r>
          <rPr>
            <sz val="10"/>
            <color rgb="FF000000"/>
            <rFont val="Tahoma"/>
            <family val="2"/>
          </rPr>
          <t xml:space="preserve">
</t>
        </r>
      </text>
    </comment>
    <comment ref="M30" authorId="0" shapeId="0" xr:uid="{4076BE41-5DCF-8A4F-843A-EF1D11246C97}">
      <text>
        <r>
          <rPr>
            <sz val="12"/>
            <color rgb="FF000000"/>
            <rFont val="Proxima Nova"/>
            <family val="2"/>
          </rPr>
          <t xml:space="preserve">Recettes issues des ventes de bois lors des éclaircies et à la coupe finale durant la durée de révolution des essences plantées.
</t>
        </r>
      </text>
    </comment>
    <comment ref="M31" authorId="0" shapeId="0" xr:uid="{3759B54E-10DB-064B-9F20-A032EA254F3B}">
      <text>
        <r>
          <rPr>
            <sz val="12"/>
            <color rgb="FF000000"/>
            <rFont val="Proxima Nova"/>
            <family val="2"/>
          </rPr>
          <t xml:space="preserve">Comprend les dépenses lors du boisement et durant l'itinéraire sylvicole jusqu'à révolution des essences plantées.
</t>
        </r>
      </text>
    </comment>
    <comment ref="C36" authorId="0" shapeId="0" xr:uid="{6B744231-2CF2-6042-872E-D6D15585B5A0}">
      <text>
        <r>
          <rPr>
            <sz val="12"/>
            <color rgb="FF000000"/>
            <rFont val="Proxima Nova"/>
            <family val="2"/>
          </rPr>
          <t>Dans cette ligne est modélisée l'évolution annuelle du volume de bois de la forêt, en comptant les branches des arbres (application des coefficients d'expansion branches pour feuillus - 1,56 - et résineux - 1,3), pour le calcul des RE biomasse, donc déduisant le bois éclaici, soit celui utilisé pour les produits bois</t>
        </r>
      </text>
    </comment>
    <comment ref="C37" authorId="0" shapeId="0" xr:uid="{0F3119BC-696C-AC4C-8E6F-0D32DEDCBDE2}">
      <text>
        <r>
          <rPr>
            <sz val="12"/>
            <color rgb="FF000000"/>
            <rFont val="Proxima Nova"/>
            <family val="2"/>
          </rPr>
          <t xml:space="preserve">Conversion du volume de bois aérien dans la forêt en biomasse (matière sèche)
</t>
        </r>
      </text>
    </comment>
    <comment ref="C38" authorId="0" shapeId="0" xr:uid="{F024AD30-8F50-2D42-8D25-5145864367B8}">
      <text>
        <r>
          <rPr>
            <sz val="12"/>
            <color rgb="FF000000"/>
            <rFont val="Proxima Nova"/>
            <family val="2"/>
          </rPr>
          <t xml:space="preserve">Calcul de la biomasse racinaire en tMS (cf. équation 13 p. 22) 
</t>
        </r>
        <r>
          <rPr>
            <sz val="12"/>
            <color rgb="FF000000"/>
            <rFont val="Proxima Nova"/>
            <family val="2"/>
          </rPr>
          <t>La biomasse racinaire est calculée sur la biomasse aérienne restant après éclaircies pour ne pas la surévaluer car bien que les racines ne soient pas ôtées avec les arbres lors des éclaircies, elles ne continuent pas de s'étendre</t>
        </r>
      </text>
    </comment>
    <comment ref="B39" authorId="0" shapeId="0" xr:uid="{65C1A910-5B8D-C441-911A-AB4E18D2316C}">
      <text>
        <r>
          <rPr>
            <sz val="12"/>
            <color rgb="FF000000"/>
            <rFont val="Proxima Nova"/>
            <family val="2"/>
          </rPr>
          <t xml:space="preserve">Prend en compte la différence de stock à 30 ans entre le scénario de projet et le scénario de référence 
</t>
        </r>
      </text>
    </comment>
    <comment ref="C39" authorId="0" shapeId="0" xr:uid="{CB9CB556-5B4E-9140-B657-513A4CC8A096}">
      <text>
        <r>
          <rPr>
            <sz val="12"/>
            <color rgb="FF000000"/>
            <rFont val="Proxima Nova"/>
            <family val="2"/>
          </rPr>
          <t xml:space="preserve">Estimation de l'ensemble de la biomasse (aérienne + racinaire), ensuite convertie en stock de carbone
</t>
        </r>
      </text>
    </comment>
    <comment ref="B40" authorId="0" shapeId="0" xr:uid="{0D7FCA67-D036-3940-9013-A54F48BA378F}">
      <text>
        <r>
          <rPr>
            <sz val="12"/>
            <color rgb="FF000000"/>
            <rFont val="Proxima Nova"/>
            <family val="2"/>
          </rPr>
          <t>Prend en compte la différence de stock à 30 ans, entre le scénario de projet et le scénario de référence</t>
        </r>
      </text>
    </comment>
    <comment ref="C40" authorId="0" shapeId="0" xr:uid="{9333194F-EA21-284D-96C3-B305F0444FFD}">
      <text>
        <r>
          <rPr>
            <sz val="12"/>
            <color rgb="FF000000"/>
            <rFont val="Proxima Nova"/>
            <family val="2"/>
          </rPr>
          <t xml:space="preserve">Estimation de la différence de stock de carbone dans les sols entre le scénario de projet et de référence : pour les boisements sur terrain embroussaillés ou prairie ou pâture, cette différence est nulle car le stock dans le sol est le même. En revanche, pour un boisement sur terres agricoles, l'équation 16 p. 23, qui estime la différence de stockage cumulée en fonction de l'année, est utilisée.
</t>
        </r>
      </text>
    </comment>
    <comment ref="B41" authorId="0" shapeId="0" xr:uid="{7AE7A331-DFF4-DE42-B841-9FA60D3E1C84}">
      <text>
        <r>
          <rPr>
            <sz val="12"/>
            <color rgb="FF000000"/>
            <rFont val="Proxima Nova"/>
            <family val="2"/>
          </rPr>
          <t>Prend en compte la différence de stock à 30 ans, entre le scénario de projet et le scénario de référence</t>
        </r>
      </text>
    </comment>
    <comment ref="C41" authorId="0" shapeId="0" xr:uid="{2758CAF6-2889-C04F-937E-22A8A1FF47EF}">
      <text>
        <r>
          <rPr>
            <sz val="12"/>
            <color rgb="FF000000"/>
            <rFont val="Proxima Nova"/>
            <family val="2"/>
          </rPr>
          <t>Modélisation de l'évolution du stock de carbone dans la litière, sachant qu'à 30 ans il sera de 10tC/ha, et qu'il est nul pour le scénario de référence selon l'équation 17 p. 23.</t>
        </r>
      </text>
    </comment>
    <comment ref="H41" authorId="0" shapeId="0" xr:uid="{542B64C0-7C80-194A-B021-E400694EE4AA}">
      <text>
        <r>
          <rPr>
            <sz val="12"/>
            <color rgb="FF000000"/>
            <rFont val="Proxima Nova"/>
            <family val="2"/>
          </rPr>
          <t xml:space="preserve">A partir de 30 ans, on peut considérer que la litière reste stable (recyclée dans le sol)
</t>
        </r>
      </text>
    </comment>
    <comment ref="B42" authorId="0" shapeId="0" xr:uid="{910A20E7-54D6-494A-8B92-97B3A3145011}">
      <text>
        <r>
          <rPr>
            <sz val="12"/>
            <color rgb="FF000000"/>
            <rFont val="Proxima Nova"/>
            <family val="2"/>
          </rPr>
          <t xml:space="preserve">Afin de ne pas favoriser des essences à révolution courte, la moyenne à long terme est calculée (voir fin de ligne) : il s'agit de la somme des différences de stockage annuelles divisée par le nombre d'années de révolution totale. Si la révolution est très courte, celle-ci sera à priori inférieure à la différence de stockage à n+30. En revanche, si la révolution est longue, celle-ci devrait excéder la différence de stockage à n+30. 
</t>
        </r>
        <r>
          <rPr>
            <sz val="12"/>
            <color rgb="FF000000"/>
            <rFont val="Proxima Nova"/>
            <family val="2"/>
          </rPr>
          <t xml:space="preserve">Cette formule permet de sélectionner la valeur à n+30 lorsque la moyenne de long terme l'excède, et vice-versa (cf. équation 5 p. 16) et document VCS explicatif (http://verra.org/wp-content/uploads/2018/03/VCS-Guidance-Harvesting-Examples_0.pdf)
</t>
        </r>
      </text>
    </comment>
    <comment ref="C42" authorId="0" shapeId="0" xr:uid="{E155B5B3-9352-6A44-929B-76F98747EFAC}">
      <text>
        <r>
          <rPr>
            <sz val="12"/>
            <color rgb="FF000000"/>
            <rFont val="Proxima Nova"/>
            <family val="2"/>
          </rPr>
          <t>Somme des différences de stocks de la forêt convertis en tonnes de CO2 (cf. équation 7 p. 17)</t>
        </r>
        <r>
          <rPr>
            <sz val="12"/>
            <color rgb="FF000000"/>
            <rFont val="Proxima Nova"/>
            <family val="2"/>
          </rPr>
          <t xml:space="preserve">
</t>
        </r>
      </text>
    </comment>
    <comment ref="B43" authorId="0" shapeId="0" xr:uid="{5CC6F95E-BCF5-BA42-9873-3FE5FD93D332}">
      <text>
        <r>
          <rPr>
            <sz val="12"/>
            <color rgb="FF000000"/>
            <rFont val="Proxima Nova"/>
            <family val="2"/>
          </rPr>
          <t>Stock de carbone dans la biomasse prélevée</t>
        </r>
      </text>
    </comment>
    <comment ref="B45" authorId="0" shapeId="0" xr:uid="{6A8CF470-D5C2-5545-950D-DE60C9259563}">
      <text>
        <r>
          <rPr>
            <sz val="12"/>
            <color rgb="FF000000"/>
            <rFont val="Proxima Nova"/>
            <family val="2"/>
          </rPr>
          <t xml:space="preserve">Le stockage de carbone dans le bois énergie est considéré comme nul (cf. p. 18 de la méthode)
</t>
        </r>
      </text>
    </comment>
    <comment ref="B46" authorId="0" shapeId="0" xr:uid="{5C81DEFE-8B9C-3548-A806-7DC5DA35B5D1}">
      <text>
        <r>
          <rPr>
            <sz val="12"/>
            <color rgb="FF000000"/>
            <rFont val="Proxima Nova"/>
            <family val="2"/>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énergie, ce coefficient est de 0,25.
</t>
        </r>
      </text>
    </comment>
    <comment ref="C46" authorId="0" shapeId="0" xr:uid="{737D9959-B831-4542-B5CE-304BBFD695CA}">
      <text>
        <r>
          <rPr>
            <sz val="12"/>
            <color rgb="FF000000"/>
            <rFont val="Proxima Nova"/>
            <family val="2"/>
          </rPr>
          <t xml:space="preserve">L'équation utilisée pour ce calcul intègre directement la différence entre les stocks du projet et de référence (cf. équation 10 p. 18)
</t>
        </r>
      </text>
    </comment>
    <comment ref="B48" authorId="0" shapeId="0" xr:uid="{B1736E9A-53E0-CD4B-900C-B535B7B70193}">
      <text>
        <r>
          <rPr>
            <sz val="12"/>
            <color rgb="FF000000"/>
            <rFont val="Proxima Nova"/>
            <family val="2"/>
          </rPr>
          <t xml:space="preserve">Ce chiffre correspond à la somme des sorties de carbone via les produits bois papier (prélèvement pour papier) durant la période de 30 ans, de laquelle on ôte le relâchement de carbone via la décomposition du matériau 
</t>
        </r>
      </text>
    </comment>
    <comment ref="D48" authorId="0" shapeId="0" xr:uid="{C8BD8FBE-227C-384B-85B1-7202095C3A02}">
      <text>
        <r>
          <rPr>
            <sz val="12"/>
            <color rgb="FF000000"/>
            <rFont val="Proxima Nova"/>
            <family val="2"/>
          </rPr>
          <t>Stock de carbone du bois papier calculé en fonction de la formule intégrant la fonction de décomposition du bois selon son temps de demi-vie (2 ans) (cf. équation 9 p. 18)</t>
        </r>
      </text>
    </comment>
    <comment ref="B49" authorId="0" shapeId="0" xr:uid="{E953F9EF-BE45-4A49-8D63-19571916C96D}">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papier, ce coefficient est nul car il ne remplace pas un autre matériau.</t>
        </r>
      </text>
    </comment>
    <comment ref="C49" authorId="0" shapeId="0" xr:uid="{3B42322F-93A6-C74C-B035-64761645C9F1}">
      <text>
        <r>
          <rPr>
            <sz val="12"/>
            <color rgb="FF000000"/>
            <rFont val="Proxima Nova"/>
            <family val="2"/>
          </rPr>
          <t xml:space="preserve">L'équation utilisée pour ce calcul intègre directement la différence entre les stocks du projet et de référence (cf. équation 10 p. 18)
</t>
        </r>
      </text>
    </comment>
    <comment ref="B51" authorId="0" shapeId="0" xr:uid="{B3514AB0-1130-5540-B199-630D62586D83}">
      <text>
        <r>
          <rPr>
            <sz val="12"/>
            <color rgb="FF000000"/>
            <rFont val="Proxima Nova"/>
            <family val="2"/>
          </rPr>
          <t xml:space="preserve">Ce chiffre correspond à la somme des sorties de carbone via les produits bois panneaux (prélèvement pour bois de panneaux) durant la période de 30 ans, de laquelle on ôte le relâchement de carbone via la décomposition du matériau </t>
        </r>
      </text>
    </comment>
    <comment ref="D51" authorId="0" shapeId="0" xr:uid="{9ECAEA4D-2AD5-9446-AF11-D2350B9536A5}">
      <text>
        <r>
          <rPr>
            <sz val="12"/>
            <color rgb="FF000000"/>
            <rFont val="Proxima Nova"/>
            <family val="2"/>
          </rPr>
          <t xml:space="preserve">Stock de carbone du bois panneaux calculé en fonction de la formule intégrant la fonction de décomposition du bois selon son temps de demi-vie (25 ans) (cf. équation 9 p. 18) 
</t>
        </r>
      </text>
    </comment>
    <comment ref="B52" authorId="0" shapeId="0" xr:uid="{B4E3E34C-C98C-C448-80AF-8B7C528C9C2D}">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panneaux, ce coefficient est de 0,77.</t>
        </r>
      </text>
    </comment>
    <comment ref="C52" authorId="0" shapeId="0" xr:uid="{C1FBA2AD-005F-D74D-BFCB-696961BA05AC}">
      <text>
        <r>
          <rPr>
            <sz val="12"/>
            <color rgb="FF000000"/>
            <rFont val="Proxima Nova"/>
            <family val="2"/>
          </rPr>
          <t xml:space="preserve">L'équation utilisée pour ce calcul intègre directement la différence entre les stocks du projet et de référence (cf. équation 10 p. 18)
</t>
        </r>
      </text>
    </comment>
    <comment ref="B54" authorId="0" shapeId="0" xr:uid="{192CF6B4-676A-F74A-A239-F6D5E22E8AB5}">
      <text>
        <r>
          <rPr>
            <sz val="12"/>
            <color rgb="FF000000"/>
            <rFont val="Proxima Nova"/>
            <family val="2"/>
          </rPr>
          <t xml:space="preserve">Ce chiffre correspond à la somme des sorties de carbone via les produits bois sciage (prélèvement pour bois sciage) durant la période de 30 ans, de laquelle on ôte le relâchement de carbone via la décomposition du matériau 
</t>
        </r>
      </text>
    </comment>
    <comment ref="D54" authorId="0" shapeId="0" xr:uid="{43161425-C765-AE4A-A261-EE7AE667D1BB}">
      <text>
        <r>
          <rPr>
            <sz val="12"/>
            <color rgb="FF000000"/>
            <rFont val="Proxima Nova"/>
            <family val="2"/>
          </rPr>
          <t xml:space="preserve">Stock de carbone du bois de sciage calculé en fonction de la formule intégrant la fonction de décomposition du bois selon son temps de demi-vie (35 ans) (cf. équation 9 p. 18) 
</t>
        </r>
      </text>
    </comment>
    <comment ref="B55" authorId="0" shapeId="0" xr:uid="{E5DBA528-3D6E-8648-B90D-88D42DEBBD2E}">
      <text>
        <r>
          <rPr>
            <sz val="12"/>
            <color rgb="FF000000"/>
            <rFont val="Proxima Nova"/>
            <family val="2"/>
          </rPr>
          <t>La substitution énergétique est un bénéfice indirect du projet, qui correspond à l'intérêt énergétique d'utilisation du matériau bois à la place d'un matériau plus énergivore. Les coefficients correspondants sont indiqués dans le tableau 5 p. 19. Pour le bois de sciage, ce coefficient est de 1,52.</t>
        </r>
      </text>
    </comment>
    <comment ref="C55" authorId="0" shapeId="0" xr:uid="{EE114192-8E16-1C40-A096-21533F47249D}">
      <text>
        <r>
          <rPr>
            <sz val="12"/>
            <color rgb="FF000000"/>
            <rFont val="Proxima Nova"/>
            <family val="2"/>
          </rPr>
          <t xml:space="preserve">L'équation utilisée pour ce calcul intègre directement la différence entre les stocks du projet et de référence (cf. équation </t>
        </r>
        <r>
          <rPr>
            <sz val="10"/>
            <color rgb="FF000000"/>
            <rFont val="Tahoma"/>
            <family val="2"/>
          </rPr>
          <t>10 p. 18)</t>
        </r>
      </text>
    </comment>
    <comment ref="A59" authorId="0" shapeId="0" xr:uid="{65754295-D678-C545-8C1E-CCC5894000E0}">
      <text>
        <r>
          <rPr>
            <sz val="12"/>
            <color rgb="FF000000"/>
            <rFont val="Proxima Nova"/>
            <family val="2"/>
          </rPr>
          <t>REA forêt + REA produits bois (direct)</t>
        </r>
      </text>
    </comment>
    <comment ref="A60" authorId="0" shapeId="0" xr:uid="{1919922D-E31D-6945-B2D3-C3D71EF0251C}">
      <text>
        <r>
          <rPr>
            <sz val="12"/>
            <color rgb="FF000000"/>
            <rFont val="Proxima Nova"/>
            <family val="2"/>
          </rPr>
          <t xml:space="preserve">Substitution énergétique (indirect)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Carole Renner</author>
  </authors>
  <commentList>
    <comment ref="B2" authorId="0" shapeId="0" xr:uid="{800B4983-E157-C141-8327-0382550DFB35}">
      <text>
        <r>
          <rPr>
            <sz val="12"/>
            <color rgb="FF000000"/>
            <rFont val="Proxima Nova"/>
            <family val="2"/>
          </rPr>
          <t xml:space="preserve">Quelque soit le scénario de dépérissement considéré, l'évolution du carbone dans l'itinéraire du scénario est d'1m3/ha/an.
</t>
        </r>
        <r>
          <rPr>
            <sz val="12"/>
            <color rgb="FF000000"/>
            <rFont val="Proxima Nova"/>
            <family val="2"/>
          </rPr>
          <t>On peut ici toutefois sélectionner le type d'accru qui va coloniser la parcelle, pour que les infradensités permettant de convertir le cubage en MS soient justes.</t>
        </r>
      </text>
    </comment>
    <comment ref="C19" authorId="0" shapeId="0" xr:uid="{E2844228-EDBD-E048-9254-3531F1ADA13D}">
      <text>
        <r>
          <rPr>
            <sz val="12"/>
            <color rgb="FF000000"/>
            <rFont val="Proxima Nova"/>
            <family val="2"/>
          </rPr>
          <t>Calcul de la biomasse dans la tige (sans les branches) utilisé pour le calcul de la biomasse prélevée pour les produits bois</t>
        </r>
      </text>
    </comment>
    <comment ref="C20" authorId="0" shapeId="0" xr:uid="{BE57EDF9-01F2-124C-A66A-5CBDA6643DB8}">
      <text>
        <r>
          <rPr>
            <sz val="12"/>
            <color rgb="FF000000"/>
            <rFont val="Proxima Nova"/>
            <family val="2"/>
          </rPr>
          <t xml:space="preserve">Conversion du volume de bois aérien dans la forêt en biomasse (matière sèche)
</t>
        </r>
      </text>
    </comment>
    <comment ref="C21" authorId="0" shapeId="0" xr:uid="{355DFA92-37B1-C344-8E29-5C8091ACD1AF}">
      <text>
        <r>
          <rPr>
            <sz val="12"/>
            <color rgb="FF000000"/>
            <rFont val="Proxima Nova"/>
            <family val="2"/>
          </rPr>
          <t xml:space="preserve">Calcul de la biomasse racinaire en tMS (cf. équation 13 p. 27)
</t>
        </r>
      </text>
    </comment>
    <comment ref="C22" authorId="0" shapeId="0" xr:uid="{45B74F8F-E3A7-ED49-8657-6F07B5A1794C}">
      <text>
        <r>
          <rPr>
            <sz val="12"/>
            <color rgb="FF000000"/>
            <rFont val="Proxima Nova"/>
            <family val="2"/>
          </rPr>
          <t xml:space="preserve">Calcul de la biomasse totale du scénario de projet : elle est constante à 5tC/ha en scénario agricole, nulle en prairie ou pâture, et croissante d'1 m3/ha/an pour le scénario d'embroussaillement (à adapter en fonction des essences colonisatrices dans le tableau en haut de la feuille de calcul du scénario de référence)
</t>
        </r>
      </text>
    </comment>
    <comment ref="B25" authorId="0" shapeId="0" xr:uid="{72C97EE3-208F-604B-BAB3-A5CDEAD9AF38}">
      <text>
        <r>
          <rPr>
            <sz val="12"/>
            <color rgb="FF000000"/>
            <rFont val="Proxima Nova"/>
            <family val="2"/>
          </rPr>
          <t xml:space="preserve">Taux de prélèvement, mis un peu au hasard par manque d'informations
</t>
        </r>
      </text>
    </comment>
    <comment ref="B26" authorId="0" shapeId="0" xr:uid="{26DD3A86-909D-BC44-9E18-FA5A8275CE2F}">
      <text>
        <r>
          <rPr>
            <sz val="12"/>
            <color rgb="FF000000"/>
            <rFont val="Proxima Nova"/>
            <family val="2"/>
          </rPr>
          <t>Stock de carbone dans la biomasse prélevée</t>
        </r>
      </text>
    </comment>
    <comment ref="B27" authorId="0" shapeId="0" xr:uid="{1FB27758-1FE9-7940-8D0B-8F62ACC578D6}">
      <text>
        <r>
          <rPr>
            <sz val="12"/>
            <color rgb="FF000000"/>
            <rFont val="Proxima Nova"/>
            <family val="2"/>
          </rPr>
          <t xml:space="preserve">La répartition entre les différents types de produits bois est déterminée à partir du tableau 6 p. 20 de la méthode : pour les bois énergie, Il s'agit de 100% des prélèvements pour les feuillus sauf peupliers.
</t>
        </r>
        <r>
          <rPr>
            <sz val="12"/>
            <color rgb="FF000000"/>
            <rFont val="Proxima Nova"/>
            <family val="2"/>
          </rPr>
          <t>Cette ligne doit être adaptée en fonction de la trajectoire sylvicole et des essences du projet.</t>
        </r>
      </text>
    </comment>
    <comment ref="B29" authorId="0" shapeId="0" xr:uid="{DCF041CE-4D44-3741-8C82-03D2D4296512}">
      <text>
        <r>
          <rPr>
            <sz val="12"/>
            <color rgb="FF000000"/>
            <rFont val="Proxima Nova"/>
            <family val="2"/>
          </rPr>
          <t xml:space="preserve">Le stockage de carbone dans le bois énergie est considéré comme nul (cf. p. 18 de la méthode)
</t>
        </r>
      </text>
    </comment>
    <comment ref="B30" authorId="0" shapeId="0" xr:uid="{EBE76F63-A111-614E-9A4A-7A5841CC394E}">
      <text>
        <r>
          <rPr>
            <sz val="12"/>
            <color rgb="FF000000"/>
            <rFont val="Proxima Nova"/>
            <family val="2"/>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énergie, ce coefficient est de 0,25.
</t>
        </r>
      </text>
    </comment>
    <comment ref="B31" authorId="0" shapeId="0" xr:uid="{688B3FF0-64A2-384A-A02E-3B4232726B75}">
      <text>
        <r>
          <rPr>
            <sz val="12"/>
            <color rgb="FF000000"/>
            <rFont val="Proxima Nova"/>
            <family val="2"/>
          </rPr>
          <t xml:space="preserve">La répartition entre les différents types de produits bois est déterminée à partir du tableau 6 p. 20 de la méthode : pour les bois papier, il s'agit de 44% du bois industrie, lui-même correspondant à 21% des prélèvements en peuplier, 100% en résineux, 100% de la première éclaircie de pin maritime en gestion dynamique, 75% de la deuxième éclaircie et 40% de la troisième.
</t>
        </r>
        <r>
          <rPr>
            <sz val="12"/>
            <color rgb="FF000000"/>
            <rFont val="Proxima Nova"/>
            <family val="2"/>
          </rPr>
          <t xml:space="preserve">Cette ligne doit être adaptée en fonction de la trajectoire sylvicole et des essences du projet. </t>
        </r>
      </text>
    </comment>
    <comment ref="B33" authorId="0" shapeId="0" xr:uid="{2AC8F789-BABF-4548-BEB4-D4D92340AD4A}">
      <text>
        <r>
          <rPr>
            <sz val="12"/>
            <color rgb="FF000000"/>
            <rFont val="Proxima Nova"/>
            <family val="2"/>
          </rPr>
          <t xml:space="preserve">Ce chiffre correspond à la somme des sorties de carbone via les produits bois papier (prélèvement pour papier) durant la période de 30 ans, de laquelle on ôte le relâchement de carbone via la décomposition du matériau 
</t>
        </r>
      </text>
    </comment>
    <comment ref="D33" authorId="0" shapeId="0" xr:uid="{D9572FAC-570B-2945-A1C7-AB9B9F00D2FF}">
      <text>
        <r>
          <rPr>
            <sz val="12"/>
            <color rgb="FF000000"/>
            <rFont val="Proxima Nova"/>
            <family val="2"/>
          </rPr>
          <t xml:space="preserve">Stock de carbone du bois papier calculé en fonction de la formule intégrant la fonction de décomposition du bois selon son temps de demi-vie (2 ans)
</t>
        </r>
      </text>
    </comment>
    <comment ref="B34" authorId="0" shapeId="0" xr:uid="{634FF43D-FCD1-134A-8BF7-F9CF96CBB7FC}">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papier, ce coefficient est nul car il ne remplace pas un autre matériau.</t>
        </r>
      </text>
    </comment>
    <comment ref="B35" authorId="0" shapeId="0" xr:uid="{F5E8B1B4-E37F-8242-A7D0-0F3DC9FB1BA1}">
      <text>
        <r>
          <rPr>
            <sz val="12"/>
            <color rgb="FF000000"/>
            <rFont val="Proxima Nova"/>
            <family val="2"/>
          </rPr>
          <t xml:space="preserve">La répartition entre les différents types de produits bois est déterminée à partir du tableau 6 p. 20 de la méthode : pour les bois panneaux, il s'agit de 56% du bois industrie, lui-même correspondant à 21% des prélèvements en peuplier, 100% en résineux, 100% de la première éclaircie de pin maritime en gestion dynamique, 75% de la deuxième éclaircie et 40% de la troisième.
</t>
        </r>
        <r>
          <rPr>
            <sz val="12"/>
            <color rgb="FF000000"/>
            <rFont val="Proxima Nova"/>
            <family val="2"/>
          </rPr>
          <t>Cette ligne doit être adaptée en fonction de la trajectoire sylvicole et des essences du projet.</t>
        </r>
      </text>
    </comment>
    <comment ref="B37" authorId="0" shapeId="0" xr:uid="{9B6D1C4A-D33E-6743-9A8B-6BE6FBE8B562}">
      <text>
        <r>
          <rPr>
            <sz val="12"/>
            <color rgb="FF000000"/>
            <rFont val="Proxima Nova"/>
            <family val="2"/>
          </rPr>
          <t xml:space="preserve">Ce chiffre correspond à la somme des sorties de carbone via les produits bois panneaux (prélèvement pour bois de panneaux) durant la période de 30 ans, de laquelle on ôte le relâchement de carbone via la décomposition du matériau </t>
        </r>
      </text>
    </comment>
    <comment ref="D37" authorId="0" shapeId="0" xr:uid="{B87548F6-D525-4044-90AA-13754F76C060}">
      <text>
        <r>
          <rPr>
            <sz val="12"/>
            <color rgb="FF000000"/>
            <rFont val="Proxima Nova"/>
            <family val="2"/>
          </rPr>
          <t xml:space="preserve">Stock de carbone du bois panneaux calculé en fonction de la formule intégrant la fonction de décomposition du bois selon son temps de demi-vie (25 ans)
</t>
        </r>
      </text>
    </comment>
    <comment ref="B38" authorId="0" shapeId="0" xr:uid="{2C0699FC-FADE-204D-AC72-097B031CB145}">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panneaux, ce coefficient est de 0,77.</t>
        </r>
      </text>
    </comment>
    <comment ref="B39" authorId="0" shapeId="0" xr:uid="{6ABEAE6B-A37E-7A4D-B7A0-D1AAA11A5E6D}">
      <text>
        <r>
          <rPr>
            <sz val="12"/>
            <color rgb="FF000000"/>
            <rFont val="Proxima Nova"/>
            <family val="2"/>
          </rPr>
          <t xml:space="preserve">La répartition entre les différents types de produits bois est déterminée à partir du tableau 6 p. 20 de la méthode : pour les bois de sciage, il s'agit de 77% des prélèvements en peuplier, 25% de la deuxième éclaircie de pin maritime en gestion dynamique, 60% de la troisième.
</t>
        </r>
        <r>
          <rPr>
            <sz val="12"/>
            <color rgb="FF000000"/>
            <rFont val="Proxima Nova"/>
            <family val="2"/>
          </rPr>
          <t xml:space="preserve">Cette ligne doit être adaptée en fonction de la trajectoire sylvicole et des essences du projet. </t>
        </r>
      </text>
    </comment>
    <comment ref="B41" authorId="0" shapeId="0" xr:uid="{377282DC-860B-C747-91DC-F5AE054B6A17}">
      <text>
        <r>
          <rPr>
            <sz val="12"/>
            <color rgb="FF000000"/>
            <rFont val="Proxima Nova"/>
            <family val="2"/>
          </rPr>
          <t xml:space="preserve">Ce chiffre correspond à la somme des sorties de carbone via les produits bois sciage (prélèvement pour bois sciage) durant la période de 30 ans, de laquelle on ôte le relâchement de carbone via la décomposition du matériau </t>
        </r>
        <r>
          <rPr>
            <sz val="12"/>
            <color rgb="FF000000"/>
            <rFont val="Proxima Nova"/>
            <family val="2"/>
          </rPr>
          <t xml:space="preserve">
</t>
        </r>
      </text>
    </comment>
    <comment ref="D41" authorId="0" shapeId="0" xr:uid="{F1AD2380-D552-4940-9E6B-71F2F4597CEF}">
      <text>
        <r>
          <rPr>
            <sz val="12"/>
            <color rgb="FF000000"/>
            <rFont val="Proxima Nova"/>
            <family val="2"/>
          </rPr>
          <t xml:space="preserve">Stock de carbone du bois panneaux calculé en fonction de la formule intégrant la fonction de décomposition du bois selon son temps de demi-vie (35 ans)
</t>
        </r>
      </text>
    </comment>
    <comment ref="B42" authorId="0" shapeId="0" xr:uid="{055029DC-D7F0-2041-B930-D19A7BC51A12}">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de sciage, ce coefficient est de 1,52.</t>
        </r>
      </text>
    </comment>
    <comment ref="A45" authorId="0" shapeId="0" xr:uid="{1857D749-F4EA-6D4B-B55C-F332F3FA94BE}">
      <text>
        <r>
          <rPr>
            <sz val="12"/>
            <color rgb="FF000000"/>
            <rFont val="Proxima Nova"/>
            <family val="2"/>
          </rPr>
          <t>REA forêt + REA produits bois (direct)</t>
        </r>
      </text>
    </comment>
    <comment ref="A46" authorId="0" shapeId="0" xr:uid="{92552DFA-2B7C-E441-A98E-D88D25DA4473}">
      <text>
        <r>
          <rPr>
            <sz val="12"/>
            <color rgb="FF000000"/>
            <rFont val="Proxima Nova"/>
            <family val="2"/>
          </rPr>
          <t xml:space="preserve">Substitution énergétique (indirect)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Carole Renner</author>
  </authors>
  <commentList>
    <comment ref="B2" authorId="0" shapeId="0" xr:uid="{B4BA34C3-41F6-DB42-A217-EEA17B89CAA8}">
      <text>
        <r>
          <rPr>
            <u/>
            <sz val="12"/>
            <color rgb="FF000000"/>
            <rFont val="Proxima Nova"/>
            <family val="2"/>
          </rPr>
          <t>Source</t>
        </r>
        <r>
          <rPr>
            <sz val="12"/>
            <color rgb="FF000000"/>
            <rFont val="Proxima Nova"/>
            <family val="2"/>
          </rPr>
          <t xml:space="preserve"> : Vade-mecum du forestier édition 2016, Société Forestière de Franche-Comté et des Provinces de l'Est
</t>
        </r>
      </text>
    </comment>
    <comment ref="E2" authorId="0" shapeId="0" xr:uid="{F665D37F-44C2-3C4B-814E-7ACDF5FF433C}">
      <text>
        <r>
          <rPr>
            <sz val="12"/>
            <color rgb="FF000000"/>
            <rFont val="Proxima Nova"/>
            <family val="2"/>
          </rPr>
          <t>Voir équation 11 p. 21 pour la conversion en biomasse aérienne avec l'infradensité par essence (disponible dans l'onglet COEFFICIENTS)</t>
        </r>
      </text>
    </comment>
    <comment ref="F2" authorId="0" shapeId="0" xr:uid="{DF432DA9-2D00-BD45-8002-F4DE284A4573}">
      <text>
        <r>
          <rPr>
            <sz val="12"/>
            <color rgb="FF000000"/>
            <rFont val="Proxima Nova"/>
            <family val="2"/>
          </rPr>
          <t>Utilisation du facteur d'expansion branches (disponible dans l'onglet COEFFICIENTS)</t>
        </r>
        <r>
          <rPr>
            <sz val="10"/>
            <color rgb="FF000000"/>
            <rFont val="Calibri"/>
            <family val="2"/>
            <scheme val="minor"/>
          </rPr>
          <t xml:space="preserve"> </t>
        </r>
      </text>
    </comment>
    <comment ref="G2" authorId="0" shapeId="0" xr:uid="{749C7D7A-7226-6846-AB4D-CE822B18DE31}">
      <text>
        <r>
          <rPr>
            <sz val="12"/>
            <color rgb="FF000000"/>
            <rFont val="Proxima Nova"/>
            <family val="2"/>
          </rPr>
          <t>Voir équation 11 p. 21 pour la conversion en biomasse aérienne avec l'infradensité par essence (disponible dans l'onglet COEFFICIENTS)</t>
        </r>
      </text>
    </comment>
    <comment ref="P27" authorId="0" shapeId="0" xr:uid="{29A421AD-6E07-B540-A4A7-5A3F87E21795}">
      <text>
        <r>
          <rPr>
            <sz val="12"/>
            <color rgb="FF000000"/>
            <rFont val="Proxima Nova"/>
            <family val="2"/>
          </rPr>
          <t xml:space="preserve">Recettes issues des ventes de bois lors des éclaircies et à la coupe finale durant la durée de révolution des essences plantées.
</t>
        </r>
      </text>
    </comment>
    <comment ref="P28" authorId="0" shapeId="0" xr:uid="{F77F25A8-9107-234B-959B-D631C28F355B}">
      <text>
        <r>
          <rPr>
            <sz val="12"/>
            <color rgb="FF000000"/>
            <rFont val="Proxima Nova"/>
            <family val="2"/>
          </rPr>
          <t xml:space="preserve">Comprend les dépenses lors du boisement et durant l'itinéraire sylvicole jusqu'à révolution des essences plantées.
</t>
        </r>
      </text>
    </comment>
    <comment ref="O30" authorId="0" shapeId="0" xr:uid="{BA2ADF5C-4C06-3B47-A1BB-2EC86409637A}">
      <text>
        <r>
          <rPr>
            <sz val="12"/>
            <color rgb="FF000000"/>
            <rFont val="Proxima Nova"/>
            <family val="2"/>
          </rPr>
          <t xml:space="preserve">Cf. équation 2 p. 9
</t>
        </r>
      </text>
    </comment>
    <comment ref="P30" authorId="0" shapeId="0" xr:uid="{F86A1D67-B7B7-CC46-AA04-2A69BD3B90DD}">
      <text>
        <r>
          <rPr>
            <sz val="12"/>
            <color rgb="FF000000"/>
            <rFont val="Proxima Nova"/>
            <family val="2"/>
          </rPr>
          <t xml:space="preserve">A renseigner en fonction de l'itinéraire sylvicole sur </t>
        </r>
        <r>
          <rPr>
            <b/>
            <sz val="12"/>
            <color rgb="FF000000"/>
            <rFont val="Proxima Nova"/>
            <family val="2"/>
          </rPr>
          <t>toute la durée de révolution de l'essence</t>
        </r>
        <r>
          <rPr>
            <sz val="12"/>
            <color rgb="FF000000"/>
            <rFont val="Proxima Nova"/>
            <family val="2"/>
          </rPr>
          <t xml:space="preserve">. Le bilan financier, en effet, ne s'arrête pas au bout des 30 ans au cours desquels les réductions d'émissions générées sont comptabilisées. </t>
        </r>
        <r>
          <rPr>
            <b/>
            <sz val="10"/>
            <color rgb="FF000000"/>
            <rFont val="Tahoma"/>
            <family val="2"/>
          </rPr>
          <t xml:space="preserve"> </t>
        </r>
        <r>
          <rPr>
            <sz val="10"/>
            <color rgb="FF000000"/>
            <rFont val="Tahoma"/>
            <family val="2"/>
          </rPr>
          <t xml:space="preserve">
</t>
        </r>
      </text>
    </comment>
    <comment ref="P31" authorId="0" shapeId="0" xr:uid="{F6DD4487-3B71-3447-A85A-95DA4F61674B}">
      <text>
        <r>
          <rPr>
            <sz val="12"/>
            <color rgb="FF000000"/>
            <rFont val="Proxima Nova"/>
            <family val="2"/>
          </rPr>
          <t xml:space="preserve">Recettes issues des ventes de bois lors des éclaircies et à la coupe finale durant la durée de révolution des essences plantées.
</t>
        </r>
      </text>
    </comment>
    <comment ref="P32" authorId="0" shapeId="0" xr:uid="{8F0DC183-D305-E543-923C-6AA91EDF419D}">
      <text>
        <r>
          <rPr>
            <sz val="12"/>
            <color rgb="FF000000"/>
            <rFont val="Proxima Nova"/>
            <family val="2"/>
          </rPr>
          <t xml:space="preserve">Comprend les dépenses lors du reboisement et durant l'itinéraire sylvicole jusqu'à révolution des essences plantées.
</t>
        </r>
      </text>
    </comment>
    <comment ref="C38" authorId="0" shapeId="0" xr:uid="{FD1322F7-D058-2740-92C1-56FF314BD94F}">
      <text>
        <r>
          <rPr>
            <sz val="12"/>
            <color rgb="FF000000"/>
            <rFont val="Proxima Nova"/>
            <family val="2"/>
          </rPr>
          <t>Calcul de la biomasse dans la tige (sans les branches) utilisé pour le calcul de la biomasse prélevée pour les produits bois</t>
        </r>
      </text>
    </comment>
    <comment ref="C39" authorId="0" shapeId="0" xr:uid="{741C5B6A-E421-3841-81ED-836EDB3E9F71}">
      <text>
        <r>
          <rPr>
            <sz val="12"/>
            <color rgb="FF000000"/>
            <rFont val="Proxima Nova"/>
            <family val="2"/>
          </rPr>
          <t>Dans cette ligne est modélisée l'évolution annuelle du volume de bois de la forêt, en comptant les branches des arbres, pour le calcul des RE biomasse</t>
        </r>
      </text>
    </comment>
    <comment ref="C40" authorId="0" shapeId="0" xr:uid="{53F6E803-DFC8-FD4D-BD86-008575837751}">
      <text>
        <r>
          <rPr>
            <sz val="12"/>
            <color rgb="FF000000"/>
            <rFont val="Proxima Nova"/>
            <family val="2"/>
          </rPr>
          <t xml:space="preserve">Conversion du volume de bois aérien dans la forêt en biomasse (matière sèche)
</t>
        </r>
      </text>
    </comment>
    <comment ref="C41" authorId="0" shapeId="0" xr:uid="{DB5DC3DB-456D-2649-8A36-E033CAB19831}">
      <text>
        <r>
          <rPr>
            <sz val="12"/>
            <color rgb="FF000000"/>
            <rFont val="Proxima Nova"/>
            <family val="2"/>
          </rPr>
          <t xml:space="preserve">Calcul de la biomasse racinaire en tMS (cf. équation 13 p. 22)
</t>
        </r>
      </text>
    </comment>
    <comment ref="B42" authorId="0" shapeId="0" xr:uid="{BFFC1B18-4D68-1A4B-93B3-488F74BE6343}">
      <text>
        <r>
          <rPr>
            <sz val="12"/>
            <color rgb="FF000000"/>
            <rFont val="Proxima Nova"/>
            <family val="2"/>
          </rPr>
          <t xml:space="preserve">Prend en compte la différence de stock à 30 ans </t>
        </r>
        <r>
          <rPr>
            <sz val="12"/>
            <color rgb="FF000000"/>
            <rFont val="Proxima Nova"/>
            <family val="2"/>
          </rPr>
          <t xml:space="preserve">entre le scénario de projet et le scénario de référence </t>
        </r>
        <r>
          <rPr>
            <sz val="12"/>
            <color rgb="FF000000"/>
            <rFont val="Proxima Nova"/>
            <family val="2"/>
          </rPr>
          <t xml:space="preserve">
</t>
        </r>
      </text>
    </comment>
    <comment ref="C42" authorId="0" shapeId="0" xr:uid="{21031C70-8CD7-C841-81E7-6E657F25C3BE}">
      <text>
        <r>
          <rPr>
            <sz val="12"/>
            <color rgb="FF000000"/>
            <rFont val="Proxima Nova"/>
            <family val="2"/>
          </rPr>
          <t xml:space="preserve">Estimation de l'ensemble de la biomasse (aérienne + racinaire), ensuite convertie en stock de carbone
</t>
        </r>
      </text>
    </comment>
    <comment ref="B43" authorId="0" shapeId="0" xr:uid="{A05FDFBA-7631-0542-B8D1-ED58B721C18F}">
      <text>
        <r>
          <rPr>
            <sz val="12"/>
            <color rgb="FF000000"/>
            <rFont val="Proxima Nova"/>
            <family val="2"/>
          </rPr>
          <t>Prend en compte la différence de stock à 30 ans, entre le scénario de projet et le scénario de référence</t>
        </r>
      </text>
    </comment>
    <comment ref="C43" authorId="0" shapeId="0" xr:uid="{904A0863-D66E-AE41-AE00-5BB83E17235F}">
      <text>
        <r>
          <rPr>
            <sz val="12"/>
            <color rgb="FF000000"/>
            <rFont val="Proxima Nova"/>
            <family val="2"/>
          </rPr>
          <t xml:space="preserve">Estimation de la différence de stock de carbone dans les sols entre le scénario de projet et de référence : </t>
        </r>
        <r>
          <rPr>
            <sz val="12"/>
            <color rgb="FF000000"/>
            <rFont val="Proxima Nova"/>
            <family val="2"/>
          </rPr>
          <t xml:space="preserve">les projets prévoyant la récolte des rémanents à la coupe rase sont inéligibles à la méthode. La seule récolte des tiges de bois fort n'ayant pas d'effet significatif sur le stock carbone du sol (Achat et al., 2015 - cf. paragraphe 7.1.4 p. 27), on considère qu'il n'y a pas d'évolution dans ce poste.
</t>
        </r>
      </text>
    </comment>
    <comment ref="B44" authorId="0" shapeId="0" xr:uid="{1CF48FED-2C44-834A-BA3C-20AAE07D9B22}">
      <text>
        <r>
          <rPr>
            <sz val="12"/>
            <color rgb="FF000000"/>
            <rFont val="Proxima Nova"/>
            <family val="2"/>
          </rPr>
          <t>Prend en compte la différence de stock à 30 ans, entre le scénario de projet et le scénario de référence</t>
        </r>
      </text>
    </comment>
    <comment ref="C44" authorId="0" shapeId="0" xr:uid="{78846255-3004-ED47-B596-988186A75BED}">
      <text>
        <r>
          <rPr>
            <sz val="12"/>
            <color rgb="FF000000"/>
            <rFont val="Proxima Nova"/>
            <family val="2"/>
          </rPr>
          <t>Modélisation de l'évolution du stock de carbone dans la litière : pour un projet de reboisement avec perturbation du sol, on part d'un scénario où l'ensemble du carbone de la litière a été relâché. Pour un projet de reboisement avec nettoyage partiel, on part d'un scénario où 50% du stock de carbone de la litière, soit 5tC/ha, est maintenu (cf. paragraphe 7.1.5 p. 27)</t>
        </r>
      </text>
    </comment>
    <comment ref="B45" authorId="0" shapeId="0" xr:uid="{BDA5D7E5-BA00-4444-8701-56F65964AED5}">
      <text>
        <r>
          <rPr>
            <sz val="12"/>
            <color rgb="FF000000"/>
            <rFont val="Proxima Nova"/>
            <family val="2"/>
          </rPr>
          <t>Somme des différences de stocks de la forêt convertis en tonnes de CO2 (cf. équation 7 p. 17)</t>
        </r>
      </text>
    </comment>
    <comment ref="B46" authorId="0" shapeId="0" xr:uid="{6245B825-B80C-7240-9508-0CA2C87331F6}">
      <text>
        <r>
          <rPr>
            <sz val="12"/>
            <color rgb="FF000000"/>
            <rFont val="Proxima Nova"/>
            <family val="2"/>
          </rPr>
          <t xml:space="preserve">Taux de prélèvement, mis un peu au hasard par manque d'informations
</t>
        </r>
      </text>
    </comment>
    <comment ref="B47" authorId="0" shapeId="0" xr:uid="{7623CE8D-AF65-FB49-9908-E9C4A315E8D2}">
      <text>
        <r>
          <rPr>
            <sz val="12"/>
            <color rgb="FF000000"/>
            <rFont val="Proxima Nova"/>
            <family val="2"/>
          </rPr>
          <t>Stock de carbone dans la biomasse prélevée</t>
        </r>
      </text>
    </comment>
    <comment ref="B48" authorId="0" shapeId="0" xr:uid="{9E1C8DB2-AFEA-F84D-9E02-16162FCE6EFC}">
      <text>
        <r>
          <rPr>
            <sz val="12"/>
            <color rgb="FF000000"/>
            <rFont val="Proxima Nova"/>
            <family val="2"/>
          </rPr>
          <t xml:space="preserve">La répartition entre les différents types de produits bois est déterminée à partir du tableau 6 p. 20 de la méthode : pour les bois énergie, Il s'agit de 100% des prélèvements pour les feuillus sauf peupliers.
</t>
        </r>
        <r>
          <rPr>
            <sz val="12"/>
            <color rgb="FF000000"/>
            <rFont val="Proxima Nova"/>
            <family val="2"/>
          </rPr>
          <t>Cette ligne doit être adaptée en fonction de la trajectoire sylvicole et des essences du projet. La justesse des taux de prélèvement indiqués / calculés est indiquée en bas de tableau.</t>
        </r>
      </text>
    </comment>
    <comment ref="B50" authorId="0" shapeId="0" xr:uid="{08E99AB0-7B0C-2441-9958-EEC5D12668D8}">
      <text>
        <r>
          <rPr>
            <sz val="12"/>
            <color rgb="FF000000"/>
            <rFont val="Proxima Nova"/>
            <family val="2"/>
          </rPr>
          <t xml:space="preserve">Le stockage de carbone dans le bois énergie est considéré comme nul (cf. p. 18 de la méthode)
</t>
        </r>
      </text>
    </comment>
    <comment ref="B51" authorId="0" shapeId="0" xr:uid="{5B63783D-E596-A844-BAF5-85A6949A9D40}">
      <text>
        <r>
          <rPr>
            <sz val="12"/>
            <color rgb="FF000000"/>
            <rFont val="Proxima Nova"/>
            <family val="2"/>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énergie, ce coefficient est de 0,25.
</t>
        </r>
      </text>
    </comment>
    <comment ref="C51" authorId="0" shapeId="0" xr:uid="{F7498D78-64A2-EB44-A8DE-EB91BFBF672F}">
      <text>
        <r>
          <rPr>
            <sz val="12"/>
            <color rgb="FF000000"/>
            <rFont val="Proxima Nova"/>
            <family val="2"/>
          </rPr>
          <t xml:space="preserve">L'équation utilisée pour ce calcul intègre directement la différence entre les stocks du projet et de référence (cf. équation 10 p. 18)
</t>
        </r>
      </text>
    </comment>
    <comment ref="B52" authorId="0" shapeId="0" xr:uid="{8B5BC7FA-EA2A-DD42-95F8-BD7E55AB9C0D}">
      <text>
        <r>
          <rPr>
            <sz val="12"/>
            <color rgb="FF000000"/>
            <rFont val="Proxima Nova"/>
            <family val="2"/>
          </rPr>
          <t xml:space="preserve">La répartition entre les différents types de produits bois est déterminée à partir du tableau 6 p. 20 de la méthode : pour les bois papier, il s'agit de 44% du bois industrie, lui-même correspondant à 21% des prélèvements en peuplier, 100% en résineux, 100% de la première éclaircie de pin maritime en gestion dynamique, 75% de la deuxième éclaircie et 40% de la troisième.
</t>
        </r>
        <r>
          <rPr>
            <sz val="12"/>
            <color rgb="FF000000"/>
            <rFont val="Proxima Nova"/>
            <family val="2"/>
          </rPr>
          <t xml:space="preserve">Cette ligne doit être adaptée en fonction de la trajectoire sylvicole et des essences du projet. La justesse des taux de prélèvement indiqués / calculés est indiquée en bas de tableau. </t>
        </r>
      </text>
    </comment>
    <comment ref="B54" authorId="0" shapeId="0" xr:uid="{6AA96359-65AF-2042-8017-F9481D3D84DE}">
      <text>
        <r>
          <rPr>
            <sz val="12"/>
            <color rgb="FF000000"/>
            <rFont val="Proxima Nova"/>
            <family val="2"/>
          </rPr>
          <t xml:space="preserve">Ce chiffre correspond à la somme des sorties de carbone via les produits bois papier (prélèvement pour papier) durant la période de 30 ans, de laquelle on ôte le relâchement de carbone via la décomposition du matériau 
</t>
        </r>
      </text>
    </comment>
    <comment ref="D54" authorId="0" shapeId="0" xr:uid="{623D6065-9114-6C4C-A7AF-B441224D0F6E}">
      <text>
        <r>
          <rPr>
            <sz val="12"/>
            <color rgb="FF000000"/>
            <rFont val="Proxima Nova"/>
            <family val="2"/>
          </rPr>
          <t>Stock de carbone du bois papier calculé en fonction de la formule intégrant la fonction de décomposition du bois selon son temps de demi-vie (2 ans) (cf. équation 9 p. 18)</t>
        </r>
      </text>
    </comment>
    <comment ref="B55" authorId="0" shapeId="0" xr:uid="{D4B0BE81-5523-6147-B3FD-12D30DE50232}">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papier, ce coefficient est nul car il ne remplace pas un autre matériau.</t>
        </r>
      </text>
    </comment>
    <comment ref="C55" authorId="0" shapeId="0" xr:uid="{E2A25599-AE40-C944-A3E0-DC70CDD46FE3}">
      <text>
        <r>
          <rPr>
            <sz val="12"/>
            <color rgb="FF000000"/>
            <rFont val="Proxima Nova"/>
            <family val="2"/>
          </rPr>
          <t xml:space="preserve">L'équation utilisée pour ce calcul intègre directement la différence entre les stocks du projet et de référence (cf. équation 10 p. 18)
</t>
        </r>
      </text>
    </comment>
    <comment ref="B56" authorId="0" shapeId="0" xr:uid="{3BFF9BFE-1B25-D04B-8CFE-CBCD22FE0C52}">
      <text>
        <r>
          <rPr>
            <sz val="12"/>
            <color rgb="FF000000"/>
            <rFont val="Proxima Nova"/>
            <family val="2"/>
          </rPr>
          <t xml:space="preserve">La répartition entre les différents types de produits bois est déterminée à partir du tableau 6 p. 20 de la méthode : pour les bois panneaux, il s'agit de 56% du bois industrie, lui-même correspondant à 21% des prélèvements en peuplier, 100% en résineux, 100% de la première éclaircie de pin maritime en gestion dynamique, 75% de la deuxième éclaircie et 40% de la troisième.
</t>
        </r>
        <r>
          <rPr>
            <sz val="12"/>
            <color rgb="FF000000"/>
            <rFont val="Proxima Nova"/>
            <family val="2"/>
          </rPr>
          <t xml:space="preserve">Cette ligne doit être adaptée en fonction de la trajectoire sylvicole et des essences du projet. </t>
        </r>
        <r>
          <rPr>
            <sz val="12"/>
            <color rgb="FF000000"/>
            <rFont val="Proxima Nova"/>
            <family val="2"/>
          </rPr>
          <t xml:space="preserve">La justesse des taux de prélèvement indiqués / calculés est indiquée en bas de tableau. </t>
        </r>
      </text>
    </comment>
    <comment ref="B58" authorId="0" shapeId="0" xr:uid="{3E4DFDA2-F1E9-D94F-8396-CA62058AADEF}">
      <text>
        <r>
          <rPr>
            <sz val="12"/>
            <color rgb="FF000000"/>
            <rFont val="Proxima Nova"/>
            <family val="2"/>
          </rPr>
          <t xml:space="preserve">Ce chiffre correspond à la somme des sorties de carbone via les produits bois panneaux (prélèvement pour bois de panneaux) durant la période de 30 ans, de laquelle on ôte le relâchement de carbone via la décomposition du matériau </t>
        </r>
      </text>
    </comment>
    <comment ref="D58" authorId="0" shapeId="0" xr:uid="{56919381-0305-D248-8A0B-6746FF248872}">
      <text>
        <r>
          <rPr>
            <sz val="12"/>
            <color rgb="FF000000"/>
            <rFont val="Proxima Nova"/>
            <family val="2"/>
          </rPr>
          <t xml:space="preserve">Stock de carbone du bois panneaux calculé en fonction de la formule intégrant la fonction de décomposition du bois selon son temps de demi-vie (25 ans) (cf. équation 9 p. 18) 
</t>
        </r>
      </text>
    </comment>
    <comment ref="B59" authorId="0" shapeId="0" xr:uid="{9F27CA48-326E-4E49-8031-2D9AC870B01D}">
      <text>
        <r>
          <rPr>
            <sz val="12"/>
            <color rgb="FF000000"/>
            <rFont val="Proxima Nova"/>
            <family val="2"/>
          </rPr>
          <t>La substitution énergétique est un bénéfice indirect du projet, qui correspond à l'intérêt énergétique d'utilisation du matériau bois à la place d'un matériaux plus énergivore. Les coefficients correspondants sont indiqués dans le tableau 5 p. 19. Pour le bois panneaux, ce coefficient est de 0,77.</t>
        </r>
      </text>
    </comment>
    <comment ref="C59" authorId="0" shapeId="0" xr:uid="{31ECE08E-D3F5-CB49-A799-25F8AAD58E21}">
      <text>
        <r>
          <rPr>
            <sz val="12"/>
            <color rgb="FF000000"/>
            <rFont val="Proxima Nova"/>
            <family val="2"/>
          </rPr>
          <t xml:space="preserve">L'équation utilisée pour ce calcul intègre directement la différence entre les stocks du projet et de référence (cf. équation 10 p. 18)
</t>
        </r>
      </text>
    </comment>
    <comment ref="B60" authorId="0" shapeId="0" xr:uid="{F3E9742B-6469-6640-AFE5-A04EDC242C1C}">
      <text>
        <r>
          <rPr>
            <sz val="12"/>
            <color rgb="FF000000"/>
            <rFont val="Proxima Nova"/>
            <family val="2"/>
          </rPr>
          <t xml:space="preserve">La répartition entre les différents types de produits bois est déterminée à partir du tableau 6 p. 20 de la méthode : pour les bois de sciage, il s'agit de 77% des prélèvements en peuplier, 25% de la deuxième éclaircie de pin maritime en gestion dynamique, 60% de la troisième.
</t>
        </r>
        <r>
          <rPr>
            <sz val="12"/>
            <color rgb="FF000000"/>
            <rFont val="Proxima Nova"/>
            <family val="2"/>
          </rPr>
          <t xml:space="preserve">Cette ligne doit être adaptée en fonction de la trajectoire sylvicole et des essences du projet. La justesse des taux de prélèvement indiqués / calculés est indiquée en bas de tableau. </t>
        </r>
      </text>
    </comment>
    <comment ref="B62" authorId="0" shapeId="0" xr:uid="{5F4D2FC2-2E23-A34C-B753-24CD9E4A41C9}">
      <text>
        <r>
          <rPr>
            <sz val="12"/>
            <color rgb="FF000000"/>
            <rFont val="Proxima Nova"/>
            <family val="2"/>
          </rPr>
          <t xml:space="preserve">Ce chiffre correspond à la somme des sorties de carbone via les produits bois sciage (prélèvement pour bois sciage) durant la période de 30 ans, de laquelle on ôte le relâchement de carbone via la décomposition du matériau </t>
        </r>
        <r>
          <rPr>
            <sz val="12"/>
            <color rgb="FF000000"/>
            <rFont val="Proxima Nova"/>
            <family val="2"/>
          </rPr>
          <t xml:space="preserve">
</t>
        </r>
      </text>
    </comment>
    <comment ref="D62" authorId="0" shapeId="0" xr:uid="{B12B65EA-C05D-7846-B095-B1703F434E1F}">
      <text>
        <r>
          <rPr>
            <sz val="12"/>
            <color rgb="FF000000"/>
            <rFont val="Proxima Nova"/>
            <family val="2"/>
          </rPr>
          <t xml:space="preserve">Stock de carbone du bois de sciage calculé en fonction de la formule intégrant la fonction de décomposition du bois selon son temps de demi-vie (35 ans) (cf. équation 9 p. 18) 
</t>
        </r>
      </text>
    </comment>
    <comment ref="B63" authorId="0" shapeId="0" xr:uid="{B40696C1-54CC-0A4C-88C8-4CA06252A06B}">
      <text>
        <r>
          <rPr>
            <sz val="12"/>
            <color rgb="FF000000"/>
            <rFont val="Proxima Nova"/>
            <family val="2"/>
          </rPr>
          <t>La substitution énergétique est un bénéfice indirect du projet, qui correspond à l'intérêt énergétique d'utilisation du matériau bois à la place d'un matériau plus énergivore. Les coefficients correspondants sont indiqués dans le tableau 5 p. 19. Pour le bois de sciage, ce coefficient est de 1,52.</t>
        </r>
      </text>
    </comment>
    <comment ref="C63" authorId="0" shapeId="0" xr:uid="{7E2EB526-0414-4E45-9551-57AF7C7A1232}">
      <text>
        <r>
          <rPr>
            <sz val="12"/>
            <color rgb="FF000000"/>
            <rFont val="Proxima Nova"/>
            <family val="2"/>
          </rPr>
          <t xml:space="preserve">L'équation utilisée pour ce calcul intègre directement la différence entre les stocks du projet et de référence (cf. équation </t>
        </r>
        <r>
          <rPr>
            <sz val="10"/>
            <color rgb="FF000000"/>
            <rFont val="Tahoma"/>
            <family val="2"/>
          </rPr>
          <t>10 p. 18)</t>
        </r>
      </text>
    </comment>
    <comment ref="A66" authorId="0" shapeId="0" xr:uid="{05A458AE-A35B-7F4E-9451-B7FEB5647680}">
      <text>
        <r>
          <rPr>
            <sz val="12"/>
            <color rgb="FF000000"/>
            <rFont val="Proxima Nova"/>
            <family val="2"/>
          </rPr>
          <t>REA forêt + REA produits bois (direct)</t>
        </r>
      </text>
    </comment>
    <comment ref="A67" authorId="0" shapeId="0" xr:uid="{49116615-D5C2-2F4C-B216-4B5D9D3DE05D}">
      <text>
        <r>
          <rPr>
            <sz val="12"/>
            <color rgb="FF000000"/>
            <rFont val="Proxima Nova"/>
            <family val="2"/>
          </rPr>
          <t xml:space="preserve">Substitution énergétique (indirect)
</t>
        </r>
      </text>
    </comment>
    <comment ref="A75" authorId="0" shapeId="0" xr:uid="{B141A00F-4115-BB41-912F-F0CD2EFECF72}">
      <text>
        <r>
          <rPr>
            <sz val="12"/>
            <color rgb="FF000000"/>
            <rFont val="Proxima Nova"/>
            <family val="2"/>
          </rPr>
          <t xml:space="preserve">Pourcentage de rabais à indiquer soi-même le cas échéant, car variable en </t>
        </r>
        <r>
          <rPr>
            <b/>
            <sz val="12"/>
            <color rgb="FF000000"/>
            <rFont val="Proxima Nova"/>
            <family val="2"/>
          </rPr>
          <t xml:space="preserve">fonction de la région </t>
        </r>
        <r>
          <rPr>
            <sz val="12"/>
            <color rgb="FF000000"/>
            <rFont val="Proxima Nova"/>
            <family val="2"/>
          </rPr>
          <t>(cf. tableau 3 p. 13-14) - pour le rabais, se référer au</t>
        </r>
        <r>
          <rPr>
            <sz val="10"/>
            <color rgb="FF000000"/>
            <rFont val="Proxima Nova"/>
            <family val="2"/>
          </rPr>
          <t xml:space="preserve"> </t>
        </r>
        <r>
          <rPr>
            <b/>
            <sz val="10"/>
            <color rgb="FF000000"/>
            <rFont val="Calibri"/>
            <family val="2"/>
            <scheme val="minor"/>
          </rPr>
          <t>PDPFCI</t>
        </r>
        <r>
          <rPr>
            <sz val="12"/>
            <color rgb="FF000000"/>
            <rFont val="Proxima Nova"/>
            <family val="2"/>
          </rPr>
          <t xml:space="preserve"> (</t>
        </r>
        <r>
          <rPr>
            <sz val="12"/>
            <color rgb="FF000000"/>
            <rFont val="Proxima Nova"/>
            <family val="2"/>
          </rPr>
          <t xml:space="preserve">plan départemental de protection des forêts contre l’incendie) </t>
        </r>
        <r>
          <rPr>
            <sz val="12"/>
            <color rgb="FF000000"/>
            <rFont val="Proxima Nova"/>
            <family val="2"/>
          </rPr>
          <t xml:space="preserve">
</t>
        </r>
      </text>
    </comment>
    <comment ref="A77" authorId="0" shapeId="0" xr:uid="{9329F406-C9F2-9D4D-B6A1-4632E4DBB259}">
      <text>
        <r>
          <rPr>
            <sz val="12"/>
            <color rgb="FF000000"/>
            <rFont val="Proxima Nova"/>
            <family val="2"/>
          </rPr>
          <t xml:space="preserve">Pourcentage de rabais à renseigner une fois la vérification effectuée (cf. paragraphe 8.2 p. 25)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Carole Renner</author>
  </authors>
  <commentList>
    <comment ref="A4" authorId="0" shapeId="0" xr:uid="{D49BECDF-74E2-7345-AB4A-114B64531593}">
      <text>
        <r>
          <rPr>
            <sz val="12"/>
            <color rgb="FF000000"/>
            <rFont val="Proxima Nova"/>
            <family val="2"/>
          </rPr>
          <t xml:space="preserve">D'après Hein et al., 2011
</t>
        </r>
      </text>
    </comment>
    <comment ref="A10" authorId="0" shapeId="0" xr:uid="{1E3CF804-7F41-5B4E-B4FE-A74F74310A98}">
      <text>
        <r>
          <rPr>
            <sz val="12"/>
            <color rgb="FF000000"/>
            <rFont val="Proxima Nova"/>
            <family val="2"/>
          </rPr>
          <t xml:space="preserve">D'après Hein et al. 2011
</t>
        </r>
      </text>
    </comment>
    <comment ref="A13" authorId="0" shapeId="0" xr:uid="{8881B787-88A1-164C-9ED7-69560A8FA5A1}">
      <text>
        <r>
          <rPr>
            <sz val="12"/>
            <color rgb="FF000000"/>
            <rFont val="Proxima Nova"/>
            <family val="2"/>
          </rPr>
          <t>D'après une courbe de tendance polynomiale faite à partir de la relation hauteur-volume de Hynynen et al., 2009</t>
        </r>
      </text>
    </comment>
    <comment ref="AG14" authorId="0" shapeId="0" xr:uid="{2DD723A6-4293-E644-BFB6-31BE3606F3D3}">
      <text>
        <r>
          <rPr>
            <sz val="12"/>
            <color rgb="FF000000"/>
            <rFont val="Proxima Nova"/>
            <family val="2"/>
          </rPr>
          <t>D'après Hynynen et al., 2009</t>
        </r>
      </text>
    </comment>
    <comment ref="A39" authorId="0" shapeId="0" xr:uid="{9337B55A-3C27-8F44-93CC-643EC51A09D3}">
      <text>
        <r>
          <rPr>
            <sz val="12"/>
            <color rgb="FF000000"/>
            <rFont val="Proxima Nova"/>
            <family val="2"/>
          </rPr>
          <t>ENGREF, 2000</t>
        </r>
      </text>
    </comment>
    <comment ref="C39" authorId="0" shapeId="0" xr:uid="{D096122A-E355-524B-AEBC-451008781F8E}">
      <text>
        <r>
          <rPr>
            <sz val="12"/>
            <color rgb="FF000000"/>
            <rFont val="Proxima Nova"/>
            <family val="2"/>
          </rPr>
          <t xml:space="preserve">Picardie
</t>
        </r>
      </text>
    </comment>
    <comment ref="C40" authorId="0" shapeId="0" xr:uid="{413D653A-C040-DC44-B64A-414BFDC161E6}">
      <text>
        <r>
          <rPr>
            <sz val="12"/>
            <color rgb="FF000000"/>
            <rFont val="Proxima Nova"/>
            <family val="2"/>
          </rPr>
          <t>Lorraine</t>
        </r>
      </text>
    </comment>
    <comment ref="C41" authorId="0" shapeId="0" xr:uid="{3C064FC4-8912-414D-AA52-2E892AC6A8AF}">
      <text>
        <r>
          <rPr>
            <sz val="12"/>
            <color rgb="FF000000"/>
            <rFont val="Proxima Nova"/>
            <family val="2"/>
          </rPr>
          <t xml:space="preserve">Normandie
</t>
        </r>
      </text>
    </comment>
    <comment ref="A42" authorId="0" shapeId="0" xr:uid="{46478B22-BAF6-1F47-B8B9-F3776ACA9797}">
      <text>
        <r>
          <rPr>
            <sz val="12"/>
            <color rgb="FF000000"/>
            <rFont val="Proxima Nova"/>
            <family val="2"/>
          </rPr>
          <t xml:space="preserve">Dhote, 1997
</t>
        </r>
      </text>
    </comment>
    <comment ref="A44" authorId="0" shapeId="0" xr:uid="{2FE6B077-A488-0E48-9433-683D4FD0763C}">
      <text>
        <r>
          <rPr>
            <sz val="12"/>
            <color rgb="FF000000"/>
            <rFont val="Proxima Nova"/>
            <family val="2"/>
          </rPr>
          <t>D'après Sanchez de Medina et al., 2007</t>
        </r>
      </text>
    </comment>
    <comment ref="AG49" authorId="0" shapeId="0" xr:uid="{5B8A01FA-08DB-A74F-BD55-941EF6DBB1C1}">
      <text>
        <r>
          <rPr>
            <sz val="12"/>
            <color rgb="FF000000"/>
            <rFont val="Proxima Nova"/>
            <family val="2"/>
          </rPr>
          <t>Bastien et al., 2005</t>
        </r>
      </text>
    </comment>
    <comment ref="A68" authorId="0" shapeId="0" xr:uid="{E17AA02E-B3C5-7F4C-A6BE-7C14BFDF802E}">
      <text>
        <r>
          <rPr>
            <sz val="12"/>
            <color rgb="FF000000"/>
            <rFont val="Proxima Nova"/>
            <family val="2"/>
          </rPr>
          <t xml:space="preserve">D'après </t>
        </r>
        <r>
          <rPr>
            <sz val="12"/>
            <color rgb="FF000000"/>
            <rFont val="Proxima Nova"/>
            <family val="2"/>
          </rPr>
          <t xml:space="preserve">Duplat and Tran-Ha, 1997 dans </t>
        </r>
        <r>
          <rPr>
            <sz val="12"/>
            <color rgb="FF000000"/>
            <rFont val="Proxima Nova"/>
            <family val="2"/>
          </rPr>
          <t>Le Moguédec et Dhôte, 2012</t>
        </r>
      </text>
    </comment>
    <comment ref="A72" authorId="0" shapeId="0" xr:uid="{5E0FE2DA-3911-7F47-B3A6-132E0659B492}">
      <text>
        <r>
          <rPr>
            <sz val="12"/>
            <color rgb="FF000000"/>
            <rFont val="Proxima Nova"/>
            <family val="2"/>
          </rPr>
          <t>Bergès et al., 2008 qui donne une croissance radiale moyenne de 3,52 mm / an soit une croissance en diamètre de 3,52 cm tous les 5 ans</t>
        </r>
      </text>
    </comment>
    <comment ref="A74" authorId="0" shapeId="0" xr:uid="{21419075-6BA4-4245-BD2B-838EB5B9BA41}">
      <text>
        <r>
          <rPr>
            <sz val="12"/>
            <color rgb="FF000000"/>
            <rFont val="Proxima Nova"/>
            <family val="2"/>
          </rPr>
          <t xml:space="preserve">D'après Attochi, 2015
</t>
        </r>
        <r>
          <rPr>
            <sz val="12"/>
            <color rgb="FF000000"/>
            <rFont val="Proxima Nova"/>
            <family val="2"/>
          </rPr>
          <t xml:space="preserve">
</t>
        </r>
        <r>
          <rPr>
            <sz val="12"/>
            <color rgb="FF000000"/>
            <rFont val="Proxima Nova"/>
            <family val="2"/>
          </rPr>
          <t xml:space="preserve">Si cette table ne passe pas, consulter celle de : </t>
        </r>
        <r>
          <rPr>
            <i/>
            <sz val="12"/>
            <color rgb="FF000000"/>
            <rFont val="Proxima Nova"/>
            <family val="2"/>
          </rPr>
          <t>Sylviculture et production du Chêne sessile en France</t>
        </r>
        <r>
          <rPr>
            <sz val="12"/>
            <color rgb="FF000000"/>
            <rFont val="Proxima Nova"/>
            <family val="2"/>
          </rPr>
          <t>. [texte imprimé] / </t>
        </r>
        <r>
          <rPr>
            <sz val="12"/>
            <color rgb="FF000000"/>
            <rFont val="Proxima Nova"/>
            <family val="2"/>
          </rPr>
          <t>J. Trencia</t>
        </r>
        <r>
          <rPr>
            <sz val="12"/>
            <color rgb="FF000000"/>
            <rFont val="Proxima Nova"/>
            <family val="2"/>
          </rPr>
          <t> . - </t>
        </r>
        <r>
          <rPr>
            <sz val="12"/>
            <color rgb="FF000000"/>
            <rFont val="Proxima Nova"/>
            <family val="2"/>
          </rPr>
          <t>Vandoeuvre : Université de Nancy 1- Laboratoire de biologie des ligneux</t>
        </r>
        <r>
          <rPr>
            <sz val="12"/>
            <color rgb="FF000000"/>
            <rFont val="Proxima Nova"/>
            <family val="2"/>
          </rPr>
          <t> : </t>
        </r>
        <r>
          <rPr>
            <sz val="12"/>
            <color rgb="FF000000"/>
            <rFont val="Proxima Nova"/>
            <family val="2"/>
          </rPr>
          <t>Champenoux (France) : Institut National de la Recherche Agronomique (INRA)</t>
        </r>
        <r>
          <rPr>
            <sz val="12"/>
            <color rgb="FF000000"/>
            <rFont val="Proxima Nova"/>
            <family val="2"/>
          </rPr>
          <t xml:space="preserve">, 1989 . - X-226 p. ; 30 cm.
</t>
        </r>
        <r>
          <rPr>
            <sz val="12"/>
            <color rgb="FF000000"/>
            <rFont val="Proxima Nova"/>
            <family val="2"/>
          </rPr>
          <t xml:space="preserve">
</t>
        </r>
        <r>
          <rPr>
            <sz val="12"/>
            <color rgb="FF000000"/>
            <rFont val="Proxima Nova"/>
            <family val="2"/>
          </rPr>
          <t>Consultable à la bibliothèque d'AgroParisTech Nancy (</t>
        </r>
        <r>
          <rPr>
            <sz val="12"/>
            <color rgb="FF000000"/>
            <rFont val="Proxima Nova"/>
            <family val="2"/>
          </rPr>
          <t>https://infodoc.agroparistech.fr/index.php?lvl=notice_display&amp;id=79612)</t>
        </r>
      </text>
    </comment>
    <comment ref="AG78" authorId="0" shapeId="0" xr:uid="{BF1B4E9A-B008-3547-B8F9-FA2434D75786}">
      <text>
        <r>
          <rPr>
            <sz val="12"/>
            <color rgb="FF000000"/>
            <rFont val="Proxima Nova"/>
            <family val="2"/>
          </rPr>
          <t xml:space="preserve">Attocchi, 2015
</t>
        </r>
      </text>
    </comment>
    <comment ref="A97" authorId="0" shapeId="0" xr:uid="{1CE6D851-4020-D449-8FEC-BE62C68CE46F}">
      <text>
        <r>
          <rPr>
            <sz val="12"/>
            <color rgb="FF000000"/>
            <rFont val="Proxima Nova"/>
            <family val="2"/>
          </rPr>
          <t>D'après fiche châtaignier du CRPF et</t>
        </r>
        <r>
          <rPr>
            <sz val="12"/>
            <color rgb="FF000000"/>
            <rFont val="Proxima Nova"/>
            <family val="2"/>
          </rPr>
          <t xml:space="preserve"> Oosterbaan, 1998
</t>
        </r>
      </text>
    </comment>
    <comment ref="A100" authorId="0" shapeId="0" xr:uid="{08F0D9D7-6F8A-D74C-B594-91589B8DC596}">
      <text>
        <r>
          <rPr>
            <sz val="12"/>
            <color rgb="FF000000"/>
            <rFont val="Calibri"/>
            <family val="2"/>
          </rPr>
          <t>D'après Oosterbaan, 1998</t>
        </r>
      </text>
    </comment>
    <comment ref="AG101" authorId="0" shapeId="0" xr:uid="{A70F1E0C-8795-7545-A14C-65D82334162B}">
      <text>
        <r>
          <rPr>
            <sz val="12"/>
            <color rgb="FF000000"/>
            <rFont val="Proxima Nova"/>
            <family val="2"/>
          </rPr>
          <t xml:space="preserve">A défaut de coefficients propres au châtaignier, utilisation des coefficients généraux des feuillus 
</t>
        </r>
      </text>
    </comment>
    <comment ref="A102" authorId="0" shapeId="0" xr:uid="{59C6827B-2814-BE45-8CE8-FE67D9467310}">
      <text>
        <r>
          <rPr>
            <sz val="12"/>
            <color rgb="FF000000"/>
            <rFont val="Proxima Nova"/>
            <family val="2"/>
          </rPr>
          <t>D'après Vallet et al., 2006 et Deleuze et al., 2014</t>
        </r>
      </text>
    </comment>
    <comment ref="AG107" authorId="0" shapeId="0" xr:uid="{196953DB-63BC-2549-B93B-E026A8408856}">
      <text>
        <r>
          <rPr>
            <sz val="12"/>
            <color rgb="FF000000"/>
            <rFont val="Proxima Nova"/>
            <family val="2"/>
          </rPr>
          <t>D'après "le châtaignier : un arbre, un bois" de Catherine Bourgeois</t>
        </r>
      </text>
    </comment>
    <comment ref="A126" authorId="0" shapeId="0" xr:uid="{1FB95A5F-9A64-7445-A762-23EF837279FE}">
      <text>
        <r>
          <rPr>
            <sz val="12"/>
            <color rgb="FF000000"/>
            <rFont val="Proxima Nova"/>
            <family val="2"/>
          </rPr>
          <t>D'après Hein et al., 2009</t>
        </r>
      </text>
    </comment>
    <comment ref="A132" authorId="0" shapeId="0" xr:uid="{AAD7C900-1074-0940-B156-4657AD95CFD6}">
      <text>
        <r>
          <rPr>
            <sz val="12"/>
            <color rgb="FF000000"/>
            <rFont val="Proxima Nova"/>
            <family val="2"/>
          </rPr>
          <t>D'après De Vos et al., 2002</t>
        </r>
      </text>
    </comment>
    <comment ref="A133" authorId="0" shapeId="0" xr:uid="{F0DEA45C-E20A-1545-9115-3F65E13243F9}">
      <text>
        <r>
          <rPr>
            <sz val="12"/>
            <color rgb="FF000000"/>
            <rFont val="Proxima Nova"/>
            <family val="2"/>
          </rPr>
          <t xml:space="preserve">D'après In et al., 1972
</t>
        </r>
        <r>
          <rPr>
            <sz val="12"/>
            <color rgb="FF000000"/>
            <rFont val="Proxima Nova"/>
            <family val="2"/>
          </rPr>
          <t>Tarif à une entrée relatif au bois fort total sur hauteur dominante</t>
        </r>
      </text>
    </comment>
    <comment ref="AG136" authorId="0" shapeId="0" xr:uid="{2FD0580E-7A5D-F54E-AF10-4A05A4B7CFF7}">
      <text>
        <r>
          <rPr>
            <sz val="12"/>
            <color rgb="FF000000"/>
            <rFont val="Proxima Nova"/>
            <family val="2"/>
          </rPr>
          <t>D'après la Fiche Erable du CPF</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Carole Renner</author>
  </authors>
  <commentList>
    <comment ref="A4" authorId="0" shapeId="0" xr:uid="{8F6F9E2D-8A08-4945-9226-E59C0E567D72}">
      <text>
        <r>
          <rPr>
            <sz val="12"/>
            <color rgb="FF9C5700"/>
            <rFont val="Calibri"/>
            <family val="2"/>
          </rPr>
          <t>D'après Oswald et Pradé, 1984</t>
        </r>
      </text>
    </comment>
    <comment ref="A8" authorId="0" shapeId="0" xr:uid="{C2D6C149-8534-2F42-B154-435FBDF2DB43}">
      <text>
        <r>
          <rPr>
            <sz val="12"/>
            <color rgb="FF9C5700"/>
            <rFont val="Calibri"/>
            <family val="2"/>
          </rPr>
          <t xml:space="preserve">D'après les données de Ottorini, 1991. La courbe de tendance du diamètre à 1,30m (y) en fonction de la hauteur (x) donne l'équation : 
</t>
        </r>
        <r>
          <rPr>
            <sz val="10"/>
            <color rgb="FF000000"/>
            <rFont val="Tahoma"/>
            <family val="2"/>
          </rPr>
          <t>y = 0,0623x²</t>
        </r>
        <r>
          <rPr>
            <sz val="18"/>
            <color rgb="FF44546A"/>
            <rFont val="Calibri Light"/>
            <family val="2"/>
          </rPr>
          <t xml:space="preserve"> </t>
        </r>
        <r>
          <rPr>
            <sz val="10"/>
            <color rgb="FF000000"/>
            <rFont val="Tahoma"/>
            <family val="2"/>
          </rPr>
          <t xml:space="preserve">- 0,4512x + 8,9297
</t>
        </r>
        <r>
          <rPr>
            <sz val="10"/>
            <color rgb="FF000000"/>
            <rFont val="Tahoma"/>
            <family val="2"/>
          </rPr>
          <t xml:space="preserve">R² = 0,8327
</t>
        </r>
      </text>
    </comment>
    <comment ref="A10" authorId="0" shapeId="0" xr:uid="{59926510-C75B-6E4B-AC97-430309621F8E}">
      <text>
        <r>
          <rPr>
            <sz val="12"/>
            <color rgb="FF000000"/>
            <rFont val="Proxima Nova"/>
            <family val="2"/>
          </rPr>
          <t>D'après Oswald et Pradé, 1984</t>
        </r>
      </text>
    </comment>
    <comment ref="AG14" authorId="0" shapeId="0" xr:uid="{AF62E282-FD1E-1345-8437-3AB29951AFD6}">
      <text>
        <r>
          <rPr>
            <sz val="12"/>
            <color rgb="FF9C5700"/>
            <rFont val="Calibri"/>
            <family val="2"/>
          </rPr>
          <t>D'après la Fiche Sylviculture des essences résineuses de l'ENGREF</t>
        </r>
      </text>
    </comment>
  </commentList>
</comments>
</file>

<file path=xl/sharedStrings.xml><?xml version="1.0" encoding="utf-8"?>
<sst xmlns="http://schemas.openxmlformats.org/spreadsheetml/2006/main" count="1058" uniqueCount="506">
  <si>
    <t xml:space="preserve">Localisation </t>
  </si>
  <si>
    <t>Coordonnées GPS</t>
  </si>
  <si>
    <t xml:space="preserve">Etat passé </t>
  </si>
  <si>
    <t xml:space="preserve">Etat actuel </t>
  </si>
  <si>
    <t>Photo d'un an maxi</t>
  </si>
  <si>
    <t>Orthophoto (superposée au fond cadastral)</t>
  </si>
  <si>
    <t>Orthophoto 5 à 10 ans (superposée au fond cadastral)</t>
  </si>
  <si>
    <t>Attestation de propriété</t>
  </si>
  <si>
    <t xml:space="preserve">Matrice cadastrale &lt;1 an </t>
  </si>
  <si>
    <t xml:space="preserve">Copie de la décision d’agrément du document de gestion par le conseil de centre du CRPF </t>
  </si>
  <si>
    <t xml:space="preserve">Certificat d’agrément PEFC ou FSC (avenant intégrant les nouvelles parcelles si déjà adhérent pour d'autres) </t>
  </si>
  <si>
    <t>Si regroupement de propriétaires</t>
  </si>
  <si>
    <t>Mandat signé par propriétaires identifiant le représentant</t>
  </si>
  <si>
    <t>Arrêté préfectoral d'approbation du projet de boisement par la DREAL</t>
  </si>
  <si>
    <t>Nombre d'arbres à planter</t>
  </si>
  <si>
    <t>Essences et répartition demandées par le propriétaire</t>
  </si>
  <si>
    <t>Surface du terrain</t>
  </si>
  <si>
    <t>Certification (PEFC / FSC)</t>
  </si>
  <si>
    <t>Adhésion Fransylva</t>
  </si>
  <si>
    <t>INFORMATIONS GENERALES</t>
  </si>
  <si>
    <t>JUSTIFICATIFS  D'ELIGIBILITE</t>
  </si>
  <si>
    <t>Occupation actuelle du sol</t>
  </si>
  <si>
    <t>Scénario optimiste</t>
  </si>
  <si>
    <t>Scénario intermédiaire</t>
  </si>
  <si>
    <t>Scénario pessimiste</t>
  </si>
  <si>
    <t>Climat prédictif à 20 ans</t>
  </si>
  <si>
    <t>Peuplement forestier situation actuelle comparable</t>
  </si>
  <si>
    <t>Peuplement forestier situation future comparable</t>
  </si>
  <si>
    <t>Statut DD/LC/NT</t>
  </si>
  <si>
    <t>Statut VU/EN/CR</t>
  </si>
  <si>
    <t>Espèces faunistiques clefs présentes + exigences habitat</t>
  </si>
  <si>
    <t>Espèces floristiques clefs présentes + exigences habitat</t>
  </si>
  <si>
    <t xml:space="preserve">CONDITIONS ABIOTIQUES </t>
  </si>
  <si>
    <t>Facteurs édaphiques</t>
  </si>
  <si>
    <t>Granulométrie</t>
  </si>
  <si>
    <t>Profil géologique / pédologique</t>
  </si>
  <si>
    <t>Azote / phosphore</t>
  </si>
  <si>
    <t>Facteurs chimiques</t>
  </si>
  <si>
    <t>Salinité</t>
  </si>
  <si>
    <t>Facteurs topographiques</t>
  </si>
  <si>
    <t>Altitude</t>
  </si>
  <si>
    <t>Exposition</t>
  </si>
  <si>
    <t>Pente</t>
  </si>
  <si>
    <t>Hygrométrie</t>
  </si>
  <si>
    <t>CONDITIONS CLIMATIQUES</t>
  </si>
  <si>
    <t>CONDITIONS BIOTIQUES</t>
  </si>
  <si>
    <t>Climat actuel (T°C, vent, ensoleillement, pluie, lumière...) ou sylvoécorégion?</t>
  </si>
  <si>
    <t xml:space="preserve">CONSERVATION / CLASSEMENT </t>
  </si>
  <si>
    <t>49.515392 , 0.304792</t>
  </si>
  <si>
    <t>Saint-Aubin-Routot (76430)</t>
  </si>
  <si>
    <t>¾ feuillus – ¼ résineux</t>
  </si>
  <si>
    <t>Privé</t>
  </si>
  <si>
    <t>Avenant au document de gestion durable ou rédaction d’un document de gestion durable dans les 6 mois à compter de la date de réception des travaux (attention spécificités si forêt collectivités ou Etat)</t>
  </si>
  <si>
    <t>Agricole</t>
  </si>
  <si>
    <t>Bénéfices du projet pour la collectivité / l'écologie</t>
  </si>
  <si>
    <t>CARACTERISTIQUES DU PROJET RETENU</t>
  </si>
  <si>
    <t>Surface à boiser</t>
  </si>
  <si>
    <t>Surface maintenue / transformée en zone humide</t>
  </si>
  <si>
    <t>Surface maintenue / transformée en prairie ouverte</t>
  </si>
  <si>
    <t>Essences sélectionnées</t>
  </si>
  <si>
    <t>Essence 1</t>
  </si>
  <si>
    <t>Nombre de plants</t>
  </si>
  <si>
    <t>Essence 2</t>
  </si>
  <si>
    <t>Essence 3</t>
  </si>
  <si>
    <t>Essence 4</t>
  </si>
  <si>
    <t>Essence 5</t>
  </si>
  <si>
    <t>Essence 6</t>
  </si>
  <si>
    <t>Essence 7</t>
  </si>
  <si>
    <t>Essence 8</t>
  </si>
  <si>
    <t>Numéro de projet</t>
  </si>
  <si>
    <t>Statut particulier (Conservatoire, Réserve, UNESCO, RAMSAR, PN, Natura 2000, ZNIEFF…)</t>
  </si>
  <si>
    <t>Enjeux particuliers (social, économique, écologique)</t>
  </si>
  <si>
    <t>DEMONSTRATION DE L'ADDITIONNALITE</t>
  </si>
  <si>
    <t xml:space="preserve">PAC </t>
  </si>
  <si>
    <t>Fonds ou programmes d'aide au boisement</t>
  </si>
  <si>
    <t>Autre</t>
  </si>
  <si>
    <t>Inventaires des aides potentielles et démonstration d'insuffisance 
(&lt;50% de l'investissement nécessaire)</t>
  </si>
  <si>
    <t>Coût des travaux</t>
  </si>
  <si>
    <t>Aides régionales (voir CRPF)</t>
  </si>
  <si>
    <t>Bilan financier du boisement</t>
  </si>
  <si>
    <t>Bilan financier de l'accru</t>
  </si>
  <si>
    <t>Bilan financier de l'exploitation agricole</t>
  </si>
  <si>
    <t>Analyse économique (calcul des valeurs actualisées nettes)</t>
  </si>
  <si>
    <t>Stock dans les sols (tC)</t>
  </si>
  <si>
    <t>Stock dans la litière (tC)</t>
  </si>
  <si>
    <t>Stock de la biomasse aérienne (tMS)</t>
  </si>
  <si>
    <t>Stock de la biomasse racinaire (tMS)</t>
  </si>
  <si>
    <r>
      <t>Stock de carbone annuel (tCO</t>
    </r>
    <r>
      <rPr>
        <vertAlign val="subscript"/>
        <sz val="12"/>
        <color theme="1"/>
        <rFont val="Calibri (Corps)"/>
      </rPr>
      <t>2</t>
    </r>
    <r>
      <rPr>
        <sz val="12"/>
        <color theme="1"/>
        <rFont val="Calibri"/>
        <family val="2"/>
        <scheme val="minor"/>
      </rPr>
      <t>)</t>
    </r>
  </si>
  <si>
    <r>
      <t>REA forêt (tCO</t>
    </r>
    <r>
      <rPr>
        <vertAlign val="subscript"/>
        <sz val="12"/>
        <color theme="1"/>
        <rFont val="Calibri (Corps)"/>
      </rPr>
      <t>2</t>
    </r>
    <r>
      <rPr>
        <sz val="12"/>
        <color theme="1"/>
        <rFont val="Calibri"/>
        <family val="2"/>
        <scheme val="minor"/>
      </rPr>
      <t xml:space="preserve">) </t>
    </r>
  </si>
  <si>
    <r>
      <t>Stock de carbone du scénario de référence (tCO</t>
    </r>
    <r>
      <rPr>
        <vertAlign val="subscript"/>
        <sz val="12"/>
        <color theme="1"/>
        <rFont val="Calibri (Corps)"/>
      </rPr>
      <t>2</t>
    </r>
    <r>
      <rPr>
        <sz val="12"/>
        <color theme="1"/>
        <rFont val="Calibri"/>
        <family val="2"/>
        <scheme val="minor"/>
      </rPr>
      <t>)</t>
    </r>
  </si>
  <si>
    <r>
      <t>REA produits (tCO</t>
    </r>
    <r>
      <rPr>
        <vertAlign val="subscript"/>
        <sz val="12"/>
        <color theme="1"/>
        <rFont val="Calibri (Corps)"/>
      </rPr>
      <t>2</t>
    </r>
    <r>
      <rPr>
        <sz val="12"/>
        <color theme="1"/>
        <rFont val="Calibri"/>
        <family val="2"/>
        <scheme val="minor"/>
      </rPr>
      <t xml:space="preserve">) </t>
    </r>
  </si>
  <si>
    <t>Réductions d'émissions empreintes générables</t>
  </si>
  <si>
    <r>
      <t>Flux du scénario de référence (tCO</t>
    </r>
    <r>
      <rPr>
        <vertAlign val="subscript"/>
        <sz val="12"/>
        <color theme="1"/>
        <rFont val="Calibri (Corps)"/>
      </rPr>
      <t>2</t>
    </r>
    <r>
      <rPr>
        <sz val="12"/>
        <color theme="1"/>
        <rFont val="Calibri"/>
        <family val="2"/>
        <scheme val="minor"/>
      </rPr>
      <t>)</t>
    </r>
  </si>
  <si>
    <r>
      <t>Flux annuel (tCO</t>
    </r>
    <r>
      <rPr>
        <vertAlign val="subscript"/>
        <sz val="12"/>
        <color theme="1"/>
        <rFont val="Calibri (Corps)"/>
      </rPr>
      <t>2</t>
    </r>
    <r>
      <rPr>
        <sz val="12"/>
        <color theme="1"/>
        <rFont val="Calibri"/>
        <family val="2"/>
        <scheme val="minor"/>
      </rPr>
      <t>)</t>
    </r>
  </si>
  <si>
    <r>
      <t>REE substitution (tCO</t>
    </r>
    <r>
      <rPr>
        <vertAlign val="subscript"/>
        <sz val="12"/>
        <color theme="1"/>
        <rFont val="Calibri (Corps)"/>
      </rPr>
      <t>2</t>
    </r>
    <r>
      <rPr>
        <sz val="12"/>
        <color theme="1"/>
        <rFont val="Calibri"/>
        <family val="2"/>
        <scheme val="minor"/>
      </rPr>
      <t xml:space="preserve">) </t>
    </r>
  </si>
  <si>
    <t>Rabais</t>
  </si>
  <si>
    <t>Risques généraux (obligatoire)</t>
  </si>
  <si>
    <t>Risque d'incendie</t>
  </si>
  <si>
    <t xml:space="preserve">Non justification de la classe de fertilité </t>
  </si>
  <si>
    <t>Rabais de vérification</t>
  </si>
  <si>
    <t>Réductions d'émissions anticipées générables par la séquestration du carbone dans l'écosystème forestier</t>
  </si>
  <si>
    <t>Réductions d'émissions anticipées générables par le stockage du carbone dans les produits bois récoltés</t>
  </si>
  <si>
    <r>
      <t>Total des réductions d'émissions générables (tCO</t>
    </r>
    <r>
      <rPr>
        <vertAlign val="subscript"/>
        <sz val="12"/>
        <color theme="1"/>
        <rFont val="Calibri (Corps)"/>
      </rPr>
      <t>2</t>
    </r>
    <r>
      <rPr>
        <sz val="12"/>
        <color theme="1"/>
        <rFont val="Calibri"/>
        <family val="2"/>
        <scheme val="minor"/>
      </rPr>
      <t xml:space="preserve">) </t>
    </r>
  </si>
  <si>
    <r>
      <t>Réductions d'émissions générées avant vérification (tCO</t>
    </r>
    <r>
      <rPr>
        <vertAlign val="subscript"/>
        <sz val="12"/>
        <color theme="1"/>
        <rFont val="Calibri (Corps)"/>
      </rPr>
      <t>2</t>
    </r>
    <r>
      <rPr>
        <sz val="12"/>
        <color theme="1"/>
        <rFont val="Calibri"/>
        <family val="2"/>
        <scheme val="minor"/>
      </rPr>
      <t xml:space="preserve">) </t>
    </r>
  </si>
  <si>
    <r>
      <t>Réductions d'émissions générées après vérification (tCO</t>
    </r>
    <r>
      <rPr>
        <vertAlign val="subscript"/>
        <sz val="12"/>
        <color theme="1"/>
        <rFont val="Calibri (Corps)"/>
      </rPr>
      <t>2</t>
    </r>
    <r>
      <rPr>
        <sz val="12"/>
        <color theme="1"/>
        <rFont val="Calibri"/>
        <family val="2"/>
        <scheme val="minor"/>
      </rPr>
      <t xml:space="preserve">) </t>
    </r>
  </si>
  <si>
    <t>Non démonstration de l'additionnalité</t>
  </si>
  <si>
    <r>
      <t>Réductions d'émissions totales (tCO</t>
    </r>
    <r>
      <rPr>
        <vertAlign val="subscript"/>
        <sz val="12"/>
        <color theme="1"/>
        <rFont val="Calibri (Corps)"/>
      </rPr>
      <t>2</t>
    </r>
    <r>
      <rPr>
        <sz val="12"/>
        <color theme="1"/>
        <rFont val="Calibri"/>
        <family val="2"/>
        <scheme val="minor"/>
      </rPr>
      <t xml:space="preserve">) </t>
    </r>
  </si>
  <si>
    <t>CALCUL DES REDUCTIONS D'EMISSIONS DU PROJET</t>
  </si>
  <si>
    <t>Type d'administration (privé / collectivité / Etat)</t>
  </si>
  <si>
    <t>PEFC en cours</t>
  </si>
  <si>
    <t xml:space="preserve">En cours ? </t>
  </si>
  <si>
    <t>Hêtre</t>
  </si>
  <si>
    <t>Châtaignier</t>
  </si>
  <si>
    <t>Charme</t>
  </si>
  <si>
    <t>Bouleau</t>
  </si>
  <si>
    <t>Douglas</t>
  </si>
  <si>
    <t>Embroussaillement</t>
  </si>
  <si>
    <t>Scénario de référence</t>
  </si>
  <si>
    <t>Coefficients d'expansion</t>
  </si>
  <si>
    <t>Racines</t>
  </si>
  <si>
    <t>Branches</t>
  </si>
  <si>
    <t>Feuillus</t>
  </si>
  <si>
    <t>Résineux</t>
  </si>
  <si>
    <t>Essence</t>
  </si>
  <si>
    <t>Alisier torminal</t>
  </si>
  <si>
    <t>Arbousier</t>
  </si>
  <si>
    <t>Aulne vert</t>
  </si>
  <si>
    <t>Cèdre de l'Atlas</t>
  </si>
  <si>
    <t>Grand aulne</t>
  </si>
  <si>
    <t>Charme-houblon</t>
  </si>
  <si>
    <t>Chêne chevelu</t>
  </si>
  <si>
    <t>Chêne liège</t>
  </si>
  <si>
    <t>Chêne pédonculé</t>
  </si>
  <si>
    <t>Chêne pubescent</t>
  </si>
  <si>
    <t>Chêne rouge d'Amérique</t>
  </si>
  <si>
    <t>Chêne sessile</t>
  </si>
  <si>
    <t>Chêne tauzin</t>
  </si>
  <si>
    <t>Chêne vert</t>
  </si>
  <si>
    <t>Chêne indifférencié</t>
  </si>
  <si>
    <t>Cornouiller mâle</t>
  </si>
  <si>
    <t>Cyprès</t>
  </si>
  <si>
    <t>Cytise aubour</t>
  </si>
  <si>
    <t>Epicéa commun</t>
  </si>
  <si>
    <t>Epicéa de Sitka</t>
  </si>
  <si>
    <t>Grand érable</t>
  </si>
  <si>
    <t>Eucalyptus</t>
  </si>
  <si>
    <t>Genévrier turifère</t>
  </si>
  <si>
    <t xml:space="preserve">Frêne </t>
  </si>
  <si>
    <t>Fruitier</t>
  </si>
  <si>
    <t>If</t>
  </si>
  <si>
    <t>Mélèze d'Europe</t>
  </si>
  <si>
    <t>Mélèze du Japon</t>
  </si>
  <si>
    <t>Merisier</t>
  </si>
  <si>
    <t>Micocoulier</t>
  </si>
  <si>
    <t>Mûrier</t>
  </si>
  <si>
    <t>Petit érable</t>
  </si>
  <si>
    <t>Noisetier</t>
  </si>
  <si>
    <t>Noyer</t>
  </si>
  <si>
    <t>Olivier</t>
  </si>
  <si>
    <t>Orme</t>
  </si>
  <si>
    <t>Peuplier cultivé</t>
  </si>
  <si>
    <t>Peuplier non cultivé</t>
  </si>
  <si>
    <t>Pin d'Alep</t>
  </si>
  <si>
    <t>Pin cembro</t>
  </si>
  <si>
    <t>Pin à crochets</t>
  </si>
  <si>
    <t>Pin laricio</t>
  </si>
  <si>
    <t>Pin maritime</t>
  </si>
  <si>
    <t>Pin mugho</t>
  </si>
  <si>
    <t>Pin noir d'Autriche</t>
  </si>
  <si>
    <t>Pin pignon</t>
  </si>
  <si>
    <t>Pin sylvestre</t>
  </si>
  <si>
    <t>Pin Weymouth</t>
  </si>
  <si>
    <t>Platane</t>
  </si>
  <si>
    <t>Robinier faux acacia</t>
  </si>
  <si>
    <t>Sapin méditerranéen</t>
  </si>
  <si>
    <t>Sapin de Nordmann</t>
  </si>
  <si>
    <t>Sapin pectiné</t>
  </si>
  <si>
    <t>Sapin de Vancouver</t>
  </si>
  <si>
    <t>Saule</t>
  </si>
  <si>
    <t>Tamaris</t>
  </si>
  <si>
    <t>Tilleul</t>
  </si>
  <si>
    <t>Tremble</t>
  </si>
  <si>
    <t>Moyenne ensemble</t>
  </si>
  <si>
    <t>Moyenne Conifères</t>
  </si>
  <si>
    <t>Moyenne Feuillus</t>
  </si>
  <si>
    <t>Transformation bois fort tige (m3) en biomasse totale (tC)</t>
  </si>
  <si>
    <r>
      <rPr>
        <b/>
        <sz val="12"/>
        <color theme="1"/>
        <rFont val="Calibri"/>
        <family val="2"/>
        <scheme val="minor"/>
      </rPr>
      <t>Infradensité</t>
    </r>
    <r>
      <rPr>
        <sz val="12"/>
        <color theme="1"/>
        <rFont val="Calibri"/>
        <family val="2"/>
        <scheme val="minor"/>
      </rPr>
      <t xml:space="preserve"> (tMS/m3)</t>
    </r>
  </si>
  <si>
    <t>Stock biomasse racinaire du scénario de référence (tMS)</t>
  </si>
  <si>
    <t>Stock biomasse totale (tC)</t>
  </si>
  <si>
    <t>Stock sols du scénario de référence (tC)</t>
  </si>
  <si>
    <t>Stock litière du scénario de référence (tC)</t>
  </si>
  <si>
    <t>Stock total du scénario de référence (tC)</t>
  </si>
  <si>
    <t>Stock de carbone annuel (tC)</t>
  </si>
  <si>
    <t>% de résineux</t>
  </si>
  <si>
    <t>% de feuillus</t>
  </si>
  <si>
    <t>Sites pollués proches</t>
  </si>
  <si>
    <t>Non</t>
  </si>
  <si>
    <t xml:space="preserve">Espèces plutôt neutrophiles / acidiclines, mésoxérophylles/hygroclines
Forêts de feuillus purs ou en mélange </t>
  </si>
  <si>
    <t xml:space="preserve">SER B10 : côtes et plateau de la Manche
Précipitations importantes + forte humidité atmosphérique, climat subocéanique, peu de fortes chaleurs
</t>
  </si>
  <si>
    <t>Normale</t>
  </si>
  <si>
    <t>100 m</t>
  </si>
  <si>
    <t>Pas trop de traces d'hydromorphie (pas d'excès d'eau donc pas asphyxiant)</t>
  </si>
  <si>
    <t>ZNIEFF I et II
Corridor</t>
  </si>
  <si>
    <t>Plateau de craie recouvert de limons fertiles (couche de 10-15m), sols acides
Humus de forme mull/mor/dysmoder
Sols plutôt profonds</t>
  </si>
  <si>
    <t>Essences dominantes</t>
  </si>
  <si>
    <t>Chêne rouvre et pédonculé</t>
  </si>
  <si>
    <t>Autres feuillus</t>
  </si>
  <si>
    <t>Sapin et épicéa</t>
  </si>
  <si>
    <t>Pin Douglas</t>
  </si>
  <si>
    <t>Autres résineux</t>
  </si>
  <si>
    <t>Production biologique annuelle (m3/ha)</t>
  </si>
  <si>
    <t>Production annuelle (m3/ha)</t>
  </si>
  <si>
    <t>%</t>
  </si>
  <si>
    <t>Bioasse aérienne annuelle (tMS)</t>
  </si>
  <si>
    <t>Biomasse aérienne annuelle (tMS)</t>
  </si>
  <si>
    <t>Totale biomasse aérienne annuelle (tMS/ha)</t>
  </si>
  <si>
    <t>Totale biomasse racinaire annuelle (tMS/ha)</t>
  </si>
  <si>
    <t>Stock biomasse aérienne du scénario de référence (tC/ha)</t>
  </si>
  <si>
    <t>Année</t>
  </si>
  <si>
    <t>Biomasse racines (tMS) par hectare</t>
  </si>
  <si>
    <t>Produit</t>
  </si>
  <si>
    <t>Répartition (%)</t>
  </si>
  <si>
    <t>Evaluation des productions annuelles de biomasse par hectare</t>
  </si>
  <si>
    <t>Production  annuelle (m3/ha)</t>
  </si>
  <si>
    <t>BFT (m3) / ha</t>
  </si>
  <si>
    <t>BFT + branches (m3) / ha</t>
  </si>
  <si>
    <t>Conversion en MS</t>
  </si>
  <si>
    <t>Total</t>
  </si>
  <si>
    <t>Prélèvement (%)</t>
  </si>
  <si>
    <t>Volume BFT + branches (m3) par hectare</t>
  </si>
  <si>
    <t>Biomasse par hectare (tMS)</t>
  </si>
  <si>
    <t>Surface du projet (hectares)</t>
  </si>
  <si>
    <t>Bois énergie</t>
  </si>
  <si>
    <t>Panneaux de bois</t>
  </si>
  <si>
    <t>Bois de sciage</t>
  </si>
  <si>
    <t>Papier</t>
  </si>
  <si>
    <t>Temps de demie-vie</t>
  </si>
  <si>
    <t>Biomasse prélevée (tC)</t>
  </si>
  <si>
    <t>Piquets et tuteurs</t>
  </si>
  <si>
    <t>Prélèvement pour bois énergie (%)</t>
  </si>
  <si>
    <t>Prélèvement pour bois énergie (tC)</t>
  </si>
  <si>
    <t>Prélèvement pour papier (tC)</t>
  </si>
  <si>
    <t>Prélèvement pour papier (%)</t>
  </si>
  <si>
    <t>Prélèvement pour bois de panneaux (%)</t>
  </si>
  <si>
    <t>Prélèvement pour bois de panneaux (tC)</t>
  </si>
  <si>
    <t>Prélèvement pour bois sciage (%)</t>
  </si>
  <si>
    <t>Prélèvement pour bois sciage (tC)</t>
  </si>
  <si>
    <t>Stock de carbone des bois énergie (tC)</t>
  </si>
  <si>
    <t>Stock de carbone des bois papier (tC)</t>
  </si>
  <si>
    <t>Stock de carbone des bois panneaux (tC)</t>
  </si>
  <si>
    <t>Stock de carbone des bois sciage (tC)</t>
  </si>
  <si>
    <t>Proportion de feuillus</t>
  </si>
  <si>
    <t>Proportion de résineux</t>
  </si>
  <si>
    <t>Proportion de peupliers</t>
  </si>
  <si>
    <t>Proportion de pin maritime</t>
  </si>
  <si>
    <t>100% BI</t>
  </si>
  <si>
    <t>Peuplier</t>
  </si>
  <si>
    <t xml:space="preserve">100% BI pour éclaircie 1, 25% BO et 75% BI pour éclaircie 2, 60% BO et 40% BI pour éclaircie 3 </t>
  </si>
  <si>
    <t>Bois d'industrie</t>
  </si>
  <si>
    <t>Bois d'œuvre</t>
  </si>
  <si>
    <t>Coefficients de substitution</t>
  </si>
  <si>
    <t>Biomasse dans BFT (tC/ha)</t>
  </si>
  <si>
    <t>Total sur la parcelle à l'année 30</t>
  </si>
  <si>
    <t xml:space="preserve">Scénario de référence </t>
  </si>
  <si>
    <t>REA forêt (tCO2)</t>
  </si>
  <si>
    <t>Stock de carbone annuel (tCO2)</t>
  </si>
  <si>
    <t>Prairie ou pâture</t>
  </si>
  <si>
    <t xml:space="preserve">TOTAL RE </t>
  </si>
  <si>
    <t>Stock de carbone des produits bois totaux (tCO2)</t>
  </si>
  <si>
    <t>Substitution énergétique totale (tCO2)</t>
  </si>
  <si>
    <t xml:space="preserve">Prélèvement pour bois énergie (tC) </t>
  </si>
  <si>
    <t xml:space="preserve">Stock de carbone des bois papier (tC) </t>
  </si>
  <si>
    <t xml:space="preserve">Prélèvement pour bois de panneaux (tC) </t>
  </si>
  <si>
    <t xml:space="preserve">Stock de carbone des bois panneaux (tC) </t>
  </si>
  <si>
    <t xml:space="preserve">Prélèvement pour bois sciage (tC) </t>
  </si>
  <si>
    <t xml:space="preserve">Stock de carbone des bois sciage (tC) </t>
  </si>
  <si>
    <t>100% de BE</t>
  </si>
  <si>
    <t xml:space="preserve">Stock de carbone des bois énergie (tC) </t>
  </si>
  <si>
    <t xml:space="preserve">Substitution énergétique (tCO2) </t>
  </si>
  <si>
    <t>0,77 pour les 56% utilisés en panneaux, 0 pour les 44% utilisés en papier</t>
  </si>
  <si>
    <t>Validité des taux de prélèvement</t>
  </si>
  <si>
    <t xml:space="preserve">Evaluation des co-bénéfices </t>
  </si>
  <si>
    <t xml:space="preserve">Une partie des travaux sera réalisée par des entreprises de réinsertion professionnelle ou d'aide à l'emploi de personnes en situation de handicap </t>
  </si>
  <si>
    <t>Numéro</t>
  </si>
  <si>
    <t>Type</t>
  </si>
  <si>
    <t>Intitulé</t>
  </si>
  <si>
    <t>Critère d'évaluation</t>
  </si>
  <si>
    <t>Points projet</t>
  </si>
  <si>
    <t xml:space="preserve">Socio- économique </t>
  </si>
  <si>
    <t xml:space="preserve">Création de plus-value économique territoriale (1/2) </t>
  </si>
  <si>
    <t xml:space="preserve">Création de plus-value économique territoriale (2/2) </t>
  </si>
  <si>
    <t xml:space="preserve">La majorité des entreprises de travaux forestiers (ETF) retenues sont situées dans un rayon de 50 km autour du chantier de boisement </t>
  </si>
  <si>
    <t xml:space="preserve">La majorité des entreprises de travaux forestiers (ETF) retenues sont situées entre 50 et 100 km autour du chantier de boisement </t>
  </si>
  <si>
    <t>Intégration par l'emploi</t>
  </si>
  <si>
    <t>Filtration de l'air en zone urbaine</t>
  </si>
  <si>
    <t xml:space="preserve">Le boisement est localisé sur le territoire d’une communauté d’agglomération, d’une communauté urbaine ou d’une métropole </t>
  </si>
  <si>
    <t>Certification forestière</t>
  </si>
  <si>
    <t xml:space="preserve">Adhésion à une certification de gestion durable (PEFC, FSC...) </t>
  </si>
  <si>
    <t xml:space="preserve">Regroupement de la gestion forestière </t>
  </si>
  <si>
    <t xml:space="preserve">Le boisement a lieu dans le cadre d’un projet collectif de regroupement de plusieurs propriétaires (ASLGF, GIEEF...) </t>
  </si>
  <si>
    <t>Assurance forestière</t>
  </si>
  <si>
    <t xml:space="preserve">Le propriétaire a souscrit une assurance forestière, en particulier en cas d’incendie et tempête qui couvre une partie des frais de reboisement </t>
  </si>
  <si>
    <t>Préservation des sols</t>
  </si>
  <si>
    <t>Préparation du sol (1/2)</t>
  </si>
  <si>
    <t>Préparation du sol (2/2)</t>
  </si>
  <si>
    <t xml:space="preserve">Préparation du sol en bandes </t>
  </si>
  <si>
    <t>Préparation du sol par potets travaillés</t>
  </si>
  <si>
    <t>Biodiversité (environnement)</t>
  </si>
  <si>
    <t xml:space="preserve">Introduction de biodiversité (1/3) </t>
  </si>
  <si>
    <t xml:space="preserve">Introduction de biodiversité (2/3) </t>
  </si>
  <si>
    <t xml:space="preserve">Introduction de biodiversité (3/3) </t>
  </si>
  <si>
    <t xml:space="preserve">Boisement avec 3 essences (ou plus), dont au moins 2 essences autochtones représentent au moins 40 % des plants </t>
  </si>
  <si>
    <t xml:space="preserve">Boisement en mélange de 2 essences, avec au moins 10 % des plants avec une essence autochtone </t>
  </si>
  <si>
    <t xml:space="preserve">Création de bordures feuillues linéaires (routes, chemins, limites de parcelles) </t>
  </si>
  <si>
    <t>Préservation de la biodiversité préexistante</t>
  </si>
  <si>
    <t xml:space="preserve">Maintien de bordures boisées présentes à proximité des parcelles à boiser </t>
  </si>
  <si>
    <t>Eau (environnement)</t>
  </si>
  <si>
    <t xml:space="preserve">Prise en compte de milieux aquatiques ou humides (1/2) </t>
  </si>
  <si>
    <t xml:space="preserve">Choix d'essences adaptées aux bordures de milieux aquatiques (ruisseaux, mares, étangs) et zones humides éventuellement présentes (justifier leur adéquation) </t>
  </si>
  <si>
    <t xml:space="preserve">Prise en compte de milieux aquatiques ou humides (2/2) </t>
  </si>
  <si>
    <t xml:space="preserve">Le boisement résineux est effectué à plus de 10 m de la bordure d’un cours d’eau </t>
  </si>
  <si>
    <t xml:space="preserve">Boisement en périmètre de protection rapproché (PPR) ou éloigné (PPE) de captage d’eau </t>
  </si>
  <si>
    <t xml:space="preserve">Amélioration de la qualité de l’eau </t>
  </si>
  <si>
    <t xml:space="preserve">Amélioration de la biodiversité liée aux milieux humides </t>
  </si>
  <si>
    <r>
      <t xml:space="preserve">Restauration de milieux humides (curage de mardelles, mares...) ou création </t>
    </r>
    <r>
      <rPr>
        <i/>
        <sz val="14"/>
        <color theme="1"/>
        <rFont val="Proxima Nova Regular"/>
      </rPr>
      <t>ex nihilo</t>
    </r>
    <r>
      <rPr>
        <sz val="14"/>
        <color theme="1"/>
        <rFont val="Proxima Nova Regular"/>
      </rPr>
      <t xml:space="preserve"> d’une ripisylve feuillue </t>
    </r>
  </si>
  <si>
    <t>OUI / NON</t>
  </si>
  <si>
    <t>OUI</t>
  </si>
  <si>
    <t>Liste déroulante</t>
  </si>
  <si>
    <t>NON</t>
  </si>
  <si>
    <t>SCORE CO-BENEFICES</t>
  </si>
  <si>
    <t>77% de BO, 21% de BI (+2% de BI laissés sur la parcelle)</t>
  </si>
  <si>
    <t xml:space="preserve"> REA biomasse totale (tC) par hectare</t>
  </si>
  <si>
    <t>REA sols (tC) par hectare</t>
  </si>
  <si>
    <t>REA litière (tC) par hectare</t>
  </si>
  <si>
    <t>Risques généraux (systématique)</t>
  </si>
  <si>
    <t>Risques d'incendie</t>
  </si>
  <si>
    <t>Analyse économique de l'additionnalité</t>
  </si>
  <si>
    <t>Démontrée</t>
  </si>
  <si>
    <t>Non démontrée</t>
  </si>
  <si>
    <t>Justification de la classe de production</t>
  </si>
  <si>
    <t>Effectuée</t>
  </si>
  <si>
    <t>Non effectuée</t>
  </si>
  <si>
    <t>Vérification additionnelle de terrain (n+5)</t>
  </si>
  <si>
    <t>Total rabais</t>
  </si>
  <si>
    <t>TOTAL RE APRES RABAIS</t>
  </si>
  <si>
    <t>TOTAL RE AVANT RABAIS</t>
  </si>
  <si>
    <t>RE anticipées générables</t>
  </si>
  <si>
    <t>RE empreintes générables</t>
  </si>
  <si>
    <t>Volume commercialisable à l'âge de la coupe (m3)</t>
  </si>
  <si>
    <t>Prix moyen du m3 de bois à l'âge de la coupe (€ / m3)</t>
  </si>
  <si>
    <t>Accroissement moyen (m3 / ha / an)</t>
  </si>
  <si>
    <t>Calcul des valeurs actualisées nettes</t>
  </si>
  <si>
    <t xml:space="preserve">Recettes liées au projet (en €) </t>
  </si>
  <si>
    <t>Dépenses liées au projet de boisement (en €)</t>
  </si>
  <si>
    <t>Marge nette moyenne sur les cinq dernières années de l'exploitation agricole précédant le boisement</t>
  </si>
  <si>
    <t>Eventuels revenus d'urbanisation ou autre type d'utilisation de la parcelle</t>
  </si>
  <si>
    <t>Années d'éclaircies / dépenses jusqu'à révolution de l'essence</t>
  </si>
  <si>
    <t>Valeur actualisée nette de l'année</t>
  </si>
  <si>
    <t>Perte de VAN</t>
  </si>
  <si>
    <t>Bilan financier d'un accru naturel (embroussaillement)</t>
  </si>
  <si>
    <t>Bilan financier de la poursuite de l'agriculture</t>
  </si>
  <si>
    <t>Bilan financier de la prairie ou pâture</t>
  </si>
  <si>
    <t xml:space="preserve">Bilan financier du boisement </t>
  </si>
  <si>
    <t>Scénarios de référence</t>
  </si>
  <si>
    <t>Scénario de projet</t>
  </si>
  <si>
    <t>Calcul des réductions d'émission générées par le projet</t>
  </si>
  <si>
    <t>Total sur la parcelle à 30 ans</t>
  </si>
  <si>
    <t>Substitution énergétique (tCO2)</t>
  </si>
  <si>
    <t>Valorisation locale des bois récoltés</t>
  </si>
  <si>
    <t>Dépenses liées à la coupe rase du peuplement issu des accrus post-tempête, post-incendie ou post-dépérissement intense (en €)</t>
  </si>
  <si>
    <t xml:space="preserve">Recettes liées à la coupe rase du peuplement issu des accrus post-tempête, post-incendie ou post-dépérissement intense (en €) </t>
  </si>
  <si>
    <t>Durée de révolution de l'essence constituant les accrus dans le scénario de référence</t>
  </si>
  <si>
    <t>Bilan financier du peuplement de référence</t>
  </si>
  <si>
    <t>Recettes nettes à l’année 0 liées à la vidange des bois des parcelles ayant subi une tempête, un incendie ou un dépérissement intense</t>
  </si>
  <si>
    <t>Les bois récoltés ou vidangés sont valorisés par une entreprise de 1ère transformation située dans un rayon de 50 km autour du chantier de reconstitution</t>
  </si>
  <si>
    <t xml:space="preserve">Maintien d'arbres d'intérêt écologiqueou de bordures boisées à l'intérieur ou en limite des parcelles à boiser </t>
  </si>
  <si>
    <t>Si projet inférieur à 2 ha, réalisation d’un relevé IBP et justification de l'intégration des éléments en découlant dans l'opération de reconstitution</t>
  </si>
  <si>
    <t>Préservation de la biodiversité préexistante (1/2)</t>
  </si>
  <si>
    <t>Préservation de la biodiversité préexistante (2/2)</t>
  </si>
  <si>
    <t>Nettoyage du sol (1/2)</t>
  </si>
  <si>
    <t>Nettoyage du sol (2/2)</t>
  </si>
  <si>
    <t>Préparation du sol (1/3)</t>
  </si>
  <si>
    <t>Préparation du sol (2/3)</t>
  </si>
  <si>
    <t>Préparation du sol (3/3)</t>
  </si>
  <si>
    <t>Nettoyage partiel (au moins 50 % de la surface n’est pas impactée)</t>
  </si>
  <si>
    <t>Absence de nettoyage après exploitation de la parcelle</t>
  </si>
  <si>
    <t>Absence de préparation du sol</t>
  </si>
  <si>
    <t>Perturbation du sol</t>
  </si>
  <si>
    <t xml:space="preserve">Brûlage des résidus ou préparation du sol </t>
  </si>
  <si>
    <t>Nettoyage partiel de la parcelle</t>
  </si>
  <si>
    <t>Erable sycomore</t>
  </si>
  <si>
    <t>Hêtre commun</t>
  </si>
  <si>
    <t>Âge</t>
  </si>
  <si>
    <r>
      <t xml:space="preserve">Bouleau verruqueux - </t>
    </r>
    <r>
      <rPr>
        <b/>
        <i/>
        <sz val="14"/>
        <color theme="1"/>
        <rFont val="Proxima Nova Semibold"/>
      </rPr>
      <t>Betula pendula</t>
    </r>
  </si>
  <si>
    <t>Surface projet</t>
  </si>
  <si>
    <t>Nombre d'arbres total</t>
  </si>
  <si>
    <t>Nombre de bouleaux veruqueux</t>
  </si>
  <si>
    <t>Hauteur (m)</t>
  </si>
  <si>
    <t>Classe de fertilité</t>
  </si>
  <si>
    <t>Coefficients spécifiques du modèle EMERGE</t>
  </si>
  <si>
    <t>Coefficient a</t>
  </si>
  <si>
    <t xml:space="preserve">Coefficient b </t>
  </si>
  <si>
    <t>Coefficient c</t>
  </si>
  <si>
    <t>Croissance radiale (mm/an)</t>
  </si>
  <si>
    <t>Toute classe de fertilité</t>
  </si>
  <si>
    <t>Constante</t>
  </si>
  <si>
    <t>Diamètre (mm)</t>
  </si>
  <si>
    <t>Circonférence (cm)</t>
  </si>
  <si>
    <t>Eclaircies commerciales</t>
  </si>
  <si>
    <t>Densité finale (tige/ha)</t>
  </si>
  <si>
    <t>Pourcentage de tiges éclaicies</t>
  </si>
  <si>
    <t>Bois papier</t>
  </si>
  <si>
    <t>Première éclaircie</t>
  </si>
  <si>
    <t>Deuxième éclaircie</t>
  </si>
  <si>
    <t>Coupe finale</t>
  </si>
  <si>
    <t xml:space="preserve">Itinéraire </t>
  </si>
  <si>
    <t xml:space="preserve">Volume / arbre (m3) </t>
  </si>
  <si>
    <t>Nombre de tiges / ha</t>
  </si>
  <si>
    <r>
      <t xml:space="preserve">Hêtre commun - </t>
    </r>
    <r>
      <rPr>
        <b/>
        <i/>
        <sz val="14"/>
        <color theme="1"/>
        <rFont val="Proxima Nova Semibold"/>
      </rPr>
      <t>Fagus sylvatica</t>
    </r>
  </si>
  <si>
    <t>Nombre de hêtres communs</t>
  </si>
  <si>
    <t>Diamètre</t>
  </si>
  <si>
    <t>Troisième éclaircie</t>
  </si>
  <si>
    <t>Quatrième éclaircie</t>
  </si>
  <si>
    <t>Cinquième éclaircie</t>
  </si>
  <si>
    <t>Sixième éclaircie</t>
  </si>
  <si>
    <t>Septième éclaircie</t>
  </si>
  <si>
    <t>Huitième éclaircie</t>
  </si>
  <si>
    <t>Neuvième éclaircie</t>
  </si>
  <si>
    <t>Dixième éclaircie</t>
  </si>
  <si>
    <t>Onzième éclaircie</t>
  </si>
  <si>
    <t>D'après Forêts de France "valoriser sa forêt" 2018</t>
  </si>
  <si>
    <r>
      <t xml:space="preserve">Chêne sessile - </t>
    </r>
    <r>
      <rPr>
        <b/>
        <i/>
        <sz val="14"/>
        <color theme="1"/>
        <rFont val="Proxima Nova Semibold"/>
      </rPr>
      <t>Quercus petraea</t>
    </r>
  </si>
  <si>
    <t>Nombre de chênes sessiles</t>
  </si>
  <si>
    <t>Diamètre (cm)</t>
  </si>
  <si>
    <t>Douzième éclaircie</t>
  </si>
  <si>
    <t>Ventilation de la production dans les filières énergie/papier et industrie/œuvre d'après Vallet, 2005</t>
  </si>
  <si>
    <r>
      <t xml:space="preserve">Châtaignier commun - </t>
    </r>
    <r>
      <rPr>
        <b/>
        <i/>
        <sz val="14"/>
        <color theme="1"/>
        <rFont val="Proxima Nova Semibold"/>
      </rPr>
      <t xml:space="preserve">Castanea sativa </t>
    </r>
    <r>
      <rPr>
        <b/>
        <sz val="14"/>
        <color theme="1"/>
        <rFont val="Proxima Nova Semibold"/>
      </rPr>
      <t>(futaie)</t>
    </r>
  </si>
  <si>
    <t>Nombre de châtaigniers communs</t>
  </si>
  <si>
    <t>Coefficients du modèle EMERGE</t>
  </si>
  <si>
    <r>
      <t xml:space="preserve">Erable sycomore - </t>
    </r>
    <r>
      <rPr>
        <b/>
        <i/>
        <sz val="14"/>
        <color theme="1"/>
        <rFont val="Proxima Nova Semibold"/>
      </rPr>
      <t>Acer pseudoplatanus</t>
    </r>
  </si>
  <si>
    <t>Nombre d'érables sycomores</t>
  </si>
  <si>
    <r>
      <t xml:space="preserve">Sapin de Douglas - </t>
    </r>
    <r>
      <rPr>
        <b/>
        <i/>
        <sz val="14"/>
        <color theme="1"/>
        <rFont val="Proxima Nova Semibold"/>
      </rPr>
      <t xml:space="preserve">Pseudotsuga menziesii </t>
    </r>
  </si>
  <si>
    <t>Nombre de sapin de Douglas</t>
  </si>
  <si>
    <t>Châtaignier commun</t>
  </si>
  <si>
    <t xml:space="preserve">Prélèvement pour bois d'industrie (tC) </t>
  </si>
  <si>
    <t xml:space="preserve">Stock de carbone des bois d'industrie (tC) </t>
  </si>
  <si>
    <t>Volume BFT (m3/ha)</t>
  </si>
  <si>
    <t xml:space="preserve"> </t>
  </si>
  <si>
    <t>Volume BFT (m3/arbre)</t>
  </si>
  <si>
    <t xml:space="preserve">Volume BFT / arbre (m3) </t>
  </si>
  <si>
    <t>Volume de produits bois total (tMS)</t>
  </si>
  <si>
    <t>Volume BFT total (m3) sur la parcelle incluant éclaircies</t>
  </si>
  <si>
    <t>Volume BFT total (tMS) sur la parcelle incluant éclaircies</t>
  </si>
  <si>
    <t>Volume de produits bois total (m3)</t>
  </si>
  <si>
    <t>Volume de produits bois énergie (tMS)</t>
  </si>
  <si>
    <t>Volume de produits bois papier (tMS)</t>
  </si>
  <si>
    <t>Volume de produits bois industrie (tMS)</t>
  </si>
  <si>
    <t>Volume de produits bois d'œuvre (tMS)</t>
  </si>
  <si>
    <t>Proportion de bois énergie (%)</t>
  </si>
  <si>
    <t>Proportion de bois papier (%)</t>
  </si>
  <si>
    <t>Proportion de bois industrie (%)</t>
  </si>
  <si>
    <t>Proportion de bois d'œuvre (%)</t>
  </si>
  <si>
    <t>Effectif</t>
  </si>
  <si>
    <r>
      <t>Chêne sessile -</t>
    </r>
    <r>
      <rPr>
        <i/>
        <sz val="14"/>
        <color theme="1"/>
        <rFont val="Proxima Nova Regular"/>
      </rPr>
      <t xml:space="preserve"> Quercus petraea</t>
    </r>
  </si>
  <si>
    <r>
      <t xml:space="preserve">Hêtre commun - </t>
    </r>
    <r>
      <rPr>
        <i/>
        <sz val="14"/>
        <color theme="1"/>
        <rFont val="Proxima Nova Regular"/>
      </rPr>
      <t>Fagus sylvatica</t>
    </r>
  </si>
  <si>
    <r>
      <t xml:space="preserve">Bouleau verruqueux - </t>
    </r>
    <r>
      <rPr>
        <i/>
        <sz val="14"/>
        <color theme="1"/>
        <rFont val="Proxima Nova Regular"/>
      </rPr>
      <t>Betula pendula</t>
    </r>
  </si>
  <si>
    <r>
      <t>Châtaignier commun -</t>
    </r>
    <r>
      <rPr>
        <i/>
        <sz val="14"/>
        <color theme="1"/>
        <rFont val="Proxima Nova Regular"/>
      </rPr>
      <t xml:space="preserve"> Castanea sativa</t>
    </r>
  </si>
  <si>
    <r>
      <t xml:space="preserve">Erable sycomore - </t>
    </r>
    <r>
      <rPr>
        <i/>
        <sz val="14"/>
        <color theme="1"/>
        <rFont val="Proxima Nova Regular"/>
      </rPr>
      <t>Acer pseudoplatanus</t>
    </r>
  </si>
  <si>
    <r>
      <t xml:space="preserve">Douglas - </t>
    </r>
    <r>
      <rPr>
        <i/>
        <sz val="14"/>
        <color theme="1"/>
        <rFont val="Proxima Nova Regular"/>
      </rPr>
      <t>Pseudotsuga menziesii</t>
    </r>
  </si>
  <si>
    <t>Score par poste</t>
  </si>
  <si>
    <t>Volume BFT / ha (m3) incluant éclaircies</t>
  </si>
  <si>
    <t>Volume BFT / ha (m3) sans éclaircie</t>
  </si>
  <si>
    <t>Volume BFT / ha (m3) incluant les éclaircies</t>
  </si>
  <si>
    <t>Volume BFT / ha (m3) sans éclaircies</t>
  </si>
  <si>
    <t>Biomasse par hectare (m3) après éclaircies</t>
  </si>
  <si>
    <t>Biomasse par hectare (tMS) après éclaircies</t>
  </si>
  <si>
    <t xml:space="preserve">Biomasse totale MS (tC) </t>
  </si>
  <si>
    <t xml:space="preserve">Stock dans les sols (tC) </t>
  </si>
  <si>
    <t>REA sols (tC)</t>
  </si>
  <si>
    <t xml:space="preserve"> REA biomasse totale (tC)</t>
  </si>
  <si>
    <t>REA litière (tC)</t>
  </si>
  <si>
    <t>LT average</t>
  </si>
  <si>
    <t>Moyenne à long terme</t>
  </si>
  <si>
    <t xml:space="preserve">Bouleau verruqueux </t>
  </si>
  <si>
    <t>Hein S., Winterhalter D., Wilhelm G. J., Kohnle U. [2011]. La production de bois de qualité en bouleau verruqueux : opportunités et limites sylvicoles. Partie 1 : croissance en hauteur et élagage naturel. Forêt Wallonne 110 : 33-42</t>
  </si>
  <si>
    <t>Hein, S.; Winterhalter, D.; Wilhelm, G.-J.; Kohnle, U. (2011): La production de bois de qualité en bouleau verruqueux : opportunités et limites sylvicoles. Partie 2: croissance en diamètre, largeur du houppier, coloration de bois et conséquences sylvicoles. Forêt Wallonne 110: 43-52.</t>
  </si>
  <si>
    <t>Bastien Y. (2000). Sylviculture du Hêtre. ENGREF</t>
  </si>
  <si>
    <t>Sanchez de Medina A., Grande-Cortiz M., Ayuga-Téllez E., Gracia Abril A. (2008). Forestry alternatives to Navarra yield tables for beech (Fagus sylvatica). Allgemeine Forst und Jagdzeitung 179(12):225-231</t>
  </si>
  <si>
    <t>Hynynen et al. (2010), Silviculture of Birch (Betula Pendula Roth and Betula Pubescens Ehrh.) in Northern Europe. Forestry Vol. 83 pp. 103-119</t>
  </si>
  <si>
    <t>Le Moguédec and Dhôte (2012). Fagacées: A tree-centered growth and yield model for sessile oak (Quercus
petraea L.) and common beech (Fagus sylvatica L.). Annals of Forest Science. 69(2):257-269</t>
  </si>
  <si>
    <t>P Duplat, M Tran-Ha. Modélisation de la croissance en hauteur dominante du chêne sessile (Quercus petraea Liebl) en France Variabilité inter-régionale et effet de la période récente (1959-1993). Annales des sciences forestières, INRA/EDP Sciences, 1997, 54 (7), pp.611-634</t>
  </si>
  <si>
    <t>Bergès L., Nepveu G., Franc A. (2008). Effects of ecological factors on radial growth and wood density components of sessile oak (Quercus petraea Liebl.)
in Northern France. Forest Ecology and Management 255 pp.567–579</t>
  </si>
  <si>
    <r>
      <t xml:space="preserve">Attocchi G., </t>
    </r>
    <r>
      <rPr>
        <i/>
        <sz val="12"/>
        <color theme="1"/>
        <rFont val="Calibri"/>
        <family val="2"/>
        <scheme val="minor"/>
      </rPr>
      <t>Silviculture of Oak for High-Quality Wood Production Effects of Thinning on Crown Size, Volume Growth and Stem Quality in Even-Aged Stands of Pedunculate Oak (Quercus Robur L.) in Northern Europe</t>
    </r>
    <r>
      <rPr>
        <sz val="12"/>
        <color theme="1"/>
        <rFont val="Calibri"/>
        <family val="2"/>
        <scheme val="minor"/>
      </rPr>
      <t>. Swedish University of Agricultural Sciences</t>
    </r>
  </si>
  <si>
    <t>Oosterbaan, A. (1998). 
Growth of chestnut (Castanea sativa) in the Netherlands. Forestry (Oxford) 71(3):267-270</t>
  </si>
  <si>
    <t>De Vos B., Grulois Ch., Loyen S., Quivy V, Van der Aa B., Vitlox O. et Van Slycken J. (2002) Opportunités et modalités de sylviculture de l'érable sycomore (Acer pseudoplatanus L.). Parcs et Réserves 57 (2):36-39</t>
  </si>
  <si>
    <t>Hein S., Collet C., Ammer C., Le Goff N., Skovsgaard J-P., Savill P. (2009) Review of Growth and Stand Dynamics of Acer Pseudoplatanus L. in Europe. Forestry 82(4):361-385</t>
  </si>
  <si>
    <t>In K., Rondeux J., Thill A. (1972) Etude dendrométrique de l'érable sycomore (Acer pseudoplatanus L.) et du merisier (Prunus avium L.). Bulletin des Recherches Agronomiques de Gembloux. Faculté des Sciences Agronomiques. 7 (1-4):134-190</t>
  </si>
  <si>
    <t>Sapin de Douglas</t>
  </si>
  <si>
    <t>Oswald H., Pardé J. (1984) Le Douglas en France : sylviculture et production. Revue forestière française. N°spécial 1984 pp. 56-68</t>
  </si>
  <si>
    <t>Bastien Y. (1997). Sylviculture des essences résineuses. ENGREF</t>
  </si>
  <si>
    <t>Total REA forêts générables après rabais</t>
  </si>
  <si>
    <t>REA produits générables</t>
  </si>
  <si>
    <t>REA forêt générables</t>
  </si>
  <si>
    <t>TOTAL RE</t>
  </si>
  <si>
    <t>Total REA produits générables après rabais</t>
  </si>
  <si>
    <t>Total RE empreinte générables après rabais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</si>
</sst>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 #,##0.00_)\ &quot;€&quot;_ ;_ * \(#,##0.00\)\ &quot;€&quot;_ ;_ * &quot;-&quot;??_)\ &quot;€&quot;_ ;_ @_ "/>
    <numFmt numFmtId="43" formatCode="_ * #,##0.00_)\ _€_ ;_ * \(#,##0.00\)\ _€_ ;_ * &quot;-&quot;??_)\ _€_ ;_ @_ "/>
    <numFmt numFmtId="164" formatCode="0.0"/>
    <numFmt numFmtId="165" formatCode="0.0%"/>
    <numFmt numFmtId="166" formatCode="0.000"/>
    <numFmt numFmtId="167" formatCode="0.000000"/>
    <numFmt numFmtId="168" formatCode="#,##0.00\ &quot;€&quot;"/>
    <numFmt numFmtId="169" formatCode="_-* #,##0.00\ [$€-40C]_-;\-* #,##0.00\ [$€-40C]_-;_-* &quot;-&quot;??\ [$€-40C]_-;_-@_-"/>
  </numFmts>
  <fonts count="32">
    <font>
      <sz val="12"/>
      <color theme="1"/>
      <name val="Calibri"/>
      <family val="2"/>
      <scheme val="minor"/>
    </font>
    <font>
      <b/>
      <sz val="12"/>
      <color theme="1"/>
      <name val="Calibri"/>
      <family val="2"/>
      <scheme val="minor"/>
    </font>
    <font>
      <sz val="12"/>
      <color rgb="FF000000"/>
      <name val="Calibri"/>
      <family val="2"/>
      <scheme val="minor"/>
    </font>
    <font>
      <vertAlign val="subscript"/>
      <sz val="12"/>
      <color theme="1"/>
      <name val="Calibri (Corps)"/>
    </font>
    <font>
      <sz val="12"/>
      <color theme="1"/>
      <name val="Calibri"/>
      <family val="2"/>
      <scheme val="minor"/>
    </font>
    <font>
      <sz val="12"/>
      <color rgb="FF000000"/>
      <name val="Proxima Nova"/>
      <family val="2"/>
    </font>
    <font>
      <sz val="14"/>
      <color theme="1"/>
      <name val="Proxima Nova Regular"/>
    </font>
    <font>
      <sz val="14"/>
      <color rgb="FFC00000"/>
      <name val="Proxima Nova Regular"/>
    </font>
    <font>
      <i/>
      <sz val="14"/>
      <color theme="1"/>
      <name val="Proxima Nova Regular"/>
    </font>
    <font>
      <sz val="10"/>
      <color rgb="FF000000"/>
      <name val="Tahoma"/>
      <family val="2"/>
    </font>
    <font>
      <b/>
      <sz val="10"/>
      <color rgb="FF000000"/>
      <name val="Tahoma"/>
      <family val="2"/>
    </font>
    <font>
      <sz val="10"/>
      <color rgb="FF000000"/>
      <name val="Proxima Nova"/>
      <family val="2"/>
    </font>
    <font>
      <u/>
      <sz val="12"/>
      <color rgb="FF000000"/>
      <name val="Proxima Nova"/>
      <family val="2"/>
    </font>
    <font>
      <b/>
      <sz val="14"/>
      <color theme="1"/>
      <name val="Proxima Nova Regular"/>
    </font>
    <font>
      <sz val="10"/>
      <color rgb="FF000000"/>
      <name val="Calibri"/>
      <family val="2"/>
      <scheme val="minor"/>
    </font>
    <font>
      <b/>
      <sz val="12"/>
      <color rgb="FF000000"/>
      <name val="Proxima Nova"/>
      <family val="2"/>
    </font>
    <font>
      <b/>
      <sz val="10"/>
      <color rgb="FF000000"/>
      <name val="Calibri"/>
      <family val="2"/>
      <scheme val="minor"/>
    </font>
    <font>
      <b/>
      <sz val="14"/>
      <name val="Proxima Nova Regular"/>
    </font>
    <font>
      <sz val="12"/>
      <color theme="1"/>
      <name val="Proxima Nova Regular"/>
    </font>
    <font>
      <b/>
      <sz val="14"/>
      <color theme="1"/>
      <name val="Proxima Nova Semibold"/>
    </font>
    <font>
      <b/>
      <i/>
      <sz val="14"/>
      <color theme="1"/>
      <name val="Proxima Nova Semibold"/>
    </font>
    <font>
      <sz val="15"/>
      <color rgb="FF2A2A2A"/>
      <name val="Times New Roman"/>
      <family val="1"/>
    </font>
    <font>
      <sz val="12"/>
      <color rgb="FF595959"/>
      <name val="Calibri"/>
      <family val="2"/>
      <scheme val="minor"/>
    </font>
    <font>
      <sz val="10"/>
      <color theme="1"/>
      <name val="Proxima Nova Regular"/>
    </font>
    <font>
      <b/>
      <sz val="12"/>
      <color theme="1"/>
      <name val="Proxima Nova"/>
    </font>
    <font>
      <sz val="12"/>
      <color rgb="FF9C5700"/>
      <name val="Calibri"/>
      <family val="2"/>
    </font>
    <font>
      <sz val="16"/>
      <color rgb="FF595959"/>
      <name val="Calibri"/>
      <family val="2"/>
      <scheme val="minor"/>
    </font>
    <font>
      <b/>
      <sz val="12"/>
      <color theme="1"/>
      <name val="Proxima Nova Regular"/>
    </font>
    <font>
      <i/>
      <sz val="12"/>
      <color rgb="FF000000"/>
      <name val="Proxima Nova"/>
      <family val="2"/>
    </font>
    <font>
      <sz val="12"/>
      <color rgb="FF000000"/>
      <name val="Calibri"/>
      <family val="2"/>
    </font>
    <font>
      <i/>
      <sz val="12"/>
      <color theme="1"/>
      <name val="Calibri"/>
      <family val="2"/>
      <scheme val="minor"/>
    </font>
    <font>
      <sz val="18"/>
      <color rgb="FF44546A"/>
      <name val="Calibri Light"/>
      <family val="2"/>
    </font>
  </fonts>
  <fills count="2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9"/>
        <bgColor indexed="64"/>
      </patternFill>
    </fill>
    <fill>
      <patternFill patternType="solid">
        <fgColor theme="7"/>
        <bgColor indexed="64"/>
      </patternFill>
    </fill>
    <fill>
      <patternFill patternType="solid">
        <fgColor rgb="FFF7C7CE"/>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26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2" fillId="0" borderId="8" xfId="0" applyFont="1" applyBorder="1" applyAlignment="1">
      <alignment horizontal="center" vertical="center" wrapText="1"/>
    </xf>
    <xf numFmtId="0" fontId="0" fillId="0" borderId="0" xfId="0" applyFont="1" applyAlignment="1">
      <alignment horizontal="center" vertical="center" wrapText="1"/>
    </xf>
    <xf numFmtId="0" fontId="0" fillId="0" borderId="1" xfId="0" applyBorder="1"/>
    <xf numFmtId="0" fontId="0" fillId="0" borderId="6" xfId="0" applyBorder="1"/>
    <xf numFmtId="0" fontId="0" fillId="0" borderId="9" xfId="0" applyBorder="1"/>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2" borderId="5" xfId="0" applyFill="1" applyBorder="1"/>
    <xf numFmtId="0" fontId="0" fillId="2" borderId="6" xfId="0" applyFill="1" applyBorder="1"/>
    <xf numFmtId="0" fontId="0" fillId="3" borderId="20" xfId="0" applyFill="1" applyBorder="1"/>
    <xf numFmtId="0" fontId="0" fillId="3" borderId="21" xfId="0" applyFill="1" applyBorder="1"/>
    <xf numFmtId="0" fontId="0" fillId="3" borderId="5" xfId="0" applyFill="1" applyBorder="1"/>
    <xf numFmtId="0" fontId="0" fillId="3" borderId="6" xfId="0" applyFill="1" applyBorder="1"/>
    <xf numFmtId="0" fontId="0" fillId="0" borderId="5" xfId="0" applyFill="1" applyBorder="1"/>
    <xf numFmtId="0" fontId="0" fillId="0" borderId="6" xfId="0" applyFill="1" applyBorder="1"/>
    <xf numFmtId="0" fontId="0" fillId="3" borderId="18" xfId="0" applyFill="1" applyBorder="1"/>
    <xf numFmtId="0" fontId="0" fillId="3" borderId="19" xfId="0" applyFill="1" applyBorder="1"/>
    <xf numFmtId="0" fontId="0" fillId="4" borderId="7" xfId="0" applyFill="1" applyBorder="1"/>
    <xf numFmtId="0" fontId="0" fillId="4" borderId="9" xfId="0" applyFill="1" applyBorder="1"/>
    <xf numFmtId="0" fontId="0" fillId="0" borderId="2" xfId="0" applyFill="1" applyBorder="1"/>
    <xf numFmtId="0" fontId="0" fillId="0" borderId="4" xfId="0" applyFill="1" applyBorder="1"/>
    <xf numFmtId="0" fontId="0" fillId="0" borderId="8" xfId="0" applyBorder="1"/>
    <xf numFmtId="0" fontId="0" fillId="2" borderId="1" xfId="0" applyFill="1" applyBorder="1"/>
    <xf numFmtId="0" fontId="0" fillId="0" borderId="7" xfId="0" applyFill="1" applyBorder="1"/>
    <xf numFmtId="0" fontId="1" fillId="0" borderId="5" xfId="0" applyFont="1" applyFill="1" applyBorder="1"/>
    <xf numFmtId="0" fontId="1" fillId="0" borderId="7" xfId="0" applyFont="1" applyFill="1" applyBorder="1"/>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1" fontId="0" fillId="0" borderId="0" xfId="0" applyNumberFormat="1" applyAlignment="1">
      <alignment horizontal="center" vertical="center" wrapText="1"/>
    </xf>
    <xf numFmtId="10" fontId="0" fillId="0" borderId="0" xfId="0" applyNumberFormat="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3" borderId="2" xfId="0" applyFill="1" applyBorder="1"/>
    <xf numFmtId="0" fontId="0" fillId="3" borderId="4" xfId="0" applyFill="1" applyBorder="1"/>
    <xf numFmtId="0" fontId="0" fillId="2" borderId="7" xfId="0" applyFill="1" applyBorder="1"/>
    <xf numFmtId="0" fontId="0" fillId="2" borderId="9" xfId="0" applyFill="1" applyBorder="1"/>
    <xf numFmtId="164" fontId="0" fillId="0" borderId="0" xfId="0" applyNumberFormat="1" applyAlignment="1">
      <alignment horizontal="center" vertical="center" wrapText="1"/>
    </xf>
    <xf numFmtId="0" fontId="1" fillId="0" borderId="18" xfId="0" applyFont="1" applyFill="1" applyBorder="1"/>
    <xf numFmtId="0" fontId="0" fillId="0" borderId="19" xfId="0" applyBorder="1"/>
    <xf numFmtId="0" fontId="6" fillId="0" borderId="0" xfId="0" applyFont="1" applyFill="1" applyAlignment="1">
      <alignment vertical="center" wrapText="1"/>
    </xf>
    <xf numFmtId="0" fontId="6" fillId="0" borderId="0" xfId="0" applyFont="1" applyAlignment="1">
      <alignment horizontal="center" vertical="center" wrapText="1"/>
    </xf>
    <xf numFmtId="0" fontId="6" fillId="5" borderId="0" xfId="0" applyFont="1" applyFill="1" applyAlignment="1">
      <alignment horizontal="center" vertical="center" wrapText="1"/>
    </xf>
    <xf numFmtId="0" fontId="6" fillId="0" borderId="0" xfId="0" applyFont="1" applyFill="1" applyAlignment="1">
      <alignment horizontal="center" vertical="center" wrapText="1"/>
    </xf>
    <xf numFmtId="0" fontId="6" fillId="2" borderId="0" xfId="0" applyFont="1" applyFill="1" applyAlignment="1">
      <alignment horizontal="center" vertical="center" wrapText="1"/>
    </xf>
    <xf numFmtId="165" fontId="7" fillId="13" borderId="0" xfId="0" applyNumberFormat="1" applyFont="1" applyFill="1" applyAlignment="1">
      <alignment horizontal="center" vertical="center" wrapText="1"/>
    </xf>
    <xf numFmtId="2" fontId="7" fillId="13" borderId="0" xfId="0" applyNumberFormat="1" applyFont="1" applyFill="1" applyAlignment="1">
      <alignment horizontal="center" vertical="center" wrapText="1"/>
    </xf>
    <xf numFmtId="0" fontId="6" fillId="8" borderId="0" xfId="0" applyNumberFormat="1" applyFont="1" applyFill="1" applyAlignment="1">
      <alignment horizontal="center" vertical="center" wrapText="1"/>
    </xf>
    <xf numFmtId="2" fontId="6" fillId="8" borderId="0" xfId="0" applyNumberFormat="1" applyFont="1" applyFill="1" applyAlignment="1">
      <alignment horizontal="center" vertical="center" wrapText="1"/>
    </xf>
    <xf numFmtId="165" fontId="6" fillId="8" borderId="0" xfId="0" applyNumberFormat="1" applyFont="1" applyFill="1" applyAlignment="1">
      <alignment horizontal="center" vertical="center" wrapText="1"/>
    </xf>
    <xf numFmtId="0" fontId="6" fillId="0" borderId="0" xfId="0" applyNumberFormat="1" applyFont="1" applyAlignment="1">
      <alignment horizontal="center" vertical="center" wrapText="1"/>
    </xf>
    <xf numFmtId="0" fontId="6" fillId="7" borderId="0" xfId="0" applyFont="1" applyFill="1" applyAlignment="1">
      <alignment horizontal="center" vertical="center" wrapText="1"/>
    </xf>
    <xf numFmtId="2" fontId="6" fillId="9" borderId="0" xfId="0" applyNumberFormat="1" applyFont="1" applyFill="1" applyAlignment="1">
      <alignment horizontal="center" vertical="center" wrapText="1"/>
    </xf>
    <xf numFmtId="2" fontId="6" fillId="11" borderId="0" xfId="0" applyNumberFormat="1" applyFont="1" applyFill="1" applyAlignment="1">
      <alignment horizontal="center" vertical="center" wrapText="1"/>
    </xf>
    <xf numFmtId="2" fontId="6" fillId="6" borderId="0" xfId="0" applyNumberFormat="1" applyFont="1" applyFill="1" applyAlignment="1">
      <alignment horizontal="center" vertical="center" wrapText="1"/>
    </xf>
    <xf numFmtId="2" fontId="6" fillId="7" borderId="0" xfId="0" applyNumberFormat="1" applyFont="1" applyFill="1" applyAlignment="1">
      <alignment horizontal="center" vertical="center" wrapText="1"/>
    </xf>
    <xf numFmtId="2" fontId="6" fillId="12" borderId="0" xfId="0" applyNumberFormat="1" applyFont="1" applyFill="1" applyAlignment="1">
      <alignment horizontal="center" vertical="center" wrapText="1"/>
    </xf>
    <xf numFmtId="2" fontId="6" fillId="14" borderId="0" xfId="0" applyNumberFormat="1" applyFont="1" applyFill="1" applyAlignment="1">
      <alignment horizontal="center" vertical="center" wrapText="1"/>
    </xf>
    <xf numFmtId="2" fontId="6" fillId="0" borderId="0" xfId="0" applyNumberFormat="1" applyFont="1" applyAlignment="1">
      <alignment horizontal="center" vertical="center" wrapText="1"/>
    </xf>
    <xf numFmtId="166" fontId="6" fillId="0" borderId="0" xfId="0" applyNumberFormat="1" applyFont="1" applyAlignment="1">
      <alignment horizontal="center" vertical="center" wrapText="1"/>
    </xf>
    <xf numFmtId="0" fontId="6" fillId="0" borderId="0" xfId="0" applyFont="1" applyAlignment="1">
      <alignment wrapText="1"/>
    </xf>
    <xf numFmtId="0" fontId="7" fillId="13" borderId="0" xfId="0" applyFont="1" applyFill="1" applyAlignment="1">
      <alignment horizontal="center" vertical="center" wrapText="1"/>
    </xf>
    <xf numFmtId="0" fontId="6" fillId="8" borderId="0" xfId="0" applyFont="1" applyFill="1" applyAlignment="1">
      <alignment horizontal="center" vertical="center" wrapText="1"/>
    </xf>
    <xf numFmtId="9" fontId="7" fillId="13" borderId="0" xfId="1" applyFont="1" applyFill="1" applyAlignment="1">
      <alignment horizontal="center" vertical="center" wrapText="1"/>
    </xf>
    <xf numFmtId="0" fontId="6" fillId="17" borderId="0" xfId="0" applyFont="1" applyFill="1" applyAlignment="1">
      <alignment horizontal="center" vertical="center" wrapText="1"/>
    </xf>
    <xf numFmtId="0" fontId="6" fillId="3" borderId="0" xfId="0" applyFont="1" applyFill="1" applyAlignment="1">
      <alignment horizontal="center" vertical="center" wrapText="1"/>
    </xf>
    <xf numFmtId="0" fontId="6" fillId="4" borderId="0" xfId="0" applyFont="1" applyFill="1" applyAlignment="1">
      <alignment horizontal="center" vertical="center" wrapText="1"/>
    </xf>
    <xf numFmtId="0" fontId="6" fillId="14" borderId="0" xfId="0" applyFont="1" applyFill="1" applyAlignment="1">
      <alignment horizontal="center" vertical="center" wrapText="1"/>
    </xf>
    <xf numFmtId="0" fontId="6" fillId="5" borderId="0" xfId="0" applyFont="1" applyFill="1" applyAlignment="1">
      <alignment horizontal="center" vertical="center" wrapText="1"/>
    </xf>
    <xf numFmtId="0" fontId="6" fillId="14" borderId="0" xfId="0" applyFont="1" applyFill="1" applyAlignment="1">
      <alignment horizontal="center" vertical="center" wrapText="1"/>
    </xf>
    <xf numFmtId="0" fontId="6" fillId="9" borderId="0" xfId="0" applyFont="1" applyFill="1" applyAlignment="1">
      <alignment horizontal="center" vertical="center" wrapText="1"/>
    </xf>
    <xf numFmtId="0" fontId="7" fillId="13" borderId="0" xfId="0" applyFont="1" applyFill="1" applyAlignment="1">
      <alignment horizontal="center" vertical="center" wrapText="1"/>
    </xf>
    <xf numFmtId="0" fontId="6" fillId="8" borderId="0" xfId="0" applyFont="1" applyFill="1" applyAlignment="1">
      <alignment horizontal="center" vertical="center" wrapText="1"/>
    </xf>
    <xf numFmtId="2" fontId="6" fillId="2" borderId="0" xfId="0" applyNumberFormat="1" applyFont="1" applyFill="1" applyAlignment="1">
      <alignment horizontal="center" vertical="center" wrapText="1"/>
    </xf>
    <xf numFmtId="0" fontId="6" fillId="0" borderId="0" xfId="0" applyFont="1" applyAlignment="1">
      <alignment horizontal="center" vertical="center" wrapText="1"/>
    </xf>
    <xf numFmtId="0" fontId="6" fillId="18" borderId="0" xfId="0" applyFont="1" applyFill="1" applyAlignment="1">
      <alignment horizontal="center" vertical="center" wrapText="1"/>
    </xf>
    <xf numFmtId="9" fontId="6" fillId="17" borderId="0" xfId="1" applyFont="1" applyFill="1" applyAlignment="1">
      <alignment horizontal="center" vertical="center" wrapText="1"/>
    </xf>
    <xf numFmtId="0" fontId="13" fillId="14" borderId="0" xfId="0" applyFont="1" applyFill="1" applyAlignment="1">
      <alignment horizontal="center" vertical="center" wrapText="1"/>
    </xf>
    <xf numFmtId="2" fontId="13" fillId="14" borderId="0" xfId="0" applyNumberFormat="1" applyFont="1" applyFill="1" applyAlignment="1">
      <alignment horizontal="center" vertical="center" wrapText="1"/>
    </xf>
    <xf numFmtId="9" fontId="6" fillId="5" borderId="0" xfId="0" applyNumberFormat="1" applyFont="1" applyFill="1" applyAlignment="1">
      <alignment horizontal="center" vertical="center" wrapText="1"/>
    </xf>
    <xf numFmtId="2" fontId="6" fillId="15" borderId="0" xfId="0" applyNumberFormat="1" applyFont="1" applyFill="1" applyAlignment="1">
      <alignment horizontal="center" vertical="center" wrapText="1"/>
    </xf>
    <xf numFmtId="0" fontId="6" fillId="0" borderId="0" xfId="0" applyFont="1" applyAlignment="1">
      <alignment vertical="center" wrapText="1"/>
    </xf>
    <xf numFmtId="0" fontId="6" fillId="7" borderId="0" xfId="0" applyFont="1" applyFill="1" applyAlignment="1">
      <alignment horizontal="center" vertical="center" wrapText="1"/>
    </xf>
    <xf numFmtId="0" fontId="6" fillId="18" borderId="0" xfId="0" applyFont="1" applyFill="1" applyAlignment="1">
      <alignment horizontal="center" vertical="center" wrapText="1"/>
    </xf>
    <xf numFmtId="168" fontId="7" fillId="13" borderId="0" xfId="3" applyNumberFormat="1" applyFont="1" applyFill="1" applyAlignment="1">
      <alignment horizontal="center" vertical="center" wrapText="1"/>
    </xf>
    <xf numFmtId="168" fontId="7" fillId="13" borderId="0" xfId="0" applyNumberFormat="1" applyFont="1" applyFill="1" applyAlignment="1">
      <alignment horizontal="center" vertical="center" wrapText="1"/>
    </xf>
    <xf numFmtId="0" fontId="6" fillId="17" borderId="0" xfId="0" applyFont="1" applyFill="1" applyAlignment="1">
      <alignment horizontal="center" vertical="center" wrapText="1"/>
    </xf>
    <xf numFmtId="168" fontId="6" fillId="15" borderId="0" xfId="3" applyNumberFormat="1" applyFont="1" applyFill="1" applyAlignment="1">
      <alignment horizontal="center" vertical="center" wrapText="1"/>
    </xf>
    <xf numFmtId="168" fontId="6" fillId="6" borderId="0" xfId="3" applyNumberFormat="1" applyFont="1" applyFill="1" applyAlignment="1">
      <alignment horizontal="center" vertical="center" wrapText="1"/>
    </xf>
    <xf numFmtId="0" fontId="6" fillId="4" borderId="0" xfId="0" applyFont="1" applyFill="1" applyAlignment="1">
      <alignment horizontal="center" vertical="center" wrapText="1"/>
    </xf>
    <xf numFmtId="0" fontId="6" fillId="3" borderId="0" xfId="0" applyFont="1" applyFill="1" applyAlignment="1">
      <alignment horizontal="center" vertical="center" wrapText="1"/>
    </xf>
    <xf numFmtId="0" fontId="6" fillId="2" borderId="0" xfId="0" applyFont="1" applyFill="1" applyAlignment="1">
      <alignment horizontal="center" vertical="center" wrapText="1"/>
    </xf>
    <xf numFmtId="168" fontId="6" fillId="2" borderId="0" xfId="0" applyNumberFormat="1" applyFont="1" applyFill="1" applyAlignment="1">
      <alignment horizontal="center" vertical="center" wrapText="1"/>
    </xf>
    <xf numFmtId="168" fontId="13" fillId="14" borderId="0" xfId="3" applyNumberFormat="1" applyFont="1" applyFill="1" applyAlignment="1">
      <alignment horizontal="center" vertical="center" wrapText="1"/>
    </xf>
    <xf numFmtId="0" fontId="13" fillId="0" borderId="0" xfId="0" applyFont="1" applyFill="1" applyAlignment="1">
      <alignment horizontal="center" vertical="center" wrapText="1"/>
    </xf>
    <xf numFmtId="2" fontId="13" fillId="0" borderId="0" xfId="0" applyNumberFormat="1" applyFont="1" applyFill="1" applyAlignment="1">
      <alignment horizontal="center" vertical="center" wrapText="1"/>
    </xf>
    <xf numFmtId="0" fontId="6" fillId="0" borderId="0" xfId="0" applyFont="1" applyAlignment="1">
      <alignment horizontal="center" vertical="center" wrapText="1"/>
    </xf>
    <xf numFmtId="2" fontId="6" fillId="3" borderId="0" xfId="0" applyNumberFormat="1" applyFont="1" applyFill="1" applyAlignment="1">
      <alignment horizontal="center" vertical="center" wrapText="1"/>
    </xf>
    <xf numFmtId="2" fontId="6" fillId="5" borderId="0" xfId="0" applyNumberFormat="1" applyFont="1" applyFill="1" applyAlignment="1">
      <alignment horizontal="center" vertical="center" wrapText="1"/>
    </xf>
    <xf numFmtId="2" fontId="6" fillId="3" borderId="0" xfId="1" applyNumberFormat="1" applyFont="1" applyFill="1" applyAlignment="1">
      <alignment horizontal="center" vertical="center" wrapText="1"/>
    </xf>
    <xf numFmtId="2" fontId="6" fillId="6" borderId="0" xfId="1" applyNumberFormat="1" applyFont="1" applyFill="1" applyAlignment="1">
      <alignment horizontal="center" vertical="center" wrapText="1"/>
    </xf>
    <xf numFmtId="2" fontId="6" fillId="0" borderId="0" xfId="0" applyNumberFormat="1" applyFont="1" applyFill="1" applyAlignment="1">
      <alignment horizontal="center" vertical="center" wrapText="1"/>
    </xf>
    <xf numFmtId="2" fontId="6" fillId="0" borderId="0" xfId="2" applyNumberFormat="1" applyFont="1" applyFill="1" applyAlignment="1">
      <alignment horizontal="center" vertical="center" wrapText="1"/>
    </xf>
    <xf numFmtId="2" fontId="6" fillId="20" borderId="0" xfId="0" applyNumberFormat="1" applyFont="1" applyFill="1" applyAlignment="1">
      <alignment horizontal="center" vertical="center" wrapText="1"/>
    </xf>
    <xf numFmtId="2" fontId="7" fillId="13" borderId="0" xfId="1" applyNumberFormat="1" applyFont="1" applyFill="1" applyAlignment="1">
      <alignment horizontal="center" vertical="center" wrapText="1"/>
    </xf>
    <xf numFmtId="2" fontId="13" fillId="19" borderId="0" xfId="0" applyNumberFormat="1" applyFont="1" applyFill="1" applyAlignment="1">
      <alignment horizontal="center" vertical="center" wrapText="1"/>
    </xf>
    <xf numFmtId="1" fontId="7" fillId="13" borderId="0" xfId="0" applyNumberFormat="1" applyFont="1" applyFill="1" applyAlignment="1">
      <alignment horizontal="center" vertical="center" wrapText="1"/>
    </xf>
    <xf numFmtId="2" fontId="17" fillId="0" borderId="0" xfId="0" applyNumberFormat="1" applyFont="1" applyFill="1" applyAlignment="1">
      <alignment horizontal="center" vertical="center" wrapText="1"/>
    </xf>
    <xf numFmtId="168" fontId="17" fillId="0" borderId="0" xfId="3" applyNumberFormat="1" applyFont="1" applyFill="1" applyAlignment="1">
      <alignment horizontal="center" vertical="center" wrapText="1"/>
    </xf>
    <xf numFmtId="0" fontId="7" fillId="0" borderId="0" xfId="0" applyFont="1" applyFill="1" applyAlignment="1">
      <alignment horizontal="center" vertical="center" wrapText="1"/>
    </xf>
    <xf numFmtId="0" fontId="6" fillId="8" borderId="0" xfId="0" applyFont="1" applyFill="1" applyAlignment="1">
      <alignment vertical="center" wrapText="1"/>
    </xf>
    <xf numFmtId="0" fontId="6" fillId="5" borderId="0" xfId="0" applyFont="1" applyFill="1" applyAlignment="1">
      <alignment horizontal="center" vertical="center" wrapText="1"/>
    </xf>
    <xf numFmtId="2" fontId="6" fillId="2" borderId="0" xfId="0" applyNumberFormat="1" applyFont="1" applyFill="1" applyAlignment="1">
      <alignment horizontal="center" vertical="center" wrapText="1"/>
    </xf>
    <xf numFmtId="0" fontId="6" fillId="0" borderId="0" xfId="0" applyFont="1" applyAlignment="1">
      <alignment horizontal="center" vertical="center" wrapText="1"/>
    </xf>
    <xf numFmtId="2" fontId="6" fillId="10" borderId="0" xfId="0" applyNumberFormat="1" applyFont="1" applyFill="1" applyAlignment="1">
      <alignment horizontal="center" vertical="center" wrapText="1"/>
    </xf>
    <xf numFmtId="0" fontId="6" fillId="0" borderId="0" xfId="0" applyFont="1" applyAlignment="1">
      <alignment horizontal="center" vertical="center" wrapText="1"/>
    </xf>
    <xf numFmtId="2" fontId="6" fillId="14" borderId="0" xfId="0" applyNumberFormat="1" applyFont="1" applyFill="1" applyAlignment="1">
      <alignment horizontal="center" vertical="center" wrapText="1"/>
    </xf>
    <xf numFmtId="2" fontId="6" fillId="8" borderId="0" xfId="0" applyNumberFormat="1" applyFont="1" applyFill="1" applyAlignment="1">
      <alignment horizontal="center" vertical="center" wrapText="1"/>
    </xf>
    <xf numFmtId="2" fontId="13" fillId="19" borderId="0" xfId="0" applyNumberFormat="1" applyFont="1" applyFill="1" applyAlignment="1">
      <alignment horizontal="center" vertical="center" wrapText="1"/>
    </xf>
    <xf numFmtId="2" fontId="6" fillId="7" borderId="0" xfId="0" applyNumberFormat="1" applyFont="1" applyFill="1" applyAlignment="1">
      <alignment horizontal="center" vertical="center" wrapText="1"/>
    </xf>
    <xf numFmtId="2" fontId="6" fillId="2" borderId="0" xfId="0" applyNumberFormat="1" applyFont="1" applyFill="1" applyAlignment="1">
      <alignment horizontal="center" vertical="center" wrapText="1"/>
    </xf>
    <xf numFmtId="2" fontId="6" fillId="3" borderId="0" xfId="0" applyNumberFormat="1" applyFont="1" applyFill="1" applyAlignment="1">
      <alignment horizontal="center" vertical="center" wrapText="1"/>
    </xf>
    <xf numFmtId="0" fontId="6" fillId="9" borderId="0" xfId="0" applyFont="1" applyFill="1" applyAlignment="1">
      <alignment horizontal="center" vertical="center" wrapText="1"/>
    </xf>
    <xf numFmtId="0" fontId="7" fillId="13" borderId="0" xfId="0" applyNumberFormat="1" applyFont="1" applyFill="1" applyAlignment="1">
      <alignment horizontal="center" vertical="center" wrapText="1"/>
    </xf>
    <xf numFmtId="0" fontId="18" fillId="0" borderId="0" xfId="0" applyFont="1" applyAlignment="1">
      <alignment horizontal="center" vertical="center" wrapText="1"/>
    </xf>
    <xf numFmtId="0" fontId="18" fillId="6" borderId="0" xfId="0" applyFont="1" applyFill="1" applyAlignment="1">
      <alignment horizontal="center" vertical="center" wrapText="1"/>
    </xf>
    <xf numFmtId="0" fontId="18" fillId="0" borderId="0" xfId="0" applyFont="1" applyAlignment="1">
      <alignment wrapText="1"/>
    </xf>
    <xf numFmtId="0" fontId="18" fillId="16" borderId="0" xfId="0" applyFont="1" applyFill="1" applyAlignment="1">
      <alignment horizontal="center" vertical="center" wrapText="1"/>
    </xf>
    <xf numFmtId="0" fontId="18" fillId="17" borderId="0" xfId="0" applyFont="1" applyFill="1" applyAlignment="1">
      <alignment horizontal="center" vertical="center" wrapText="1"/>
    </xf>
    <xf numFmtId="0" fontId="18" fillId="4" borderId="0" xfId="0" applyFont="1" applyFill="1" applyAlignment="1">
      <alignment horizontal="center" vertical="center" wrapText="1"/>
    </xf>
    <xf numFmtId="0" fontId="18" fillId="8" borderId="0" xfId="0" applyFont="1" applyFill="1" applyAlignment="1">
      <alignment horizontal="center" vertical="center" wrapText="1"/>
    </xf>
    <xf numFmtId="0" fontId="18" fillId="2" borderId="0" xfId="0" applyFont="1" applyFill="1" applyAlignment="1">
      <alignment horizontal="center" vertical="center" wrapText="1"/>
    </xf>
    <xf numFmtId="1" fontId="18" fillId="2" borderId="0" xfId="0" applyNumberFormat="1" applyFont="1" applyFill="1" applyAlignment="1">
      <alignment horizontal="center" vertical="center" wrapText="1"/>
    </xf>
    <xf numFmtId="0" fontId="18" fillId="7" borderId="0" xfId="0" applyFont="1" applyFill="1" applyAlignment="1">
      <alignment horizontal="center" vertical="center" wrapText="1"/>
    </xf>
    <xf numFmtId="2" fontId="18" fillId="3" borderId="0" xfId="0" applyNumberFormat="1" applyFont="1" applyFill="1" applyAlignment="1">
      <alignment horizontal="center" vertical="center" wrapText="1"/>
    </xf>
    <xf numFmtId="0" fontId="18" fillId="3" borderId="0" xfId="0" applyFont="1" applyFill="1" applyAlignment="1">
      <alignment horizontal="center" vertical="center" wrapText="1"/>
    </xf>
    <xf numFmtId="9" fontId="18" fillId="3" borderId="0" xfId="1" applyFont="1" applyFill="1" applyAlignment="1">
      <alignment horizontal="center" vertical="center" wrapText="1"/>
    </xf>
    <xf numFmtId="2" fontId="18" fillId="4" borderId="0" xfId="0" applyNumberFormat="1" applyFont="1" applyFill="1" applyAlignment="1">
      <alignment horizontal="center" vertical="center" wrapText="1"/>
    </xf>
    <xf numFmtId="0" fontId="21" fillId="0" borderId="0" xfId="0" applyFont="1" applyAlignment="1">
      <alignment vertical="center" wrapText="1"/>
    </xf>
    <xf numFmtId="1" fontId="18" fillId="4" borderId="0" xfId="0" applyNumberFormat="1" applyFont="1" applyFill="1" applyAlignment="1">
      <alignment horizontal="center" vertical="center" wrapText="1"/>
    </xf>
    <xf numFmtId="0" fontId="18" fillId="0" borderId="0" xfId="0" applyFont="1" applyFill="1" applyAlignment="1">
      <alignment horizontal="center" vertical="center" wrapText="1"/>
    </xf>
    <xf numFmtId="9" fontId="18" fillId="4" borderId="0" xfId="1" applyFont="1" applyFill="1" applyAlignment="1">
      <alignment horizontal="center" vertical="center" wrapText="1"/>
    </xf>
    <xf numFmtId="1" fontId="18" fillId="4" borderId="0" xfId="1" applyNumberFormat="1" applyFont="1" applyFill="1" applyAlignment="1">
      <alignment horizontal="center" vertical="center" wrapText="1"/>
    </xf>
    <xf numFmtId="0" fontId="18" fillId="4" borderId="0" xfId="1" applyNumberFormat="1" applyFont="1" applyFill="1" applyAlignment="1">
      <alignment horizontal="center" vertical="center" wrapText="1"/>
    </xf>
    <xf numFmtId="0" fontId="18" fillId="0" borderId="0" xfId="0" applyFont="1" applyAlignment="1">
      <alignment vertical="center" wrapText="1"/>
    </xf>
    <xf numFmtId="0" fontId="0" fillId="0" borderId="0" xfId="0" applyAlignment="1">
      <alignment vertical="center"/>
    </xf>
    <xf numFmtId="1" fontId="18" fillId="3" borderId="0" xfId="0" applyNumberFormat="1" applyFont="1" applyFill="1" applyAlignment="1">
      <alignment horizontal="center" vertical="center" wrapText="1"/>
    </xf>
    <xf numFmtId="0" fontId="22" fillId="0" borderId="0" xfId="0" applyFont="1" applyAlignment="1">
      <alignment horizontal="center" vertical="center" readingOrder="1"/>
    </xf>
    <xf numFmtId="2" fontId="18" fillId="2" borderId="0" xfId="0" applyNumberFormat="1" applyFont="1" applyFill="1" applyAlignment="1">
      <alignment horizontal="center" vertical="center" wrapText="1"/>
    </xf>
    <xf numFmtId="1" fontId="18" fillId="0" borderId="0" xfId="0" applyNumberFormat="1" applyFont="1" applyFill="1" applyAlignment="1">
      <alignment horizontal="center" vertical="center" wrapText="1"/>
    </xf>
    <xf numFmtId="164" fontId="18" fillId="3" borderId="0" xfId="0" applyNumberFormat="1" applyFont="1" applyFill="1" applyAlignment="1">
      <alignment horizontal="center" vertical="center" wrapText="1"/>
    </xf>
    <xf numFmtId="0" fontId="21" fillId="0" borderId="0" xfId="0" applyFont="1" applyAlignment="1">
      <alignment horizontal="center" vertical="center" wrapText="1"/>
    </xf>
    <xf numFmtId="0" fontId="24" fillId="0" borderId="0" xfId="0" applyFont="1"/>
    <xf numFmtId="2" fontId="18" fillId="6" borderId="0" xfId="0" applyNumberFormat="1" applyFont="1" applyFill="1" applyAlignment="1">
      <alignment horizontal="center" vertical="center" wrapText="1"/>
    </xf>
    <xf numFmtId="0" fontId="26" fillId="0" borderId="0" xfId="0" applyFont="1" applyAlignment="1">
      <alignment horizontal="center" vertical="center" readingOrder="1"/>
    </xf>
    <xf numFmtId="0" fontId="18" fillId="0" borderId="0" xfId="0" applyFont="1" applyFill="1" applyAlignment="1">
      <alignment vertical="center" wrapText="1"/>
    </xf>
    <xf numFmtId="167" fontId="6" fillId="0" borderId="0" xfId="0" applyNumberFormat="1" applyFont="1" applyAlignment="1">
      <alignment horizontal="center" vertical="center" wrapText="1"/>
    </xf>
    <xf numFmtId="167" fontId="6" fillId="0" borderId="0" xfId="0" applyNumberFormat="1" applyFont="1" applyFill="1" applyAlignment="1">
      <alignment horizontal="center" vertical="center" wrapText="1"/>
    </xf>
    <xf numFmtId="0" fontId="6" fillId="8" borderId="0" xfId="0" applyFont="1" applyFill="1" applyAlignment="1">
      <alignment horizontal="center" vertical="center" wrapText="1"/>
    </xf>
    <xf numFmtId="0" fontId="6" fillId="9" borderId="0" xfId="0" applyFont="1" applyFill="1" applyAlignment="1">
      <alignment horizontal="center" vertical="center" wrapText="1"/>
    </xf>
    <xf numFmtId="0" fontId="6" fillId="5" borderId="0" xfId="0" applyFont="1" applyFill="1" applyAlignment="1">
      <alignment horizontal="center" vertical="center" wrapText="1"/>
    </xf>
    <xf numFmtId="2" fontId="6" fillId="2" borderId="0" xfId="0" applyNumberFormat="1" applyFont="1" applyFill="1" applyAlignment="1">
      <alignment horizontal="center" vertical="center" wrapText="1"/>
    </xf>
    <xf numFmtId="2" fontId="6" fillId="14" borderId="0" xfId="0" applyNumberFormat="1" applyFont="1" applyFill="1" applyAlignment="1">
      <alignment horizontal="center" vertical="center" wrapText="1"/>
    </xf>
    <xf numFmtId="2" fontId="6" fillId="8" borderId="0" xfId="0" applyNumberFormat="1" applyFont="1" applyFill="1" applyAlignment="1">
      <alignment horizontal="center" vertical="center" wrapText="1"/>
    </xf>
    <xf numFmtId="2" fontId="6" fillId="20" borderId="0" xfId="0" applyNumberFormat="1" applyFont="1" applyFill="1" applyAlignment="1">
      <alignment horizontal="center" vertical="center" wrapText="1"/>
    </xf>
    <xf numFmtId="0" fontId="19" fillId="22" borderId="0" xfId="0" applyFont="1" applyFill="1" applyAlignment="1">
      <alignment horizontal="center" vertical="center" wrapText="1"/>
    </xf>
    <xf numFmtId="0" fontId="19" fillId="22" borderId="0" xfId="0" applyFont="1" applyFill="1" applyAlignment="1">
      <alignment vertical="center" wrapText="1"/>
    </xf>
    <xf numFmtId="0" fontId="18" fillId="17" borderId="0" xfId="0" applyFont="1" applyFill="1" applyBorder="1" applyAlignment="1">
      <alignment horizontal="center" vertical="center" wrapText="1"/>
    </xf>
    <xf numFmtId="0" fontId="27" fillId="17" borderId="0" xfId="0" applyFont="1" applyFill="1" applyBorder="1" applyAlignment="1">
      <alignment horizontal="center" vertical="center" wrapText="1"/>
    </xf>
    <xf numFmtId="0" fontId="27" fillId="16" borderId="0" xfId="0" applyFont="1" applyFill="1" applyAlignment="1">
      <alignment horizontal="center" vertical="center" wrapText="1"/>
    </xf>
    <xf numFmtId="0" fontId="18" fillId="16" borderId="0" xfId="0" applyNumberFormat="1" applyFont="1" applyFill="1" applyAlignment="1">
      <alignment horizontal="center" vertical="center" wrapText="1"/>
    </xf>
    <xf numFmtId="0" fontId="27" fillId="16" borderId="0" xfId="0" applyNumberFormat="1" applyFont="1" applyFill="1" applyAlignment="1">
      <alignment horizontal="center" vertical="center" wrapText="1"/>
    </xf>
    <xf numFmtId="0" fontId="0" fillId="0" borderId="0" xfId="0" applyBorder="1"/>
    <xf numFmtId="0" fontId="1" fillId="0" borderId="0" xfId="0" applyFont="1" applyBorder="1"/>
    <xf numFmtId="0" fontId="27" fillId="17" borderId="0" xfId="0" applyFont="1" applyFill="1" applyAlignment="1">
      <alignment horizontal="center" vertical="center" wrapText="1"/>
    </xf>
    <xf numFmtId="0" fontId="6" fillId="10" borderId="0" xfId="0" applyFont="1" applyFill="1" applyAlignment="1">
      <alignment vertical="center" wrapText="1"/>
    </xf>
    <xf numFmtId="9" fontId="6" fillId="2" borderId="0" xfId="0" applyNumberFormat="1" applyFont="1" applyFill="1" applyAlignment="1">
      <alignment horizontal="center" vertical="center" wrapText="1"/>
    </xf>
    <xf numFmtId="0" fontId="0" fillId="0" borderId="0" xfId="0" applyAlignment="1">
      <alignment horizontal="center" vertical="center"/>
    </xf>
    <xf numFmtId="2" fontId="13" fillId="11"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9" fontId="18" fillId="0" borderId="0" xfId="1" applyFont="1" applyFill="1" applyAlignment="1">
      <alignment horizontal="center" vertical="center" wrapText="1"/>
    </xf>
    <xf numFmtId="1" fontId="18" fillId="0" borderId="0" xfId="1" applyNumberFormat="1" applyFont="1" applyFill="1" applyAlignment="1">
      <alignment horizontal="center" vertical="center" wrapText="1"/>
    </xf>
    <xf numFmtId="0" fontId="0" fillId="0" borderId="0" xfId="0" applyAlignment="1"/>
    <xf numFmtId="0" fontId="6" fillId="0" borderId="0" xfId="0" applyFont="1" applyAlignment="1">
      <alignment horizontal="center" vertical="center" wrapText="1"/>
    </xf>
    <xf numFmtId="0" fontId="0" fillId="0" borderId="10"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center" vertical="center" wrapText="1"/>
    </xf>
    <xf numFmtId="0" fontId="0" fillId="0" borderId="27"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Font="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13" fillId="19" borderId="0" xfId="0" applyFont="1" applyFill="1" applyAlignment="1">
      <alignment horizontal="center" vertical="center" wrapText="1"/>
    </xf>
    <xf numFmtId="2" fontId="13" fillId="14" borderId="0" xfId="0" applyNumberFormat="1" applyFont="1" applyFill="1" applyAlignment="1">
      <alignment horizontal="center" vertical="center" wrapText="1"/>
    </xf>
    <xf numFmtId="9" fontId="6" fillId="5" borderId="0" xfId="0" applyNumberFormat="1" applyFont="1" applyFill="1" applyAlignment="1">
      <alignment horizontal="center" vertical="center" wrapText="1"/>
    </xf>
    <xf numFmtId="9" fontId="7" fillId="13" borderId="0" xfId="1" applyFont="1" applyFill="1" applyAlignment="1">
      <alignment horizontal="center" vertical="center" wrapText="1"/>
    </xf>
    <xf numFmtId="9" fontId="6" fillId="17" borderId="0" xfId="1" applyFont="1" applyFill="1" applyAlignment="1">
      <alignment horizontal="center" vertical="center" wrapText="1"/>
    </xf>
    <xf numFmtId="0" fontId="6" fillId="10" borderId="0" xfId="0" applyFont="1" applyFill="1" applyAlignment="1">
      <alignment horizontal="center" vertical="center" wrapText="1"/>
    </xf>
    <xf numFmtId="0" fontId="6" fillId="14" borderId="0" xfId="0" applyFont="1" applyFill="1" applyAlignment="1">
      <alignment horizontal="center" vertical="center" wrapText="1"/>
    </xf>
    <xf numFmtId="0" fontId="6" fillId="7" borderId="0" xfId="0" applyFont="1" applyFill="1" applyAlignment="1">
      <alignment horizontal="center" vertical="center" wrapText="1"/>
    </xf>
    <xf numFmtId="0" fontId="6" fillId="8" borderId="0" xfId="0" applyFont="1" applyFill="1" applyAlignment="1">
      <alignment horizontal="center" vertical="center" wrapText="1"/>
    </xf>
    <xf numFmtId="0" fontId="6" fillId="18" borderId="0" xfId="0" applyFont="1" applyFill="1" applyAlignment="1">
      <alignment horizontal="center" vertical="center" wrapText="1"/>
    </xf>
    <xf numFmtId="0" fontId="6" fillId="23" borderId="0" xfId="0" applyFont="1" applyFill="1" applyAlignment="1">
      <alignment horizontal="center" vertical="center" wrapText="1"/>
    </xf>
    <xf numFmtId="169" fontId="6" fillId="16" borderId="0" xfId="0" applyNumberFormat="1" applyFont="1" applyFill="1" applyAlignment="1">
      <alignment horizontal="center" vertical="center" wrapText="1"/>
    </xf>
    <xf numFmtId="0" fontId="6" fillId="5" borderId="0" xfId="0" applyFont="1" applyFill="1" applyAlignment="1">
      <alignment horizontal="center" vertical="center" wrapText="1"/>
    </xf>
    <xf numFmtId="0" fontId="6" fillId="16" borderId="0" xfId="0" applyFont="1" applyFill="1" applyAlignment="1">
      <alignment horizontal="center" vertical="center" wrapText="1"/>
    </xf>
    <xf numFmtId="0" fontId="6" fillId="15" borderId="0" xfId="0" applyFont="1" applyFill="1" applyAlignment="1">
      <alignment horizontal="center" vertical="center" wrapText="1"/>
    </xf>
    <xf numFmtId="0" fontId="7" fillId="13" borderId="0" xfId="0" applyFont="1" applyFill="1" applyAlignment="1">
      <alignment horizontal="center" vertical="center" wrapText="1"/>
    </xf>
    <xf numFmtId="169" fontId="6" fillId="2" borderId="0" xfId="0" applyNumberFormat="1" applyFont="1" applyFill="1" applyAlignment="1">
      <alignment horizontal="center" vertical="center" wrapText="1"/>
    </xf>
    <xf numFmtId="169" fontId="6" fillId="9" borderId="0" xfId="0" applyNumberFormat="1" applyFont="1" applyFill="1" applyAlignment="1">
      <alignment horizontal="center" vertical="center" wrapText="1"/>
    </xf>
    <xf numFmtId="2" fontId="6" fillId="17" borderId="0" xfId="0" applyNumberFormat="1" applyFont="1" applyFill="1" applyAlignment="1">
      <alignment horizontal="right" vertical="center" wrapText="1"/>
    </xf>
    <xf numFmtId="0" fontId="6" fillId="9" borderId="0" xfId="0" applyFont="1" applyFill="1" applyAlignment="1">
      <alignment horizontal="center" vertical="center" wrapText="1"/>
    </xf>
    <xf numFmtId="0" fontId="6" fillId="6" borderId="0" xfId="0" applyFont="1" applyFill="1" applyAlignment="1">
      <alignment horizontal="center" vertical="center" wrapText="1"/>
    </xf>
    <xf numFmtId="2" fontId="6" fillId="2" borderId="0" xfId="0" applyNumberFormat="1" applyFont="1" applyFill="1" applyAlignment="1">
      <alignment horizontal="center" vertical="center" wrapText="1"/>
    </xf>
    <xf numFmtId="2" fontId="6" fillId="3" borderId="0" xfId="0" applyNumberFormat="1" applyFont="1" applyFill="1" applyAlignment="1">
      <alignment horizontal="center" vertical="center" wrapText="1"/>
    </xf>
    <xf numFmtId="2" fontId="6" fillId="17" borderId="0" xfId="0" applyNumberFormat="1" applyFont="1" applyFill="1" applyAlignment="1">
      <alignment horizontal="center" vertical="center" wrapText="1"/>
    </xf>
    <xf numFmtId="2" fontId="6" fillId="4" borderId="0" xfId="0" applyNumberFormat="1" applyFont="1" applyFill="1" applyAlignment="1">
      <alignment horizontal="center" vertical="center" wrapText="1"/>
    </xf>
    <xf numFmtId="2" fontId="6" fillId="10" borderId="0" xfId="0" applyNumberFormat="1" applyFont="1" applyFill="1" applyAlignment="1">
      <alignment horizontal="center" vertical="center" wrapText="1"/>
    </xf>
    <xf numFmtId="2" fontId="6" fillId="18" borderId="0" xfId="0" applyNumberFormat="1" applyFont="1" applyFill="1" applyAlignment="1">
      <alignment horizontal="center" vertical="center" wrapText="1"/>
    </xf>
    <xf numFmtId="2" fontId="6" fillId="14" borderId="0" xfId="0" applyNumberFormat="1" applyFont="1" applyFill="1" applyAlignment="1">
      <alignment horizontal="center" vertical="center" wrapText="1"/>
    </xf>
    <xf numFmtId="2" fontId="6" fillId="8" borderId="0" xfId="0" applyNumberFormat="1" applyFont="1" applyFill="1" applyAlignment="1">
      <alignment horizontal="center" vertical="center" wrapText="1"/>
    </xf>
    <xf numFmtId="168" fontId="6" fillId="9" borderId="0" xfId="3" applyNumberFormat="1" applyFont="1" applyFill="1" applyAlignment="1">
      <alignment horizontal="center" vertical="center" wrapText="1"/>
    </xf>
    <xf numFmtId="168" fontId="6" fillId="16" borderId="0" xfId="3" applyNumberFormat="1" applyFont="1" applyFill="1" applyAlignment="1">
      <alignment horizontal="center" vertical="center" wrapText="1"/>
    </xf>
    <xf numFmtId="2" fontId="13" fillId="19" borderId="0" xfId="0" applyNumberFormat="1" applyFont="1" applyFill="1" applyAlignment="1">
      <alignment horizontal="center" vertical="center" wrapText="1"/>
    </xf>
    <xf numFmtId="2" fontId="6" fillId="20" borderId="0" xfId="0" applyNumberFormat="1" applyFont="1" applyFill="1" applyAlignment="1">
      <alignment horizontal="center" vertical="center" wrapText="1"/>
    </xf>
    <xf numFmtId="2" fontId="6" fillId="21" borderId="0" xfId="0" applyNumberFormat="1" applyFont="1" applyFill="1" applyAlignment="1">
      <alignment horizontal="center" vertical="center" wrapText="1"/>
    </xf>
    <xf numFmtId="2" fontId="6" fillId="7" borderId="0" xfId="0" applyNumberFormat="1" applyFont="1" applyFill="1" applyAlignment="1">
      <alignment horizontal="center" vertical="center" wrapText="1"/>
    </xf>
    <xf numFmtId="2" fontId="6" fillId="3" borderId="0" xfId="2" applyNumberFormat="1"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6" fillId="0" borderId="0" xfId="0" applyFont="1" applyAlignment="1">
      <alignment horizontal="center" vertical="center" wrapText="1"/>
    </xf>
    <xf numFmtId="2" fontId="13" fillId="0" borderId="0" xfId="0" applyNumberFormat="1" applyFont="1" applyAlignment="1">
      <alignment horizontal="center" vertical="center" wrapText="1"/>
    </xf>
    <xf numFmtId="1" fontId="6" fillId="3" borderId="0" xfId="2" applyNumberFormat="1" applyFont="1" applyFill="1" applyAlignment="1">
      <alignment horizontal="center" vertical="center" wrapText="1"/>
    </xf>
    <xf numFmtId="0" fontId="18" fillId="18" borderId="0" xfId="0" applyFont="1" applyFill="1" applyAlignment="1">
      <alignment horizontal="center" vertical="center" wrapText="1"/>
    </xf>
    <xf numFmtId="0" fontId="18" fillId="14" borderId="0" xfId="0" applyFont="1" applyFill="1" applyAlignment="1">
      <alignment horizontal="center" vertical="center" wrapText="1"/>
    </xf>
    <xf numFmtId="0" fontId="18" fillId="15" borderId="0" xfId="0" applyFont="1" applyFill="1" applyAlignment="1">
      <alignment horizontal="center" vertical="center" wrapText="1"/>
    </xf>
    <xf numFmtId="0" fontId="18" fillId="7" borderId="0" xfId="0" applyFont="1" applyFill="1" applyAlignment="1">
      <alignment horizontal="center" vertical="center" wrapText="1"/>
    </xf>
    <xf numFmtId="0" fontId="19" fillId="22" borderId="0" xfId="0" applyFont="1" applyFill="1" applyAlignment="1">
      <alignment horizontal="center" vertical="center" wrapText="1"/>
    </xf>
    <xf numFmtId="0" fontId="18" fillId="9" borderId="0" xfId="0" applyFont="1" applyFill="1" applyAlignment="1">
      <alignment horizontal="center" vertical="center" wrapText="1"/>
    </xf>
    <xf numFmtId="9" fontId="23" fillId="0" borderId="0" xfId="0" applyNumberFormat="1" applyFont="1" applyAlignment="1">
      <alignment horizontal="center" vertical="center" wrapText="1"/>
    </xf>
    <xf numFmtId="0" fontId="0" fillId="0" borderId="0" xfId="0" applyAlignment="1">
      <alignment horizontal="center" vertical="center"/>
    </xf>
  </cellXfs>
  <cellStyles count="4">
    <cellStyle name="Milliers" xfId="2" builtinId="3"/>
    <cellStyle name="Monétaire" xfId="3" builtinId="4"/>
    <cellStyle name="Normal" xfId="0" builtinId="0"/>
    <cellStyle name="Pourcentage" xfId="1" builtinId="5"/>
  </cellStyles>
  <dxfs count="6">
    <dxf>
      <font>
        <b/>
        <i val="0"/>
        <color theme="1"/>
      </font>
      <fill>
        <patternFill patternType="solid">
          <bgColor theme="5" tint="0.79998168889431442"/>
        </patternFill>
      </fill>
    </dxf>
    <dxf>
      <font>
        <b/>
        <i val="0"/>
        <color theme="1"/>
      </font>
      <fill>
        <patternFill patternType="solid">
          <bgColor theme="5" tint="0.7999816888943144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7C7CE"/>
      <color rgb="FFEFE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A74C-9E9C-6B42-8D4A-C6C46D8D0C07}">
  <dimension ref="A1:DV5"/>
  <sheetViews>
    <sheetView workbookViewId="0">
      <pane xSplit="4" ySplit="3" topLeftCell="CJ4" activePane="bottomRight" state="frozen"/>
      <selection pane="topRight" activeCell="E1" sqref="E1"/>
      <selection pane="bottomLeft" activeCell="A4" sqref="A4"/>
      <selection pane="bottomRight" activeCell="CQ4" sqref="CQ4"/>
    </sheetView>
  </sheetViews>
  <sheetFormatPr baseColWidth="10" defaultRowHeight="16"/>
  <cols>
    <col min="1" max="1" width="10.83203125" style="1"/>
    <col min="2" max="2" width="10.83203125" style="1" bestFit="1" customWidth="1"/>
    <col min="3" max="3" width="11.5" style="1" customWidth="1"/>
    <col min="4" max="4" width="10.1640625" style="1" customWidth="1"/>
    <col min="5" max="5" width="12.33203125" style="1" customWidth="1"/>
    <col min="6" max="6" width="9.6640625" style="1" customWidth="1"/>
    <col min="7" max="7" width="10.83203125" style="1" customWidth="1"/>
    <col min="8" max="8" width="8.83203125" style="1" bestFit="1" customWidth="1"/>
    <col min="9" max="9" width="14.33203125" style="1" customWidth="1"/>
    <col min="10" max="10" width="13.6640625" style="1" customWidth="1"/>
    <col min="11" max="11" width="48.1640625" style="1" bestFit="1" customWidth="1"/>
    <col min="12" max="12" width="13" style="1" customWidth="1"/>
    <col min="13" max="13" width="16.5" style="1" bestFit="1" customWidth="1"/>
    <col min="14" max="14" width="10.83203125" style="1"/>
    <col min="15" max="15" width="7.1640625" style="1" bestFit="1" customWidth="1"/>
    <col min="16" max="16" width="9.83203125" style="1" customWidth="1"/>
    <col min="17" max="17" width="8.6640625" style="1" customWidth="1"/>
    <col min="18" max="18" width="9.5" style="1" bestFit="1" customWidth="1"/>
    <col min="19" max="19" width="6.1640625" style="1" bestFit="1" customWidth="1"/>
    <col min="20" max="20" width="33.1640625" style="1" customWidth="1"/>
    <col min="21" max="21" width="10.83203125" style="1"/>
    <col min="22" max="23" width="12.5" style="1" customWidth="1"/>
    <col min="24" max="24" width="25.33203125" style="1" bestFit="1" customWidth="1"/>
    <col min="25" max="25" width="10.83203125" style="1"/>
    <col min="26" max="26" width="12" style="1" customWidth="1"/>
    <col min="27" max="31" width="10.83203125" style="1"/>
    <col min="32" max="32" width="17.6640625" style="1" customWidth="1"/>
    <col min="33" max="33" width="16.33203125" style="1" customWidth="1"/>
    <col min="34" max="34" width="14.6640625" style="1" customWidth="1"/>
    <col min="35" max="35" width="9.1640625" style="1" bestFit="1" customWidth="1"/>
    <col min="36" max="38" width="11.83203125" style="1" customWidth="1"/>
    <col min="39" max="40" width="8.83203125" style="1" customWidth="1"/>
    <col min="41" max="41" width="9.83203125" style="1" bestFit="1" customWidth="1"/>
    <col min="42" max="42" width="13.33203125" style="1" bestFit="1" customWidth="1"/>
    <col min="43" max="43" width="11.83203125" style="1" customWidth="1"/>
    <col min="44" max="45" width="8.83203125" style="1" customWidth="1"/>
    <col min="46" max="46" width="9.83203125" style="1" bestFit="1" customWidth="1"/>
    <col min="47" max="47" width="13.33203125" style="1" bestFit="1" customWidth="1"/>
    <col min="48" max="48" width="11.83203125" style="1" customWidth="1"/>
    <col min="49" max="50" width="8.83203125" style="1" customWidth="1"/>
    <col min="51" max="51" width="9.83203125" style="1" bestFit="1" customWidth="1"/>
    <col min="52" max="52" width="13.33203125" style="1" bestFit="1" customWidth="1"/>
    <col min="53" max="53" width="11.83203125" style="1" customWidth="1"/>
    <col min="54" max="55" width="8.83203125" style="1" customWidth="1"/>
    <col min="56" max="56" width="9.83203125" style="1" bestFit="1" customWidth="1"/>
    <col min="57" max="57" width="13.33203125" style="1" bestFit="1" customWidth="1"/>
    <col min="58" max="58" width="11.83203125" style="1" customWidth="1"/>
    <col min="59" max="60" width="8.83203125" style="1" customWidth="1"/>
    <col min="61" max="61" width="9.83203125" style="1" bestFit="1" customWidth="1"/>
    <col min="62" max="62" width="13.33203125" style="1" bestFit="1" customWidth="1"/>
    <col min="63" max="63" width="11.83203125" style="1" customWidth="1"/>
    <col min="64" max="65" width="8.83203125" style="1" customWidth="1"/>
    <col min="66" max="66" width="9.83203125" style="1" bestFit="1" customWidth="1"/>
    <col min="67" max="67" width="13.33203125" style="1" bestFit="1" customWidth="1"/>
    <col min="68" max="68" width="11.83203125" style="1" customWidth="1"/>
    <col min="69" max="70" width="8.83203125" style="1" customWidth="1"/>
    <col min="71" max="71" width="9.83203125" style="1" bestFit="1" customWidth="1"/>
    <col min="72" max="72" width="13.33203125" style="1" bestFit="1" customWidth="1"/>
    <col min="73" max="73" width="11.83203125" style="1" customWidth="1"/>
    <col min="74" max="75" width="8.83203125" style="1" customWidth="1"/>
    <col min="76" max="76" width="9.83203125" style="1" bestFit="1" customWidth="1"/>
    <col min="77" max="77" width="13.33203125" style="1" bestFit="1" customWidth="1"/>
    <col min="78" max="79" width="8.83203125" style="1" customWidth="1"/>
    <col min="80" max="81" width="16.33203125" style="1" bestFit="1" customWidth="1"/>
    <col min="82" max="82" width="16.83203125" style="1" customWidth="1"/>
    <col min="83" max="89" width="17.83203125" style="1" customWidth="1"/>
    <col min="90" max="92" width="19" style="1" customWidth="1"/>
    <col min="93" max="94" width="17.83203125" style="1" customWidth="1"/>
    <col min="95" max="95" width="15.5" style="1" bestFit="1" customWidth="1"/>
    <col min="96" max="101" width="14.83203125" style="1" customWidth="1"/>
    <col min="102" max="102" width="10.83203125" style="1"/>
    <col min="103" max="106" width="15.5" style="1" customWidth="1"/>
    <col min="107" max="107" width="15.83203125" style="1" customWidth="1"/>
    <col min="108" max="117" width="15.5" style="1" customWidth="1"/>
    <col min="118" max="118" width="16.83203125" style="1" bestFit="1" customWidth="1"/>
    <col min="119" max="119" width="10.83203125" style="1"/>
    <col min="120" max="120" width="14.1640625" style="1" bestFit="1" customWidth="1"/>
    <col min="121" max="121" width="12.6640625" style="1" customWidth="1"/>
    <col min="122" max="122" width="31.6640625" style="1" customWidth="1"/>
    <col min="123" max="123" width="18.1640625" style="1" customWidth="1"/>
    <col min="124" max="124" width="19.6640625" style="1" customWidth="1"/>
    <col min="125" max="125" width="21.83203125" style="1" customWidth="1"/>
    <col min="126" max="126" width="13.83203125" style="1" customWidth="1"/>
    <col min="127" max="16384" width="10.83203125" style="1"/>
  </cols>
  <sheetData>
    <row r="1" spans="1:126" s="12" customFormat="1" ht="16" customHeight="1">
      <c r="A1" s="199" t="s">
        <v>19</v>
      </c>
      <c r="B1" s="195"/>
      <c r="C1" s="195"/>
      <c r="D1" s="195"/>
      <c r="E1" s="195"/>
      <c r="F1" s="195"/>
      <c r="G1" s="195"/>
      <c r="H1" s="195"/>
      <c r="I1" s="196"/>
      <c r="J1" s="194" t="s">
        <v>32</v>
      </c>
      <c r="K1" s="195"/>
      <c r="L1" s="195"/>
      <c r="M1" s="195"/>
      <c r="N1" s="195"/>
      <c r="O1" s="195"/>
      <c r="P1" s="195"/>
      <c r="Q1" s="195"/>
      <c r="R1" s="195"/>
      <c r="S1" s="196"/>
      <c r="T1" s="199" t="s">
        <v>44</v>
      </c>
      <c r="U1" s="195"/>
      <c r="V1" s="195"/>
      <c r="W1" s="196"/>
      <c r="X1" s="199" t="s">
        <v>45</v>
      </c>
      <c r="Y1" s="195"/>
      <c r="Z1" s="195"/>
      <c r="AA1" s="195"/>
      <c r="AB1" s="195"/>
      <c r="AC1" s="195"/>
      <c r="AD1" s="195"/>
      <c r="AE1" s="196"/>
      <c r="AF1" s="199" t="s">
        <v>47</v>
      </c>
      <c r="AG1" s="196"/>
      <c r="AH1" s="200" t="s">
        <v>54</v>
      </c>
      <c r="AI1" s="199" t="s">
        <v>55</v>
      </c>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211"/>
      <c r="CC1" s="196"/>
      <c r="CD1" s="194" t="s">
        <v>72</v>
      </c>
      <c r="CE1" s="195"/>
      <c r="CF1" s="195"/>
      <c r="CG1" s="195"/>
      <c r="CH1" s="195"/>
      <c r="CI1" s="195"/>
      <c r="CJ1" s="195"/>
      <c r="CK1" s="211"/>
      <c r="CL1" s="199" t="s">
        <v>107</v>
      </c>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6"/>
      <c r="DN1" s="194" t="s">
        <v>20</v>
      </c>
      <c r="DO1" s="195"/>
      <c r="DP1" s="195"/>
      <c r="DQ1" s="195"/>
      <c r="DR1" s="195"/>
      <c r="DS1" s="195"/>
      <c r="DT1" s="195"/>
      <c r="DU1" s="195"/>
      <c r="DV1" s="196"/>
    </row>
    <row r="2" spans="1:126" ht="51" customHeight="1">
      <c r="A2" s="203" t="s">
        <v>69</v>
      </c>
      <c r="B2" s="197" t="s">
        <v>0</v>
      </c>
      <c r="C2" s="197" t="s">
        <v>1</v>
      </c>
      <c r="D2" s="197" t="s">
        <v>14</v>
      </c>
      <c r="E2" s="197" t="s">
        <v>15</v>
      </c>
      <c r="F2" s="197" t="s">
        <v>16</v>
      </c>
      <c r="G2" s="197" t="s">
        <v>17</v>
      </c>
      <c r="H2" s="197" t="s">
        <v>18</v>
      </c>
      <c r="I2" s="198" t="s">
        <v>108</v>
      </c>
      <c r="J2" s="209" t="s">
        <v>33</v>
      </c>
      <c r="K2" s="197"/>
      <c r="L2" s="197"/>
      <c r="M2" s="197"/>
      <c r="N2" s="207" t="s">
        <v>37</v>
      </c>
      <c r="O2" s="208"/>
      <c r="P2" s="209"/>
      <c r="Q2" s="197" t="s">
        <v>39</v>
      </c>
      <c r="R2" s="197"/>
      <c r="S2" s="198"/>
      <c r="T2" s="203" t="s">
        <v>46</v>
      </c>
      <c r="U2" s="197" t="s">
        <v>25</v>
      </c>
      <c r="V2" s="197"/>
      <c r="W2" s="198"/>
      <c r="X2" s="203" t="s">
        <v>26</v>
      </c>
      <c r="Y2" s="197" t="s">
        <v>27</v>
      </c>
      <c r="Z2" s="197"/>
      <c r="AA2" s="197"/>
      <c r="AB2" s="197" t="s">
        <v>30</v>
      </c>
      <c r="AC2" s="197"/>
      <c r="AD2" s="197" t="s">
        <v>31</v>
      </c>
      <c r="AE2" s="198"/>
      <c r="AF2" s="203" t="s">
        <v>70</v>
      </c>
      <c r="AG2" s="198" t="s">
        <v>71</v>
      </c>
      <c r="AH2" s="201"/>
      <c r="AI2" s="203" t="s">
        <v>56</v>
      </c>
      <c r="AJ2" s="197" t="s">
        <v>58</v>
      </c>
      <c r="AK2" s="197" t="s">
        <v>57</v>
      </c>
      <c r="AL2" s="197" t="s">
        <v>59</v>
      </c>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207"/>
      <c r="CC2" s="198"/>
      <c r="CD2" s="209" t="s">
        <v>77</v>
      </c>
      <c r="CE2" s="197" t="s">
        <v>76</v>
      </c>
      <c r="CF2" s="197"/>
      <c r="CG2" s="197"/>
      <c r="CH2" s="197"/>
      <c r="CI2" s="197" t="s">
        <v>82</v>
      </c>
      <c r="CJ2" s="197"/>
      <c r="CK2" s="207"/>
      <c r="CL2" s="203" t="s">
        <v>100</v>
      </c>
      <c r="CM2" s="197"/>
      <c r="CN2" s="197"/>
      <c r="CO2" s="197"/>
      <c r="CP2" s="197"/>
      <c r="CQ2" s="197"/>
      <c r="CR2" s="197"/>
      <c r="CS2" s="197"/>
      <c r="CT2" s="197"/>
      <c r="CU2" s="197"/>
      <c r="CV2" s="197"/>
      <c r="CW2" s="197"/>
      <c r="CX2" s="197"/>
      <c r="CY2" s="197" t="s">
        <v>101</v>
      </c>
      <c r="CZ2" s="197"/>
      <c r="DA2" s="197"/>
      <c r="DB2" s="197" t="s">
        <v>102</v>
      </c>
      <c r="DC2" s="197" t="s">
        <v>95</v>
      </c>
      <c r="DD2" s="197"/>
      <c r="DE2" s="197"/>
      <c r="DF2" s="197"/>
      <c r="DG2" s="197" t="s">
        <v>103</v>
      </c>
      <c r="DH2" s="197" t="s">
        <v>99</v>
      </c>
      <c r="DI2" s="197" t="s">
        <v>104</v>
      </c>
      <c r="DJ2" s="197" t="s">
        <v>91</v>
      </c>
      <c r="DK2" s="197"/>
      <c r="DL2" s="197"/>
      <c r="DM2" s="198" t="s">
        <v>106</v>
      </c>
      <c r="DN2" s="5" t="s">
        <v>2</v>
      </c>
      <c r="DO2" s="197" t="s">
        <v>3</v>
      </c>
      <c r="DP2" s="197"/>
      <c r="DQ2" s="2" t="s">
        <v>7</v>
      </c>
      <c r="DR2" s="212" t="s">
        <v>52</v>
      </c>
      <c r="DS2" s="212" t="s">
        <v>9</v>
      </c>
      <c r="DT2" s="212" t="s">
        <v>10</v>
      </c>
      <c r="DU2" s="2" t="s">
        <v>11</v>
      </c>
      <c r="DV2" s="214" t="s">
        <v>13</v>
      </c>
    </row>
    <row r="3" spans="1:126" ht="58" customHeight="1" thickBot="1">
      <c r="A3" s="204"/>
      <c r="B3" s="206"/>
      <c r="C3" s="206"/>
      <c r="D3" s="206"/>
      <c r="E3" s="206"/>
      <c r="F3" s="206"/>
      <c r="G3" s="206"/>
      <c r="H3" s="206"/>
      <c r="I3" s="205"/>
      <c r="J3" s="6" t="s">
        <v>21</v>
      </c>
      <c r="K3" s="4" t="s">
        <v>35</v>
      </c>
      <c r="L3" s="4" t="s">
        <v>34</v>
      </c>
      <c r="M3" s="4" t="s">
        <v>43</v>
      </c>
      <c r="N3" s="4" t="s">
        <v>36</v>
      </c>
      <c r="O3" s="4" t="s">
        <v>38</v>
      </c>
      <c r="P3" s="10" t="s">
        <v>195</v>
      </c>
      <c r="Q3" s="4" t="s">
        <v>40</v>
      </c>
      <c r="R3" s="4" t="s">
        <v>41</v>
      </c>
      <c r="S3" s="8" t="s">
        <v>42</v>
      </c>
      <c r="T3" s="204"/>
      <c r="U3" s="4" t="s">
        <v>22</v>
      </c>
      <c r="V3" s="4" t="s">
        <v>23</v>
      </c>
      <c r="W3" s="8" t="s">
        <v>24</v>
      </c>
      <c r="X3" s="204"/>
      <c r="Y3" s="4" t="s">
        <v>22</v>
      </c>
      <c r="Z3" s="4" t="s">
        <v>23</v>
      </c>
      <c r="AA3" s="4" t="s">
        <v>24</v>
      </c>
      <c r="AB3" s="4" t="s">
        <v>28</v>
      </c>
      <c r="AC3" s="4" t="s">
        <v>29</v>
      </c>
      <c r="AD3" s="4" t="s">
        <v>28</v>
      </c>
      <c r="AE3" s="8" t="s">
        <v>29</v>
      </c>
      <c r="AF3" s="204"/>
      <c r="AG3" s="205"/>
      <c r="AH3" s="202"/>
      <c r="AI3" s="204"/>
      <c r="AJ3" s="206"/>
      <c r="AK3" s="206"/>
      <c r="AL3" s="37" t="s">
        <v>60</v>
      </c>
      <c r="AM3" s="37" t="s">
        <v>61</v>
      </c>
      <c r="AN3" s="37" t="s">
        <v>212</v>
      </c>
      <c r="AO3" s="37" t="s">
        <v>211</v>
      </c>
      <c r="AP3" s="37" t="s">
        <v>213</v>
      </c>
      <c r="AQ3" s="37" t="s">
        <v>62</v>
      </c>
      <c r="AR3" s="37" t="s">
        <v>61</v>
      </c>
      <c r="AS3" s="37" t="s">
        <v>212</v>
      </c>
      <c r="AT3" s="37" t="s">
        <v>211</v>
      </c>
      <c r="AU3" s="37" t="s">
        <v>213</v>
      </c>
      <c r="AV3" s="37" t="s">
        <v>63</v>
      </c>
      <c r="AW3" s="37" t="s">
        <v>61</v>
      </c>
      <c r="AX3" s="37" t="s">
        <v>212</v>
      </c>
      <c r="AY3" s="37" t="s">
        <v>211</v>
      </c>
      <c r="AZ3" s="37" t="s">
        <v>213</v>
      </c>
      <c r="BA3" s="37" t="s">
        <v>64</v>
      </c>
      <c r="BB3" s="37" t="s">
        <v>61</v>
      </c>
      <c r="BC3" s="37" t="s">
        <v>212</v>
      </c>
      <c r="BD3" s="37" t="s">
        <v>211</v>
      </c>
      <c r="BE3" s="37" t="s">
        <v>213</v>
      </c>
      <c r="BF3" s="37" t="s">
        <v>65</v>
      </c>
      <c r="BG3" s="37" t="s">
        <v>61</v>
      </c>
      <c r="BH3" s="37" t="s">
        <v>212</v>
      </c>
      <c r="BI3" s="37" t="s">
        <v>211</v>
      </c>
      <c r="BJ3" s="37" t="s">
        <v>213</v>
      </c>
      <c r="BK3" s="37" t="s">
        <v>66</v>
      </c>
      <c r="BL3" s="37" t="s">
        <v>61</v>
      </c>
      <c r="BM3" s="37" t="s">
        <v>212</v>
      </c>
      <c r="BN3" s="37" t="s">
        <v>211</v>
      </c>
      <c r="BO3" s="37" t="s">
        <v>213</v>
      </c>
      <c r="BP3" s="37" t="s">
        <v>67</v>
      </c>
      <c r="BQ3" s="11" t="s">
        <v>61</v>
      </c>
      <c r="BR3" s="11" t="s">
        <v>212</v>
      </c>
      <c r="BS3" s="37" t="s">
        <v>211</v>
      </c>
      <c r="BT3" s="37" t="s">
        <v>213</v>
      </c>
      <c r="BU3" s="37" t="s">
        <v>68</v>
      </c>
      <c r="BV3" s="11" t="s">
        <v>61</v>
      </c>
      <c r="BW3" s="11" t="s">
        <v>212</v>
      </c>
      <c r="BX3" s="37" t="s">
        <v>211</v>
      </c>
      <c r="BY3" s="37" t="s">
        <v>214</v>
      </c>
      <c r="BZ3" s="11" t="s">
        <v>193</v>
      </c>
      <c r="CA3" s="11" t="s">
        <v>194</v>
      </c>
      <c r="CB3" s="38" t="s">
        <v>215</v>
      </c>
      <c r="CC3" s="38" t="s">
        <v>216</v>
      </c>
      <c r="CD3" s="210"/>
      <c r="CE3" s="11" t="s">
        <v>73</v>
      </c>
      <c r="CF3" s="11" t="s">
        <v>74</v>
      </c>
      <c r="CG3" s="11" t="s">
        <v>78</v>
      </c>
      <c r="CH3" s="11" t="s">
        <v>75</v>
      </c>
      <c r="CI3" s="4" t="s">
        <v>79</v>
      </c>
      <c r="CJ3" s="4" t="s">
        <v>80</v>
      </c>
      <c r="CK3" s="7" t="s">
        <v>81</v>
      </c>
      <c r="CL3" s="3" t="s">
        <v>217</v>
      </c>
      <c r="CM3" s="4" t="s">
        <v>187</v>
      </c>
      <c r="CN3" s="4" t="s">
        <v>188</v>
      </c>
      <c r="CO3" s="11" t="s">
        <v>189</v>
      </c>
      <c r="CP3" s="11" t="s">
        <v>190</v>
      </c>
      <c r="CQ3" s="11" t="s">
        <v>191</v>
      </c>
      <c r="CR3" s="4" t="s">
        <v>85</v>
      </c>
      <c r="CS3" s="4" t="s">
        <v>86</v>
      </c>
      <c r="CT3" s="4" t="s">
        <v>188</v>
      </c>
      <c r="CU3" s="4" t="s">
        <v>83</v>
      </c>
      <c r="CV3" s="4" t="s">
        <v>84</v>
      </c>
      <c r="CW3" s="4" t="s">
        <v>192</v>
      </c>
      <c r="CX3" s="4" t="s">
        <v>88</v>
      </c>
      <c r="CY3" s="4" t="s">
        <v>89</v>
      </c>
      <c r="CZ3" s="4" t="s">
        <v>87</v>
      </c>
      <c r="DA3" s="4" t="s">
        <v>90</v>
      </c>
      <c r="DB3" s="206"/>
      <c r="DC3" s="4" t="s">
        <v>105</v>
      </c>
      <c r="DD3" s="4" t="s">
        <v>96</v>
      </c>
      <c r="DE3" s="4" t="s">
        <v>97</v>
      </c>
      <c r="DF3" s="4" t="s">
        <v>98</v>
      </c>
      <c r="DG3" s="206"/>
      <c r="DH3" s="206"/>
      <c r="DI3" s="206"/>
      <c r="DJ3" s="4" t="s">
        <v>92</v>
      </c>
      <c r="DK3" s="4" t="s">
        <v>93</v>
      </c>
      <c r="DL3" s="4" t="s">
        <v>94</v>
      </c>
      <c r="DM3" s="205"/>
      <c r="DN3" s="6" t="s">
        <v>6</v>
      </c>
      <c r="DO3" s="4" t="s">
        <v>4</v>
      </c>
      <c r="DP3" s="4" t="s">
        <v>5</v>
      </c>
      <c r="DQ3" s="4" t="s">
        <v>8</v>
      </c>
      <c r="DR3" s="213"/>
      <c r="DS3" s="213"/>
      <c r="DT3" s="213"/>
      <c r="DU3" s="4" t="s">
        <v>12</v>
      </c>
      <c r="DV3" s="215"/>
    </row>
    <row r="4" spans="1:126" ht="92" customHeight="1">
      <c r="A4" s="1">
        <v>1</v>
      </c>
      <c r="B4" s="1" t="s">
        <v>49</v>
      </c>
      <c r="C4" s="1" t="s">
        <v>48</v>
      </c>
      <c r="D4" s="1">
        <v>15000</v>
      </c>
      <c r="E4" s="1" t="s">
        <v>50</v>
      </c>
      <c r="F4" s="1">
        <v>13</v>
      </c>
      <c r="G4" s="1" t="s">
        <v>109</v>
      </c>
      <c r="H4" s="1" t="s">
        <v>110</v>
      </c>
      <c r="I4" s="1" t="s">
        <v>51</v>
      </c>
      <c r="J4" s="9" t="s">
        <v>116</v>
      </c>
      <c r="K4" s="1" t="s">
        <v>203</v>
      </c>
      <c r="M4" s="1" t="s">
        <v>201</v>
      </c>
      <c r="P4" s="1" t="s">
        <v>196</v>
      </c>
      <c r="Q4" s="1" t="s">
        <v>200</v>
      </c>
      <c r="R4" s="1" t="s">
        <v>199</v>
      </c>
      <c r="S4" s="40">
        <v>1.7000000000000001E-2</v>
      </c>
      <c r="T4" s="1" t="s">
        <v>198</v>
      </c>
      <c r="X4" s="1" t="s">
        <v>197</v>
      </c>
      <c r="AF4" s="1" t="s">
        <v>202</v>
      </c>
      <c r="AL4" s="1" t="s">
        <v>111</v>
      </c>
      <c r="AM4" s="1">
        <f>0.4*D4</f>
        <v>6000</v>
      </c>
      <c r="AN4" s="1">
        <f>AM4/D4</f>
        <v>0.4</v>
      </c>
      <c r="AO4" s="1">
        <f>AN4*COEFFICIENTS!E15</f>
        <v>2.2399999999999998</v>
      </c>
      <c r="AP4" s="1">
        <f>AO4*COEFFICIENTS!C10*COEFFICIENTS!B42</f>
        <v>1.9219200000000001</v>
      </c>
      <c r="AQ4" s="1" t="s">
        <v>135</v>
      </c>
      <c r="AR4" s="1">
        <f>0.4*D4</f>
        <v>6000</v>
      </c>
      <c r="AS4" s="1">
        <f>AR4/D4</f>
        <v>0.4</v>
      </c>
      <c r="AT4" s="1">
        <f>AS4*COEFFICIENTS!E14</f>
        <v>2.04</v>
      </c>
      <c r="AU4" s="1">
        <f>AT4*COEFFICIENTS!C10*COEFFICIENTS!B28</f>
        <v>1.8457920000000001</v>
      </c>
      <c r="AV4" s="1" t="s">
        <v>112</v>
      </c>
      <c r="AW4" s="1">
        <f>0.1*D4</f>
        <v>1500</v>
      </c>
      <c r="AX4" s="1">
        <f>AW4/D4</f>
        <v>0.1</v>
      </c>
      <c r="AY4" s="1">
        <f>AX4*COEFFICIENTS!E16</f>
        <v>0.71</v>
      </c>
      <c r="AZ4" s="1">
        <f>AY4*COEFFICIENTS!C10*COEFFICIENTS!B22</f>
        <v>0.52057199999999992</v>
      </c>
      <c r="BA4" s="1" t="s">
        <v>113</v>
      </c>
      <c r="BB4" s="1">
        <f>0.05*D4</f>
        <v>750</v>
      </c>
      <c r="BC4" s="1">
        <f>BB4/D4</f>
        <v>0.05</v>
      </c>
      <c r="BD4" s="1">
        <f>BC4*COEFFICIENTS!E17</f>
        <v>0.19500000000000001</v>
      </c>
      <c r="BE4" s="1">
        <f>BD4*COEFFICIENTS!C10*COEFFICIENTS!B20</f>
        <v>0.185562</v>
      </c>
      <c r="BF4" s="1" t="s">
        <v>114</v>
      </c>
      <c r="BG4" s="1">
        <f>0.025*D4</f>
        <v>375</v>
      </c>
      <c r="BH4" s="1">
        <f>BG4/D4</f>
        <v>2.5000000000000001E-2</v>
      </c>
      <c r="BI4" s="1">
        <f>BH4*COEFFICIENTS!E17</f>
        <v>9.7500000000000003E-2</v>
      </c>
      <c r="BJ4" s="1">
        <f>BI4*COEFFICIENTS!C10*COEFFICIENTS!B18</f>
        <v>7.909200000000001E-2</v>
      </c>
      <c r="BK4" s="1" t="s">
        <v>115</v>
      </c>
      <c r="BL4" s="1">
        <f>0.025*D4</f>
        <v>375</v>
      </c>
      <c r="BM4" s="1">
        <f>BL4/D4</f>
        <v>2.5000000000000001E-2</v>
      </c>
      <c r="BN4" s="1">
        <f>BM4*COEFFICIENTS!E21</f>
        <v>0.35499999999999998</v>
      </c>
      <c r="BO4" s="1">
        <f>BN4*COEFFICIENTS!B10*COEFFICIENTS!B35</f>
        <v>0.19844499999999998</v>
      </c>
      <c r="BZ4" s="1">
        <f>(BL4/D4)</f>
        <v>2.5000000000000001E-2</v>
      </c>
      <c r="CA4" s="1">
        <f>(BG4+BB4+AW4+AR4+AM4)/D4</f>
        <v>0.97499999999999998</v>
      </c>
      <c r="CB4" s="1">
        <f>SUM(AP4,AU4,AZ4,BE4,BJ4,BO4)</f>
        <v>4.7513830000000006</v>
      </c>
      <c r="CC4" s="1">
        <f>EXP(-1.0587+0.8836*LN(CB4)+0.284)</f>
        <v>1.8263762531972267</v>
      </c>
      <c r="CL4" s="47">
        <f>IF(J4="Agricole",5,0.5)</f>
        <v>0.5</v>
      </c>
      <c r="CM4" s="39">
        <f>(EXP(-1.0587+0.8836*LN(CL4)+0.284))</f>
        <v>0.24978247278539062</v>
      </c>
      <c r="CN4" s="39">
        <f>(CL4+CM4)*0.475</f>
        <v>0.35614667457306048</v>
      </c>
      <c r="CO4" s="39">
        <f>IF(J4="Agricole",45*F4,70*F4)</f>
        <v>910</v>
      </c>
      <c r="CP4" s="39">
        <v>0</v>
      </c>
      <c r="CQ4" s="39">
        <f>SUM(CN4+CO4+CP4)</f>
        <v>910.3561466745731</v>
      </c>
      <c r="CR4" s="39">
        <f>CB4*F4</f>
        <v>61.767979000000011</v>
      </c>
      <c r="CS4" s="39">
        <f>CC4*F4</f>
        <v>23.742891291563947</v>
      </c>
      <c r="CT4" s="39">
        <f>(CS4+CR4)*0.475</f>
        <v>40.617663388492879</v>
      </c>
      <c r="CU4" s="39">
        <f>70*F4</f>
        <v>910</v>
      </c>
      <c r="CV4" s="39">
        <f>10*F4</f>
        <v>130</v>
      </c>
      <c r="CW4" s="39">
        <f>SUM(CT4:CV4)</f>
        <v>1080.6176633884929</v>
      </c>
    </row>
    <row r="5" spans="1:126" ht="92" customHeight="1">
      <c r="A5" s="1">
        <v>2</v>
      </c>
      <c r="B5" s="1" t="s">
        <v>49</v>
      </c>
      <c r="C5" s="1" t="s">
        <v>48</v>
      </c>
      <c r="D5" s="1">
        <v>15000</v>
      </c>
      <c r="E5" s="1" t="s">
        <v>50</v>
      </c>
      <c r="F5" s="1">
        <v>13</v>
      </c>
      <c r="G5" s="1" t="s">
        <v>109</v>
      </c>
      <c r="H5" s="1" t="s">
        <v>110</v>
      </c>
      <c r="I5" s="1" t="s">
        <v>51</v>
      </c>
      <c r="J5" s="9" t="s">
        <v>53</v>
      </c>
      <c r="P5" s="1" t="s">
        <v>196</v>
      </c>
      <c r="AL5" s="1" t="s">
        <v>111</v>
      </c>
      <c r="AM5" s="1">
        <f>0.4*D5</f>
        <v>6000</v>
      </c>
      <c r="AN5" s="1">
        <f>AM5/D5</f>
        <v>0.4</v>
      </c>
      <c r="AQ5" s="1" t="s">
        <v>135</v>
      </c>
      <c r="AR5" s="1">
        <f>0.4*D5</f>
        <v>6000</v>
      </c>
      <c r="AS5" s="1">
        <f>AR5/D5</f>
        <v>0.4</v>
      </c>
      <c r="AV5" s="1" t="s">
        <v>112</v>
      </c>
      <c r="AW5" s="1">
        <f>0.1*D5</f>
        <v>1500</v>
      </c>
      <c r="AX5" s="1">
        <f>AW5/D5</f>
        <v>0.1</v>
      </c>
      <c r="BA5" s="1" t="s">
        <v>113</v>
      </c>
      <c r="BB5" s="1">
        <f>0.05*D5</f>
        <v>750</v>
      </c>
      <c r="BC5" s="1">
        <f>BB5/D5</f>
        <v>0.05</v>
      </c>
      <c r="BF5" s="1" t="s">
        <v>114</v>
      </c>
      <c r="BG5" s="1">
        <f>0.025*D5</f>
        <v>375</v>
      </c>
      <c r="BH5" s="1">
        <f>BG5/D5</f>
        <v>2.5000000000000001E-2</v>
      </c>
      <c r="BK5" s="1" t="s">
        <v>115</v>
      </c>
      <c r="BL5" s="1">
        <f>0.025*D5</f>
        <v>375</v>
      </c>
      <c r="BM5" s="1">
        <f>BL5/D5</f>
        <v>2.5000000000000001E-2</v>
      </c>
      <c r="BZ5" s="1">
        <f>(BL5/D5)</f>
        <v>2.5000000000000001E-2</v>
      </c>
      <c r="CA5" s="1">
        <f>(BG5+BB5+AW5+AR5+AM5)/D5</f>
        <v>0.97499999999999998</v>
      </c>
      <c r="CL5" s="39">
        <f>IF(J5="Agricole",5,0.5)</f>
        <v>5</v>
      </c>
      <c r="CM5" s="39">
        <f>(EXP(-1.0587+0.8836*LN(CL5)+0.284))</f>
        <v>1.910565629709926</v>
      </c>
      <c r="CN5" s="39">
        <f>(CL5+CM5)*0.475</f>
        <v>3.2825186741122145</v>
      </c>
      <c r="CO5" s="39">
        <f>IF(J5="Agricole",45*F5,70*F5)</f>
        <v>585</v>
      </c>
      <c r="CP5" s="39">
        <v>0</v>
      </c>
      <c r="CQ5" s="39">
        <f>SUM((CN5*30)+CO5+CP5)</f>
        <v>683.47556022336641</v>
      </c>
      <c r="CR5" s="39"/>
      <c r="CS5" s="39"/>
      <c r="CT5" s="39"/>
      <c r="CU5" s="39">
        <f>70*F5</f>
        <v>910</v>
      </c>
      <c r="CV5" s="39">
        <f>10*F5</f>
        <v>130</v>
      </c>
    </row>
  </sheetData>
  <mergeCells count="51">
    <mergeCell ref="DN1:DV1"/>
    <mergeCell ref="DO2:DP2"/>
    <mergeCell ref="DR2:DR3"/>
    <mergeCell ref="DS2:DS3"/>
    <mergeCell ref="DT2:DT3"/>
    <mergeCell ref="DV2:DV3"/>
    <mergeCell ref="CL2:CX2"/>
    <mergeCell ref="CL1:DM1"/>
    <mergeCell ref="DG2:DG3"/>
    <mergeCell ref="DB2:DB3"/>
    <mergeCell ref="DH2:DH3"/>
    <mergeCell ref="DC2:DF2"/>
    <mergeCell ref="DJ2:DL2"/>
    <mergeCell ref="CY2:DA2"/>
    <mergeCell ref="DI2:DI3"/>
    <mergeCell ref="DM2:DM3"/>
    <mergeCell ref="A1:I1"/>
    <mergeCell ref="A2:A3"/>
    <mergeCell ref="CE2:CH2"/>
    <mergeCell ref="CD2:CD3"/>
    <mergeCell ref="CD1:CK1"/>
    <mergeCell ref="X2:X3"/>
    <mergeCell ref="Y2:AA2"/>
    <mergeCell ref="AI2:AI3"/>
    <mergeCell ref="AJ2:AJ3"/>
    <mergeCell ref="AK2:AK3"/>
    <mergeCell ref="CI2:CK2"/>
    <mergeCell ref="Q2:S2"/>
    <mergeCell ref="J2:M2"/>
    <mergeCell ref="AI1:CC1"/>
    <mergeCell ref="AL2:CC2"/>
    <mergeCell ref="B2:B3"/>
    <mergeCell ref="C2:C3"/>
    <mergeCell ref="D2:D3"/>
    <mergeCell ref="E2:E3"/>
    <mergeCell ref="T2:T3"/>
    <mergeCell ref="F2:F3"/>
    <mergeCell ref="G2:G3"/>
    <mergeCell ref="H2:H3"/>
    <mergeCell ref="I2:I3"/>
    <mergeCell ref="N2:P2"/>
    <mergeCell ref="J1:S1"/>
    <mergeCell ref="U2:W2"/>
    <mergeCell ref="T1:W1"/>
    <mergeCell ref="X1:AE1"/>
    <mergeCell ref="AH1:AH3"/>
    <mergeCell ref="AF1:AG1"/>
    <mergeCell ref="AF2:AF3"/>
    <mergeCell ref="AG2:AG3"/>
    <mergeCell ref="AB2:AC2"/>
    <mergeCell ref="AD2:A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D09D9-CA35-4349-B36C-7038F3002DFB}">
  <dimension ref="A1:AG99"/>
  <sheetViews>
    <sheetView tabSelected="1" topLeftCell="A56" zoomScale="75" zoomScaleNormal="75" workbookViewId="0">
      <selection activeCell="B61" sqref="B61"/>
    </sheetView>
  </sheetViews>
  <sheetFormatPr baseColWidth="10" defaultColWidth="14.6640625" defaultRowHeight="19"/>
  <cols>
    <col min="1" max="1" width="41.33203125" style="70" customWidth="1"/>
    <col min="2" max="2" width="15.6640625" style="70" customWidth="1"/>
    <col min="3" max="7" width="14.6640625" style="70" customWidth="1"/>
    <col min="8" max="8" width="16.33203125" style="70" bestFit="1" customWidth="1"/>
    <col min="9" max="11" width="14.6640625" style="70" customWidth="1"/>
    <col min="12" max="12" width="17.5" style="70" customWidth="1"/>
    <col min="13" max="13" width="15.6640625" style="70" customWidth="1"/>
    <col min="14" max="15" width="16.33203125" style="70" bestFit="1" customWidth="1"/>
    <col min="16" max="16" width="17" style="70" bestFit="1" customWidth="1"/>
    <col min="17" max="17" width="16.1640625" style="70" bestFit="1" customWidth="1"/>
    <col min="18" max="18" width="22.6640625" style="70" bestFit="1" customWidth="1"/>
    <col min="19" max="19" width="17.5" style="70" bestFit="1" customWidth="1"/>
    <col min="20" max="21" width="18.1640625" style="70" bestFit="1" customWidth="1"/>
    <col min="22" max="22" width="17.1640625" style="70" bestFit="1" customWidth="1"/>
    <col min="23" max="23" width="16.33203125" style="70" bestFit="1" customWidth="1"/>
    <col min="24" max="24" width="17" style="70" bestFit="1" customWidth="1"/>
    <col min="25" max="25" width="16.33203125" style="70" bestFit="1" customWidth="1"/>
    <col min="26" max="26" width="15.33203125" style="70" bestFit="1" customWidth="1"/>
    <col min="27" max="27" width="16.33203125" style="70" bestFit="1" customWidth="1"/>
    <col min="28" max="28" width="15.83203125" style="70" bestFit="1" customWidth="1"/>
    <col min="29" max="30" width="15" style="70" bestFit="1" customWidth="1"/>
    <col min="31" max="31" width="15.6640625" style="70" bestFit="1" customWidth="1"/>
    <col min="32" max="32" width="15.1640625" style="70" bestFit="1" customWidth="1"/>
    <col min="33" max="33" width="14.83203125" style="70" bestFit="1" customWidth="1"/>
    <col min="34" max="96" width="14.6640625" style="70"/>
    <col min="97" max="97" width="16.33203125" style="70" bestFit="1" customWidth="1"/>
    <col min="98" max="16384" width="14.6640625" style="70"/>
  </cols>
  <sheetData>
    <row r="1" spans="1:25" s="51" customFormat="1" ht="57" customHeight="1">
      <c r="A1" s="221" t="s">
        <v>222</v>
      </c>
      <c r="B1" s="221"/>
      <c r="C1" s="221"/>
      <c r="D1" s="221"/>
      <c r="E1" s="221"/>
      <c r="F1" s="50"/>
      <c r="G1" s="221"/>
      <c r="H1" s="221"/>
      <c r="I1" s="221"/>
      <c r="J1" s="221"/>
      <c r="K1" s="221"/>
      <c r="L1" s="50"/>
      <c r="M1" s="221" t="s">
        <v>281</v>
      </c>
      <c r="N1" s="221"/>
      <c r="O1" s="221"/>
      <c r="P1" s="221"/>
      <c r="Q1" s="221"/>
      <c r="R1" s="221"/>
      <c r="S1" s="221"/>
      <c r="T1" s="221"/>
      <c r="U1" s="221"/>
      <c r="V1" s="221"/>
      <c r="W1" s="221"/>
      <c r="X1" s="221"/>
      <c r="Y1" s="221"/>
    </row>
    <row r="2" spans="1:25" s="51" customFormat="1" ht="57" customHeight="1">
      <c r="A2" s="228" t="s">
        <v>123</v>
      </c>
      <c r="B2" s="228"/>
      <c r="C2" s="121" t="s">
        <v>462</v>
      </c>
      <c r="D2" s="52" t="s">
        <v>221</v>
      </c>
      <c r="E2" s="52" t="s">
        <v>398</v>
      </c>
      <c r="F2" s="53"/>
      <c r="G2" s="228"/>
      <c r="H2" s="228"/>
      <c r="I2" s="228"/>
      <c r="J2" s="228"/>
      <c r="K2" s="228"/>
      <c r="M2" s="52" t="s">
        <v>283</v>
      </c>
      <c r="N2" s="228" t="s">
        <v>284</v>
      </c>
      <c r="O2" s="228"/>
      <c r="P2" s="228" t="s">
        <v>285</v>
      </c>
      <c r="Q2" s="228"/>
      <c r="R2" s="228" t="s">
        <v>286</v>
      </c>
      <c r="S2" s="228"/>
      <c r="T2" s="228"/>
      <c r="U2" s="228"/>
      <c r="V2" s="228"/>
      <c r="W2" s="52" t="s">
        <v>325</v>
      </c>
      <c r="X2" s="52" t="s">
        <v>287</v>
      </c>
      <c r="Y2" s="170" t="s">
        <v>469</v>
      </c>
    </row>
    <row r="3" spans="1:25" s="51" customFormat="1" ht="57" customHeight="1">
      <c r="A3" s="235" t="s">
        <v>463</v>
      </c>
      <c r="B3" s="235"/>
      <c r="C3" s="133">
        <v>3000</v>
      </c>
      <c r="D3" s="122">
        <f t="shared" ref="D3:D8" si="0">C3/$C$17</f>
        <v>0.19480519480519481</v>
      </c>
      <c r="E3" s="116">
        <v>2</v>
      </c>
      <c r="G3" s="235"/>
      <c r="H3" s="235"/>
      <c r="I3" s="235"/>
      <c r="J3" s="232"/>
      <c r="K3" s="232"/>
      <c r="M3" s="77">
        <v>1</v>
      </c>
      <c r="N3" s="222" t="s">
        <v>288</v>
      </c>
      <c r="O3" s="222"/>
      <c r="P3" s="230" t="s">
        <v>289</v>
      </c>
      <c r="Q3" s="230"/>
      <c r="R3" s="230" t="s">
        <v>291</v>
      </c>
      <c r="S3" s="230"/>
      <c r="T3" s="230"/>
      <c r="U3" s="230"/>
      <c r="V3" s="230"/>
      <c r="W3" s="76" t="s">
        <v>326</v>
      </c>
      <c r="X3" s="76">
        <f>IF(W3="OUI",3,0)</f>
        <v>3</v>
      </c>
      <c r="Y3" s="222">
        <f>SUM(X3:X9)</f>
        <v>9</v>
      </c>
    </row>
    <row r="4" spans="1:25" s="51" customFormat="1" ht="57" customHeight="1">
      <c r="A4" s="235" t="s">
        <v>464</v>
      </c>
      <c r="B4" s="235"/>
      <c r="C4" s="133">
        <v>3000</v>
      </c>
      <c r="D4" s="122">
        <f t="shared" si="0"/>
        <v>0.19480519480519481</v>
      </c>
      <c r="E4" s="116">
        <v>3</v>
      </c>
      <c r="G4" s="235"/>
      <c r="H4" s="235"/>
      <c r="I4" s="235"/>
      <c r="J4" s="232"/>
      <c r="K4" s="232"/>
      <c r="M4" s="77">
        <v>2</v>
      </c>
      <c r="N4" s="222" t="s">
        <v>288</v>
      </c>
      <c r="O4" s="222"/>
      <c r="P4" s="230" t="s">
        <v>290</v>
      </c>
      <c r="Q4" s="230"/>
      <c r="R4" s="230" t="s">
        <v>292</v>
      </c>
      <c r="S4" s="230"/>
      <c r="T4" s="230"/>
      <c r="U4" s="230"/>
      <c r="V4" s="230"/>
      <c r="W4" s="76" t="s">
        <v>328</v>
      </c>
      <c r="X4" s="76">
        <f>IF(W4="OUI",2,0)</f>
        <v>0</v>
      </c>
      <c r="Y4" s="222"/>
    </row>
    <row r="5" spans="1:25" s="51" customFormat="1" ht="57" customHeight="1">
      <c r="A5" s="235" t="s">
        <v>465</v>
      </c>
      <c r="B5" s="235"/>
      <c r="C5" s="133">
        <v>800</v>
      </c>
      <c r="D5" s="122">
        <f t="shared" si="0"/>
        <v>5.1948051948051951E-2</v>
      </c>
      <c r="E5" s="116">
        <v>2</v>
      </c>
      <c r="G5" s="235"/>
      <c r="H5" s="235"/>
      <c r="I5" s="235"/>
      <c r="J5" s="232"/>
      <c r="K5" s="232"/>
      <c r="L5" s="193"/>
      <c r="M5" s="77">
        <v>3</v>
      </c>
      <c r="N5" s="222" t="s">
        <v>288</v>
      </c>
      <c r="O5" s="222"/>
      <c r="P5" s="230" t="s">
        <v>293</v>
      </c>
      <c r="Q5" s="230"/>
      <c r="R5" s="230" t="s">
        <v>282</v>
      </c>
      <c r="S5" s="230"/>
      <c r="T5" s="230"/>
      <c r="U5" s="230"/>
      <c r="V5" s="230"/>
      <c r="W5" s="76" t="s">
        <v>328</v>
      </c>
      <c r="X5" s="76">
        <f>IF(W5="OUI",5,0)</f>
        <v>0</v>
      </c>
      <c r="Y5" s="222"/>
    </row>
    <row r="6" spans="1:25" s="51" customFormat="1" ht="57" customHeight="1">
      <c r="A6" s="235" t="s">
        <v>466</v>
      </c>
      <c r="B6" s="235"/>
      <c r="C6" s="133">
        <v>3000</v>
      </c>
      <c r="D6" s="122">
        <f t="shared" si="0"/>
        <v>0.19480519480519481</v>
      </c>
      <c r="E6" s="116">
        <v>1</v>
      </c>
      <c r="G6" s="235"/>
      <c r="H6" s="235"/>
      <c r="I6" s="235"/>
      <c r="J6" s="232"/>
      <c r="K6" s="232"/>
      <c r="M6" s="77">
        <v>4</v>
      </c>
      <c r="N6" s="222" t="s">
        <v>288</v>
      </c>
      <c r="O6" s="222"/>
      <c r="P6" s="230" t="s">
        <v>294</v>
      </c>
      <c r="Q6" s="230"/>
      <c r="R6" s="230" t="s">
        <v>295</v>
      </c>
      <c r="S6" s="230"/>
      <c r="T6" s="230"/>
      <c r="U6" s="230"/>
      <c r="V6" s="230"/>
      <c r="W6" s="76" t="s">
        <v>326</v>
      </c>
      <c r="X6" s="76">
        <f>IF(W6="OUI",1,0)</f>
        <v>1</v>
      </c>
      <c r="Y6" s="222"/>
    </row>
    <row r="7" spans="1:25" s="51" customFormat="1" ht="57" customHeight="1">
      <c r="A7" s="235" t="s">
        <v>467</v>
      </c>
      <c r="B7" s="235"/>
      <c r="C7" s="133">
        <v>3000</v>
      </c>
      <c r="D7" s="122">
        <f t="shared" si="0"/>
        <v>0.19480519480519481</v>
      </c>
      <c r="E7" s="116">
        <v>3</v>
      </c>
      <c r="G7" s="235"/>
      <c r="H7" s="235"/>
      <c r="I7" s="235"/>
      <c r="J7" s="232"/>
      <c r="K7" s="232"/>
      <c r="M7" s="77">
        <v>5</v>
      </c>
      <c r="N7" s="222" t="s">
        <v>288</v>
      </c>
      <c r="O7" s="222"/>
      <c r="P7" s="230" t="s">
        <v>296</v>
      </c>
      <c r="Q7" s="230"/>
      <c r="R7" s="230" t="s">
        <v>297</v>
      </c>
      <c r="S7" s="230"/>
      <c r="T7" s="230"/>
      <c r="U7" s="230"/>
      <c r="V7" s="230"/>
      <c r="W7" s="76" t="s">
        <v>326</v>
      </c>
      <c r="X7" s="76">
        <f>IF(W7="OUI",5,0)</f>
        <v>5</v>
      </c>
      <c r="Y7" s="222"/>
    </row>
    <row r="8" spans="1:25" s="51" customFormat="1" ht="57" customHeight="1">
      <c r="A8" s="235" t="s">
        <v>468</v>
      </c>
      <c r="B8" s="235"/>
      <c r="C8" s="133">
        <v>2600</v>
      </c>
      <c r="D8" s="122">
        <f t="shared" si="0"/>
        <v>0.16883116883116883</v>
      </c>
      <c r="E8" s="116">
        <v>4</v>
      </c>
      <c r="G8" s="235"/>
      <c r="H8" s="235"/>
      <c r="I8" s="235"/>
      <c r="J8" s="232"/>
      <c r="K8" s="232"/>
      <c r="M8" s="77">
        <v>6</v>
      </c>
      <c r="N8" s="222" t="s">
        <v>288</v>
      </c>
      <c r="O8" s="222"/>
      <c r="P8" s="230" t="s">
        <v>298</v>
      </c>
      <c r="Q8" s="230"/>
      <c r="R8" s="230" t="s">
        <v>299</v>
      </c>
      <c r="S8" s="230"/>
      <c r="T8" s="230"/>
      <c r="U8" s="230"/>
      <c r="V8" s="230"/>
      <c r="W8" s="76" t="s">
        <v>328</v>
      </c>
      <c r="X8" s="76">
        <f>IF(W8="OUI",5,0)</f>
        <v>0</v>
      </c>
      <c r="Y8" s="222"/>
    </row>
    <row r="9" spans="1:25" s="51" customFormat="1" ht="57" customHeight="1">
      <c r="A9" s="235"/>
      <c r="B9" s="235"/>
      <c r="C9" s="133"/>
      <c r="D9" s="122"/>
      <c r="E9" s="56"/>
      <c r="G9" s="224"/>
      <c r="H9" s="224"/>
      <c r="I9" s="224"/>
      <c r="J9" s="233"/>
      <c r="K9" s="233"/>
      <c r="M9" s="77">
        <v>7</v>
      </c>
      <c r="N9" s="222" t="s">
        <v>288</v>
      </c>
      <c r="O9" s="222"/>
      <c r="P9" s="230" t="s">
        <v>300</v>
      </c>
      <c r="Q9" s="230"/>
      <c r="R9" s="230" t="s">
        <v>301</v>
      </c>
      <c r="S9" s="230"/>
      <c r="T9" s="230"/>
      <c r="U9" s="230"/>
      <c r="V9" s="230"/>
      <c r="W9" s="76" t="s">
        <v>328</v>
      </c>
      <c r="X9" s="76">
        <f>IF(W9="OUI",2,0)</f>
        <v>0</v>
      </c>
      <c r="Y9" s="222"/>
    </row>
    <row r="10" spans="1:25" s="51" customFormat="1" ht="57" customHeight="1">
      <c r="A10" s="235"/>
      <c r="B10" s="235"/>
      <c r="C10" s="133"/>
      <c r="D10" s="122"/>
      <c r="E10" s="56"/>
      <c r="G10" s="229"/>
      <c r="H10" s="229"/>
      <c r="I10" s="229"/>
      <c r="J10" s="234"/>
      <c r="K10" s="234"/>
      <c r="M10" s="61">
        <v>8</v>
      </c>
      <c r="N10" s="223" t="s">
        <v>302</v>
      </c>
      <c r="O10" s="223"/>
      <c r="P10" s="236" t="s">
        <v>303</v>
      </c>
      <c r="Q10" s="236"/>
      <c r="R10" s="236" t="s">
        <v>305</v>
      </c>
      <c r="S10" s="236"/>
      <c r="T10" s="236"/>
      <c r="U10" s="236"/>
      <c r="V10" s="236"/>
      <c r="W10" s="75" t="s">
        <v>326</v>
      </c>
      <c r="X10" s="75">
        <f>IF(W10="OUI",2,0)</f>
        <v>2</v>
      </c>
      <c r="Y10" s="223">
        <f>SUM(X10:X11)</f>
        <v>2</v>
      </c>
    </row>
    <row r="11" spans="1:25" s="51" customFormat="1" ht="57" customHeight="1">
      <c r="A11" s="235"/>
      <c r="B11" s="235"/>
      <c r="C11" s="133"/>
      <c r="D11" s="122"/>
      <c r="E11" s="56"/>
      <c r="G11" s="225"/>
      <c r="H11" s="225"/>
      <c r="I11" s="225"/>
      <c r="J11" s="227"/>
      <c r="K11" s="227"/>
      <c r="M11" s="61">
        <v>9</v>
      </c>
      <c r="N11" s="223" t="s">
        <v>302</v>
      </c>
      <c r="O11" s="223"/>
      <c r="P11" s="236" t="s">
        <v>304</v>
      </c>
      <c r="Q11" s="236"/>
      <c r="R11" s="236" t="s">
        <v>306</v>
      </c>
      <c r="S11" s="236"/>
      <c r="T11" s="236"/>
      <c r="U11" s="236"/>
      <c r="V11" s="236"/>
      <c r="W11" s="75" t="s">
        <v>328</v>
      </c>
      <c r="X11" s="75">
        <f>IF(W11="OUI",4,0)</f>
        <v>0</v>
      </c>
      <c r="Y11" s="223"/>
    </row>
    <row r="12" spans="1:25" s="51" customFormat="1" ht="57" customHeight="1">
      <c r="A12" s="235"/>
      <c r="B12" s="235"/>
      <c r="C12" s="133"/>
      <c r="D12" s="122"/>
      <c r="E12" s="56"/>
      <c r="M12" s="72">
        <v>10</v>
      </c>
      <c r="N12" s="224" t="s">
        <v>307</v>
      </c>
      <c r="O12" s="224"/>
      <c r="P12" s="235" t="s">
        <v>308</v>
      </c>
      <c r="Q12" s="235"/>
      <c r="R12" s="235" t="s">
        <v>311</v>
      </c>
      <c r="S12" s="235"/>
      <c r="T12" s="235"/>
      <c r="U12" s="235"/>
      <c r="V12" s="235"/>
      <c r="W12" s="54" t="s">
        <v>326</v>
      </c>
      <c r="X12" s="54">
        <f>IF(W12="OUI",5,0)</f>
        <v>5</v>
      </c>
      <c r="Y12" s="224">
        <f>SUM(X12:X15)</f>
        <v>8</v>
      </c>
    </row>
    <row r="13" spans="1:25" s="51" customFormat="1" ht="57" customHeight="1">
      <c r="A13" s="235"/>
      <c r="B13" s="235"/>
      <c r="C13" s="133"/>
      <c r="D13" s="171"/>
      <c r="E13" s="56"/>
      <c r="G13" s="221" t="s">
        <v>95</v>
      </c>
      <c r="H13" s="221"/>
      <c r="I13" s="221"/>
      <c r="J13" s="221"/>
      <c r="K13" s="221"/>
      <c r="M13" s="72">
        <v>11</v>
      </c>
      <c r="N13" s="224" t="s">
        <v>307</v>
      </c>
      <c r="O13" s="224"/>
      <c r="P13" s="235" t="s">
        <v>309</v>
      </c>
      <c r="Q13" s="235"/>
      <c r="R13" s="235" t="s">
        <v>312</v>
      </c>
      <c r="S13" s="235"/>
      <c r="T13" s="235"/>
      <c r="U13" s="235"/>
      <c r="V13" s="235"/>
      <c r="W13" s="54" t="s">
        <v>326</v>
      </c>
      <c r="X13" s="54">
        <f>IF(W13="OUI",1,0)</f>
        <v>1</v>
      </c>
      <c r="Y13" s="224"/>
    </row>
    <row r="14" spans="1:25" s="51" customFormat="1" ht="57" customHeight="1">
      <c r="A14" s="235"/>
      <c r="B14" s="235"/>
      <c r="C14" s="133"/>
      <c r="D14" s="171"/>
      <c r="E14" s="56"/>
      <c r="G14" s="225" t="s">
        <v>336</v>
      </c>
      <c r="H14" s="225"/>
      <c r="I14" s="71" t="s">
        <v>338</v>
      </c>
      <c r="J14" s="220">
        <f>IF(I14=COEFFICIENTS!A88,0.05,0)</f>
        <v>0.05</v>
      </c>
      <c r="K14" s="220"/>
      <c r="M14" s="72">
        <v>12</v>
      </c>
      <c r="N14" s="224" t="s">
        <v>307</v>
      </c>
      <c r="O14" s="224"/>
      <c r="P14" s="235" t="s">
        <v>310</v>
      </c>
      <c r="Q14" s="235"/>
      <c r="R14" s="235" t="s">
        <v>313</v>
      </c>
      <c r="S14" s="235"/>
      <c r="T14" s="235"/>
      <c r="U14" s="235"/>
      <c r="V14" s="235"/>
      <c r="W14" s="54" t="s">
        <v>328</v>
      </c>
      <c r="X14" s="54">
        <f>IF(W14="OUI",1,0)</f>
        <v>0</v>
      </c>
      <c r="Y14" s="224"/>
    </row>
    <row r="15" spans="1:25" s="51" customFormat="1" ht="57" customHeight="1">
      <c r="A15" s="235"/>
      <c r="B15" s="235"/>
      <c r="C15" s="133"/>
      <c r="D15" s="171"/>
      <c r="E15" s="56"/>
      <c r="G15" s="225" t="s">
        <v>334</v>
      </c>
      <c r="H15" s="225"/>
      <c r="I15" s="71" t="s">
        <v>326</v>
      </c>
      <c r="J15" s="220">
        <v>0.1</v>
      </c>
      <c r="K15" s="220"/>
      <c r="M15" s="72">
        <v>13</v>
      </c>
      <c r="N15" s="224" t="s">
        <v>307</v>
      </c>
      <c r="O15" s="224"/>
      <c r="P15" s="235" t="s">
        <v>314</v>
      </c>
      <c r="Q15" s="235"/>
      <c r="R15" s="235" t="s">
        <v>315</v>
      </c>
      <c r="S15" s="235"/>
      <c r="T15" s="235"/>
      <c r="U15" s="235"/>
      <c r="V15" s="235"/>
      <c r="W15" s="54" t="s">
        <v>326</v>
      </c>
      <c r="X15" s="54">
        <f>IF(W15="OUI",2,0)</f>
        <v>2</v>
      </c>
      <c r="Y15" s="224"/>
    </row>
    <row r="16" spans="1:25" s="51" customFormat="1" ht="57" customHeight="1">
      <c r="A16" s="235"/>
      <c r="B16" s="235"/>
      <c r="C16" s="133"/>
      <c r="D16" s="171"/>
      <c r="E16" s="56"/>
      <c r="G16" s="225" t="s">
        <v>335</v>
      </c>
      <c r="H16" s="225"/>
      <c r="I16" s="71" t="s">
        <v>328</v>
      </c>
      <c r="J16" s="219">
        <v>0</v>
      </c>
      <c r="K16" s="219"/>
      <c r="M16" s="85">
        <v>14</v>
      </c>
      <c r="N16" s="225" t="s">
        <v>316</v>
      </c>
      <c r="O16" s="225"/>
      <c r="P16" s="229" t="s">
        <v>317</v>
      </c>
      <c r="Q16" s="229"/>
      <c r="R16" s="229" t="s">
        <v>318</v>
      </c>
      <c r="S16" s="229"/>
      <c r="T16" s="229"/>
      <c r="U16" s="229"/>
      <c r="V16" s="229"/>
      <c r="W16" s="74" t="s">
        <v>328</v>
      </c>
      <c r="X16" s="74">
        <f>IF(W16="OUI",1,0)</f>
        <v>0</v>
      </c>
      <c r="Y16" s="225">
        <f>SUM(X16:X19)</f>
        <v>0</v>
      </c>
    </row>
    <row r="17" spans="1:30" s="51" customFormat="1" ht="57" customHeight="1">
      <c r="A17" s="224" t="s">
        <v>227</v>
      </c>
      <c r="B17" s="224"/>
      <c r="C17" s="168">
        <f>SUM(C3:C12)</f>
        <v>15400</v>
      </c>
      <c r="D17" s="57">
        <f>SUM(D3:D12)</f>
        <v>1</v>
      </c>
      <c r="E17" s="58"/>
      <c r="G17" s="225" t="s">
        <v>339</v>
      </c>
      <c r="H17" s="225"/>
      <c r="I17" s="71" t="s">
        <v>340</v>
      </c>
      <c r="J17" s="220">
        <f>IF(I17=COEFFICIENTS!A91,0.1,0)</f>
        <v>0</v>
      </c>
      <c r="K17" s="220"/>
      <c r="M17" s="85">
        <v>15</v>
      </c>
      <c r="N17" s="225" t="s">
        <v>316</v>
      </c>
      <c r="O17" s="225"/>
      <c r="P17" s="229" t="s">
        <v>319</v>
      </c>
      <c r="Q17" s="229"/>
      <c r="R17" s="229" t="s">
        <v>320</v>
      </c>
      <c r="S17" s="229"/>
      <c r="T17" s="229"/>
      <c r="U17" s="229"/>
      <c r="V17" s="229"/>
      <c r="W17" s="74" t="s">
        <v>328</v>
      </c>
      <c r="X17" s="74">
        <f>IF(W17="OUI",1,0)</f>
        <v>0</v>
      </c>
      <c r="Y17" s="225"/>
    </row>
    <row r="18" spans="1:30" s="51" customFormat="1" ht="57" customHeight="1">
      <c r="B18" s="123"/>
      <c r="G18" s="225" t="s">
        <v>342</v>
      </c>
      <c r="H18" s="225"/>
      <c r="I18" s="71" t="s">
        <v>340</v>
      </c>
      <c r="J18" s="219">
        <v>0</v>
      </c>
      <c r="K18" s="219"/>
      <c r="M18" s="85">
        <v>16</v>
      </c>
      <c r="N18" s="225" t="s">
        <v>316</v>
      </c>
      <c r="O18" s="225"/>
      <c r="P18" s="229" t="s">
        <v>322</v>
      </c>
      <c r="Q18" s="229"/>
      <c r="R18" s="229" t="s">
        <v>321</v>
      </c>
      <c r="S18" s="229"/>
      <c r="T18" s="229"/>
      <c r="U18" s="229"/>
      <c r="V18" s="229"/>
      <c r="W18" s="74" t="s">
        <v>328</v>
      </c>
      <c r="X18" s="74">
        <f>IF(W18="OUI",3,0)</f>
        <v>0</v>
      </c>
      <c r="Y18" s="225"/>
    </row>
    <row r="19" spans="1:30" s="51" customFormat="1" ht="57" customHeight="1">
      <c r="A19" s="235" t="s">
        <v>231</v>
      </c>
      <c r="B19" s="235"/>
      <c r="C19" s="231">
        <v>13.57</v>
      </c>
      <c r="D19" s="231"/>
      <c r="G19" s="226" t="s">
        <v>343</v>
      </c>
      <c r="H19" s="226"/>
      <c r="I19" s="226"/>
      <c r="J19" s="218">
        <f>SUM(J14:J18)</f>
        <v>0.15000000000000002</v>
      </c>
      <c r="K19" s="218"/>
      <c r="M19" s="85">
        <v>17</v>
      </c>
      <c r="N19" s="225" t="s">
        <v>316</v>
      </c>
      <c r="O19" s="225"/>
      <c r="P19" s="229" t="s">
        <v>323</v>
      </c>
      <c r="Q19" s="229"/>
      <c r="R19" s="229" t="s">
        <v>324</v>
      </c>
      <c r="S19" s="229"/>
      <c r="T19" s="229"/>
      <c r="U19" s="229"/>
      <c r="V19" s="229"/>
      <c r="W19" s="74" t="s">
        <v>328</v>
      </c>
      <c r="X19" s="74">
        <f>IF(W19="OUI",5,0)</f>
        <v>0</v>
      </c>
      <c r="Y19" s="225"/>
    </row>
    <row r="20" spans="1:30" s="51" customFormat="1" ht="57" customHeight="1">
      <c r="A20" s="235" t="s">
        <v>263</v>
      </c>
      <c r="B20" s="235"/>
      <c r="C20" s="231" t="s">
        <v>53</v>
      </c>
      <c r="D20" s="231"/>
      <c r="F20" s="106"/>
      <c r="G20" s="216" t="s">
        <v>504</v>
      </c>
      <c r="H20" s="216"/>
      <c r="I20" s="216"/>
      <c r="J20" s="217">
        <f>(1-J19)*B56</f>
        <v>328.02794097254611</v>
      </c>
      <c r="K20" s="217"/>
      <c r="V20" s="216" t="s">
        <v>329</v>
      </c>
      <c r="W20" s="216"/>
      <c r="X20" s="87">
        <f>SUM(X3:X19)</f>
        <v>19</v>
      </c>
    </row>
    <row r="21" spans="1:30" s="125" customFormat="1" ht="57" customHeight="1">
      <c r="A21" s="235" t="s">
        <v>61</v>
      </c>
      <c r="B21" s="235"/>
      <c r="C21" s="231">
        <f>C17</f>
        <v>15400</v>
      </c>
      <c r="D21" s="231"/>
      <c r="G21" s="216" t="s">
        <v>500</v>
      </c>
      <c r="H21" s="216"/>
      <c r="I21" s="216"/>
      <c r="J21" s="217">
        <f>(1-J19)*B42</f>
        <v>3326.4965615295291</v>
      </c>
      <c r="K21" s="217"/>
    </row>
    <row r="22" spans="1:30" s="51" customFormat="1" ht="48" customHeight="1">
      <c r="G22" s="216" t="s">
        <v>505</v>
      </c>
      <c r="H22" s="216"/>
      <c r="I22" s="216"/>
      <c r="J22" s="217">
        <f>(1-J19)*B57</f>
        <v>177.2334103611858</v>
      </c>
      <c r="K22" s="217"/>
    </row>
    <row r="23" spans="1:30" s="51" customFormat="1" ht="48" customHeight="1">
      <c r="A23" s="108" t="s">
        <v>220</v>
      </c>
      <c r="B23" s="108" t="s">
        <v>236</v>
      </c>
      <c r="C23" s="68"/>
      <c r="D23" s="68"/>
      <c r="E23" s="68"/>
      <c r="F23" s="68"/>
      <c r="G23" s="68"/>
      <c r="H23" s="68"/>
      <c r="I23" s="241" t="s">
        <v>351</v>
      </c>
      <c r="J23" s="241"/>
      <c r="K23" s="241"/>
      <c r="L23" s="241"/>
      <c r="M23" s="241"/>
      <c r="N23" s="241"/>
      <c r="O23" s="241"/>
      <c r="P23" s="241"/>
      <c r="Q23" s="241"/>
      <c r="R23" s="68"/>
      <c r="S23" s="68"/>
      <c r="T23" s="68"/>
      <c r="U23" s="68"/>
      <c r="V23" s="68"/>
      <c r="W23" s="68"/>
      <c r="X23" s="68"/>
      <c r="Y23" s="68"/>
      <c r="Z23" s="68"/>
      <c r="AA23" s="68"/>
      <c r="AB23" s="68"/>
      <c r="AC23" s="68"/>
      <c r="AD23" s="68"/>
    </row>
    <row r="24" spans="1:30" s="51" customFormat="1" ht="48" customHeight="1">
      <c r="A24" s="64" t="s">
        <v>232</v>
      </c>
      <c r="B24" s="107">
        <v>0</v>
      </c>
      <c r="C24" s="68"/>
      <c r="D24" s="68"/>
      <c r="E24" s="68"/>
      <c r="F24" s="68"/>
      <c r="G24" s="248" t="s">
        <v>363</v>
      </c>
      <c r="H24" s="248"/>
      <c r="I24" s="242" t="s">
        <v>359</v>
      </c>
      <c r="J24" s="242"/>
      <c r="K24" s="242"/>
      <c r="L24" s="246">
        <f>((BOISEMENT!Q24*BOISEMENT!Q25)/((1.045)*(BOISEMENT!Q24/BOISEMENT!Q26)))*1.3</f>
        <v>559.80861244019138</v>
      </c>
      <c r="M24" s="239" t="s">
        <v>348</v>
      </c>
      <c r="N24" s="239"/>
      <c r="O24" s="239"/>
      <c r="P24" s="239"/>
      <c r="Q24" s="56">
        <v>300</v>
      </c>
      <c r="R24" s="68"/>
      <c r="S24" s="68"/>
      <c r="T24" s="68"/>
      <c r="U24" s="68"/>
      <c r="V24" s="68"/>
      <c r="W24" s="68"/>
      <c r="X24" s="68"/>
      <c r="Y24" s="68"/>
      <c r="Z24" s="68"/>
      <c r="AA24" s="68"/>
      <c r="AB24" s="68"/>
      <c r="AC24" s="68"/>
      <c r="AD24" s="68"/>
    </row>
    <row r="25" spans="1:30" s="51" customFormat="1" ht="48" customHeight="1">
      <c r="A25" s="64" t="s">
        <v>235</v>
      </c>
      <c r="B25" s="107">
        <v>2</v>
      </c>
      <c r="C25" s="68"/>
      <c r="D25" s="68"/>
      <c r="E25" s="68"/>
      <c r="F25" s="68"/>
      <c r="G25" s="248"/>
      <c r="H25" s="248"/>
      <c r="I25" s="242"/>
      <c r="J25" s="242"/>
      <c r="K25" s="242"/>
      <c r="L25" s="246"/>
      <c r="M25" s="239" t="s">
        <v>349</v>
      </c>
      <c r="N25" s="239"/>
      <c r="O25" s="239"/>
      <c r="P25" s="239"/>
      <c r="Q25" s="94">
        <v>50</v>
      </c>
      <c r="R25" s="68"/>
      <c r="S25" s="68"/>
      <c r="T25" s="68"/>
      <c r="U25" s="68"/>
      <c r="V25" s="68"/>
      <c r="W25" s="68"/>
      <c r="X25" s="68"/>
      <c r="Y25" s="68"/>
      <c r="Z25" s="68"/>
      <c r="AA25" s="68"/>
      <c r="AB25" s="68"/>
      <c r="AC25" s="68"/>
      <c r="AD25" s="68"/>
    </row>
    <row r="26" spans="1:30" s="51" customFormat="1" ht="48" customHeight="1">
      <c r="A26" s="64" t="s">
        <v>238</v>
      </c>
      <c r="B26" s="107">
        <v>5</v>
      </c>
      <c r="C26" s="68"/>
      <c r="D26" s="68"/>
      <c r="E26" s="68"/>
      <c r="F26" s="68"/>
      <c r="G26" s="248"/>
      <c r="H26" s="248"/>
      <c r="I26" s="242"/>
      <c r="J26" s="242"/>
      <c r="K26" s="242"/>
      <c r="L26" s="246"/>
      <c r="M26" s="239" t="s">
        <v>350</v>
      </c>
      <c r="N26" s="239"/>
      <c r="O26" s="239"/>
      <c r="P26" s="239"/>
      <c r="Q26" s="56">
        <v>9</v>
      </c>
      <c r="R26" s="68"/>
      <c r="S26" s="68"/>
      <c r="T26" s="68"/>
      <c r="U26" s="68"/>
      <c r="V26" s="68"/>
      <c r="W26" s="68"/>
      <c r="X26" s="68"/>
      <c r="Y26" s="68"/>
      <c r="Z26" s="68"/>
      <c r="AA26" s="68"/>
      <c r="AB26" s="68"/>
      <c r="AC26" s="68"/>
      <c r="AD26" s="68"/>
    </row>
    <row r="27" spans="1:30" s="51" customFormat="1" ht="48" customHeight="1">
      <c r="A27" s="64" t="s">
        <v>233</v>
      </c>
      <c r="B27" s="107">
        <v>25</v>
      </c>
      <c r="C27" s="68"/>
      <c r="D27" s="68"/>
      <c r="E27" s="68"/>
      <c r="F27" s="68"/>
      <c r="G27" s="248"/>
      <c r="H27" s="248"/>
      <c r="I27" s="243" t="s">
        <v>360</v>
      </c>
      <c r="J27" s="243"/>
      <c r="K27" s="243"/>
      <c r="L27" s="97">
        <f>Q27*(1/0.045)</f>
        <v>44444.444444444445</v>
      </c>
      <c r="M27" s="240" t="s">
        <v>354</v>
      </c>
      <c r="N27" s="240"/>
      <c r="O27" s="240"/>
      <c r="P27" s="240"/>
      <c r="Q27" s="94">
        <v>2000</v>
      </c>
      <c r="R27" s="68"/>
      <c r="S27" s="68"/>
      <c r="T27" s="68"/>
      <c r="U27" s="68"/>
      <c r="V27" s="68"/>
      <c r="W27" s="68"/>
      <c r="X27" s="68"/>
      <c r="Y27" s="68"/>
      <c r="Z27" s="68"/>
      <c r="AA27" s="68"/>
      <c r="AB27" s="68"/>
      <c r="AC27" s="68"/>
      <c r="AD27" s="68"/>
    </row>
    <row r="28" spans="1:30" s="51" customFormat="1" ht="48" customHeight="1">
      <c r="A28" s="64" t="s">
        <v>234</v>
      </c>
      <c r="B28" s="107">
        <v>35</v>
      </c>
      <c r="C28" s="68"/>
      <c r="D28" s="68"/>
      <c r="E28" s="111"/>
      <c r="F28" s="68"/>
      <c r="G28" s="248"/>
      <c r="H28" s="248"/>
      <c r="I28" s="250" t="s">
        <v>361</v>
      </c>
      <c r="J28" s="250"/>
      <c r="K28" s="250"/>
      <c r="L28" s="98">
        <f>Q28</f>
        <v>0</v>
      </c>
      <c r="M28" s="238" t="s">
        <v>355</v>
      </c>
      <c r="N28" s="238"/>
      <c r="O28" s="238"/>
      <c r="P28" s="238"/>
      <c r="Q28" s="95">
        <v>0</v>
      </c>
      <c r="R28" s="68"/>
      <c r="S28" s="68"/>
      <c r="T28" s="68"/>
      <c r="U28" s="68"/>
      <c r="V28" s="68"/>
      <c r="W28" s="68"/>
      <c r="X28" s="68"/>
      <c r="Y28" s="68"/>
      <c r="Z28" s="68"/>
      <c r="AA28" s="68"/>
      <c r="AB28" s="68"/>
      <c r="AC28" s="68"/>
      <c r="AD28" s="68"/>
    </row>
    <row r="29" spans="1:30" s="51" customFormat="1" ht="48" customHeight="1">
      <c r="A29" s="65"/>
      <c r="B29" s="250" t="s">
        <v>260</v>
      </c>
      <c r="C29" s="250"/>
      <c r="D29" s="250"/>
      <c r="E29" s="68"/>
      <c r="F29" s="68"/>
      <c r="G29" s="249" t="s">
        <v>364</v>
      </c>
      <c r="H29" s="249"/>
      <c r="I29" s="244" t="s">
        <v>362</v>
      </c>
      <c r="J29" s="244"/>
      <c r="K29" s="244"/>
      <c r="L29" s="245">
        <f>SUM(Q32:W32)</f>
        <v>64.092122979107145</v>
      </c>
      <c r="M29" s="237" t="s">
        <v>356</v>
      </c>
      <c r="N29" s="237"/>
      <c r="O29" s="237"/>
      <c r="P29" s="237"/>
      <c r="Q29" s="116">
        <v>0</v>
      </c>
      <c r="R29" s="116">
        <v>15</v>
      </c>
      <c r="S29" s="116">
        <v>25</v>
      </c>
      <c r="T29" s="116">
        <v>35</v>
      </c>
      <c r="U29" s="116">
        <v>60</v>
      </c>
      <c r="V29" s="116">
        <v>90</v>
      </c>
      <c r="W29" s="116">
        <v>130</v>
      </c>
      <c r="X29" s="68"/>
      <c r="Y29" s="68"/>
      <c r="Z29" s="68"/>
      <c r="AA29" s="68"/>
      <c r="AB29" s="68"/>
      <c r="AC29" s="68"/>
      <c r="AD29" s="68"/>
    </row>
    <row r="30" spans="1:30" s="51" customFormat="1" ht="48" customHeight="1">
      <c r="A30" s="64" t="s">
        <v>232</v>
      </c>
      <c r="B30" s="251">
        <v>0</v>
      </c>
      <c r="C30" s="251"/>
      <c r="D30" s="251"/>
      <c r="E30" s="68"/>
      <c r="F30" s="68"/>
      <c r="G30" s="249"/>
      <c r="H30" s="249"/>
      <c r="I30" s="244"/>
      <c r="J30" s="244"/>
      <c r="K30" s="244"/>
      <c r="L30" s="245"/>
      <c r="M30" s="237" t="s">
        <v>352</v>
      </c>
      <c r="N30" s="237"/>
      <c r="O30" s="237"/>
      <c r="P30" s="237"/>
      <c r="Q30" s="95">
        <v>0</v>
      </c>
      <c r="R30" s="95">
        <v>1000</v>
      </c>
      <c r="S30" s="95">
        <v>2000</v>
      </c>
      <c r="T30" s="95">
        <v>4000</v>
      </c>
      <c r="U30" s="95">
        <v>2000</v>
      </c>
      <c r="V30" s="95">
        <v>3000</v>
      </c>
      <c r="W30" s="95">
        <v>9000</v>
      </c>
      <c r="X30" s="68"/>
      <c r="Y30" s="68"/>
      <c r="Z30" s="68"/>
      <c r="AA30" s="68"/>
      <c r="AB30" s="68"/>
      <c r="AC30" s="68"/>
      <c r="AD30" s="68"/>
    </row>
    <row r="31" spans="1:30" s="51" customFormat="1" ht="48" customHeight="1">
      <c r="A31" s="64" t="s">
        <v>258</v>
      </c>
      <c r="B31" s="251" t="s">
        <v>279</v>
      </c>
      <c r="C31" s="251"/>
      <c r="D31" s="251"/>
      <c r="E31" s="68"/>
      <c r="F31" s="68"/>
      <c r="G31" s="249"/>
      <c r="H31" s="249"/>
      <c r="I31" s="244"/>
      <c r="J31" s="244"/>
      <c r="K31" s="244"/>
      <c r="L31" s="245"/>
      <c r="M31" s="237" t="s">
        <v>353</v>
      </c>
      <c r="N31" s="237"/>
      <c r="O31" s="237"/>
      <c r="P31" s="237"/>
      <c r="Q31" s="95">
        <v>2000</v>
      </c>
      <c r="R31" s="95">
        <v>0</v>
      </c>
      <c r="S31" s="95">
        <v>500</v>
      </c>
      <c r="T31" s="95">
        <v>0</v>
      </c>
      <c r="U31" s="95">
        <v>500</v>
      </c>
      <c r="V31" s="95">
        <v>100</v>
      </c>
      <c r="W31" s="95">
        <v>100</v>
      </c>
      <c r="X31" s="68"/>
      <c r="Y31" s="68"/>
      <c r="Z31" s="68"/>
      <c r="AA31" s="68"/>
      <c r="AB31" s="68"/>
      <c r="AC31" s="68"/>
      <c r="AD31" s="68"/>
    </row>
    <row r="32" spans="1:30" s="51" customFormat="1" ht="48" customHeight="1">
      <c r="A32" s="64" t="s">
        <v>259</v>
      </c>
      <c r="B32" s="251">
        <v>1.52</v>
      </c>
      <c r="C32" s="251"/>
      <c r="D32" s="251"/>
      <c r="E32" s="68"/>
      <c r="F32" s="68"/>
      <c r="G32" s="249"/>
      <c r="H32" s="249"/>
      <c r="I32" s="244"/>
      <c r="J32" s="244"/>
      <c r="K32" s="244"/>
      <c r="L32" s="245"/>
      <c r="M32" s="237" t="s">
        <v>357</v>
      </c>
      <c r="N32" s="237"/>
      <c r="O32" s="237"/>
      <c r="P32" s="237"/>
      <c r="Q32" s="102">
        <f>(Q30-Q31)/(1.045^Q29)</f>
        <v>-2000</v>
      </c>
      <c r="R32" s="102">
        <f t="shared" ref="R32:W32" si="1">(R30-R31)/(1.045^R29)</f>
        <v>516.72044231576797</v>
      </c>
      <c r="S32" s="102">
        <f t="shared" si="1"/>
        <v>499.0958950168968</v>
      </c>
      <c r="T32" s="102">
        <f t="shared" si="1"/>
        <v>857.01776743717392</v>
      </c>
      <c r="U32" s="102">
        <f t="shared" si="1"/>
        <v>106.93351242110978</v>
      </c>
      <c r="V32" s="102">
        <f t="shared" si="1"/>
        <v>55.199082317665592</v>
      </c>
      <c r="W32" s="102">
        <f t="shared" si="1"/>
        <v>29.125423470493139</v>
      </c>
      <c r="X32" s="68"/>
      <c r="Y32" s="68"/>
      <c r="Z32" s="68"/>
      <c r="AA32" s="68"/>
      <c r="AB32" s="68"/>
      <c r="AC32" s="68"/>
      <c r="AD32" s="68"/>
    </row>
    <row r="33" spans="1:32" s="51" customFormat="1" ht="48" customHeight="1">
      <c r="A33" s="111"/>
      <c r="B33" s="112"/>
      <c r="C33" s="112"/>
      <c r="D33" s="112"/>
      <c r="E33" s="68"/>
      <c r="F33" s="68"/>
      <c r="G33" s="68"/>
      <c r="H33" s="68"/>
      <c r="I33" s="247" t="s">
        <v>358</v>
      </c>
      <c r="J33" s="247"/>
      <c r="K33" s="247"/>
      <c r="L33" s="103">
        <f>MAX(L24:L28)-L29</f>
        <v>44380.35232146534</v>
      </c>
      <c r="M33" s="68"/>
      <c r="N33" s="68"/>
      <c r="O33" s="68"/>
      <c r="P33" s="68"/>
      <c r="Q33" s="68"/>
      <c r="R33" s="68"/>
      <c r="S33" s="68"/>
      <c r="T33" s="68"/>
      <c r="U33" s="68"/>
      <c r="V33" s="68"/>
      <c r="W33" s="68"/>
      <c r="X33" s="68"/>
      <c r="Y33" s="68"/>
      <c r="Z33" s="68"/>
      <c r="AA33" s="68"/>
      <c r="AB33" s="68"/>
      <c r="AC33" s="68"/>
      <c r="AD33" s="68"/>
    </row>
    <row r="34" spans="1:32" s="51" customFormat="1" ht="48" customHeight="1">
      <c r="A34" s="241" t="s">
        <v>365</v>
      </c>
      <c r="B34" s="241"/>
      <c r="C34" s="112"/>
      <c r="D34" s="112"/>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row>
    <row r="35" spans="1:32" s="51" customFormat="1" ht="60">
      <c r="A35" s="108" t="s">
        <v>218</v>
      </c>
      <c r="B35" s="108" t="s">
        <v>366</v>
      </c>
      <c r="C35" s="113">
        <v>5</v>
      </c>
      <c r="D35" s="113">
        <v>10</v>
      </c>
      <c r="E35" s="113">
        <v>15</v>
      </c>
      <c r="F35" s="113">
        <v>20</v>
      </c>
      <c r="G35" s="113">
        <v>25</v>
      </c>
      <c r="H35" s="113">
        <v>30</v>
      </c>
      <c r="I35" s="113">
        <v>35</v>
      </c>
      <c r="J35" s="113">
        <v>40</v>
      </c>
      <c r="K35" s="113">
        <v>45</v>
      </c>
      <c r="L35" s="113">
        <v>50</v>
      </c>
      <c r="M35" s="113">
        <v>55</v>
      </c>
      <c r="N35" s="113">
        <v>60</v>
      </c>
      <c r="O35" s="113">
        <v>65</v>
      </c>
      <c r="P35" s="113">
        <v>70</v>
      </c>
      <c r="Q35" s="113">
        <v>75</v>
      </c>
      <c r="R35" s="113">
        <v>80</v>
      </c>
      <c r="S35" s="113">
        <v>85</v>
      </c>
      <c r="T35" s="113">
        <v>90</v>
      </c>
      <c r="U35" s="113">
        <v>95</v>
      </c>
      <c r="V35" s="113">
        <v>100</v>
      </c>
      <c r="W35" s="113">
        <v>105</v>
      </c>
      <c r="X35" s="113">
        <v>110</v>
      </c>
      <c r="Y35" s="113">
        <v>115</v>
      </c>
      <c r="Z35" s="113">
        <v>120</v>
      </c>
      <c r="AA35" s="113">
        <v>125</v>
      </c>
      <c r="AB35" s="113">
        <v>130</v>
      </c>
      <c r="AC35" s="113">
        <v>135</v>
      </c>
      <c r="AD35" s="113">
        <v>140</v>
      </c>
    </row>
    <row r="36" spans="1:32" s="51" customFormat="1" ht="48" customHeight="1">
      <c r="A36" s="62" t="s">
        <v>474</v>
      </c>
      <c r="B36" s="62">
        <f t="shared" ref="B36:B41" si="2">H36</f>
        <v>209.13433593171877</v>
      </c>
      <c r="C36" s="83">
        <f>((('ITI. FEUILLUS'!D79+'ITI. FEUILLUS'!D48+'ITI. FEUILLUS'!D20+'ITI. FEUILLUS'!D108+'ITI. FEUILLUS'!D141)*1.56)+('ITI. RESINEUX'!D15*1.3))/$C$19</f>
        <v>8.1581147896138226</v>
      </c>
      <c r="D36" s="171">
        <f>((('ITI. FEUILLUS'!E79+'ITI. FEUILLUS'!E48+'ITI. FEUILLUS'!E20+'ITI. FEUILLUS'!E108+'ITI. FEUILLUS'!E141)*1.56)+('ITI. RESINEUX'!E15*1.3))/$C$19</f>
        <v>26.465850047922345</v>
      </c>
      <c r="E36" s="171">
        <f>((('ITI. FEUILLUS'!F79+'ITI. FEUILLUS'!F48+'ITI. FEUILLUS'!F20+'ITI. FEUILLUS'!F108+'ITI. FEUILLUS'!F141)*1.56)+('ITI. RESINEUX'!F15*1.3))/$C$19</f>
        <v>72.961199448981262</v>
      </c>
      <c r="F36" s="171">
        <f>((('ITI. FEUILLUS'!G79+'ITI. FEUILLUS'!G48+'ITI. FEUILLUS'!G20+'ITI. FEUILLUS'!G108+'ITI. FEUILLUS'!G141)*1.56)+('ITI. RESINEUX'!G15*1.3))/$C$19</f>
        <v>111.40302190883249</v>
      </c>
      <c r="G36" s="171">
        <f>((('ITI. FEUILLUS'!H79+'ITI. FEUILLUS'!H48+'ITI. FEUILLUS'!H20+'ITI. FEUILLUS'!H108+'ITI. FEUILLUS'!H141)*1.56)+('ITI. RESINEUX'!H15*1.3))/$C$19</f>
        <v>177.30776147166287</v>
      </c>
      <c r="H36" s="171">
        <f>((('ITI. FEUILLUS'!I79+'ITI. FEUILLUS'!I48+'ITI. FEUILLUS'!I20+'ITI. FEUILLUS'!I108+'ITI. FEUILLUS'!I141)*1.56)+('ITI. RESINEUX'!I15*1.3))/$C$19</f>
        <v>209.13433593171877</v>
      </c>
      <c r="I36" s="171">
        <f>((('ITI. FEUILLUS'!J79+'ITI. FEUILLUS'!J48+'ITI. FEUILLUS'!J20+'ITI. FEUILLUS'!J108+'ITI. FEUILLUS'!J141)*1.56)+('ITI. RESINEUX'!J15*1.3))/$C$19</f>
        <v>313.31427916992658</v>
      </c>
      <c r="J36" s="171">
        <f>((('ITI. FEUILLUS'!K79+'ITI. FEUILLUS'!K48+'ITI. FEUILLUS'!K20+'ITI. FEUILLUS'!K108+'ITI. FEUILLUS'!K141)*1.56)+('ITI. RESINEUX'!K15*1.3))/$C$19</f>
        <v>308.84767724173997</v>
      </c>
      <c r="K36" s="171">
        <f>((('ITI. FEUILLUS'!L79+'ITI. FEUILLUS'!L48+'ITI. FEUILLUS'!L20+'ITI. FEUILLUS'!L108+'ITI. FEUILLUS'!L141)*1.56)+('ITI. RESINEUX'!L15*1.3))/$C$19</f>
        <v>436.37498911143689</v>
      </c>
      <c r="L36" s="171">
        <f>((('ITI. FEUILLUS'!M79+'ITI. FEUILLUS'!M48+'ITI. FEUILLUS'!M20+'ITI. FEUILLUS'!M108+'ITI. FEUILLUS'!M141)*1.56)+('ITI. RESINEUX'!M15*1.3))/$C$19</f>
        <v>459.52057914451029</v>
      </c>
      <c r="M36" s="171">
        <f>((('ITI. FEUILLUS'!N79+'ITI. FEUILLUS'!N48+'ITI. FEUILLUS'!N20+'ITI. FEUILLUS'!N108+'ITI. FEUILLUS'!N141)*1.56)+('ITI. RESINEUX'!N15*1.3))/$C$19</f>
        <v>532.8034004237353</v>
      </c>
      <c r="N36" s="171">
        <f>((('ITI. FEUILLUS'!O79+'ITI. FEUILLUS'!O48+'ITI. FEUILLUS'!O20+'ITI. FEUILLUS'!O108+'ITI. FEUILLUS'!O141)*1.56)+('ITI. RESINEUX'!O15*1.3))/$C$19</f>
        <v>588.69780066252019</v>
      </c>
      <c r="O36" s="171">
        <f>((('ITI. FEUILLUS'!P79+'ITI. FEUILLUS'!P48+'ITI. FEUILLUS'!P20+'ITI. FEUILLUS'!P108+'ITI. FEUILLUS'!P141)*1.56)+('ITI. RESINEUX'!P15*1.3))/$C$19</f>
        <v>276.75521821848366</v>
      </c>
      <c r="P36" s="171">
        <f>((('ITI. FEUILLUS'!Q79+'ITI. FEUILLUS'!Q48+'ITI. FEUILLUS'!Q20+'ITI. FEUILLUS'!Q108+'ITI. FEUILLUS'!Q141)*1.56)+('ITI. RESINEUX'!Q15*1.3))/$C$19</f>
        <v>321.34181168316144</v>
      </c>
      <c r="Q36" s="171">
        <f>((('ITI. FEUILLUS'!R79+'ITI. FEUILLUS'!R48+'ITI. FEUILLUS'!R20+'ITI. FEUILLUS'!R106+'ITI. FEUILLUS'!R141)*1.56)+('ITI. RESINEUX'!R15*1.3))/$C$19</f>
        <v>307.11473095153394</v>
      </c>
      <c r="R36" s="171">
        <f>((('ITI. FEUILLUS'!S79+'ITI. FEUILLUS'!S48+'ITI. FEUILLUS'!S20+'ITI. FEUILLUS'!S106+'ITI. FEUILLUS'!S141)*1.56)+('ITI. RESINEUX'!S15*1.3))/$C$19</f>
        <v>367.18896602962582</v>
      </c>
      <c r="S36" s="171">
        <f>((('ITI. FEUILLUS'!T79+'ITI. FEUILLUS'!T48+'ITI. FEUILLUS'!T20+'ITI. FEUILLUS'!T106+'ITI. FEUILLUS'!T141)*1.56)+('ITI. RESINEUX'!T15*1.3))/$C$19</f>
        <v>259.67045454545456</v>
      </c>
      <c r="T36" s="171">
        <f>((('ITI. FEUILLUS'!U79+'ITI. FEUILLUS'!U48+'ITI. FEUILLUS'!U20+'ITI. FEUILLUS'!U106+'ITI. FEUILLUS'!U141)*1.56)+('ITI. RESINEUX'!U15*1.3))/$C$19</f>
        <v>228.9063311688312</v>
      </c>
      <c r="U36" s="171">
        <f>((('ITI. FEUILLUS'!V79+'ITI. FEUILLUS'!V48+'ITI. FEUILLUS'!V20+'ITI. FEUILLUS'!V106+'ITI. FEUILLUS'!V141)*1.56)+('ITI. RESINEUX'!V15*1.3))/$C$19</f>
        <v>269.12863636363642</v>
      </c>
      <c r="V36" s="171">
        <f>((('ITI. FEUILLUS'!W79+'ITI. FEUILLUS'!W48+'ITI. FEUILLUS'!W20+'ITI. FEUILLUS'!W106+'ITI. FEUILLUS'!W141)*1.56)+('ITI. RESINEUX'!W15*1.3))/$C$19</f>
        <v>276.65162337662338</v>
      </c>
      <c r="W36" s="171">
        <f>((('ITI. FEUILLUS'!X79+'ITI. FEUILLUS'!X48+'ITI. FEUILLUS'!X20+'ITI. FEUILLUS'!X106+'ITI. FEUILLUS'!X141)*1.56)+('ITI. RESINEUX'!X15*1.3))/$C$19</f>
        <v>183.13636363636365</v>
      </c>
      <c r="X36" s="171">
        <f>((('ITI. FEUILLUS'!Y79+'ITI. FEUILLUS'!Y48+'ITI. FEUILLUS'!Y20+'ITI. FEUILLUS'!Y106+'ITI. FEUILLUS'!Y141)*1.56)+('ITI. RESINEUX'!Y15*1.3))/$C$19</f>
        <v>166.72927072927075</v>
      </c>
      <c r="Y36" s="171">
        <f>((('ITI. FEUILLUS'!Z79+'ITI. FEUILLUS'!Z48+'ITI. FEUILLUS'!Z20+'ITI. FEUILLUS'!Z106+'ITI. FEUILLUS'!Z141)*1.56)+('ITI. RESINEUX'!Z15*1.3))/$C$19</f>
        <v>192.34090909090909</v>
      </c>
      <c r="Z36" s="171">
        <f>((('ITI. FEUILLUS'!AA79+'ITI. FEUILLUS'!AA48+'ITI. FEUILLUS'!AA20+'ITI. FEUILLUS'!AA106+'ITI. FEUILLUS'!AA141)*1.56)+('ITI. RESINEUX'!AA15*1.3))/$C$19</f>
        <v>171.4899774138905</v>
      </c>
      <c r="AA36" s="171">
        <f>((('ITI. FEUILLUS'!AB79+'ITI. FEUILLUS'!AB48+'ITI. FEUILLUS'!AB20+'ITI. FEUILLUS'!AB106+'ITI. FEUILLUS'!AB141)*1.56)+('ITI. RESINEUX'!AB15*1.3))/$C$19</f>
        <v>200.57142857142861</v>
      </c>
      <c r="AB36" s="171">
        <f>((('ITI. FEUILLUS'!AC79+'ITI. FEUILLUS'!AC48+'ITI. FEUILLUS'!AC20+'ITI. FEUILLUS'!AC106+'ITI. FEUILLUS'!AC141)*1.56)+('ITI. RESINEUX'!AC15*1.3))/$C$19</f>
        <v>184.26428571428573</v>
      </c>
      <c r="AC36" s="171">
        <f>((('ITI. FEUILLUS'!AD79+'ITI. FEUILLUS'!AD48+'ITI. FEUILLUS'!AD20+'ITI. FEUILLUS'!AD106+'ITI. FEUILLUS'!AD141)*1.56)+('ITI. RESINEUX'!AD15*1.3))/$C$19</f>
        <v>187.11060606060605</v>
      </c>
      <c r="AD36" s="171">
        <f>((('ITI. FEUILLUS'!AE79+'ITI. FEUILLUS'!AE48+'ITI. FEUILLUS'!AE20+'ITI. FEUILLUS'!AE106+'ITI. FEUILLUS'!AE141)*1.56)+('ITI. RESINEUX'!AE15*1.3))/$C$19</f>
        <v>210.3603896103896</v>
      </c>
    </row>
    <row r="37" spans="1:32" s="51" customFormat="1" ht="48" customHeight="1">
      <c r="A37" s="62" t="s">
        <v>475</v>
      </c>
      <c r="B37" s="62">
        <f t="shared" si="2"/>
        <v>105.33366366508012</v>
      </c>
      <c r="C37" s="171">
        <f>((('ITI. FEUILLUS'!D80+'ITI. FEUILLUS'!D49+'ITI. FEUILLUS'!D21+'ITI. FEUILLUS'!D109+'ITI. FEUILLUS'!D142)*1.56)+('ITI. RESINEUX'!D16*1.3))/$C$19</f>
        <v>4.4041886981302634</v>
      </c>
      <c r="D37" s="171">
        <f>((('ITI. FEUILLUS'!E80+'ITI. FEUILLUS'!E49+'ITI. FEUILLUS'!E21+'ITI. FEUILLUS'!E109+'ITI. FEUILLUS'!E142)*1.56)+('ITI. RESINEUX'!E16*1.3))/$C$19</f>
        <v>14.283858512290712</v>
      </c>
      <c r="E37" s="171">
        <f>((('ITI. FEUILLUS'!F80+'ITI. FEUILLUS'!F49+'ITI. FEUILLUS'!F21+'ITI. FEUILLUS'!F109+'ITI. FEUILLUS'!F142)*1.56)+('ITI. RESINEUX'!F16*1.3))/$C$19</f>
        <v>37.450764855786048</v>
      </c>
      <c r="F37" s="171">
        <f>((('ITI. FEUILLUS'!G80+'ITI. FEUILLUS'!G49+'ITI. FEUILLUS'!G21+'ITI. FEUILLUS'!G109+'ITI. FEUILLUS'!G142)*1.56)+('ITI. RESINEUX'!G16*1.3))/$C$19</f>
        <v>56.768698508662354</v>
      </c>
      <c r="G37" s="171">
        <f>((('ITI. FEUILLUS'!H80+'ITI. FEUILLUS'!H49+'ITI. FEUILLUS'!H21+'ITI. FEUILLUS'!H109+'ITI. FEUILLUS'!H142)*1.56)+('ITI. RESINEUX'!H16*1.3))/$C$19</f>
        <v>89.116289165275958</v>
      </c>
      <c r="H37" s="171">
        <f>((('ITI. FEUILLUS'!I80+'ITI. FEUILLUS'!I49+'ITI. FEUILLUS'!I21+'ITI. FEUILLUS'!I109+'ITI. FEUILLUS'!I142)*1.56)+('ITI. RESINEUX'!I16*1.3))/$C$19</f>
        <v>105.33366366508012</v>
      </c>
      <c r="I37" s="171">
        <f>((('ITI. FEUILLUS'!J80+'ITI. FEUILLUS'!J49+'ITI. FEUILLUS'!J21+'ITI. FEUILLUS'!J109+'ITI. FEUILLUS'!J142)*1.56)+('ITI. RESINEUX'!J16*1.3))/$C$19</f>
        <v>154.79117340438566</v>
      </c>
      <c r="J37" s="171">
        <f>((('ITI. FEUILLUS'!K80+'ITI. FEUILLUS'!K49+'ITI. FEUILLUS'!K21+'ITI. FEUILLUS'!K109+'ITI. FEUILLUS'!K142)*1.56)+('ITI. RESINEUX'!K16*1.3))/$C$19</f>
        <v>152.24492156092674</v>
      </c>
      <c r="K37" s="171">
        <f>((('ITI. FEUILLUS'!L80+'ITI. FEUILLUS'!L49+'ITI. FEUILLUS'!L21+'ITI. FEUILLUS'!L109+'ITI. FEUILLUS'!L142)*1.56)+('ITI. RESINEUX'!L16*1.3))/$C$19</f>
        <v>215.32003657303153</v>
      </c>
      <c r="L37" s="171">
        <f>((('ITI. FEUILLUS'!M80+'ITI. FEUILLUS'!M49+'ITI. FEUILLUS'!M21+'ITI. FEUILLUS'!M109+'ITI. FEUILLUS'!M142)*1.56)+('ITI. RESINEUX'!M16*1.3))/$C$19</f>
        <v>224.26516468471419</v>
      </c>
      <c r="M37" s="171">
        <f>((('ITI. FEUILLUS'!N80+'ITI. FEUILLUS'!N49+'ITI. FEUILLUS'!N21+'ITI. FEUILLUS'!N109+'ITI. FEUILLUS'!N142)*1.56)+('ITI. RESINEUX'!N16*1.3))/$C$19</f>
        <v>260.94670402067857</v>
      </c>
      <c r="N37" s="171">
        <f>((('ITI. FEUILLUS'!O80+'ITI. FEUILLUS'!O49+'ITI. FEUILLUS'!O21+'ITI. FEUILLUS'!O109+'ITI. FEUILLUS'!O142)*1.56)+('ITI. RESINEUX'!O16*1.3))/$C$19</f>
        <v>289.9219299157275</v>
      </c>
      <c r="O37" s="171">
        <f>((('ITI. FEUILLUS'!P80+'ITI. FEUILLUS'!P49+'ITI. FEUILLUS'!P21+'ITI. FEUILLUS'!P109+'ITI. FEUILLUS'!P142)*1.56)+('ITI. RESINEUX'!P16*1.3))/$C$19</f>
        <v>150.96144886719435</v>
      </c>
      <c r="P37" s="171">
        <f>((('ITI. FEUILLUS'!Q80+'ITI. FEUILLUS'!Q49+'ITI. FEUILLUS'!Q21+'ITI. FEUILLUS'!Q109+'ITI. FEUILLUS'!Q142)*1.56)+('ITI. RESINEUX'!Q16*1.3))/$C$19</f>
        <v>176.66442136100974</v>
      </c>
      <c r="Q37" s="171">
        <f>((('ITI. FEUILLUS'!R80+'ITI. FEUILLUS'!R49+'ITI. FEUILLUS'!R21+'ITI. FEUILLUS'!R107+'ITI. FEUILLUS'!R142)*1.56)+('ITI. RESINEUX'!R16*1.3))/$C$19</f>
        <v>167.20636181125636</v>
      </c>
      <c r="R37" s="171">
        <f>((('ITI. FEUILLUS'!S80+'ITI. FEUILLUS'!S49+'ITI. FEUILLUS'!S21+'ITI. FEUILLUS'!S107+'ITI. FEUILLUS'!S142)*1.56)+('ITI. RESINEUX'!S16*1.3))/$C$19</f>
        <v>200.11719897381045</v>
      </c>
      <c r="S37" s="171">
        <f>((('ITI. FEUILLUS'!T80+'ITI. FEUILLUS'!T49+'ITI. FEUILLUS'!T21+'ITI. FEUILLUS'!T107+'ITI. FEUILLUS'!T142)*1.56)+('ITI. RESINEUX'!T16*1.3))/$C$19</f>
        <v>147.64587662337664</v>
      </c>
      <c r="T37" s="171">
        <f>((('ITI. FEUILLUS'!U80+'ITI. FEUILLUS'!U49+'ITI. FEUILLUS'!U21+'ITI. FEUILLUS'!U107+'ITI. FEUILLUS'!U142)*1.56)+('ITI. RESINEUX'!U16*1.3))/$C$19</f>
        <v>130.10810064935066</v>
      </c>
      <c r="U37" s="171">
        <f>((('ITI. FEUILLUS'!V80+'ITI. FEUILLUS'!V49+'ITI. FEUILLUS'!V21+'ITI. FEUILLUS'!V107+'ITI. FEUILLUS'!V142)*1.56)+('ITI. RESINEUX'!V16*1.3))/$C$19</f>
        <v>153.20729220779225</v>
      </c>
      <c r="V37" s="171">
        <f>((('ITI. FEUILLUS'!W80+'ITI. FEUILLUS'!W49+'ITI. FEUILLUS'!W21+'ITI. FEUILLUS'!W107+'ITI. FEUILLUS'!W142)*1.56)+('ITI. RESINEUX'!W16*1.3))/$C$19</f>
        <v>156.81118831168834</v>
      </c>
      <c r="W37" s="171">
        <f>((('ITI. FEUILLUS'!X80+'ITI. FEUILLUS'!X49+'ITI. FEUILLUS'!X21+'ITI. FEUILLUS'!X107+'ITI. FEUILLUS'!X142)*1.56)+('ITI. RESINEUX'!X16*1.3))/$C$19</f>
        <v>106.21909090909091</v>
      </c>
      <c r="X37" s="171">
        <f>((('ITI. FEUILLUS'!Y80+'ITI. FEUILLUS'!Y49+'ITI. FEUILLUS'!Y21+'ITI. FEUILLUS'!Y107+'ITI. FEUILLUS'!Y142)*1.56)+('ITI. RESINEUX'!Y16*1.3))/$C$19</f>
        <v>96.702977022977038</v>
      </c>
      <c r="Y37" s="171">
        <f>((('ITI. FEUILLUS'!Z80+'ITI. FEUILLUS'!Z49+'ITI. FEUILLUS'!Z21+'ITI. FEUILLUS'!Z107+'ITI. FEUILLUS'!Z142)*1.56)+('ITI. RESINEUX'!Z16*1.3))/$C$19</f>
        <v>111.55772727272726</v>
      </c>
      <c r="Z37" s="171">
        <f>((('ITI. FEUILLUS'!AA80+'ITI. FEUILLUS'!AA49+'ITI. FEUILLUS'!AA21+'ITI. FEUILLUS'!AA107+'ITI. FEUILLUS'!AA142)*1.56)+('ITI. RESINEUX'!AA16*1.3))/$C$19</f>
        <v>99.46418690005649</v>
      </c>
      <c r="AA37" s="171">
        <f>((('ITI. FEUILLUS'!AB80+'ITI. FEUILLUS'!AB49+'ITI. FEUILLUS'!AB21+'ITI. FEUILLUS'!AB107+'ITI. FEUILLUS'!AB142)*1.56)+('ITI. RESINEUX'!AB16*1.3))/$C$19</f>
        <v>116.33142857142859</v>
      </c>
      <c r="AB37" s="171">
        <f>((('ITI. FEUILLUS'!AC80+'ITI. FEUILLUS'!AC49+'ITI. FEUILLUS'!AC21+'ITI. FEUILLUS'!AC107+'ITI. FEUILLUS'!AC142)*1.56)+('ITI. RESINEUX'!AC16*1.3))/$C$19</f>
        <v>106.87328571428573</v>
      </c>
      <c r="AC37" s="171">
        <f>((('ITI. FEUILLUS'!AD80+'ITI. FEUILLUS'!AD49+'ITI. FEUILLUS'!AD21+'ITI. FEUILLUS'!AD107+'ITI. FEUILLUS'!AD142)*1.56)+('ITI. RESINEUX'!AD16*1.3))/$C$19</f>
        <v>108.5241515151515</v>
      </c>
      <c r="AD37" s="171">
        <f>((('ITI. FEUILLUS'!AE80+'ITI. FEUILLUS'!AE49+'ITI. FEUILLUS'!AE21+'ITI. FEUILLUS'!AE107+'ITI. FEUILLUS'!AE142)*1.56)+('ITI. RESINEUX'!AE16*1.3))/$C$19</f>
        <v>122.00902597402595</v>
      </c>
    </row>
    <row r="38" spans="1:32" s="51" customFormat="1" ht="48" customHeight="1">
      <c r="A38" s="62" t="s">
        <v>219</v>
      </c>
      <c r="B38" s="62">
        <f t="shared" si="2"/>
        <v>28.22880110898662</v>
      </c>
      <c r="C38" s="83">
        <f>EXP(-1.0587+0.8836*LN(C37)+0.284)</f>
        <v>1.7079375628190223</v>
      </c>
      <c r="D38" s="130">
        <f t="shared" ref="D38:N38" si="3">EXP(-1.0587+0.8836*LN(D37)+0.284)</f>
        <v>4.8302942053006737</v>
      </c>
      <c r="E38" s="130">
        <f t="shared" si="3"/>
        <v>11.320404154619755</v>
      </c>
      <c r="F38" s="130">
        <f t="shared" si="3"/>
        <v>16.348681086743198</v>
      </c>
      <c r="G38" s="130">
        <f t="shared" si="3"/>
        <v>24.351972976425554</v>
      </c>
      <c r="H38" s="130">
        <f t="shared" si="3"/>
        <v>28.22880110898662</v>
      </c>
      <c r="I38" s="130">
        <f t="shared" si="3"/>
        <v>39.665396556298816</v>
      </c>
      <c r="J38" s="130">
        <f t="shared" si="3"/>
        <v>39.088310186540667</v>
      </c>
      <c r="K38" s="130">
        <f t="shared" si="3"/>
        <v>53.096449392988994</v>
      </c>
      <c r="L38" s="130">
        <f t="shared" si="3"/>
        <v>55.040859685355045</v>
      </c>
      <c r="M38" s="130">
        <f t="shared" si="3"/>
        <v>62.924134289573793</v>
      </c>
      <c r="N38" s="130">
        <f t="shared" si="3"/>
        <v>69.059529571033849</v>
      </c>
      <c r="O38" s="130">
        <f t="shared" ref="O38" si="4">EXP(-1.0587+0.8836*LN(O37)+0.284)</f>
        <v>38.796997012718911</v>
      </c>
      <c r="P38" s="130">
        <f t="shared" ref="P38" si="5">EXP(-1.0587+0.8836*LN(P37)+0.284)</f>
        <v>44.579275436919012</v>
      </c>
      <c r="Q38" s="130">
        <f t="shared" ref="Q38" si="6">EXP(-1.0587+0.8836*LN(Q37)+0.284)</f>
        <v>42.463739462902517</v>
      </c>
      <c r="R38" s="130">
        <f t="shared" ref="R38" si="7">EXP(-1.0587+0.8836*LN(R37)+0.284)</f>
        <v>49.769923634325437</v>
      </c>
      <c r="S38" s="130">
        <f t="shared" ref="S38" si="8">EXP(-1.0587+0.8836*LN(S37)+0.284)</f>
        <v>38.043111104851967</v>
      </c>
      <c r="T38" s="130">
        <f t="shared" ref="T38" si="9">EXP(-1.0587+0.8836*LN(T37)+0.284)</f>
        <v>34.02133701000151</v>
      </c>
      <c r="U38" s="130">
        <f t="shared" ref="U38" si="10">EXP(-1.0587+0.8836*LN(U37)+0.284)</f>
        <v>39.306554394997519</v>
      </c>
      <c r="V38" s="130">
        <f t="shared" ref="V38" si="11">EXP(-1.0587+0.8836*LN(V37)+0.284)</f>
        <v>40.122429501302484</v>
      </c>
      <c r="W38" s="130">
        <f t="shared" ref="W38" si="12">EXP(-1.0587+0.8836*LN(W37)+0.284)</f>
        <v>28.43836766400447</v>
      </c>
      <c r="X38" s="130">
        <f t="shared" ref="X38" si="13">EXP(-1.0587+0.8836*LN(X37)+0.284)</f>
        <v>26.175001253797415</v>
      </c>
      <c r="Y38" s="130">
        <f t="shared" ref="Y38" si="14">EXP(-1.0587+0.8836*LN(Y37)+0.284)</f>
        <v>29.697696365761139</v>
      </c>
      <c r="Z38" s="130">
        <f t="shared" ref="Z38" si="15">EXP(-1.0587+0.8836*LN(Z37)+0.284)</f>
        <v>26.834307579560011</v>
      </c>
      <c r="AA38" s="130">
        <f t="shared" ref="AA38" si="16">EXP(-1.0587+0.8836*LN(AA37)+0.284)</f>
        <v>30.817825254878134</v>
      </c>
      <c r="AB38" s="130">
        <f t="shared" ref="AB38" si="17">EXP(-1.0587+0.8836*LN(AB37)+0.284)</f>
        <v>28.593074512150363</v>
      </c>
      <c r="AC38" s="130">
        <f t="shared" ref="AC38" si="18">EXP(-1.0587+0.8836*LN(AC37)+0.284)</f>
        <v>28.982990271915817</v>
      </c>
      <c r="AD38" s="130">
        <f t="shared" ref="AD38" si="19">EXP(-1.0587+0.8836*LN(AD37)+0.284)</f>
        <v>32.143117863813337</v>
      </c>
    </row>
    <row r="39" spans="1:32" s="51" customFormat="1" ht="48" customHeight="1">
      <c r="A39" s="58" t="s">
        <v>479</v>
      </c>
      <c r="B39" s="58">
        <f t="shared" si="2"/>
        <v>793.06025731744057</v>
      </c>
      <c r="C39" s="62">
        <f>((C38+C37)*0.475*$C$19)-'REF BOIS.'!C22</f>
        <v>-28.452762153486141</v>
      </c>
      <c r="D39" s="62">
        <f>((D38+D37)*0.475*$C$19)-'REF BOIS.'!D22</f>
        <v>55.355049879414665</v>
      </c>
      <c r="E39" s="62">
        <f>((E38+E37)*0.475*$C$19)-'REF BOIS.'!E22</f>
        <v>246.51676264882317</v>
      </c>
      <c r="F39" s="62">
        <f>((F38+F37)*0.475*$C$19)-'REF BOIS.'!F22</f>
        <v>403.44634952708532</v>
      </c>
      <c r="G39" s="62">
        <f>((G38+G37)*0.475*$C$19)-'REF BOIS.'!G22</f>
        <v>663.53805069987254</v>
      </c>
      <c r="H39" s="62">
        <f>((H38+H37)*0.475*$C$19)-'REF BOIS.'!H22</f>
        <v>793.06025731744057</v>
      </c>
      <c r="I39" s="62">
        <f>((I38+I37)*0.475*$C$19)-'REF BOIS.'!I22</f>
        <v>1185.5684358240819</v>
      </c>
      <c r="J39" s="62">
        <f>((J38+J37)*0.475*$C$19)-'REF BOIS.'!J22</f>
        <v>1165.4361785362382</v>
      </c>
      <c r="K39" s="62">
        <f>((K38+K37)*0.475*$C$19)-'REF BOIS.'!K22</f>
        <v>1662.2955644154767</v>
      </c>
      <c r="L39" s="62">
        <f>((L38+L37)*0.475*$C$19)-'REF BOIS.'!L22</f>
        <v>1732.4868065833737</v>
      </c>
      <c r="M39" s="62">
        <f>((M38+M37)*0.475*$C$19)-'REF BOIS.'!M22</f>
        <v>2019.7404560383088</v>
      </c>
      <c r="N39" s="62">
        <f>((N38+N37)*0.475*$C$19)-'REF BOIS.'!N22</f>
        <v>2246.0547424867918</v>
      </c>
      <c r="O39" s="62">
        <f>((O38+O37)*0.475*$C$19)-'REF BOIS.'!O22</f>
        <v>1155.2855025304511</v>
      </c>
      <c r="P39" s="62">
        <f>((P38+P37)*0.475*$C$19)-'REF BOIS.'!P22</f>
        <v>1358.2315586352493</v>
      </c>
      <c r="Q39" s="62">
        <f>((Q38+Q37)*0.475*$C$19)-'REF BOIS.'!Q22</f>
        <v>1283.6310552879095</v>
      </c>
      <c r="R39" s="62">
        <f>((R38+R37)*0.475*$C$19)-'REF BOIS.'!R22</f>
        <v>1542.859920551392</v>
      </c>
      <c r="S39" s="62">
        <f>((S38+S37)*0.475*$C$19)-'REF BOIS.'!S22</f>
        <v>1129.0547926492295</v>
      </c>
      <c r="T39" s="62">
        <f>((T38+T37)*0.475*$C$19)-'REF BOIS.'!T22</f>
        <v>990.08732279276921</v>
      </c>
      <c r="U39" s="62">
        <f>((U38+U37)*0.475*$C$19)-'REF BOIS.'!U22</f>
        <v>1173.0461267399323</v>
      </c>
      <c r="V39" s="62">
        <f>((V38+V37)*0.475*$C$19)-'REF BOIS.'!V22</f>
        <v>1201.5348670180858</v>
      </c>
      <c r="W39" s="62">
        <f>((W38+W37)*0.475*$C$19)-'REF BOIS.'!W22</f>
        <v>800.11831359752944</v>
      </c>
      <c r="X39" s="62">
        <f>((X38+X37)*0.475*$C$19)-'REF BOIS.'!X22</f>
        <v>724.19072847751897</v>
      </c>
      <c r="Y39" s="62">
        <f>((Y38+Y37)*0.475*$C$19)-'REF BOIS.'!Y22</f>
        <v>842.64714691778647</v>
      </c>
      <c r="Z39" s="62">
        <f>((Z38+Z37)*0.475*$C$19)-'REF BOIS.'!Z22</f>
        <v>746.23852079198798</v>
      </c>
      <c r="AA39" s="62">
        <f>((AA38+AA37)*0.475*$C$19)-'REF BOIS.'!AA22</f>
        <v>880.63730285091663</v>
      </c>
      <c r="AB39" s="62">
        <f>((AB38+AB37)*0.475*$C$19)-'REF BOIS.'!AB22</f>
        <v>805.33229142955031</v>
      </c>
      <c r="AC39" s="62">
        <f>((AC38+AC37)*0.475*$C$19)-'REF BOIS.'!AC22</f>
        <v>818.48665917398921</v>
      </c>
      <c r="AD39" s="62">
        <f>((AD38+AD37)*0.475*$C$19)-'REF BOIS.'!AD22</f>
        <v>925.77618114275242</v>
      </c>
    </row>
    <row r="40" spans="1:32" s="51" customFormat="1" ht="48" customHeight="1">
      <c r="A40" s="58" t="s">
        <v>478</v>
      </c>
      <c r="B40" s="58">
        <f t="shared" si="2"/>
        <v>138.56484263855805</v>
      </c>
      <c r="C40" s="62">
        <f>IF($C$20=COEFFICIENTS!$A$2,($C$19*(45+(25*(1-EXP(-0.0175*BOISEMENT!C35)))))-'REF BOIS.'!C23,0)</f>
        <v>28.42274779243985</v>
      </c>
      <c r="D40" s="62">
        <f>IF($C$20=COEFFICIENTS!$A$2,($C$19*(45+(25*(1-EXP(-0.0175*BOISEMENT!D35)))))-'REF BOIS.'!D23,0)</f>
        <v>54.464205704046435</v>
      </c>
      <c r="E40" s="62">
        <f>IF($C$20=COEFFICIENTS!$A$2,($C$19*(45+(25*(1-EXP(-0.0175*BOISEMENT!E35)))))-'REF BOIS.'!E23,0)</f>
        <v>78.323880887962559</v>
      </c>
      <c r="F40" s="62">
        <f>IF($C$20=COEFFICIENTS!$A$2,($C$19*(45+(25*(1-EXP(-0.0175*BOISEMENT!F35)))))-'REF BOIS.'!F23,0)</f>
        <v>100.18456556292654</v>
      </c>
      <c r="G40" s="62">
        <f>IF($C$20=COEFFICIENTS!$A$2,($C$19*(45+(25*(1-EXP(-0.0175*BOISEMENT!G35)))))-'REF BOIS.'!G23,0)</f>
        <v>120.21373740933757</v>
      </c>
      <c r="H40" s="62">
        <f>IF($C$20=COEFFICIENTS!$A$2,($C$19*(45+(25*(1-EXP(-0.0175*BOISEMENT!H35)))))-'REF BOIS.'!H23,0)</f>
        <v>138.56484263855805</v>
      </c>
      <c r="I40" s="62">
        <f>IF($C$20=COEFFICIENTS!$A$2,($C$19*(45+(25*(1-EXP(-0.0175*BOISEMENT!I35)))))-'REF BOIS.'!I23,0)</f>
        <v>155.37847156522071</v>
      </c>
      <c r="J40" s="62">
        <f>IF($C$20=COEFFICIENTS!$A$2,($C$19*(45+(25*(1-EXP(-0.0175*BOISEMENT!J35)))))-'REF BOIS.'!J23,0)</f>
        <v>170.78343568876448</v>
      </c>
      <c r="K40" s="62">
        <f>IF($C$20=COEFFICIENTS!$A$2,($C$19*(45+(25*(1-EXP(-0.0175*BOISEMENT!K35)))))-'REF BOIS.'!K23,0)</f>
        <v>184.89775453585969</v>
      </c>
      <c r="L40" s="62">
        <f>IF($C$20=COEFFICIENTS!$A$2,($C$19*(45+(25*(1-EXP(-0.0175*BOISEMENT!L35)))))-'REF BOIS.'!L23,0)</f>
        <v>197.82955982406611</v>
      </c>
      <c r="M40" s="62">
        <f>IF($C$20=COEFFICIENTS!$A$2,($C$19*(45+(25*(1-EXP(-0.0175*BOISEMENT!M35)))))-'REF BOIS.'!M23,0)</f>
        <v>209.67792387363545</v>
      </c>
      <c r="N40" s="62">
        <f>IF($C$20=COEFFICIENTS!$A$2,($C$19*(45+(25*(1-EXP(-0.0175*BOISEMENT!N35)))))-'REF BOIS.'!N23,0)</f>
        <v>220.53361861404073</v>
      </c>
      <c r="O40" s="62">
        <f>IF($C$20=COEFFICIENTS!$A$2,($C$19*(45+(25*(1-EXP(-0.0175*BOISEMENT!O35)))))-'REF BOIS.'!O23,0)</f>
        <v>230.47981100008099</v>
      </c>
      <c r="P40" s="62">
        <f>IF($C$20=COEFFICIENTS!$A$2,($C$19*(45+(25*(1-EXP(-0.0175*BOISEMENT!P35)))))-'REF BOIS.'!P23,0)</f>
        <v>239.59270016524158</v>
      </c>
      <c r="Q40" s="62">
        <f>IF($C$20=COEFFICIENTS!$A$2,($C$19*(45+(25*(1-EXP(-0.0175*BOISEMENT!Q35)))))-'REF BOIS.'!Q23,0)</f>
        <v>247.94210119362447</v>
      </c>
      <c r="R40" s="62">
        <f>IF($C$20=COEFFICIENTS!$A$2,($C$19*(45+(25*(1-EXP(-0.0175*BOISEMENT!R35)))))-'REF BOIS.'!R23,0)</f>
        <v>255.59197998281002</v>
      </c>
      <c r="S40" s="62">
        <f>IF($C$20=COEFFICIENTS!$A$2,($C$19*(45+(25*(1-EXP(-0.0175*BOISEMENT!S35)))))-'REF BOIS.'!S23,0)</f>
        <v>262.60094329530375</v>
      </c>
      <c r="T40" s="62">
        <f>IF($C$20=COEFFICIENTS!$A$2,($C$19*(45+(25*(1-EXP(-0.0175*BOISEMENT!T35)))))-'REF BOIS.'!T23,0)</f>
        <v>269.02268775291907</v>
      </c>
      <c r="U40" s="62">
        <f>IF($C$20=COEFFICIENTS!$A$2,($C$19*(45+(25*(1-EXP(-0.0175*BOISEMENT!U35)))))-'REF BOIS.'!U23,0)</f>
        <v>274.90641121390559</v>
      </c>
      <c r="V40" s="62">
        <f>IF($C$20=COEFFICIENTS!$A$2,($C$19*(45+(25*(1-EXP(-0.0175*BOISEMENT!V35)))))-'REF BOIS.'!V23,0)</f>
        <v>280.29718968443649</v>
      </c>
      <c r="W40" s="62">
        <f>IF($C$20=COEFFICIENTS!$A$2,($C$19*(45+(25*(1-EXP(-0.0175*BOISEMENT!W35)))))-'REF BOIS.'!W23,0)</f>
        <v>285.23632265202627</v>
      </c>
      <c r="X40" s="62">
        <f>IF($C$20=COEFFICIENTS!$A$2,($C$19*(45+(25*(1-EXP(-0.0175*BOISEMENT!X35)))))-'REF BOIS.'!X23,0)</f>
        <v>289.76164948652502</v>
      </c>
      <c r="Y40" s="62">
        <f>IF($C$20=COEFFICIENTS!$A$2,($C$19*(45+(25*(1-EXP(-0.0175*BOISEMENT!Y35)))))-'REF BOIS.'!Y23,0)</f>
        <v>293.90783933268074</v>
      </c>
      <c r="Z40" s="62">
        <f>IF($C$20=COEFFICIENTS!$A$2,($C$19*(45+(25*(1-EXP(-0.0175*BOISEMENT!Z35)))))-'REF BOIS.'!Z23,0)</f>
        <v>297.70665671517588</v>
      </c>
      <c r="AA40" s="62">
        <f>IF($C$20=COEFFICIENTS!$A$2,($C$19*(45+(25*(1-EXP(-0.0175*BOISEMENT!AA35)))))-'REF BOIS.'!AA23,0)</f>
        <v>301.18720489097348</v>
      </c>
      <c r="AB40" s="62">
        <f>IF($C$20=COEFFICIENTS!$A$2,($C$19*(45+(25*(1-EXP(-0.0175*BOISEMENT!AB35)))))-'REF BOIS.'!AB23,0)</f>
        <v>304.37614881332922</v>
      </c>
      <c r="AC40" s="62">
        <f>IF($C$20=COEFFICIENTS!$A$2,($C$19*(45+(25*(1-EXP(-0.0175*BOISEMENT!AC35)))))-'REF BOIS.'!AC23,0)</f>
        <v>307.2979194156278</v>
      </c>
      <c r="AD40" s="62">
        <f>IF($C$20=COEFFICIENTS!$A$2,($C$19*(45+(25*(1-EXP(-0.0175*BOISEMENT!AD35)))))-'REF BOIS.'!AD23,0)</f>
        <v>309.97490078008866</v>
      </c>
    </row>
    <row r="41" spans="1:32" s="51" customFormat="1" ht="48" customHeight="1">
      <c r="A41" s="58" t="s">
        <v>480</v>
      </c>
      <c r="B41" s="58">
        <f t="shared" si="2"/>
        <v>135.69999999999999</v>
      </c>
      <c r="C41" s="62">
        <f>C35*(10/30)*$C$19</f>
        <v>22.616666666666664</v>
      </c>
      <c r="D41" s="62">
        <f t="shared" ref="D41:H41" si="20">D35*(10/30)*$C$19</f>
        <v>45.233333333333327</v>
      </c>
      <c r="E41" s="62">
        <f t="shared" si="20"/>
        <v>67.849999999999994</v>
      </c>
      <c r="F41" s="62">
        <f t="shared" si="20"/>
        <v>90.466666666666654</v>
      </c>
      <c r="G41" s="62">
        <f t="shared" si="20"/>
        <v>113.08333333333331</v>
      </c>
      <c r="H41" s="62">
        <f t="shared" si="20"/>
        <v>135.69999999999999</v>
      </c>
      <c r="I41" s="62">
        <f>$H$41</f>
        <v>135.69999999999999</v>
      </c>
      <c r="J41" s="62">
        <f t="shared" ref="J41:AD41" si="21">$H$41</f>
        <v>135.69999999999999</v>
      </c>
      <c r="K41" s="62">
        <f t="shared" si="21"/>
        <v>135.69999999999999</v>
      </c>
      <c r="L41" s="62">
        <f t="shared" si="21"/>
        <v>135.69999999999999</v>
      </c>
      <c r="M41" s="62">
        <f t="shared" si="21"/>
        <v>135.69999999999999</v>
      </c>
      <c r="N41" s="62">
        <f t="shared" si="21"/>
        <v>135.69999999999999</v>
      </c>
      <c r="O41" s="62">
        <f t="shared" si="21"/>
        <v>135.69999999999999</v>
      </c>
      <c r="P41" s="62">
        <f t="shared" si="21"/>
        <v>135.69999999999999</v>
      </c>
      <c r="Q41" s="62">
        <f t="shared" si="21"/>
        <v>135.69999999999999</v>
      </c>
      <c r="R41" s="62">
        <f t="shared" si="21"/>
        <v>135.69999999999999</v>
      </c>
      <c r="S41" s="62">
        <f t="shared" si="21"/>
        <v>135.69999999999999</v>
      </c>
      <c r="T41" s="62">
        <f t="shared" si="21"/>
        <v>135.69999999999999</v>
      </c>
      <c r="U41" s="62">
        <f t="shared" si="21"/>
        <v>135.69999999999999</v>
      </c>
      <c r="V41" s="62">
        <f t="shared" si="21"/>
        <v>135.69999999999999</v>
      </c>
      <c r="W41" s="62">
        <f t="shared" si="21"/>
        <v>135.69999999999999</v>
      </c>
      <c r="X41" s="62">
        <f t="shared" si="21"/>
        <v>135.69999999999999</v>
      </c>
      <c r="Y41" s="62">
        <f t="shared" si="21"/>
        <v>135.69999999999999</v>
      </c>
      <c r="Z41" s="62">
        <f t="shared" si="21"/>
        <v>135.69999999999999</v>
      </c>
      <c r="AA41" s="62">
        <f t="shared" si="21"/>
        <v>135.69999999999999</v>
      </c>
      <c r="AB41" s="62">
        <f t="shared" si="21"/>
        <v>135.69999999999999</v>
      </c>
      <c r="AC41" s="62">
        <f t="shared" si="21"/>
        <v>135.69999999999999</v>
      </c>
      <c r="AD41" s="62">
        <f t="shared" si="21"/>
        <v>135.69999999999999</v>
      </c>
    </row>
    <row r="42" spans="1:32" s="51" customFormat="1" ht="48" customHeight="1">
      <c r="A42" s="63" t="s">
        <v>264</v>
      </c>
      <c r="B42" s="188">
        <f>IF(AE42&gt;H42,H42,AE42)</f>
        <v>3913.5253665053283</v>
      </c>
      <c r="C42" s="58">
        <f>SUM(C39:C41)*(44/12)</f>
        <v>82.817725120608031</v>
      </c>
      <c r="D42" s="173">
        <f t="shared" ref="D42:AD42" si="22">SUM(D39:D41)*(44/12)</f>
        <v>568.52615936157952</v>
      </c>
      <c r="E42" s="173">
        <f t="shared" si="22"/>
        <v>1439.8656929682143</v>
      </c>
      <c r="F42" s="173">
        <f t="shared" si="22"/>
        <v>2178.3577997744878</v>
      </c>
      <c r="G42" s="173">
        <f t="shared" si="22"/>
        <v>3288.3954452893254</v>
      </c>
      <c r="H42" s="173">
        <f t="shared" si="22"/>
        <v>3913.5253665053283</v>
      </c>
      <c r="I42" s="173">
        <f t="shared" si="22"/>
        <v>5414.3719937607766</v>
      </c>
      <c r="J42" s="173">
        <f t="shared" si="22"/>
        <v>5397.0385854916767</v>
      </c>
      <c r="K42" s="173">
        <f t="shared" si="22"/>
        <v>7270.6088361549009</v>
      </c>
      <c r="L42" s="173">
        <f t="shared" si="22"/>
        <v>7575.3933434939454</v>
      </c>
      <c r="M42" s="173">
        <f t="shared" si="22"/>
        <v>8672.100726343795</v>
      </c>
      <c r="N42" s="173">
        <f t="shared" si="22"/>
        <v>9541.7239907030526</v>
      </c>
      <c r="O42" s="173">
        <f t="shared" si="22"/>
        <v>5578.7061496119513</v>
      </c>
      <c r="P42" s="173">
        <f t="shared" si="22"/>
        <v>6356.2556156017999</v>
      </c>
      <c r="Q42" s="173">
        <f t="shared" si="22"/>
        <v>6113.334907098958</v>
      </c>
      <c r="R42" s="173">
        <f t="shared" si="22"/>
        <v>7091.8903019587406</v>
      </c>
      <c r="S42" s="173">
        <f t="shared" si="22"/>
        <v>5600.3043651299549</v>
      </c>
      <c r="T42" s="173">
        <f t="shared" si="22"/>
        <v>5114.3033720008571</v>
      </c>
      <c r="U42" s="173">
        <f t="shared" si="22"/>
        <v>5806.7259724974056</v>
      </c>
      <c r="V42" s="173">
        <f t="shared" si="22"/>
        <v>5930.9508745759149</v>
      </c>
      <c r="W42" s="173">
        <f t="shared" si="22"/>
        <v>4477.2003329150384</v>
      </c>
      <c r="X42" s="173">
        <f t="shared" si="22"/>
        <v>4215.3920525348276</v>
      </c>
      <c r="Y42" s="173">
        <f t="shared" si="22"/>
        <v>4664.9349495850465</v>
      </c>
      <c r="Z42" s="173">
        <f t="shared" si="22"/>
        <v>4325.3656508596005</v>
      </c>
      <c r="AA42" s="173">
        <f t="shared" si="22"/>
        <v>4830.9231950535968</v>
      </c>
      <c r="AB42" s="173">
        <f t="shared" si="22"/>
        <v>4566.497614223892</v>
      </c>
      <c r="AC42" s="173">
        <f t="shared" si="22"/>
        <v>4625.4434548285953</v>
      </c>
      <c r="AD42" s="173">
        <f t="shared" si="22"/>
        <v>5028.6539670504171</v>
      </c>
      <c r="AE42" s="63" t="s">
        <v>482</v>
      </c>
      <c r="AF42" s="173">
        <f>(SUM(C42:AD42))/(AD35/5)</f>
        <v>4988.2003014462243</v>
      </c>
    </row>
    <row r="43" spans="1:32" s="51" customFormat="1" ht="48" customHeight="1">
      <c r="A43" s="64" t="s">
        <v>237</v>
      </c>
      <c r="B43" s="64">
        <f>SUM(C43:H43)</f>
        <v>218.40812713385205</v>
      </c>
      <c r="C43" s="107">
        <f>('ITI. FEUILLUS'!D23+'ITI. FEUILLUS'!D50+'ITI. FEUILLUS'!D81+'ITI. FEUILLUS'!D110+'ITI. FEUILLUS'!D143+'ITI. RESINEUX'!D17)*0.475</f>
        <v>0</v>
      </c>
      <c r="D43" s="131">
        <f>('ITI. FEUILLUS'!E23+'ITI. FEUILLUS'!E50+'ITI. FEUILLUS'!E81+'ITI. FEUILLUS'!E110+'ITI. FEUILLUS'!E143+'ITI. RESINEUX'!E17)*0.475</f>
        <v>0</v>
      </c>
      <c r="E43" s="131">
        <f>('ITI. FEUILLUS'!F23+'ITI. FEUILLUS'!F50+'ITI. FEUILLUS'!F81+'ITI. FEUILLUS'!F110+'ITI. FEUILLUS'!F143+'ITI. RESINEUX'!F17)*0.475</f>
        <v>23.069640829148884</v>
      </c>
      <c r="F43" s="131">
        <f>('ITI. FEUILLUS'!G23+'ITI. FEUILLUS'!G50+'ITI. FEUILLUS'!G81+'ITI. FEUILLUS'!G110+'ITI. FEUILLUS'!G143+'ITI. RESINEUX'!G17)*0.475</f>
        <v>39.140677330955342</v>
      </c>
      <c r="G43" s="131">
        <f>('ITI. FEUILLUS'!H23+'ITI. FEUILLUS'!H50+'ITI. FEUILLUS'!H81+'ITI. FEUILLUS'!H110+'ITI. FEUILLUS'!H143+'ITI. RESINEUX'!H17)*0.475</f>
        <v>109.23010766405245</v>
      </c>
      <c r="H43" s="131">
        <f>('ITI. FEUILLUS'!I23+'ITI. FEUILLUS'!I50+'ITI. FEUILLUS'!I81+'ITI. FEUILLUS'!I110+'ITI. FEUILLUS'!I143+'ITI. RESINEUX'!I17)*0.475</f>
        <v>46.967701309695364</v>
      </c>
      <c r="I43" s="131">
        <f>('ITI. FEUILLUS'!J23+'ITI. FEUILLUS'!J50+'ITI. FEUILLUS'!J81+'ITI. FEUILLUS'!J110+'ITI. FEUILLUS'!J143+'ITI. RESINEUX'!J17)*0.475</f>
        <v>215.635122229187</v>
      </c>
      <c r="J43" s="131">
        <f>('ITI. FEUILLUS'!K23+'ITI. FEUILLUS'!K50+'ITI. FEUILLUS'!K81+'ITI. FEUILLUS'!K110+'ITI. FEUILLUS'!K143+'ITI. RESINEUX'!K17)*0.475</f>
        <v>11.158974482142858</v>
      </c>
      <c r="K43" s="131">
        <f>('ITI. FEUILLUS'!L23+'ITI. FEUILLUS'!L50+'ITI. FEUILLUS'!L81+'ITI. FEUILLUS'!L110+'ITI. FEUILLUS'!L143+'ITI. RESINEUX'!L17)*0.475</f>
        <v>117.0538118173543</v>
      </c>
      <c r="L43" s="131">
        <f>('ITI. FEUILLUS'!M23+'ITI. FEUILLUS'!M50+'ITI. FEUILLUS'!M81+'ITI. FEUILLUS'!M110+'ITI. FEUILLUS'!M143+'ITI. RESINEUX'!M17)*0.475</f>
        <v>58.520043957238833</v>
      </c>
      <c r="M43" s="131">
        <f>('ITI. FEUILLUS'!N23+'ITI. FEUILLUS'!N50+'ITI. FEUILLUS'!N81+'ITI. FEUILLUS'!N110+'ITI. FEUILLUS'!N143+'ITI. RESINEUX'!N17)*0.475</f>
        <v>66.223840933993259</v>
      </c>
      <c r="N43" s="131">
        <f>('ITI. FEUILLUS'!O23+'ITI. FEUILLUS'!O50+'ITI. FEUILLUS'!O81+'ITI. FEUILLUS'!O110+'ITI. FEUILLUS'!O143+'ITI. RESINEUX'!O17)*0.475</f>
        <v>757.75882290202571</v>
      </c>
      <c r="O43" s="131">
        <f>('ITI. FEUILLUS'!P20+'ITI. FEUILLUS'!P50+'ITI. FEUILLUS'!P81+'ITI. FEUILLUS'!P110+'ITI. FEUILLUS'!P143+'ITI. RESINEUX'!P17)*0.475</f>
        <v>52.136995046957807</v>
      </c>
      <c r="P43" s="131">
        <f>('ITI. FEUILLUS'!Q20+'ITI. FEUILLUS'!Q50+'ITI. FEUILLUS'!Q81+'ITI. FEUILLUS'!Q110+'ITI. FEUILLUS'!Q143+'ITI. RESINEUX'!Q17)*0.475</f>
        <v>117.90438240665584</v>
      </c>
      <c r="Q43" s="131">
        <f>('ITI. FEUILLUS'!R20+'ITI. FEUILLUS'!R50+'ITI. FEUILLUS'!R81+'ITI. FEUILLUS'!R108+'ITI. FEUILLUS'!R143+'ITI. RESINEUX'!R17)*0.475</f>
        <v>64.773629909153357</v>
      </c>
      <c r="R43" s="131">
        <f>('ITI. FEUILLUS'!S20+'ITI. FEUILLUS'!S50+'ITI. FEUILLUS'!S81+'ITI. FEUILLUS'!S108+'ITI. FEUILLUS'!S143+'ITI. RESINEUX'!S17)*0.475</f>
        <v>315.06785598602465</v>
      </c>
      <c r="S43" s="131">
        <f>('ITI. FEUILLUS'!T20+'ITI. FEUILLUS'!T50+'ITI. FEUILLUS'!T81+'ITI. FEUILLUS'!T108+'ITI. FEUILLUS'!T143+'ITI. RESINEUX'!T17)*0.475</f>
        <v>104.6687817416958</v>
      </c>
      <c r="T43" s="131">
        <f>('ITI. FEUILLUS'!U20+'ITI. FEUILLUS'!U50+'ITI. FEUILLUS'!U81+'ITI. FEUILLUS'!U108+'ITI. FEUILLUS'!U143+'ITI. RESINEUX'!U17)*0.475</f>
        <v>40.262916964285722</v>
      </c>
      <c r="U43" s="131">
        <f>('ITI. FEUILLUS'!V20+'ITI. FEUILLUS'!V50+'ITI. FEUILLUS'!V81+'ITI. FEUILLUS'!V108+'ITI. FEUILLUS'!V143+'ITI. RESINEUX'!V17)*0.475</f>
        <v>55.242363455294701</v>
      </c>
      <c r="V43" s="131">
        <f>('ITI. FEUILLUS'!W20+'ITI. FEUILLUS'!W50+'ITI. FEUILLUS'!W81+'ITI. FEUILLUS'!W108+'ITI. FEUILLUS'!W143+'ITI. RESINEUX'!W17)*0.475</f>
        <v>276.24642857142868</v>
      </c>
      <c r="W43" s="131">
        <f>('ITI. FEUILLUS'!X20+'ITI. FEUILLUS'!X50+'ITI. FEUILLUS'!X81+'ITI. FEUILLUS'!X108+'ITI. FEUILLUS'!X143+'ITI. RESINEUX'!X17)*0.475</f>
        <v>50.640658670656265</v>
      </c>
      <c r="X43" s="131">
        <f>('ITI. FEUILLUS'!Y20+'ITI. FEUILLUS'!Y50+'ITI. FEUILLUS'!Y81+'ITI. FEUILLUS'!Y108+'ITI. FEUILLUS'!Y143+'ITI. RESINEUX'!Y17)*0.475</f>
        <v>0</v>
      </c>
      <c r="Y43" s="131">
        <f>('ITI. FEUILLUS'!Z20+'ITI. FEUILLUS'!Z50+'ITI. FEUILLUS'!Z81+'ITI. FEUILLUS'!Z108+'ITI. FEUILLUS'!Z143+'ITI. RESINEUX'!Z17)*0.475</f>
        <v>60.123178977272723</v>
      </c>
      <c r="Z43" s="131">
        <f>('ITI. FEUILLUS'!AA20+'ITI. FEUILLUS'!AA50+'ITI. FEUILLUS'!AA81+'ITI. FEUILLUS'!AA108+'ITI. FEUILLUS'!AA143+'ITI. RESINEUX'!AA17)*0.475</f>
        <v>0</v>
      </c>
      <c r="AA43" s="131">
        <f>('ITI. FEUILLUS'!AB20+'ITI. FEUILLUS'!AB50+'ITI. FEUILLUS'!AB81+'ITI. FEUILLUS'!AB108+'ITI. FEUILLUS'!AB143+'ITI. RESINEUX'!AB17)*0.475</f>
        <v>48.066878571428575</v>
      </c>
      <c r="AB43" s="131">
        <f>('ITI. FEUILLUS'!AC20+'ITI. FEUILLUS'!AC50+'ITI. FEUILLUS'!AC81+'ITI. FEUILLUS'!AC108+'ITI. FEUILLUS'!AC143+'ITI. RESINEUX'!AC17)*0.475</f>
        <v>49.065418902625154</v>
      </c>
      <c r="AC43" s="131">
        <f>('ITI. FEUILLUS'!AD20+'ITI. FEUILLUS'!AD50+'ITI. FEUILLUS'!AD81+'ITI. FEUILLUS'!AD108+'ITI. FEUILLUS'!AD143+'ITI. RESINEUX'!AD17)*0.475</f>
        <v>0</v>
      </c>
      <c r="AD43" s="131">
        <f>('ITI. FEUILLUS'!AE20+'ITI. FEUILLUS'!AE50+'ITI. FEUILLUS'!AE81+'ITI. FEUILLUS'!AE108+'ITI. FEUILLUS'!AE143+'ITI. RESINEUX'!AE17)*0.475</f>
        <v>504.12799946928061</v>
      </c>
      <c r="AE43" s="68"/>
    </row>
    <row r="44" spans="1:32" s="51" customFormat="1" ht="48" customHeight="1">
      <c r="A44" s="64" t="s">
        <v>270</v>
      </c>
      <c r="B44" s="64">
        <f>SUM(C44:AD44)</f>
        <v>662.87096788514305</v>
      </c>
      <c r="C44" s="109">
        <f>('ITI. FEUILLUS'!D26+'ITI. FEUILLUS'!D53+'ITI. FEUILLUS'!D84+'ITI. FEUILLUS'!D113+'ITI. FEUILLUS'!D146+'ITI. RESINEUX'!D20)*0.475</f>
        <v>0</v>
      </c>
      <c r="D44" s="109">
        <f>('ITI. FEUILLUS'!E26+'ITI. FEUILLUS'!E53+'ITI. FEUILLUS'!E84+'ITI. FEUILLUS'!E113+'ITI. FEUILLUS'!E146+'ITI. RESINEUX'!E20)*0.475</f>
        <v>0</v>
      </c>
      <c r="E44" s="109">
        <f>('ITI. FEUILLUS'!F26+'ITI. FEUILLUS'!F53+'ITI. FEUILLUS'!F84+'ITI. FEUILLUS'!F113+'ITI. FEUILLUS'!F146+'ITI. RESINEUX'!F20)*0.475</f>
        <v>23.069640829148884</v>
      </c>
      <c r="F44" s="109">
        <f>('ITI. FEUILLUS'!G26+'ITI. FEUILLUS'!G53+'ITI. FEUILLUS'!G84+'ITI. FEUILLUS'!G113+'ITI. FEUILLUS'!G146+'ITI. RESINEUX'!G20)*0.475</f>
        <v>8.6808975235389614</v>
      </c>
      <c r="G44" s="109">
        <f>('ITI. FEUILLUS'!H26+'ITI. FEUILLUS'!H53+'ITI. FEUILLUS'!H84+'ITI. FEUILLUS'!H113+'ITI. FEUILLUS'!H146+'ITI. RESINEUX'!H20)*0.475</f>
        <v>56.959218125051727</v>
      </c>
      <c r="H44" s="109">
        <f>('ITI. FEUILLUS'!I26+'ITI. FEUILLUS'!I53+'ITI. FEUILLUS'!I84+'ITI. FEUILLUS'!I113+'ITI. FEUILLUS'!I146+'ITI. RESINEUX'!I20)*0.475</f>
        <v>7.0788147321428596</v>
      </c>
      <c r="I44" s="109">
        <f>('ITI. FEUILLUS'!J26+'ITI. FEUILLUS'!J53+'ITI. FEUILLUS'!J84+'ITI. FEUILLUS'!J113+'ITI. FEUILLUS'!J146+'ITI. RESINEUX'!J20)*0.475</f>
        <v>120.7491868371761</v>
      </c>
      <c r="J44" s="109">
        <f>('ITI. FEUILLUS'!K26+'ITI. FEUILLUS'!K53+'ITI. FEUILLUS'!K84+'ITI. FEUILLUS'!K113+'ITI. FEUILLUS'!K146+'ITI. RESINEUX'!K20)*0.475</f>
        <v>7.8112821374999992</v>
      </c>
      <c r="K44" s="109">
        <f>('ITI. FEUILLUS'!L26+'ITI. FEUILLUS'!L53+'ITI. FEUILLUS'!L84+'ITI. FEUILLUS'!L113+'ITI. FEUILLUS'!L146+'ITI. RESINEUX'!L20)*0.475</f>
        <v>70.391125673434445</v>
      </c>
      <c r="L44" s="109">
        <f>('ITI. FEUILLUS'!M26+'ITI. FEUILLUS'!M53+'ITI. FEUILLUS'!M84+'ITI. FEUILLUS'!M113+'ITI. FEUILLUS'!M146+'ITI. RESINEUX'!M20)*0.475</f>
        <v>36.158275327494685</v>
      </c>
      <c r="M44" s="109">
        <f>('ITI. FEUILLUS'!N26+'ITI. FEUILLUS'!N53+'ITI. FEUILLUS'!N84+'ITI. FEUILLUS'!N113+'ITI. FEUILLUS'!N146+'ITI. RESINEUX'!N20)*0.475</f>
        <v>5.0086537078369497</v>
      </c>
      <c r="N44" s="109">
        <f>('ITI. FEUILLUS'!O26+'ITI. FEUILLUS'!O53+'ITI. FEUILLUS'!O84+'ITI. FEUILLUS'!O113+'ITI. FEUILLUS'!O146+'ITI. RESINEUX'!O20)*0.475</f>
        <v>56.226051096511519</v>
      </c>
      <c r="O44" s="109">
        <f>('ITI. FEUILLUS'!P23+'ITI. FEUILLUS'!P53+'ITI. FEUILLUS'!P84+'ITI. FEUILLUS'!P113+'ITI. FEUILLUS'!P146+'ITI. RESINEUX'!P20)*0.475</f>
        <v>0</v>
      </c>
      <c r="P44" s="109">
        <f>('ITI. FEUILLUS'!Q23+'ITI. FEUILLUS'!Q53+'ITI. FEUILLUS'!Q84+'ITI. FEUILLUS'!Q113+'ITI. FEUILLUS'!Q146+'ITI. RESINEUX'!Q20)*0.475</f>
        <v>31.918234364853898</v>
      </c>
      <c r="Q44" s="109">
        <f>('ITI. FEUILLUS'!R23+'ITI. FEUILLUS'!R53+'ITI. FEUILLUS'!R84+'ITI. FEUILLUS'!R111+'ITI. FEUILLUS'!R146+'ITI. RESINEUX'!R20)*0.475</f>
        <v>16.790482499531723</v>
      </c>
      <c r="R44" s="109">
        <f>('ITI. FEUILLUS'!S23+'ITI. FEUILLUS'!S53+'ITI. FEUILLUS'!S84+'ITI. FEUILLUS'!S111+'ITI. FEUILLUS'!S146+'ITI. RESINEUX'!S20)*0.475</f>
        <v>0</v>
      </c>
      <c r="S44" s="109">
        <f>('ITI. FEUILLUS'!T23+'ITI. FEUILLUS'!T53+'ITI. FEUILLUS'!T84+'ITI. FEUILLUS'!T111+'ITI. FEUILLUS'!T146+'ITI. RESINEUX'!T20)*0.475</f>
        <v>31.400634522508739</v>
      </c>
      <c r="T44" s="109">
        <f>('ITI. FEUILLUS'!U23+'ITI. FEUILLUS'!U53+'ITI. FEUILLUS'!U84+'ITI. FEUILLUS'!U111+'ITI. FEUILLUS'!U146+'ITI. RESINEUX'!U20)*0.475</f>
        <v>4.0262916964285731</v>
      </c>
      <c r="U44" s="109">
        <f>('ITI. FEUILLUS'!V23+'ITI. FEUILLUS'!V53+'ITI. FEUILLUS'!V84+'ITI. FEUILLUS'!V111+'ITI. FEUILLUS'!V146+'ITI. RESINEUX'!V20)*0.475</f>
        <v>16.57270903658841</v>
      </c>
      <c r="V44" s="109">
        <f>('ITI. FEUILLUS'!W23+'ITI. FEUILLUS'!W53+'ITI. FEUILLUS'!W84+'ITI. FEUILLUS'!W111+'ITI. FEUILLUS'!W146+'ITI. RESINEUX'!W20)*0.475</f>
        <v>27.624642857142867</v>
      </c>
      <c r="W44" s="109">
        <f>('ITI. FEUILLUS'!X23+'ITI. FEUILLUS'!X53+'ITI. FEUILLUS'!X84+'ITI. FEUILLUS'!X111+'ITI. FEUILLUS'!X146+'ITI. RESINEUX'!X20)*0.475</f>
        <v>10.128131734131253</v>
      </c>
      <c r="X44" s="109">
        <f>('ITI. FEUILLUS'!Y23+'ITI. FEUILLUS'!Y53+'ITI. FEUILLUS'!Y84+'ITI. FEUILLUS'!Y111+'ITI. FEUILLUS'!Y146+'ITI. RESINEUX'!Y20)*0.475</f>
        <v>0</v>
      </c>
      <c r="Y44" s="109">
        <f>('ITI. FEUILLUS'!Z23+'ITI. FEUILLUS'!Z53+'ITI. FEUILLUS'!Z84+'ITI. FEUILLUS'!Z111+'ITI. FEUILLUS'!Z146+'ITI. RESINEUX'!Z20)*0.475</f>
        <v>12.024635795454545</v>
      </c>
      <c r="Z44" s="109">
        <f>('ITI. FEUILLUS'!AA23+'ITI. FEUILLUS'!AA53+'ITI. FEUILLUS'!AA84+'ITI. FEUILLUS'!AA111+'ITI. FEUILLUS'!AA146+'ITI. RESINEUX'!AA20)*0.475</f>
        <v>0</v>
      </c>
      <c r="AA44" s="109">
        <f>('ITI. FEUILLUS'!AB23+'ITI. FEUILLUS'!AB53+'ITI. FEUILLUS'!AB84+'ITI. FEUILLUS'!AB111+'ITI. FEUILLUS'!AB146+'ITI. RESINEUX'!AB20)*0.475</f>
        <v>9.6133757142857164</v>
      </c>
      <c r="AB44" s="109">
        <f>('ITI. FEUILLUS'!AC23+'ITI. FEUILLUS'!AC53+'ITI. FEUILLUS'!AC84+'ITI. FEUILLUS'!AC111+'ITI. FEUILLUS'!AC146+'ITI. RESINEUX'!AC20)*0.475</f>
        <v>9.8130837805250302</v>
      </c>
      <c r="AC44" s="109">
        <f>('ITI. FEUILLUS'!AD23+'ITI. FEUILLUS'!AD53+'ITI. FEUILLUS'!AD84+'ITI. FEUILLUS'!AD111+'ITI. FEUILLUS'!AD146+'ITI. RESINEUX'!AD20)*0.475</f>
        <v>0</v>
      </c>
      <c r="AD44" s="109">
        <f>('ITI. FEUILLUS'!AE23+'ITI. FEUILLUS'!AE53+'ITI. FEUILLUS'!AE84+'ITI. FEUILLUS'!AE111+'ITI. FEUILLUS'!AE146+'ITI. RESINEUX'!AE20)*0.475</f>
        <v>100.82559989385612</v>
      </c>
    </row>
    <row r="45" spans="1:32" s="60" customFormat="1" ht="48" customHeight="1">
      <c r="A45" s="65" t="s">
        <v>277</v>
      </c>
      <c r="B45" s="65">
        <v>0</v>
      </c>
      <c r="C45" s="110">
        <v>0</v>
      </c>
      <c r="D45" s="110">
        <v>0</v>
      </c>
      <c r="E45" s="110">
        <v>0</v>
      </c>
      <c r="F45" s="110">
        <v>0</v>
      </c>
      <c r="G45" s="110">
        <v>0</v>
      </c>
      <c r="H45" s="110">
        <v>0</v>
      </c>
      <c r="I45" s="110">
        <v>0</v>
      </c>
      <c r="J45" s="110">
        <v>0</v>
      </c>
      <c r="K45" s="110">
        <v>0</v>
      </c>
      <c r="L45" s="110">
        <v>0</v>
      </c>
      <c r="M45" s="110">
        <v>0</v>
      </c>
      <c r="N45" s="110">
        <v>0</v>
      </c>
      <c r="O45" s="110">
        <v>0</v>
      </c>
      <c r="P45" s="110">
        <v>0</v>
      </c>
      <c r="Q45" s="110">
        <v>0</v>
      </c>
      <c r="R45" s="110">
        <v>0</v>
      </c>
      <c r="S45" s="110">
        <v>0</v>
      </c>
      <c r="T45" s="110">
        <v>0</v>
      </c>
      <c r="U45" s="110">
        <v>0</v>
      </c>
      <c r="V45" s="110">
        <v>0</v>
      </c>
      <c r="W45" s="110">
        <v>0</v>
      </c>
      <c r="X45" s="110">
        <v>0</v>
      </c>
      <c r="Y45" s="110">
        <v>0</v>
      </c>
      <c r="Z45" s="110">
        <v>0</v>
      </c>
      <c r="AA45" s="110">
        <v>0</v>
      </c>
      <c r="AB45" s="110">
        <v>0</v>
      </c>
      <c r="AC45" s="110">
        <v>0</v>
      </c>
      <c r="AD45" s="110">
        <v>0</v>
      </c>
    </row>
    <row r="46" spans="1:32" s="60" customFormat="1" ht="48" customHeight="1">
      <c r="A46" s="65" t="s">
        <v>278</v>
      </c>
      <c r="B46" s="65">
        <f>SUM(C46:H46)</f>
        <v>50.415037478885495</v>
      </c>
      <c r="C46" s="110">
        <f>(0.25*(C44/0.475))-'REF BOIS.'!C30</f>
        <v>0</v>
      </c>
      <c r="D46" s="110">
        <f>(0.25*(D44/0.475))-'REF BOIS.'!D30</f>
        <v>0</v>
      </c>
      <c r="E46" s="110">
        <f>(0.25*(E44/0.475))-'REF BOIS.'!E30</f>
        <v>12.141916225867835</v>
      </c>
      <c r="F46" s="110">
        <f>(0.25*(F44/0.475))-'REF BOIS.'!F30</f>
        <v>4.5688934334415592</v>
      </c>
      <c r="G46" s="110">
        <f>(0.25*(G44/0.475))-'REF BOIS.'!G30</f>
        <v>29.978535855290385</v>
      </c>
      <c r="H46" s="110">
        <f>(0.25*(H44/0.475))-'REF BOIS.'!H30</f>
        <v>3.7256919642857156</v>
      </c>
      <c r="I46" s="110">
        <f>(0.25*(I44/0.475))-'REF BOIS.'!I30</f>
        <v>63.552203598513735</v>
      </c>
      <c r="J46" s="110">
        <f>(0.25*(J44/0.475))-'REF BOIS.'!J30</f>
        <v>4.111201125</v>
      </c>
      <c r="K46" s="110">
        <f>(0.25*(K44/0.475))-'REF BOIS.'!K30</f>
        <v>37.047960880754971</v>
      </c>
      <c r="L46" s="110">
        <f>(0.25*(L44/0.475))-'REF BOIS.'!L30</f>
        <v>19.030671224997203</v>
      </c>
      <c r="M46" s="110">
        <f>(0.25*(M44/0.475))-'REF BOIS.'!M30</f>
        <v>2.6361335304405</v>
      </c>
      <c r="N46" s="110">
        <f>(0.25*(N44/0.475))-'REF BOIS.'!N30</f>
        <v>29.592658471848168</v>
      </c>
      <c r="O46" s="110">
        <f>(0.25*(O44/0.475))-'REF BOIS.'!O30</f>
        <v>0</v>
      </c>
      <c r="P46" s="110">
        <f>(0.25*(P44/0.475))-'REF BOIS.'!P30</f>
        <v>16.799070718344158</v>
      </c>
      <c r="Q46" s="110">
        <f>(0.25*(Q44/0.475))-'REF BOIS.'!Q30</f>
        <v>8.8370960523851174</v>
      </c>
      <c r="R46" s="110">
        <f>(0.25*(R44/0.475))-'REF BOIS.'!R30</f>
        <v>0</v>
      </c>
      <c r="S46" s="110">
        <f>(0.25*(S44/0.475))-'REF BOIS.'!S30</f>
        <v>16.526649748688811</v>
      </c>
      <c r="T46" s="110">
        <f>(0.25*(T44/0.475))-'REF BOIS.'!T30</f>
        <v>2.1191008928571438</v>
      </c>
      <c r="U46" s="110">
        <f>(0.25*(U44/0.475))-'REF BOIS.'!U30</f>
        <v>8.7224784403096898</v>
      </c>
      <c r="V46" s="110">
        <f>(0.25*(V44/0.475))-'REF BOIS.'!V30</f>
        <v>14.53928571428572</v>
      </c>
      <c r="W46" s="110">
        <f>(0.25*(W44/0.475))-'REF BOIS.'!W30</f>
        <v>5.3305956495427651</v>
      </c>
      <c r="X46" s="110">
        <f>(0.25*(X44/0.475))-'REF BOIS.'!X30</f>
        <v>0</v>
      </c>
      <c r="Y46" s="110">
        <f>(0.25*(Y44/0.475))-'REF BOIS.'!Y30</f>
        <v>6.3287556818181816</v>
      </c>
      <c r="Z46" s="110">
        <f>(0.25*(Z44/0.475))-'REF BOIS.'!Z30</f>
        <v>0</v>
      </c>
      <c r="AA46" s="110">
        <f>(0.25*(AA44/0.475))-'REF BOIS.'!AA30</f>
        <v>5.0596714285714297</v>
      </c>
      <c r="AB46" s="110">
        <f>(0.25*(AB44/0.475))-'REF BOIS.'!AB30</f>
        <v>5.1647809371184374</v>
      </c>
      <c r="AC46" s="110">
        <f>(0.25*(AC44/0.475))-'REF BOIS.'!AC30</f>
        <v>0</v>
      </c>
      <c r="AD46" s="110">
        <f>(0.25*(AD44/0.475))-'REF BOIS.'!AD30</f>
        <v>53.066105207292701</v>
      </c>
    </row>
    <row r="47" spans="1:32" s="51" customFormat="1" ht="48" customHeight="1">
      <c r="A47" s="64" t="s">
        <v>241</v>
      </c>
      <c r="B47" s="64">
        <f>SUM(C47:H47)</f>
        <v>11.958703707305194</v>
      </c>
      <c r="C47" s="109">
        <f>('ITI. FEUILLUS'!D28+'ITI. FEUILLUS'!D148+'ITI. FEUILLUS'!D86+'ITI. FEUILLUS'!D55+'ITI. RESINEUX'!D22+'ITI. FEUILLUS'!D115)*0.475</f>
        <v>0</v>
      </c>
      <c r="D47" s="109">
        <f>('ITI. FEUILLUS'!E28+'ITI. FEUILLUS'!E148+'ITI. FEUILLUS'!E86+'ITI. FEUILLUS'!E55+'ITI. RESINEUX'!E22+'ITI. FEUILLUS'!E115)*0.475</f>
        <v>0</v>
      </c>
      <c r="E47" s="109">
        <f>('ITI. FEUILLUS'!F28+'ITI. FEUILLUS'!F148+'ITI. FEUILLUS'!F86+'ITI. FEUILLUS'!F55+'ITI. RESINEUX'!F22+'ITI. FEUILLUS'!F115)*0.475</f>
        <v>0</v>
      </c>
      <c r="F47" s="109">
        <f>('ITI. FEUILLUS'!G28+'ITI. FEUILLUS'!G148+'ITI. FEUILLUS'!G86+'ITI. FEUILLUS'!G55+'ITI. RESINEUX'!G22+'ITI. FEUILLUS'!G115)*0.475</f>
        <v>0</v>
      </c>
      <c r="G47" s="109">
        <f>('ITI. FEUILLUS'!H28+'ITI. FEUILLUS'!H148+'ITI. FEUILLUS'!H86+'ITI. FEUILLUS'!H55+'ITI. RESINEUX'!H22+'ITI. FEUILLUS'!H115)*0.475</f>
        <v>0</v>
      </c>
      <c r="H47" s="109">
        <f>('ITI. FEUILLUS'!I28+'ITI. FEUILLUS'!I148+'ITI. FEUILLUS'!I86+'ITI. FEUILLUS'!I55+'ITI. RESINEUX'!I22+'ITI. FEUILLUS'!I115)*0.475</f>
        <v>11.958703707305194</v>
      </c>
      <c r="I47" s="109">
        <f>('ITI. FEUILLUS'!J28+'ITI. FEUILLUS'!J148+'ITI. FEUILLUS'!J86+'ITI. FEUILLUS'!J55+'ITI. RESINEUX'!J22+'ITI. FEUILLUS'!J115)*0.475</f>
        <v>26.333010135547021</v>
      </c>
      <c r="J47" s="109">
        <f>('ITI. FEUILLUS'!K28+'ITI. FEUILLUS'!K148+'ITI. FEUILLUS'!K86+'ITI. FEUILLUS'!K55+'ITI. RESINEUX'!K22+'ITI. FEUILLUS'!K115)*0.475</f>
        <v>3.3476923446428573</v>
      </c>
      <c r="K47" s="109">
        <f>('ITI. FEUILLUS'!L28+'ITI. FEUILLUS'!L148+'ITI. FEUILLUS'!L86+'ITI. FEUILLUS'!L55+'ITI. RESINEUX'!L22+'ITI. FEUILLUS'!L115)*0.475</f>
        <v>22.821663838921996</v>
      </c>
      <c r="L47" s="109">
        <f>('ITI. FEUILLUS'!M28+'ITI. FEUILLUS'!M148+'ITI. FEUILLUS'!M86+'ITI. FEUILLUS'!M55+'ITI. RESINEUX'!M22+'ITI. FEUILLUS'!M115)*0.475</f>
        <v>14.352176225456651</v>
      </c>
      <c r="M47" s="109">
        <f>('ITI. FEUILLUS'!N28+'ITI. FEUILLUS'!N148+'ITI. FEUILLUS'!N86+'ITI. FEUILLUS'!N55+'ITI. RESINEUX'!N22+'ITI. FEUILLUS'!N115)*0.475</f>
        <v>1.6695512359456501</v>
      </c>
      <c r="N47" s="109">
        <f>('ITI. FEUILLUS'!O28+'ITI. FEUILLUS'!O148+'ITI. FEUILLUS'!O86+'ITI. FEUILLUS'!O55+'ITI. RESINEUX'!O22+'ITI. FEUILLUS'!O115)*0.475</f>
        <v>36.108465369096173</v>
      </c>
      <c r="O47" s="109">
        <f>('ITI. FEUILLUS'!P25+'ITI. FEUILLUS'!P148+'ITI. FEUILLUS'!P86+'ITI. FEUILLUS'!P55+'ITI. RESINEUX'!P22+'ITI. FEUILLUS'!P115)*0.475</f>
        <v>0</v>
      </c>
      <c r="P47" s="109">
        <f>('ITI. FEUILLUS'!Q25+'ITI. FEUILLUS'!Q148+'ITI. FEUILLUS'!Q86+'ITI. FEUILLUS'!Q55+'ITI. RESINEUX'!Q22+'ITI. FEUILLUS'!Q115)*0.475</f>
        <v>0</v>
      </c>
      <c r="Q47" s="109">
        <f>('ITI. FEUILLUS'!R25+'ITI. FEUILLUS'!R148+'ITI. FEUILLUS'!R86+'ITI. FEUILLUS'!R55+'ITI. RESINEUX'!R22+'ITI. FEUILLUS'!R114)*0.475</f>
        <v>2.6416064732142868</v>
      </c>
      <c r="R47" s="109">
        <f>('ITI. FEUILLUS'!S25+'ITI. FEUILLUS'!S148+'ITI. FEUILLUS'!S86+'ITI. FEUILLUS'!S55+'ITI. RESINEUX'!S22+'ITI. FEUILLUS'!S114)*0.475</f>
        <v>0</v>
      </c>
      <c r="S47" s="109">
        <f>('ITI. FEUILLUS'!T25+'ITI. FEUILLUS'!T148+'ITI. FEUILLUS'!T86+'ITI. FEUILLUS'!T55+'ITI. RESINEUX'!T22+'ITI. FEUILLUS'!T114)*0.475</f>
        <v>4.0401040178571437</v>
      </c>
      <c r="T47" s="109">
        <f>('ITI. FEUILLUS'!U25+'ITI. FEUILLUS'!U148+'ITI. FEUILLUS'!U86+'ITI. FEUILLUS'!U55+'ITI. RESINEUX'!U22+'ITI. FEUILLUS'!U114)*0.475</f>
        <v>0</v>
      </c>
      <c r="U47" s="109">
        <f>('ITI. FEUILLUS'!V25+'ITI. FEUILLUS'!V148+'ITI. FEUILLUS'!V86+'ITI. FEUILLUS'!V55+'ITI. RESINEUX'!V22+'ITI. FEUILLUS'!V114)*0.475</f>
        <v>0</v>
      </c>
      <c r="V47" s="109">
        <f>('ITI. FEUILLUS'!W25+'ITI. FEUILLUS'!W148+'ITI. FEUILLUS'!W86+'ITI. FEUILLUS'!W55+'ITI. RESINEUX'!W22+'ITI. FEUILLUS'!W114)*0.475</f>
        <v>0</v>
      </c>
      <c r="W47" s="109">
        <f>('ITI. FEUILLUS'!X25+'ITI. FEUILLUS'!X148+'ITI. FEUILLUS'!X86+'ITI. FEUILLUS'!X55+'ITI. RESINEUX'!X22+'ITI. FEUILLUS'!X114)*0.475</f>
        <v>0</v>
      </c>
      <c r="X47" s="109">
        <f>('ITI. FEUILLUS'!Y25+'ITI. FEUILLUS'!Y148+'ITI. FEUILLUS'!Y86+'ITI. FEUILLUS'!Y55+'ITI. RESINEUX'!Y22+'ITI. FEUILLUS'!Y114)*0.475</f>
        <v>0</v>
      </c>
      <c r="Y47" s="109">
        <f>('ITI. FEUILLUS'!Z25+'ITI. FEUILLUS'!Z148+'ITI. FEUILLUS'!Z86+'ITI. FEUILLUS'!Z55+'ITI. RESINEUX'!Z22+'ITI. FEUILLUS'!Z114)*0.475</f>
        <v>0</v>
      </c>
      <c r="Z47" s="109">
        <f>('ITI. FEUILLUS'!AA25+'ITI. FEUILLUS'!AA148+'ITI. FEUILLUS'!AA86+'ITI. FEUILLUS'!AA55+'ITI. RESINEUX'!AA22+'ITI. FEUILLUS'!AA114)*0.475</f>
        <v>0</v>
      </c>
      <c r="AA47" s="109">
        <f>('ITI. FEUILLUS'!AB25+'ITI. FEUILLUS'!AB148+'ITI. FEUILLUS'!AB86+'ITI. FEUILLUS'!AB55+'ITI. RESINEUX'!AB22+'ITI. FEUILLUS'!AB114)*0.475</f>
        <v>0</v>
      </c>
      <c r="AB47" s="109">
        <f>('ITI. FEUILLUS'!AC25+'ITI. FEUILLUS'!AC148+'ITI. FEUILLUS'!AC86+'ITI. FEUILLUS'!AC55+'ITI. RESINEUX'!AC22+'ITI. FEUILLUS'!AC114)*0.475</f>
        <v>0</v>
      </c>
      <c r="AC47" s="109">
        <f>('ITI. FEUILLUS'!AD25+'ITI. FEUILLUS'!AD148+'ITI. FEUILLUS'!AD86+'ITI. FEUILLUS'!AD55+'ITI. RESINEUX'!AD22+'ITI. FEUILLUS'!AD114)*0.475</f>
        <v>0</v>
      </c>
      <c r="AD47" s="109">
        <f>('ITI. FEUILLUS'!AE25+'ITI. FEUILLUS'!AE148+'ITI. FEUILLUS'!AE86+'ITI. FEUILLUS'!AE55+'ITI. RESINEUX'!AE22+'ITI. FEUILLUS'!AE114)*0.475</f>
        <v>0</v>
      </c>
    </row>
    <row r="48" spans="1:32" s="60" customFormat="1" ht="48" customHeight="1">
      <c r="A48" s="65" t="s">
        <v>271</v>
      </c>
      <c r="B48" s="65">
        <f>H48</f>
        <v>11.958703707305194</v>
      </c>
      <c r="C48" s="110">
        <v>0</v>
      </c>
      <c r="D48" s="110">
        <f>D47+((EXP(-(LN(2))/2))*C48)+(((1-(EXP(-(LN(2))/2)))/2)*C47)</f>
        <v>0</v>
      </c>
      <c r="E48" s="110">
        <f t="shared" ref="E48:AD48" si="23">E47+((EXP(-(LN(2))/2))*D48)+(((1-(EXP(-(LN(2))/2)))/2)*D47)</f>
        <v>0</v>
      </c>
      <c r="F48" s="110">
        <f t="shared" si="23"/>
        <v>0</v>
      </c>
      <c r="G48" s="110">
        <f t="shared" si="23"/>
        <v>0</v>
      </c>
      <c r="H48" s="110">
        <f t="shared" si="23"/>
        <v>11.958703707305194</v>
      </c>
      <c r="I48" s="110">
        <f>I47+((EXP(-(LN(2))/2))*H48)+(((1-(EXP(-(LN(2))/2)))/2)*H47)</f>
        <v>36.540402232017719</v>
      </c>
      <c r="J48" s="110">
        <f t="shared" si="23"/>
        <v>33.042038600010464</v>
      </c>
      <c r="K48" s="110">
        <f>K47+((EXP(-(LN(2))/2))*J48)+(((1-(EXP(-(LN(2))/2)))/2)*J47)</f>
        <v>46.676171590426847</v>
      </c>
      <c r="L48" s="110">
        <f t="shared" si="23"/>
        <v>50.699368967104576</v>
      </c>
      <c r="M48" s="110">
        <f t="shared" si="23"/>
        <v>39.62124638029006</v>
      </c>
      <c r="N48" s="110">
        <f t="shared" si="23"/>
        <v>64.369417481397278</v>
      </c>
      <c r="O48" s="110">
        <f t="shared" si="23"/>
        <v>50.804013926308244</v>
      </c>
      <c r="P48" s="110">
        <f t="shared" si="23"/>
        <v>35.92386275878836</v>
      </c>
      <c r="Q48" s="110">
        <f t="shared" si="23"/>
        <v>28.04361343636841</v>
      </c>
      <c r="R48" s="110">
        <f t="shared" si="23"/>
        <v>20.216683541219378</v>
      </c>
      <c r="S48" s="110">
        <f>S47+((EXP(-(LN(2))/2))*R48)+(((1-(EXP(-(LN(2))/2)))/2)*R47)</f>
        <v>18.335458042955832</v>
      </c>
      <c r="T48" s="110">
        <f t="shared" si="23"/>
        <v>13.556786253401164</v>
      </c>
      <c r="U48" s="110">
        <f t="shared" si="23"/>
        <v>9.5860954908765326</v>
      </c>
      <c r="V48" s="110">
        <f t="shared" si="23"/>
        <v>6.7783931267005828</v>
      </c>
      <c r="W48" s="110">
        <f t="shared" si="23"/>
        <v>4.7930477454382672</v>
      </c>
      <c r="X48" s="110">
        <f t="shared" si="23"/>
        <v>3.3891965633502918</v>
      </c>
      <c r="Y48" s="110">
        <f t="shared" si="23"/>
        <v>2.396523872719134</v>
      </c>
      <c r="Z48" s="110">
        <f t="shared" si="23"/>
        <v>1.6945982816751464</v>
      </c>
      <c r="AA48" s="110">
        <f t="shared" si="23"/>
        <v>1.1982619363595672</v>
      </c>
      <c r="AB48" s="110">
        <f t="shared" si="23"/>
        <v>0.84729914083757329</v>
      </c>
      <c r="AC48" s="110">
        <f t="shared" si="23"/>
        <v>0.59913096817978373</v>
      </c>
      <c r="AD48" s="110">
        <f t="shared" si="23"/>
        <v>0.4236495704187867</v>
      </c>
    </row>
    <row r="49" spans="1:33" s="60" customFormat="1" ht="48" customHeight="1">
      <c r="A49" s="65" t="s">
        <v>278</v>
      </c>
      <c r="B49" s="65">
        <f>SUM(C49:H49)</f>
        <v>0</v>
      </c>
      <c r="C49" s="110">
        <f>(0*(C47/0.475))-'REF BOIS.'!C34</f>
        <v>0</v>
      </c>
      <c r="D49" s="110">
        <f>(0*(D47/0.475))-'REF BOIS.'!D34</f>
        <v>0</v>
      </c>
      <c r="E49" s="110">
        <f>(0*(E47/0.475))-'REF BOIS.'!E34</f>
        <v>0</v>
      </c>
      <c r="F49" s="110">
        <f>(0*(F47/0.475))-'REF BOIS.'!F34</f>
        <v>0</v>
      </c>
      <c r="G49" s="110">
        <f>(0*(G47/0.475))-'REF BOIS.'!G34</f>
        <v>0</v>
      </c>
      <c r="H49" s="110">
        <f>(0*(H47/0.475))-'REF BOIS.'!H34</f>
        <v>0</v>
      </c>
      <c r="I49" s="110">
        <f>(0*(I47/0.475))-'REF BOIS.'!I34</f>
        <v>0</v>
      </c>
      <c r="J49" s="110">
        <f>(0*(J47/0.475))-'REF BOIS.'!J34</f>
        <v>0</v>
      </c>
      <c r="K49" s="110">
        <f>(0*(K47/0.475))-'REF BOIS.'!K34</f>
        <v>0</v>
      </c>
      <c r="L49" s="110">
        <f>(0*(L47/0.475))-'REF BOIS.'!L34</f>
        <v>0</v>
      </c>
      <c r="M49" s="110">
        <f>(0*(M47/0.475))-'REF BOIS.'!M34</f>
        <v>0</v>
      </c>
      <c r="N49" s="110">
        <f>(0*(N47/0.475))-'REF BOIS.'!N34</f>
        <v>0</v>
      </c>
      <c r="O49" s="110">
        <f>(0*(O47/0.475))-'REF BOIS.'!O34</f>
        <v>0</v>
      </c>
      <c r="P49" s="110">
        <f>(0*(P47/0.475))-'REF BOIS.'!P34</f>
        <v>0</v>
      </c>
      <c r="Q49" s="110">
        <f>(0*(Q47/0.475))-'REF BOIS.'!Q34</f>
        <v>0</v>
      </c>
      <c r="R49" s="110">
        <f>(0*(R47/0.475))-'REF BOIS.'!R34</f>
        <v>0</v>
      </c>
      <c r="S49" s="110">
        <f>(0*(S47/0.475))-'REF BOIS.'!S34</f>
        <v>0</v>
      </c>
      <c r="T49" s="110">
        <f>(0*(T47/0.475))-'REF BOIS.'!T34</f>
        <v>0</v>
      </c>
      <c r="U49" s="110">
        <f>(0*(U47/0.475))-'REF BOIS.'!U34</f>
        <v>0</v>
      </c>
      <c r="V49" s="110">
        <f>(0*(V47/0.475))-'REF BOIS.'!V34</f>
        <v>0</v>
      </c>
      <c r="W49" s="110">
        <f>(0*(W47/0.475))-'REF BOIS.'!W34</f>
        <v>0</v>
      </c>
      <c r="X49" s="110">
        <f>(0*(X47/0.475))-'REF BOIS.'!X34</f>
        <v>0</v>
      </c>
      <c r="Y49" s="110">
        <f>(0*(Y47/0.475))-'REF BOIS.'!Y34</f>
        <v>0</v>
      </c>
      <c r="Z49" s="110">
        <f>(0*(Z47/0.475))-'REF BOIS.'!Z34</f>
        <v>0</v>
      </c>
      <c r="AA49" s="110">
        <f>(0*(AA47/0.475))-'REF BOIS.'!AA34</f>
        <v>0</v>
      </c>
      <c r="AB49" s="110">
        <f>(0*(AB47/0.475))-'REF BOIS.'!AB34</f>
        <v>0</v>
      </c>
      <c r="AC49" s="110">
        <f>(0*(AC47/0.475))-'REF BOIS.'!AC34</f>
        <v>0</v>
      </c>
      <c r="AD49" s="110">
        <f>(0*(AD47/0.475))-'REF BOIS.'!AD34</f>
        <v>0</v>
      </c>
    </row>
    <row r="50" spans="1:33" s="51" customFormat="1" ht="48" customHeight="1">
      <c r="A50" s="64" t="s">
        <v>444</v>
      </c>
      <c r="B50" s="64">
        <f>SUM(C50:H50)</f>
        <v>93.360143765007862</v>
      </c>
      <c r="C50" s="109">
        <f>('ITI. FEUILLUS'!D30+'ITI. FEUILLUS'!D57+'ITI. FEUILLUS'!D88+'ITI. FEUILLUS'!D117+'ITI. FEUILLUS'!D150+'ITI. RESINEUX'!D24)*0.475</f>
        <v>0</v>
      </c>
      <c r="D50" s="109">
        <f>('ITI. FEUILLUS'!E30+'ITI. FEUILLUS'!E57+'ITI. FEUILLUS'!E88+'ITI. FEUILLUS'!E117+'ITI. FEUILLUS'!E150+'ITI. RESINEUX'!E24)*0.475</f>
        <v>0</v>
      </c>
      <c r="E50" s="109">
        <f>('ITI. FEUILLUS'!F30+'ITI. FEUILLUS'!F57+'ITI. FEUILLUS'!F88+'ITI. FEUILLUS'!F117+'ITI. FEUILLUS'!F150+'ITI. RESINEUX'!F24)*0.475</f>
        <v>0</v>
      </c>
      <c r="F50" s="109">
        <f>('ITI. FEUILLUS'!G30+'ITI. FEUILLUS'!G57+'ITI. FEUILLUS'!G88+'ITI. FEUILLUS'!G117+'ITI. FEUILLUS'!G150+'ITI. RESINEUX'!G24)*0.475</f>
        <v>15.269430833519566</v>
      </c>
      <c r="G50" s="109">
        <f>('ITI. FEUILLUS'!H30+'ITI. FEUILLUS'!H57+'ITI. FEUILLUS'!H88+'ITI. FEUILLUS'!H117+'ITI. FEUILLUS'!H150+'ITI. RESINEUX'!H24)*0.475</f>
        <v>52.270889539000734</v>
      </c>
      <c r="H50" s="109">
        <f>('ITI. FEUILLUS'!I30+'ITI. FEUILLUS'!I57+'ITI. FEUILLUS'!I88+'ITI. FEUILLUS'!I117+'ITI. FEUILLUS'!I150+'ITI. RESINEUX'!I24)*0.475</f>
        <v>25.819823392487567</v>
      </c>
      <c r="I50" s="109">
        <f>('ITI. FEUILLUS'!J30+'ITI. FEUILLUS'!J57+'ITI. FEUILLUS'!J88+'ITI. FEUILLUS'!J117+'ITI. FEUILLUS'!J150+'ITI. RESINEUX'!J24)*0.475</f>
        <v>20.975203998494472</v>
      </c>
      <c r="J50" s="109">
        <f>('ITI. FEUILLUS'!K30+'ITI. FEUILLUS'!K57+'ITI. FEUILLUS'!K88+'ITI. FEUILLUS'!K117+'ITI. FEUILLUS'!K150+'ITI. RESINEUX'!K24)*0.475</f>
        <v>0</v>
      </c>
      <c r="K50" s="109">
        <f>('ITI. FEUILLUS'!L30+'ITI. FEUILLUS'!L57+'ITI. FEUILLUS'!L88+'ITI. FEUILLUS'!L117+'ITI. FEUILLUS'!L150+'ITI. RESINEUX'!L24)*0.475</f>
        <v>18.441719559426449</v>
      </c>
      <c r="L50" s="109">
        <f>('ITI. FEUILLUS'!M30+'ITI. FEUILLUS'!M57+'ITI. FEUILLUS'!M88+'ITI. FEUILLUS'!M117+'ITI. FEUILLUS'!M150+'ITI. RESINEUX'!M24)*0.475</f>
        <v>8.0095924042875009</v>
      </c>
      <c r="M50" s="109">
        <f>('ITI. FEUILLUS'!N30+'ITI. FEUILLUS'!N57+'ITI. FEUILLUS'!N88+'ITI. FEUILLUS'!N117+'ITI. FEUILLUS'!N150+'ITI. RESINEUX'!N24)*0.475</f>
        <v>29.828638845488605</v>
      </c>
      <c r="N50" s="109">
        <f>('ITI. FEUILLUS'!O30+'ITI. FEUILLUS'!O57+'ITI. FEUILLUS'!O88+'ITI. FEUILLUS'!O117+'ITI. FEUILLUS'!O150+'ITI. RESINEUX'!O24)*0.475</f>
        <v>145.59296492324859</v>
      </c>
      <c r="O50" s="109">
        <f>('ITI. FEUILLUS'!P27+'ITI. FEUILLUS'!P57+'ITI. FEUILLUS'!P88+'ITI. FEUILLUS'!P117+'ITI. FEUILLUS'!P150+'ITI. RESINEUX'!P24)*0.475</f>
        <v>10.427399009391563</v>
      </c>
      <c r="P50" s="109">
        <f>('ITI. FEUILLUS'!Q27+'ITI. FEUILLUS'!Q57+'ITI. FEUILLUS'!Q88+'ITI. FEUILLUS'!Q117+'ITI. FEUILLUS'!Q150+'ITI. RESINEUX'!Q24)*0.475</f>
        <v>52.636716507711043</v>
      </c>
      <c r="Q50" s="109">
        <f>('ITI. FEUILLUS'!R27+'ITI. FEUILLUS'!R57+'ITI. FEUILLUS'!R88+'ITI. FEUILLUS'!R116+'ITI. FEUILLUS'!R150+'ITI. RESINEUX'!R24)*0.475</f>
        <v>29.998514865603152</v>
      </c>
      <c r="R50" s="109">
        <f>('ITI. FEUILLUS'!S27+'ITI. FEUILLUS'!S57+'ITI. FEUILLUS'!S88+'ITI. FEUILLUS'!S116+'ITI. FEUILLUS'!S150+'ITI. RESINEUX'!S24)*0.475</f>
        <v>63.013571197204925</v>
      </c>
      <c r="S50" s="109">
        <f>('ITI. FEUILLUS'!T27+'ITI. FEUILLUS'!T57+'ITI. FEUILLUS'!T88+'ITI. FEUILLUS'!T116+'ITI. FEUILLUS'!T150+'ITI. RESINEUX'!T24)*0.475</f>
        <v>43.520946576080171</v>
      </c>
      <c r="T50" s="109">
        <f>('ITI. FEUILLUS'!U27+'ITI. FEUILLUS'!U57+'ITI. FEUILLUS'!U88+'ITI. FEUILLUS'!U116+'ITI. FEUILLUS'!U150+'ITI. RESINEUX'!U24)*0.475</f>
        <v>12.078875089285717</v>
      </c>
      <c r="U50" s="109">
        <f>('ITI. FEUILLUS'!V27+'ITI. FEUILLUS'!V57+'ITI. FEUILLUS'!V88+'ITI. FEUILLUS'!V116+'ITI. FEUILLUS'!V150+'ITI. RESINEUX'!V24)*0.475</f>
        <v>5.524236345529471</v>
      </c>
      <c r="V50" s="109">
        <f>('ITI. FEUILLUS'!W27+'ITI. FEUILLUS'!W57+'ITI. FEUILLUS'!W88+'ITI. FEUILLUS'!W116+'ITI. FEUILLUS'!W150+'ITI. RESINEUX'!W24)*0.475</f>
        <v>55.249285714285733</v>
      </c>
      <c r="W50" s="109">
        <f>('ITI. FEUILLUS'!X27+'ITI. FEUILLUS'!X57+'ITI. FEUILLUS'!X88+'ITI. FEUILLUS'!X116+'ITI. FEUILLUS'!X150+'ITI. RESINEUX'!X24)*0.475</f>
        <v>10.128131734131253</v>
      </c>
      <c r="X50" s="109">
        <f>('ITI. FEUILLUS'!Y27+'ITI. FEUILLUS'!Y57+'ITI. FEUILLUS'!Y88+'ITI. FEUILLUS'!Y116+'ITI. FEUILLUS'!Y150+'ITI. RESINEUX'!Y24)*0.475</f>
        <v>0</v>
      </c>
      <c r="Y50" s="109">
        <f>('ITI. FEUILLUS'!Z27+'ITI. FEUILLUS'!Z57+'ITI. FEUILLUS'!Z88+'ITI. FEUILLUS'!Z116+'ITI. FEUILLUS'!Z150+'ITI. RESINEUX'!Z24)*0.475</f>
        <v>12.024635795454545</v>
      </c>
      <c r="Z50" s="109">
        <f>('ITI. FEUILLUS'!AA27+'ITI. FEUILLUS'!AA57+'ITI. FEUILLUS'!AA88+'ITI. FEUILLUS'!AA116+'ITI. FEUILLUS'!AA150+'ITI. RESINEUX'!AA24)*0.475</f>
        <v>0</v>
      </c>
      <c r="AA50" s="109">
        <f>('ITI. FEUILLUS'!AB27+'ITI. FEUILLUS'!AB57+'ITI. FEUILLUS'!AB88+'ITI. FEUILLUS'!AB116+'ITI. FEUILLUS'!AB150+'ITI. RESINEUX'!AB24)*0.475</f>
        <v>9.6133757142857164</v>
      </c>
      <c r="AB50" s="109">
        <f>('ITI. FEUILLUS'!AC27+'ITI. FEUILLUS'!AC57+'ITI. FEUILLUS'!AC88+'ITI. FEUILLUS'!AC116+'ITI. FEUILLUS'!AC150+'ITI. RESINEUX'!AC24)*0.475</f>
        <v>0</v>
      </c>
      <c r="AC50" s="109">
        <f>('ITI. FEUILLUS'!AD27+'ITI. FEUILLUS'!AD57+'ITI. FEUILLUS'!AD88+'ITI. FEUILLUS'!AD116+'ITI. FEUILLUS'!AD150+'ITI. RESINEUX'!AD24)*0.475</f>
        <v>0</v>
      </c>
      <c r="AD50" s="109">
        <f>('ITI. FEUILLUS'!AE27+'ITI. FEUILLUS'!AE57+'ITI. FEUILLUS'!AE88+'ITI. FEUILLUS'!AE116+'ITI. FEUILLUS'!AE150+'ITI. RESINEUX'!AE24)*0.475</f>
        <v>0</v>
      </c>
    </row>
    <row r="51" spans="1:33" s="60" customFormat="1" ht="48" customHeight="1">
      <c r="A51" s="65" t="s">
        <v>445</v>
      </c>
      <c r="B51" s="65">
        <f>H51</f>
        <v>91.180543544094249</v>
      </c>
      <c r="C51" s="110">
        <v>0</v>
      </c>
      <c r="D51" s="110">
        <f>D50+((EXP(-(LN(2))/25))*C51)+(((1-(EXP(-(LN(2))/25)))/25)*C50)</f>
        <v>0</v>
      </c>
      <c r="E51" s="110">
        <f t="shared" ref="E51:AD51" si="24">E50+((EXP(-(LN(2))/25))*D51)+(((1-(EXP(-(LN(2))/25)))/25)*D50)</f>
        <v>0</v>
      </c>
      <c r="F51" s="110">
        <f t="shared" si="24"/>
        <v>15.269430833519566</v>
      </c>
      <c r="G51" s="110">
        <f t="shared" si="24"/>
        <v>67.139478718958316</v>
      </c>
      <c r="H51" s="110">
        <f t="shared" si="24"/>
        <v>91.180543544094249</v>
      </c>
      <c r="I51" s="110">
        <f t="shared" si="24"/>
        <v>109.69065256153799</v>
      </c>
      <c r="J51" s="110">
        <f t="shared" si="24"/>
        <v>106.7140986211171</v>
      </c>
      <c r="K51" s="110">
        <f>K50+((EXP(-(LN(2))/25))*J51)+(((1-(EXP(-(LN(2))/25)))/25)*J50)</f>
        <v>122.23771554189855</v>
      </c>
      <c r="L51" s="110">
        <f t="shared" si="24"/>
        <v>126.92488277813717</v>
      </c>
      <c r="M51" s="110">
        <f t="shared" si="24"/>
        <v>153.29151493838819</v>
      </c>
      <c r="N51" s="110">
        <f t="shared" si="24"/>
        <v>294.72534195231015</v>
      </c>
      <c r="O51" s="110">
        <f t="shared" si="24"/>
        <v>297.25271087837274</v>
      </c>
      <c r="P51" s="110">
        <f t="shared" si="24"/>
        <v>341.77244188624456</v>
      </c>
      <c r="Q51" s="110">
        <f t="shared" si="24"/>
        <v>362.48274550667475</v>
      </c>
      <c r="R51" s="110">
        <f t="shared" si="24"/>
        <v>415.61701940452264</v>
      </c>
      <c r="S51" s="110">
        <f>S50+((EXP(-(LN(2))/25))*R51)+(((1-(EXP(-(LN(2))/25)))/25)*R50)</f>
        <v>447.8418211053621</v>
      </c>
      <c r="T51" s="110">
        <f t="shared" si="24"/>
        <v>447.72204134845549</v>
      </c>
      <c r="U51" s="110">
        <f t="shared" si="24"/>
        <v>441.01650682761323</v>
      </c>
      <c r="V51" s="110">
        <f t="shared" si="24"/>
        <v>484.21221539198274</v>
      </c>
      <c r="W51" s="110">
        <f t="shared" si="24"/>
        <v>481.15997041753815</v>
      </c>
      <c r="X51" s="110">
        <f t="shared" si="24"/>
        <v>468.01370389516285</v>
      </c>
      <c r="Y51" s="110">
        <f t="shared" si="24"/>
        <v>467.24048034583319</v>
      </c>
      <c r="Z51" s="110">
        <f t="shared" si="24"/>
        <v>454.4769174115944</v>
      </c>
      <c r="AA51" s="110">
        <f t="shared" si="24"/>
        <v>451.66259791935772</v>
      </c>
      <c r="AB51" s="110">
        <f t="shared" si="24"/>
        <v>439.32237555792722</v>
      </c>
      <c r="AC51" s="110">
        <f t="shared" si="24"/>
        <v>427.30908209533607</v>
      </c>
      <c r="AD51" s="110">
        <f t="shared" si="24"/>
        <v>415.62429277423109</v>
      </c>
    </row>
    <row r="52" spans="1:33" s="60" customFormat="1" ht="48" customHeight="1">
      <c r="A52" s="65" t="s">
        <v>278</v>
      </c>
      <c r="B52" s="65">
        <f>SUM(C52:H52)</f>
        <v>151.34170673485488</v>
      </c>
      <c r="C52" s="110">
        <f>(0.77*(C50/0.475))-'REF BOIS.'!C38</f>
        <v>0</v>
      </c>
      <c r="D52" s="110">
        <f>(0.77*(D50/0.475))-'REF BOIS.'!D38</f>
        <v>0</v>
      </c>
      <c r="E52" s="110">
        <f>(0.77*(E50/0.475))-'REF BOIS.'!E38</f>
        <v>0</v>
      </c>
      <c r="F52" s="110">
        <f>(0.77*(F50/0.475))-'REF BOIS.'!F38</f>
        <v>24.752551035389615</v>
      </c>
      <c r="G52" s="110">
        <f>(0.77*(G50/0.475))-'REF BOIS.'!G38</f>
        <v>84.733863042169617</v>
      </c>
      <c r="H52" s="110">
        <f>(0.77*(H50/0.475))-'REF BOIS.'!H38</f>
        <v>41.855292657295642</v>
      </c>
      <c r="I52" s="110">
        <f>(0.77*(I50/0.475))-'REF BOIS.'!I38</f>
        <v>34.001909639664724</v>
      </c>
      <c r="J52" s="110">
        <f>(0.77*(J50/0.475))-'REF BOIS.'!J38</f>
        <v>0</v>
      </c>
      <c r="K52" s="110">
        <f>(0.77*(K50/0.475))-'REF BOIS.'!K38</f>
        <v>29.894998022649194</v>
      </c>
      <c r="L52" s="110">
        <f>(0.77*(L50/0.475))-'REF BOIS.'!L38</f>
        <v>12.983970844845004</v>
      </c>
      <c r="M52" s="110">
        <f>(0.77*(M50/0.475))-'REF BOIS.'!M38</f>
        <v>48.353793496897325</v>
      </c>
      <c r="N52" s="110">
        <f>(0.77*(N50/0.475))-'REF BOIS.'!N38</f>
        <v>236.01385892821352</v>
      </c>
      <c r="O52" s="110">
        <f>(0.77*(O50/0.475))-'REF BOIS.'!O38</f>
        <v>16.903362604697904</v>
      </c>
      <c r="P52" s="110">
        <f>(0.77*(P50/0.475))-'REF BOIS.'!P38</f>
        <v>85.326887812500019</v>
      </c>
      <c r="Q52" s="110">
        <f>(0.77*(Q50/0.475))-'REF BOIS.'!Q38</f>
        <v>48.629171466346165</v>
      </c>
      <c r="R52" s="110">
        <f>(0.77*(R50/0.475))-'REF BOIS.'!R38</f>
        <v>102.14831541441642</v>
      </c>
      <c r="S52" s="110">
        <f>(0.77*(S50/0.475))-'REF BOIS.'!S38</f>
        <v>70.549744975961545</v>
      </c>
      <c r="T52" s="110">
        <f>(0.77*(T50/0.475))-'REF BOIS.'!T38</f>
        <v>19.580492250000006</v>
      </c>
      <c r="U52" s="110">
        <f>(0.77*(U50/0.475))-'REF BOIS.'!U38</f>
        <v>8.9550778653846166</v>
      </c>
      <c r="V52" s="110">
        <f>(0.77*(V50/0.475))-'REF BOIS.'!V38</f>
        <v>89.56200000000004</v>
      </c>
      <c r="W52" s="110">
        <f>(0.77*(W50/0.475))-'REF BOIS.'!W38</f>
        <v>16.418234600591717</v>
      </c>
      <c r="X52" s="110">
        <f>(0.77*(X50/0.475))-'REF BOIS.'!X38</f>
        <v>0</v>
      </c>
      <c r="Y52" s="110">
        <f>(0.77*(Y50/0.475))-'REF BOIS.'!Y38</f>
        <v>19.4925675</v>
      </c>
      <c r="Z52" s="110">
        <f>(0.77*(Z50/0.475))-'REF BOIS.'!Z38</f>
        <v>0</v>
      </c>
      <c r="AA52" s="110">
        <f>(0.77*(AA50/0.475))-'REF BOIS.'!AA38</f>
        <v>15.583788000000004</v>
      </c>
      <c r="AB52" s="110">
        <f>(0.77*(AB50/0.475))-'REF BOIS.'!AB38</f>
        <v>0</v>
      </c>
      <c r="AC52" s="110">
        <f>(0.77*(AC50/0.475))-'REF BOIS.'!AC38</f>
        <v>0</v>
      </c>
      <c r="AD52" s="110">
        <f>(0.77*(AD50/0.475))-'REF BOIS.'!AD38</f>
        <v>0</v>
      </c>
    </row>
    <row r="53" spans="1:33" s="51" customFormat="1" ht="48" customHeight="1">
      <c r="A53" s="64" t="s">
        <v>274</v>
      </c>
      <c r="B53" s="64">
        <f>SUM(C53:H53)</f>
        <v>2.1103594777597401</v>
      </c>
      <c r="C53" s="109">
        <f>('ITI. FEUILLUS'!D32+'ITI. FEUILLUS'!D59+'ITI. FEUILLUS'!D90+'ITI. FEUILLUS'!D119+'ITI. FEUILLUS'!D152+'ITI. RESINEUX'!D26)*0.475</f>
        <v>0</v>
      </c>
      <c r="D53" s="109">
        <f>('ITI. FEUILLUS'!E32+'ITI. FEUILLUS'!E59+'ITI. FEUILLUS'!E90+'ITI. FEUILLUS'!E119+'ITI. FEUILLUS'!E152+'ITI. RESINEUX'!E26)*0.475</f>
        <v>0</v>
      </c>
      <c r="E53" s="109">
        <f>('ITI. FEUILLUS'!F32+'ITI. FEUILLUS'!F59+'ITI. FEUILLUS'!F90+'ITI. FEUILLUS'!F119+'ITI. FEUILLUS'!F152+'ITI. RESINEUX'!F26)*0.475</f>
        <v>0</v>
      </c>
      <c r="F53" s="109">
        <f>('ITI. FEUILLUS'!G32+'ITI. FEUILLUS'!G59+'ITI. FEUILLUS'!G90+'ITI. FEUILLUS'!G119+'ITI. FEUILLUS'!G152+'ITI. RESINEUX'!G26)*0.475</f>
        <v>0</v>
      </c>
      <c r="G53" s="109">
        <f>('ITI. FEUILLUS'!H32+'ITI. FEUILLUS'!H59+'ITI. FEUILLUS'!H90+'ITI. FEUILLUS'!H119+'ITI. FEUILLUS'!H152+'ITI. RESINEUX'!H26)*0.475</f>
        <v>0</v>
      </c>
      <c r="H53" s="109">
        <f>('ITI. FEUILLUS'!I32+'ITI. FEUILLUS'!I59+'ITI. FEUILLUS'!I90+'ITI. FEUILLUS'!I119+'ITI. FEUILLUS'!I152+'ITI. RESINEUX'!I26)*0.475</f>
        <v>2.1103594777597401</v>
      </c>
      <c r="I53" s="109">
        <f>('ITI. FEUILLUS'!J32+'ITI. FEUILLUS'!J59+'ITI. FEUILLUS'!J90+'ITI. FEUILLUS'!J119+'ITI. FEUILLUS'!J152+'ITI. RESINEUX'!J26)*0.475</f>
        <v>47.577721257969451</v>
      </c>
      <c r="J53" s="109">
        <f>('ITI. FEUILLUS'!K32+'ITI. FEUILLUS'!K59+'ITI. FEUILLUS'!K90+'ITI. FEUILLUS'!K119+'ITI. FEUILLUS'!K152+'ITI. RESINEUX'!K26)*0.475</f>
        <v>0</v>
      </c>
      <c r="K53" s="109">
        <f>('ITI. FEUILLUS'!L32+'ITI. FEUILLUS'!L59+'ITI. FEUILLUS'!L90+'ITI. FEUILLUS'!L119+'ITI. FEUILLUS'!L152+'ITI. RESINEUX'!L26)*0.475</f>
        <v>0</v>
      </c>
      <c r="L53" s="109">
        <f>('ITI. FEUILLUS'!M32+'ITI. FEUILLUS'!M59+'ITI. FEUILLUS'!M90+'ITI. FEUILLUS'!M119+'ITI. FEUILLUS'!M152+'ITI. RESINEUX'!M26)*0.475</f>
        <v>0</v>
      </c>
      <c r="M53" s="109">
        <f>('ITI. FEUILLUS'!N32+'ITI. FEUILLUS'!N59+'ITI. FEUILLUS'!N90+'ITI. FEUILLUS'!N119+'ITI. FEUILLUS'!N152+'ITI. RESINEUX'!N26)*0.475</f>
        <v>29.716997144722054</v>
      </c>
      <c r="N53" s="109">
        <f>('ITI. FEUILLUS'!O32+'ITI. FEUILLUS'!O59+'ITI. FEUILLUS'!O90+'ITI. FEUILLUS'!O119+'ITI. FEUILLUS'!O152+'ITI. RESINEUX'!O26)*0.475</f>
        <v>519.83134151316938</v>
      </c>
      <c r="O53" s="109">
        <f>('ITI. FEUILLUS'!P29+'ITI. FEUILLUS'!P59+'ITI. FEUILLUS'!P90+'ITI. FEUILLUS'!P119+'ITI. FEUILLUS'!P152+'ITI. RESINEUX'!P26)*0.475</f>
        <v>41.70959603756625</v>
      </c>
      <c r="P53" s="109">
        <f>('ITI. FEUILLUS'!Q29+'ITI. FEUILLUS'!Q59+'ITI. FEUILLUS'!Q90+'ITI. FEUILLUS'!Q119+'ITI. FEUILLUS'!Q152+'ITI. RESINEUX'!Q26)*0.475</f>
        <v>33.349431534090911</v>
      </c>
      <c r="Q53" s="109">
        <f>('ITI. FEUILLUS'!R29+'ITI. FEUILLUS'!R59+'ITI. FEUILLUS'!R90+'ITI. FEUILLUS'!R118+'ITI. FEUILLUS'!R152+'ITI. RESINEUX'!R26)*0.475</f>
        <v>15.3430260708042</v>
      </c>
      <c r="R53" s="109">
        <f>('ITI. FEUILLUS'!S29+'ITI. FEUILLUS'!S59+'ITI. FEUILLUS'!S90+'ITI. FEUILLUS'!S118+'ITI. FEUILLUS'!S152+'ITI. RESINEUX'!S26)*0.475</f>
        <v>252.0542847888197</v>
      </c>
      <c r="S53" s="109">
        <f>('ITI. FEUILLUS'!T29+'ITI. FEUILLUS'!T59+'ITI. FEUILLUS'!T90+'ITI. FEUILLUS'!T118+'ITI. FEUILLUS'!T152+'ITI. RESINEUX'!T26)*0.475</f>
        <v>33.787304660964033</v>
      </c>
      <c r="T53" s="109">
        <f>('ITI. FEUILLUS'!U29+'ITI. FEUILLUS'!U59+'ITI. FEUILLUS'!U90+'ITI. FEUILLUS'!U118+'ITI. FEUILLUS'!U152+'ITI. RESINEUX'!U26)*0.475</f>
        <v>24.157750178571433</v>
      </c>
      <c r="U53" s="109">
        <f>('ITI. FEUILLUS'!V29+'ITI. FEUILLUS'!V59+'ITI. FEUILLUS'!V90+'ITI. FEUILLUS'!V118+'ITI. FEUILLUS'!V152+'ITI. RESINEUX'!V26)*0.475</f>
        <v>33.14541807317682</v>
      </c>
      <c r="V53" s="109">
        <f>('ITI. FEUILLUS'!W29+'ITI. FEUILLUS'!W59+'ITI. FEUILLUS'!W90+'ITI. FEUILLUS'!W118+'ITI. FEUILLUS'!W152+'ITI. RESINEUX'!W26)*0.475</f>
        <v>193.37250000000006</v>
      </c>
      <c r="W53" s="109">
        <f>('ITI. FEUILLUS'!X29+'ITI. FEUILLUS'!X59+'ITI. FEUILLUS'!X90+'ITI. FEUILLUS'!X118+'ITI. FEUILLUS'!X152+'ITI. RESINEUX'!X26)*0.475</f>
        <v>30.384395202393758</v>
      </c>
      <c r="X53" s="109">
        <f>('ITI. FEUILLUS'!Y29+'ITI. FEUILLUS'!Y59+'ITI. FEUILLUS'!Y90+'ITI. FEUILLUS'!Y118+'ITI. FEUILLUS'!Y152+'ITI. RESINEUX'!Y26)*0.475</f>
        <v>0</v>
      </c>
      <c r="Y53" s="109">
        <f>('ITI. FEUILLUS'!Z29+'ITI. FEUILLUS'!Z59+'ITI. FEUILLUS'!Z90+'ITI. FEUILLUS'!Z118+'ITI. FEUILLUS'!Z152+'ITI. RESINEUX'!Z26)*0.475</f>
        <v>36.073907386363629</v>
      </c>
      <c r="Z53" s="109">
        <f>('ITI. FEUILLUS'!AA29+'ITI. FEUILLUS'!AA59+'ITI. FEUILLUS'!AA90+'ITI. FEUILLUS'!AA118+'ITI. FEUILLUS'!AA152+'ITI. RESINEUX'!AA26)*0.475</f>
        <v>0</v>
      </c>
      <c r="AA53" s="109">
        <f>('ITI. FEUILLUS'!AB29+'ITI. FEUILLUS'!AB59+'ITI. FEUILLUS'!AB90+'ITI. FEUILLUS'!AB118+'ITI. FEUILLUS'!AB152+'ITI. RESINEUX'!AB26)*0.475</f>
        <v>28.840127142857142</v>
      </c>
      <c r="AB53" s="109">
        <f>('ITI. FEUILLUS'!AC29+'ITI. FEUILLUS'!AC59+'ITI. FEUILLUS'!AC90+'ITI. FEUILLUS'!AC118+'ITI. FEUILLUS'!AC152+'ITI. RESINEUX'!AC26)*0.475</f>
        <v>39.252335122100121</v>
      </c>
      <c r="AC53" s="109">
        <f>('ITI. FEUILLUS'!AD29+'ITI. FEUILLUS'!AD59+'ITI. FEUILLUS'!AD90+'ITI. FEUILLUS'!AD118+'ITI. FEUILLUS'!AD152+'ITI. RESINEUX'!AD26)*0.475</f>
        <v>0</v>
      </c>
      <c r="AD53" s="109">
        <f>('ITI. FEUILLUS'!AE29+'ITI. FEUILLUS'!AE59+'ITI. FEUILLUS'!AE90+'ITI. FEUILLUS'!AE118+'ITI. FEUILLUS'!AE152+'ITI. RESINEUX'!AE26)*0.475</f>
        <v>403.30239957542449</v>
      </c>
    </row>
    <row r="54" spans="1:33" s="60" customFormat="1" ht="48" customHeight="1">
      <c r="A54" s="65" t="s">
        <v>275</v>
      </c>
      <c r="B54" s="65">
        <f>H54</f>
        <v>2.1103594777597401</v>
      </c>
      <c r="C54" s="110">
        <v>0</v>
      </c>
      <c r="D54" s="110">
        <f t="shared" ref="D54:L54" si="25">D53+((EXP(-(LN(2))/35))*C54)+(((1-(EXP(-(LN(2))/35)))/35)*C53)</f>
        <v>0</v>
      </c>
      <c r="E54" s="110">
        <f t="shared" si="25"/>
        <v>0</v>
      </c>
      <c r="F54" s="110">
        <f t="shared" si="25"/>
        <v>0</v>
      </c>
      <c r="G54" s="110">
        <f t="shared" si="25"/>
        <v>0</v>
      </c>
      <c r="H54" s="110">
        <f t="shared" si="25"/>
        <v>2.1103594777597401</v>
      </c>
      <c r="I54" s="110">
        <f t="shared" si="25"/>
        <v>49.647880241052981</v>
      </c>
      <c r="J54" s="110">
        <f t="shared" si="25"/>
        <v>48.700971880152025</v>
      </c>
      <c r="K54" s="110">
        <f>K53+((EXP(-(LN(2))/35))*J54)+(((1-(EXP(-(LN(2))/35)))/35)*J53)</f>
        <v>47.745975526241999</v>
      </c>
      <c r="L54" s="110">
        <f t="shared" si="25"/>
        <v>46.809706068341889</v>
      </c>
      <c r="M54" s="110">
        <f>M53+((EXP(-(LN(2))/35))*L54)+(((1-(EXP(-(LN(2))/35)))/35)*L53)</f>
        <v>75.608793428165271</v>
      </c>
      <c r="N54" s="110">
        <f t="shared" ref="N54:AD54" si="26">N53+((EXP(-(LN(2))/35))*M54)+(((1-(EXP(-(LN(2))/35)))/35)*M53)</f>
        <v>593.97414211011665</v>
      </c>
      <c r="O54" s="110">
        <f t="shared" si="26"/>
        <v>624.32751252482183</v>
      </c>
      <c r="P54" s="110">
        <f t="shared" si="26"/>
        <v>645.45763090442415</v>
      </c>
      <c r="Q54" s="110">
        <f t="shared" si="26"/>
        <v>648.16231115236621</v>
      </c>
      <c r="R54" s="110">
        <f t="shared" si="26"/>
        <v>887.51512457040189</v>
      </c>
      <c r="S54" s="110">
        <f>S53+((EXP(-(LN(2))/35))*R54)+(((1-(EXP(-(LN(2))/35)))/35)*R53)</f>
        <v>904.04001699179366</v>
      </c>
      <c r="T54" s="110">
        <f t="shared" si="26"/>
        <v>910.48902380243862</v>
      </c>
      <c r="U54" s="110">
        <f t="shared" si="26"/>
        <v>925.79384228363938</v>
      </c>
      <c r="V54" s="110">
        <f t="shared" si="26"/>
        <v>1101.0306600415638</v>
      </c>
      <c r="W54" s="110">
        <f t="shared" si="26"/>
        <v>1109.9328560423457</v>
      </c>
      <c r="X54" s="110">
        <f t="shared" si="26"/>
        <v>1088.1847731406149</v>
      </c>
      <c r="Y54" s="110">
        <f t="shared" si="26"/>
        <v>1102.920040852865</v>
      </c>
      <c r="Z54" s="110">
        <f t="shared" si="26"/>
        <v>1081.3126626328526</v>
      </c>
      <c r="AA54" s="110">
        <f t="shared" si="26"/>
        <v>1088.9489079970801</v>
      </c>
      <c r="AB54" s="110">
        <f t="shared" si="26"/>
        <v>1106.8637774352514</v>
      </c>
      <c r="AC54" s="110">
        <f t="shared" si="26"/>
        <v>1085.1808457185646</v>
      </c>
      <c r="AD54" s="110">
        <f t="shared" si="26"/>
        <v>1467.2035108044072</v>
      </c>
    </row>
    <row r="55" spans="1:33" s="60" customFormat="1" ht="48" customHeight="1">
      <c r="A55" s="65" t="s">
        <v>278</v>
      </c>
      <c r="B55" s="65">
        <f>SUM(C55:H55)</f>
        <v>6.7531503288311683</v>
      </c>
      <c r="C55" s="110">
        <f>(1.52*(C53/0.475))-'REF BOIS.'!C42</f>
        <v>0</v>
      </c>
      <c r="D55" s="110">
        <f>(1.52*(D53/0.475))-'REF BOIS.'!D42</f>
        <v>0</v>
      </c>
      <c r="E55" s="110">
        <f>(1.52*(E53/0.475))-'REF BOIS.'!E42</f>
        <v>0</v>
      </c>
      <c r="F55" s="110">
        <f>(1.52*(F53/0.475))-'REF BOIS.'!F42</f>
        <v>0</v>
      </c>
      <c r="G55" s="110">
        <f>(1.52*(G53/0.475))-'REF BOIS.'!G42</f>
        <v>0</v>
      </c>
      <c r="H55" s="110">
        <f>(1.52*(H53/0.475))-'REF BOIS.'!H42</f>
        <v>6.7531503288311683</v>
      </c>
      <c r="I55" s="110">
        <f>(1.52*(I53/0.475))-'REF BOIS.'!I42</f>
        <v>152.24870802550225</v>
      </c>
      <c r="J55" s="110">
        <f>(1.52*(J53/0.475))-'REF BOIS.'!J42</f>
        <v>0</v>
      </c>
      <c r="K55" s="110">
        <f>(1.52*(K53/0.475))-'REF BOIS.'!K42</f>
        <v>0</v>
      </c>
      <c r="L55" s="110">
        <f>(1.52*(L53/0.475))-'REF BOIS.'!L42</f>
        <v>0</v>
      </c>
      <c r="M55" s="110">
        <f>(1.52*(M53/0.475))-'REF BOIS.'!M42</f>
        <v>95.094390863110576</v>
      </c>
      <c r="N55" s="110">
        <f>(1.52*(N53/0.475))-'REF BOIS.'!N42</f>
        <v>1663.4602928421421</v>
      </c>
      <c r="O55" s="110">
        <f>(1.52*(O53/0.475))-'REF BOIS.'!O42</f>
        <v>133.470707320212</v>
      </c>
      <c r="P55" s="110">
        <f>(1.52*(P53/0.475))-'REF BOIS.'!P42</f>
        <v>106.71818090909092</v>
      </c>
      <c r="Q55" s="110">
        <f>(1.52*(Q53/0.475))-'REF BOIS.'!Q42</f>
        <v>49.09768342657344</v>
      </c>
      <c r="R55" s="110">
        <f>(1.52*(R53/0.475))-'REF BOIS.'!R42</f>
        <v>806.57371132422315</v>
      </c>
      <c r="S55" s="110">
        <f>(1.52*(S53/0.475))-'REF BOIS.'!S42</f>
        <v>108.1193749150849</v>
      </c>
      <c r="T55" s="110">
        <f>(1.52*(T53/0.475))-'REF BOIS.'!T42</f>
        <v>77.304800571428586</v>
      </c>
      <c r="U55" s="110">
        <f>(1.52*(U53/0.475))-'REF BOIS.'!U42</f>
        <v>106.06533783416583</v>
      </c>
      <c r="V55" s="110">
        <f>(1.52*(V53/0.475))-'REF BOIS.'!V42</f>
        <v>618.79200000000026</v>
      </c>
      <c r="W55" s="110">
        <f>(1.52*(W53/0.475))-'REF BOIS.'!W42</f>
        <v>97.230064647660043</v>
      </c>
      <c r="X55" s="110">
        <f>(1.52*(X53/0.475))-'REF BOIS.'!X42</f>
        <v>0</v>
      </c>
      <c r="Y55" s="110">
        <f>(1.52*(Y53/0.475))-'REF BOIS.'!Y42</f>
        <v>115.43650363636362</v>
      </c>
      <c r="Z55" s="110">
        <f>(1.52*(Z53/0.475))-'REF BOIS.'!Z42</f>
        <v>0</v>
      </c>
      <c r="AA55" s="110">
        <f>(1.52*(AA53/0.475))-'REF BOIS.'!AA42</f>
        <v>92.28840685714286</v>
      </c>
      <c r="AB55" s="110">
        <f>(1.52*(AB53/0.475))-'REF BOIS.'!AB42</f>
        <v>125.6074723907204</v>
      </c>
      <c r="AC55" s="110">
        <f>(1.52*(AC53/0.475))-'REF BOIS.'!AC42</f>
        <v>0</v>
      </c>
      <c r="AD55" s="110">
        <f>(1.52*(AD53/0.475))-'REF BOIS.'!AD42</f>
        <v>1290.5676786413585</v>
      </c>
    </row>
    <row r="56" spans="1:33" s="60" customFormat="1" ht="48" customHeight="1">
      <c r="A56" s="66" t="s">
        <v>268</v>
      </c>
      <c r="B56" s="66">
        <f>((SUM(B45,B48,B51,B54)*(44/12))-'REF BOIS.'!B43)</f>
        <v>385.91522467358368</v>
      </c>
      <c r="C56" s="65">
        <f>((C54+C51+C48+C45)*(44/12))-'REF BOIS.'!C43</f>
        <v>0</v>
      </c>
      <c r="D56" s="65">
        <f>((D54+D51+D48+D45)*(44/12))-'REF BOIS.'!D43</f>
        <v>0</v>
      </c>
      <c r="E56" s="65">
        <f>((E54+E51+E48+E45)*(44/12))-'REF BOIS.'!E43</f>
        <v>0</v>
      </c>
      <c r="F56" s="65">
        <f>((F54+F51+F48+F45)*(44/12))-'REF BOIS.'!F43</f>
        <v>55.987913056238405</v>
      </c>
      <c r="G56" s="65">
        <f>((G54+G51+G48+G45)*(44/12))-'REF BOIS.'!G43</f>
        <v>246.17808863618049</v>
      </c>
      <c r="H56" s="65">
        <f>((H54+H51+H48+H45)*(44/12))-'REF BOIS.'!H43</f>
        <v>385.91522467358368</v>
      </c>
      <c r="I56" s="65">
        <f>((I54+I51+I48+I45)*(44/12))-'REF BOIS.'!I43</f>
        <v>718.22276179356516</v>
      </c>
      <c r="J56" s="65">
        <f>((J54+J51+J48+J45)*(44/12))-'REF BOIS.'!J43</f>
        <v>691.00940003802521</v>
      </c>
      <c r="K56" s="65">
        <f>((K54+K51+K48+K45)*(44/12))-'REF BOIS.'!K43</f>
        <v>794.41949641474719</v>
      </c>
      <c r="L56" s="65">
        <f>((L54+L51+L48+L45)*(44/12))-'REF BOIS.'!L43</f>
        <v>822.92451198313995</v>
      </c>
      <c r="M56" s="65">
        <f>((M54+M51+M48+M45)*(44/12))-'REF BOIS.'!M43</f>
        <v>984.57903407175968</v>
      </c>
      <c r="N56" s="65">
        <f>((N54+N51+N48+N45)*(44/12))-'REF BOIS.'!N43</f>
        <v>3494.5859723273547</v>
      </c>
      <c r="O56" s="65">
        <f>((O54+O51+O48+O45)*(44/12))-'REF BOIS.'!O43</f>
        <v>3565.4088702081772</v>
      </c>
      <c r="P56" s="65">
        <f>((P54+P51+P48+P45)*(44/12))-'REF BOIS.'!P43</f>
        <v>3751.564430348009</v>
      </c>
      <c r="Q56" s="65">
        <f>((Q54+Q51+Q48+Q45)*(44/12))-'REF BOIS.'!Q43</f>
        <v>3808.5251236831677</v>
      </c>
      <c r="R56" s="65">
        <f>((R54+R51+R48+R45)*(44/12))-'REF BOIS.'!R43</f>
        <v>4852.2790342258613</v>
      </c>
      <c r="S56" s="65">
        <f>((S54+S51+S48+S45)*(44/12))-'REF BOIS.'!S43</f>
        <v>5024.1300858470759</v>
      </c>
      <c r="T56" s="65">
        <f>((T54+T51+T48+T45)*(44/12))-'REF BOIS.'!T43</f>
        <v>5029.8154551490834</v>
      </c>
      <c r="U56" s="65">
        <f>((U54+U51+U48+U45)*(44/12))-'REF BOIS.'!U43</f>
        <v>5046.7869635411398</v>
      </c>
      <c r="V56" s="65">
        <f>((V54+V51+V48+V45)*(44/12))-'REF BOIS.'!V43</f>
        <v>5837.411318054239</v>
      </c>
      <c r="W56" s="65">
        <f>((W54+W51+W48+W45)*(44/12))-'REF BOIS.'!W43</f>
        <v>5851.5815387528473</v>
      </c>
      <c r="X56" s="65">
        <f>((X54+X51+X48+X45)*(44/12))-'REF BOIS.'!X43</f>
        <v>5718.4881365301353</v>
      </c>
      <c r="Y56" s="65">
        <f>((Y54+Y51+Y48+Y45)*(44/12))-'REF BOIS.'!Y43</f>
        <v>5766.0424985951968</v>
      </c>
      <c r="Z56" s="65">
        <f>((Z54+Z51+Z48+Z45)*(44/12))-'REF BOIS.'!Z43</f>
        <v>5637.4419871957816</v>
      </c>
      <c r="AA56" s="65">
        <f>((AA54+AA51+AA48+AA45)*(44/12))-'REF BOIS.'!AA43</f>
        <v>5653.3024821269237</v>
      </c>
      <c r="AB56" s="65">
        <f>((AB54+AB51+AB48+AB45)*(44/12))-'REF BOIS.'!AB43</f>
        <v>5672.4559911580591</v>
      </c>
      <c r="AC56" s="65">
        <f>((AC54+AC51+AC48+AC45)*(44/12))-'REF BOIS.'!AC43</f>
        <v>5547.993215534294</v>
      </c>
      <c r="AD56" s="65">
        <f>((AD54+AD51+AD48+AD45)*(44/12))-'REF BOIS.'!AD43</f>
        <v>6905.2553282132094</v>
      </c>
    </row>
    <row r="57" spans="1:33" s="53" customFormat="1" ht="48" customHeight="1">
      <c r="A57" s="66" t="s">
        <v>269</v>
      </c>
      <c r="B57" s="66">
        <f>(SUM(C57:H57))</f>
        <v>208.50989454257154</v>
      </c>
      <c r="C57" s="65">
        <f t="shared" ref="C57:AD57" si="27">(C55+C52+C49+C46)</f>
        <v>0</v>
      </c>
      <c r="D57" s="65">
        <f t="shared" si="27"/>
        <v>0</v>
      </c>
      <c r="E57" s="65">
        <f t="shared" si="27"/>
        <v>12.141916225867835</v>
      </c>
      <c r="F57" s="65">
        <f t="shared" si="27"/>
        <v>29.321444468831174</v>
      </c>
      <c r="G57" s="65">
        <f t="shared" si="27"/>
        <v>114.71239889746001</v>
      </c>
      <c r="H57" s="65">
        <f t="shared" si="27"/>
        <v>52.334134950412526</v>
      </c>
      <c r="I57" s="65">
        <f t="shared" si="27"/>
        <v>249.8028212636807</v>
      </c>
      <c r="J57" s="65">
        <f t="shared" si="27"/>
        <v>4.111201125</v>
      </c>
      <c r="K57" s="65">
        <f t="shared" si="27"/>
        <v>66.942958903404161</v>
      </c>
      <c r="L57" s="65">
        <f t="shared" si="27"/>
        <v>32.014642069842211</v>
      </c>
      <c r="M57" s="65">
        <f t="shared" si="27"/>
        <v>146.0843178904484</v>
      </c>
      <c r="N57" s="65">
        <f t="shared" si="27"/>
        <v>1929.0668102422037</v>
      </c>
      <c r="O57" s="65">
        <f t="shared" si="27"/>
        <v>150.37406992490992</v>
      </c>
      <c r="P57" s="65">
        <f t="shared" si="27"/>
        <v>208.84413943993511</v>
      </c>
      <c r="Q57" s="65">
        <f t="shared" si="27"/>
        <v>106.56395094530473</v>
      </c>
      <c r="R57" s="65">
        <f t="shared" si="27"/>
        <v>908.72202673863956</v>
      </c>
      <c r="S57" s="65">
        <f t="shared" si="27"/>
        <v>195.19576963973526</v>
      </c>
      <c r="T57" s="65">
        <f t="shared" si="27"/>
        <v>99.00439371428574</v>
      </c>
      <c r="U57" s="65">
        <f t="shared" si="27"/>
        <v>123.74289413986014</v>
      </c>
      <c r="V57" s="65">
        <f t="shared" si="27"/>
        <v>722.89328571428598</v>
      </c>
      <c r="W57" s="65">
        <f t="shared" si="27"/>
        <v>118.97889489779453</v>
      </c>
      <c r="X57" s="65">
        <f t="shared" si="27"/>
        <v>0</v>
      </c>
      <c r="Y57" s="65">
        <f t="shared" si="27"/>
        <v>141.25782681818183</v>
      </c>
      <c r="Z57" s="65">
        <f t="shared" si="27"/>
        <v>0</v>
      </c>
      <c r="AA57" s="65">
        <f t="shared" si="27"/>
        <v>112.93186628571429</v>
      </c>
      <c r="AB57" s="65">
        <f t="shared" si="27"/>
        <v>130.77225332783885</v>
      </c>
      <c r="AC57" s="65">
        <f t="shared" si="27"/>
        <v>0</v>
      </c>
      <c r="AD57" s="65">
        <f t="shared" si="27"/>
        <v>1343.6337838486511</v>
      </c>
    </row>
    <row r="58" spans="1:33" s="51" customFormat="1" ht="48" customHeight="1">
      <c r="A58" s="172" t="s">
        <v>502</v>
      </c>
      <c r="B58" s="90">
        <f>J21</f>
        <v>3326.4965615295291</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row>
    <row r="59" spans="1:33" s="51" customFormat="1" ht="48" customHeight="1">
      <c r="A59" s="67" t="s">
        <v>501</v>
      </c>
      <c r="B59" s="90">
        <f>J20</f>
        <v>328.02794097254611</v>
      </c>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s="51" customFormat="1" ht="48" customHeight="1">
      <c r="A60" s="67" t="s">
        <v>347</v>
      </c>
      <c r="B60" s="90">
        <f>J22</f>
        <v>177.2334103611858</v>
      </c>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row>
    <row r="61" spans="1:33" s="51" customFormat="1" ht="48" customHeight="1">
      <c r="A61" s="115" t="s">
        <v>503</v>
      </c>
      <c r="B61" s="88">
        <f>SUM(B60,B58,B59)</f>
        <v>3831.757912863261</v>
      </c>
      <c r="Y61" s="68"/>
    </row>
    <row r="62" spans="1:33" s="51" customFormat="1" ht="48" customHeight="1">
      <c r="A62" s="104"/>
      <c r="B62" s="105"/>
      <c r="G62" s="69"/>
      <c r="J62" s="69"/>
    </row>
    <row r="63" spans="1:33" s="51" customFormat="1" ht="48" customHeight="1">
      <c r="G63" s="69"/>
      <c r="J63" s="69"/>
    </row>
    <row r="64" spans="1:33" s="51" customFormat="1" ht="48" customHeight="1"/>
    <row r="65" s="51" customFormat="1" ht="48" customHeight="1"/>
    <row r="66" s="51" customFormat="1" ht="48" customHeight="1"/>
    <row r="67" s="51" customFormat="1" ht="48" customHeight="1"/>
    <row r="68" s="51" customFormat="1" ht="48" customHeight="1"/>
    <row r="69" s="51" customFormat="1" ht="48" customHeight="1"/>
    <row r="70" s="51" customFormat="1" ht="48" customHeight="1"/>
    <row r="71" s="51" customFormat="1" ht="48" customHeight="1"/>
    <row r="72" s="51" customFormat="1" ht="48" customHeight="1"/>
    <row r="73" s="51" customFormat="1" ht="48" customHeight="1"/>
    <row r="74" s="51" customFormat="1" ht="48" customHeight="1"/>
    <row r="75" s="51" customFormat="1" ht="48" customHeight="1"/>
    <row r="76" s="51" customFormat="1" ht="48" customHeight="1"/>
    <row r="77" s="51" customFormat="1" ht="48" customHeight="1"/>
    <row r="78" s="51" customFormat="1" ht="48" customHeight="1"/>
    <row r="79" s="51" customFormat="1" ht="48" customHeight="1"/>
    <row r="80" s="51" customFormat="1" ht="48" customHeight="1"/>
    <row r="81" s="51" customFormat="1" ht="48" customHeight="1"/>
    <row r="82" s="51" customFormat="1" ht="48" customHeight="1"/>
    <row r="83" s="51" customFormat="1" ht="48" customHeight="1"/>
    <row r="84" s="51" customFormat="1" ht="48" customHeight="1"/>
    <row r="85" s="51" customFormat="1" ht="48" customHeight="1"/>
    <row r="86" s="51" customFormat="1" ht="48" customHeight="1"/>
    <row r="87" s="51" customFormat="1" ht="48" customHeight="1"/>
    <row r="88" s="51" customFormat="1" ht="48" customHeight="1"/>
    <row r="89" s="51" customFormat="1" ht="48" customHeight="1"/>
    <row r="90" s="51" customFormat="1" ht="48" customHeight="1"/>
    <row r="91" s="51" customFormat="1" ht="48" customHeight="1"/>
    <row r="92" s="51" customFormat="1" ht="48" customHeight="1"/>
    <row r="93" s="51" customFormat="1" ht="48" customHeight="1"/>
    <row r="94" s="51" customFormat="1" ht="48" customHeight="1"/>
    <row r="95" s="51" customFormat="1" ht="48" customHeight="1"/>
    <row r="96" s="51" customFormat="1" ht="48" customHeight="1"/>
    <row r="97" spans="3:33" s="51" customFormat="1" ht="48" customHeight="1"/>
    <row r="98" spans="3:33" s="51" customFormat="1" ht="48" customHeight="1"/>
    <row r="99" spans="3:33" s="51" customFormat="1" ht="48" customHeight="1">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row>
  </sheetData>
  <mergeCells count="147">
    <mergeCell ref="A11:B11"/>
    <mergeCell ref="A12:B12"/>
    <mergeCell ref="C19:D19"/>
    <mergeCell ref="A2:B2"/>
    <mergeCell ref="A3:B3"/>
    <mergeCell ref="A4:B4"/>
    <mergeCell ref="A5:B5"/>
    <mergeCell ref="A6:B6"/>
    <mergeCell ref="A7:B7"/>
    <mergeCell ref="A8:B8"/>
    <mergeCell ref="A9:B9"/>
    <mergeCell ref="A10:B10"/>
    <mergeCell ref="A13:B13"/>
    <mergeCell ref="A19:B19"/>
    <mergeCell ref="M30:P30"/>
    <mergeCell ref="M28:P28"/>
    <mergeCell ref="M29:P29"/>
    <mergeCell ref="M25:P25"/>
    <mergeCell ref="M26:P26"/>
    <mergeCell ref="M27:P27"/>
    <mergeCell ref="A34:B34"/>
    <mergeCell ref="I23:Q23"/>
    <mergeCell ref="I24:K26"/>
    <mergeCell ref="I27:K27"/>
    <mergeCell ref="I29:K32"/>
    <mergeCell ref="M24:P24"/>
    <mergeCell ref="L29:L32"/>
    <mergeCell ref="L24:L26"/>
    <mergeCell ref="I33:K33"/>
    <mergeCell ref="G24:H28"/>
    <mergeCell ref="G29:H32"/>
    <mergeCell ref="I28:K28"/>
    <mergeCell ref="M31:P31"/>
    <mergeCell ref="M32:P32"/>
    <mergeCell ref="B31:D31"/>
    <mergeCell ref="B30:D30"/>
    <mergeCell ref="B32:D32"/>
    <mergeCell ref="B29:D29"/>
    <mergeCell ref="C21:D21"/>
    <mergeCell ref="A14:B14"/>
    <mergeCell ref="A15:B15"/>
    <mergeCell ref="A16:B16"/>
    <mergeCell ref="A17:B17"/>
    <mergeCell ref="A21:B21"/>
    <mergeCell ref="A20:B20"/>
    <mergeCell ref="R2:V2"/>
    <mergeCell ref="P6:Q6"/>
    <mergeCell ref="P5:Q5"/>
    <mergeCell ref="R15:V15"/>
    <mergeCell ref="R16:V16"/>
    <mergeCell ref="R17:V17"/>
    <mergeCell ref="R18:V18"/>
    <mergeCell ref="R19:V19"/>
    <mergeCell ref="R10:V10"/>
    <mergeCell ref="R11:V11"/>
    <mergeCell ref="R12:V12"/>
    <mergeCell ref="R13:V13"/>
    <mergeCell ref="P9:Q9"/>
    <mergeCell ref="P8:Q8"/>
    <mergeCell ref="P7:Q7"/>
    <mergeCell ref="R3:V3"/>
    <mergeCell ref="R4:V4"/>
    <mergeCell ref="P4:Q4"/>
    <mergeCell ref="P2:Q2"/>
    <mergeCell ref="N19:O19"/>
    <mergeCell ref="P13:Q13"/>
    <mergeCell ref="P12:Q12"/>
    <mergeCell ref="P11:Q11"/>
    <mergeCell ref="P10:Q10"/>
    <mergeCell ref="P19:Q19"/>
    <mergeCell ref="P18:Q18"/>
    <mergeCell ref="P17:Q17"/>
    <mergeCell ref="N11:O11"/>
    <mergeCell ref="N12:O12"/>
    <mergeCell ref="N13:O13"/>
    <mergeCell ref="N14:O14"/>
    <mergeCell ref="N15:O15"/>
    <mergeCell ref="P14:Q14"/>
    <mergeCell ref="P15:Q15"/>
    <mergeCell ref="N5:O5"/>
    <mergeCell ref="N6:O6"/>
    <mergeCell ref="N7:O7"/>
    <mergeCell ref="N8:O8"/>
    <mergeCell ref="N9:O9"/>
    <mergeCell ref="N10:O10"/>
    <mergeCell ref="N16:O16"/>
    <mergeCell ref="J15:K15"/>
    <mergeCell ref="J14:K14"/>
    <mergeCell ref="G20:I20"/>
    <mergeCell ref="J20:K20"/>
    <mergeCell ref="N18:O18"/>
    <mergeCell ref="V20:W20"/>
    <mergeCell ref="R14:V14"/>
    <mergeCell ref="R5:V5"/>
    <mergeCell ref="R6:V6"/>
    <mergeCell ref="R7:V7"/>
    <mergeCell ref="R8:V8"/>
    <mergeCell ref="R9:V9"/>
    <mergeCell ref="N17:O17"/>
    <mergeCell ref="Y3:Y9"/>
    <mergeCell ref="Y10:Y11"/>
    <mergeCell ref="Y12:Y15"/>
    <mergeCell ref="Y16:Y19"/>
    <mergeCell ref="M1:Y1"/>
    <mergeCell ref="G13:K13"/>
    <mergeCell ref="G14:H14"/>
    <mergeCell ref="G15:H15"/>
    <mergeCell ref="G16:H16"/>
    <mergeCell ref="G17:H17"/>
    <mergeCell ref="G18:H18"/>
    <mergeCell ref="G19:I19"/>
    <mergeCell ref="G11:I11"/>
    <mergeCell ref="J11:K11"/>
    <mergeCell ref="G2:I2"/>
    <mergeCell ref="J2:K2"/>
    <mergeCell ref="G1:K1"/>
    <mergeCell ref="P16:Q16"/>
    <mergeCell ref="N2:O2"/>
    <mergeCell ref="N3:O3"/>
    <mergeCell ref="N4:O4"/>
    <mergeCell ref="P3:Q3"/>
    <mergeCell ref="G9:I9"/>
    <mergeCell ref="G10:I10"/>
    <mergeCell ref="G22:I22"/>
    <mergeCell ref="J22:K22"/>
    <mergeCell ref="J21:K21"/>
    <mergeCell ref="J19:K19"/>
    <mergeCell ref="J18:K18"/>
    <mergeCell ref="J17:K17"/>
    <mergeCell ref="J16:K16"/>
    <mergeCell ref="G21:I21"/>
    <mergeCell ref="A1:E1"/>
    <mergeCell ref="C20:D20"/>
    <mergeCell ref="J3:K3"/>
    <mergeCell ref="J4:K4"/>
    <mergeCell ref="J5:K5"/>
    <mergeCell ref="J6:K6"/>
    <mergeCell ref="J7:K7"/>
    <mergeCell ref="J8:K8"/>
    <mergeCell ref="J9:K9"/>
    <mergeCell ref="J10:K10"/>
    <mergeCell ref="G4:I4"/>
    <mergeCell ref="G5:I5"/>
    <mergeCell ref="G6:I6"/>
    <mergeCell ref="G7:I7"/>
    <mergeCell ref="G8:I8"/>
    <mergeCell ref="G3:I3"/>
  </mergeCells>
  <pageMargins left="0.7" right="0.7" top="0.75" bottom="0.75" header="0.3" footer="0.3"/>
  <legacy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802F0FAB-0D91-0946-A431-C167B5E42943}">
          <x14:formula1>
            <xm:f>COEFFICIENTS!$A$2:$A$4</xm:f>
          </x14:formula1>
          <xm:sqref>C20</xm:sqref>
        </x14:dataValidation>
        <x14:dataValidation type="list" allowBlank="1" showInputMessage="1" showErrorMessage="1" xr:uid="{12C26E72-BA8A-8A4B-B36C-14F0DCE0302E}">
          <x14:formula1>
            <xm:f>COEFFICIENTS!$A$84:$A$85</xm:f>
          </x14:formula1>
          <xm:sqref>W3:W19 I16</xm:sqref>
        </x14:dataValidation>
        <x14:dataValidation type="list" allowBlank="1" showInputMessage="1" showErrorMessage="1" xr:uid="{0B3736F0-508B-404C-AC39-0B7C284350BF}">
          <x14:formula1>
            <xm:f>COEFFICIENTS!$A$87:$A$88</xm:f>
          </x14:formula1>
          <xm:sqref>I14</xm:sqref>
        </x14:dataValidation>
        <x14:dataValidation type="list" allowBlank="1" showInputMessage="1" showErrorMessage="1" xr:uid="{A498F202-D105-414F-9AA5-7975046D93F4}">
          <x14:formula1>
            <xm:f>COEFFICIENTS!$A$90:$A$91</xm:f>
          </x14:formula1>
          <xm:sqref>I17:I18</xm:sqref>
        </x14:dataValidation>
        <x14:dataValidation type="list" allowBlank="1" showInputMessage="1" showErrorMessage="1" xr:uid="{CBA8039D-2385-5141-8613-8CD3FD46ACAA}">
          <x14:formula1>
            <xm:f>'ITI. FEUILLUS'!$C$68:$C$71</xm:f>
          </x14:formula1>
          <xm:sqref>E3</xm:sqref>
        </x14:dataValidation>
        <x14:dataValidation type="list" allowBlank="1" showInputMessage="1" showErrorMessage="1" xr:uid="{DF839811-6C62-4E40-B822-10A5832E2EAA}">
          <x14:formula1>
            <xm:f>'ITI. FEUILLUS'!$C$39:$C$41</xm:f>
          </x14:formula1>
          <xm:sqref>E4</xm:sqref>
        </x14:dataValidation>
        <x14:dataValidation type="list" allowBlank="1" showInputMessage="1" showErrorMessage="1" xr:uid="{0764FA95-2A19-2443-8A5B-49BC1027C95F}">
          <x14:formula1>
            <xm:f>'ITI. FEUILLUS'!$C$4:$C$9</xm:f>
          </x14:formula1>
          <xm:sqref>E5</xm:sqref>
        </x14:dataValidation>
        <x14:dataValidation type="list" allowBlank="1" showInputMessage="1" showErrorMessage="1" xr:uid="{E3F1F72B-B3B9-2648-963A-23F7F4129EA4}">
          <x14:formula1>
            <xm:f>'ITI. FEUILLUS'!$C$98:$C$99</xm:f>
          </x14:formula1>
          <xm:sqref>E6</xm:sqref>
        </x14:dataValidation>
        <x14:dataValidation type="list" allowBlank="1" showInputMessage="1" showErrorMessage="1" xr:uid="{59DDF623-25E6-A143-A358-00CB1BC6BE8D}">
          <x14:formula1>
            <xm:f>'ITI. FEUILLUS'!$C$126:$C$130</xm:f>
          </x14:formula1>
          <xm:sqref>E7</xm:sqref>
        </x14:dataValidation>
        <x14:dataValidation type="list" allowBlank="1" showInputMessage="1" showErrorMessage="1" xr:uid="{F783C593-A9FB-4946-946C-62951854631F}">
          <x14:formula1>
            <xm:f>'ITI. RESINEUX'!$C$4:$C$7</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48C6-CA3C-DB46-98DC-A859D70CE6E6}">
  <dimension ref="A1:E94"/>
  <sheetViews>
    <sheetView workbookViewId="0">
      <selection activeCell="G6" sqref="G6"/>
    </sheetView>
  </sheetViews>
  <sheetFormatPr baseColWidth="10" defaultRowHeight="16"/>
  <cols>
    <col min="1" max="1" width="21.83203125" customWidth="1"/>
    <col min="2" max="3" width="13.83203125" customWidth="1"/>
    <col min="4" max="4" width="23.6640625" bestFit="1" customWidth="1"/>
    <col min="5" max="5" width="21.6640625" customWidth="1"/>
  </cols>
  <sheetData>
    <row r="1" spans="1:5">
      <c r="A1" s="255" t="s">
        <v>117</v>
      </c>
      <c r="B1" s="256"/>
      <c r="D1" s="182"/>
    </row>
    <row r="2" spans="1:5">
      <c r="A2" s="35" t="s">
        <v>53</v>
      </c>
      <c r="B2" s="14">
        <v>5</v>
      </c>
      <c r="D2" s="183"/>
    </row>
    <row r="3" spans="1:5">
      <c r="A3" s="48" t="s">
        <v>266</v>
      </c>
      <c r="B3" s="49">
        <v>0</v>
      </c>
      <c r="D3" s="183"/>
    </row>
    <row r="4" spans="1:5" ht="17" thickBot="1">
      <c r="A4" s="36" t="s">
        <v>116</v>
      </c>
      <c r="B4" s="15">
        <v>0.5</v>
      </c>
    </row>
    <row r="6" spans="1:5" ht="17" thickBot="1"/>
    <row r="7" spans="1:5">
      <c r="A7" s="252" t="s">
        <v>185</v>
      </c>
      <c r="B7" s="253"/>
      <c r="C7" s="254"/>
    </row>
    <row r="8" spans="1:5">
      <c r="A8" s="35" t="s">
        <v>118</v>
      </c>
      <c r="B8" s="33" t="s">
        <v>122</v>
      </c>
      <c r="C8" s="23" t="s">
        <v>121</v>
      </c>
    </row>
    <row r="9" spans="1:5">
      <c r="A9" s="24" t="s">
        <v>119</v>
      </c>
      <c r="B9" s="13">
        <v>1.3</v>
      </c>
      <c r="C9" s="14">
        <v>1.28</v>
      </c>
    </row>
    <row r="10" spans="1:5" ht="17" thickBot="1">
      <c r="A10" s="34" t="s">
        <v>120</v>
      </c>
      <c r="B10" s="32">
        <v>1.3</v>
      </c>
      <c r="C10" s="15">
        <v>1.56</v>
      </c>
    </row>
    <row r="12" spans="1:5" ht="17" thickBot="1"/>
    <row r="13" spans="1:5" ht="32" customHeight="1" thickBot="1">
      <c r="A13" s="16" t="s">
        <v>123</v>
      </c>
      <c r="B13" s="17" t="s">
        <v>186</v>
      </c>
      <c r="D13" s="41" t="s">
        <v>204</v>
      </c>
      <c r="E13" s="42" t="s">
        <v>210</v>
      </c>
    </row>
    <row r="14" spans="1:5">
      <c r="A14" s="20" t="s">
        <v>124</v>
      </c>
      <c r="B14" s="21">
        <v>0.62</v>
      </c>
      <c r="D14" s="43" t="s">
        <v>205</v>
      </c>
      <c r="E14" s="44">
        <v>5.0999999999999996</v>
      </c>
    </row>
    <row r="15" spans="1:5">
      <c r="A15" s="22" t="s">
        <v>125</v>
      </c>
      <c r="B15" s="23">
        <v>0.64</v>
      </c>
      <c r="D15" s="22" t="s">
        <v>111</v>
      </c>
      <c r="E15" s="23">
        <v>5.6</v>
      </c>
    </row>
    <row r="16" spans="1:5">
      <c r="A16" s="22" t="s">
        <v>126</v>
      </c>
      <c r="B16" s="23">
        <v>0.42</v>
      </c>
      <c r="D16" s="22" t="s">
        <v>112</v>
      </c>
      <c r="E16" s="23">
        <v>7.1</v>
      </c>
    </row>
    <row r="17" spans="1:5">
      <c r="A17" s="22" t="s">
        <v>128</v>
      </c>
      <c r="B17" s="23">
        <v>0.42</v>
      </c>
      <c r="D17" s="22" t="s">
        <v>206</v>
      </c>
      <c r="E17" s="23">
        <v>3.9</v>
      </c>
    </row>
    <row r="18" spans="1:5">
      <c r="A18" s="22" t="s">
        <v>114</v>
      </c>
      <c r="B18" s="23">
        <v>0.52</v>
      </c>
      <c r="D18" s="18" t="s">
        <v>207</v>
      </c>
      <c r="E18" s="19">
        <v>11.8</v>
      </c>
    </row>
    <row r="19" spans="1:5">
      <c r="A19" s="18" t="s">
        <v>127</v>
      </c>
      <c r="B19" s="19">
        <v>0.36</v>
      </c>
      <c r="D19" s="18" t="s">
        <v>166</v>
      </c>
      <c r="E19" s="19">
        <v>6.6</v>
      </c>
    </row>
    <row r="20" spans="1:5">
      <c r="A20" s="22" t="s">
        <v>113</v>
      </c>
      <c r="B20" s="23">
        <v>0.61</v>
      </c>
      <c r="D20" s="18" t="s">
        <v>170</v>
      </c>
      <c r="E20" s="19">
        <v>4.5</v>
      </c>
    </row>
    <row r="21" spans="1:5">
      <c r="A21" s="22" t="s">
        <v>129</v>
      </c>
      <c r="B21" s="23">
        <v>0.66</v>
      </c>
      <c r="D21" s="18" t="s">
        <v>208</v>
      </c>
      <c r="E21" s="19">
        <v>14.2</v>
      </c>
    </row>
    <row r="22" spans="1:5" ht="17" thickBot="1">
      <c r="A22" s="22" t="s">
        <v>112</v>
      </c>
      <c r="B22" s="23">
        <v>0.47</v>
      </c>
      <c r="D22" s="45" t="s">
        <v>209</v>
      </c>
      <c r="E22" s="46">
        <v>5.0999999999999996</v>
      </c>
    </row>
    <row r="23" spans="1:5">
      <c r="A23" s="22" t="s">
        <v>130</v>
      </c>
      <c r="B23" s="23">
        <v>0.67</v>
      </c>
    </row>
    <row r="24" spans="1:5">
      <c r="A24" s="22" t="s">
        <v>131</v>
      </c>
      <c r="B24" s="23">
        <v>0.7</v>
      </c>
    </row>
    <row r="25" spans="1:5">
      <c r="A25" s="22" t="s">
        <v>132</v>
      </c>
      <c r="B25" s="23">
        <v>0.54</v>
      </c>
    </row>
    <row r="26" spans="1:5">
      <c r="A26" s="22" t="s">
        <v>133</v>
      </c>
      <c r="B26" s="23">
        <v>0.65</v>
      </c>
    </row>
    <row r="27" spans="1:5">
      <c r="A27" s="22" t="s">
        <v>134</v>
      </c>
      <c r="B27" s="23">
        <v>0.56000000000000005</v>
      </c>
    </row>
    <row r="28" spans="1:5">
      <c r="A28" s="22" t="s">
        <v>135</v>
      </c>
      <c r="B28" s="23">
        <v>0.57999999999999996</v>
      </c>
    </row>
    <row r="29" spans="1:5">
      <c r="A29" s="22" t="s">
        <v>136</v>
      </c>
      <c r="B29" s="23">
        <v>0.64</v>
      </c>
    </row>
    <row r="30" spans="1:5">
      <c r="A30" s="22" t="s">
        <v>137</v>
      </c>
      <c r="B30" s="23">
        <v>0.73</v>
      </c>
    </row>
    <row r="31" spans="1:5">
      <c r="A31" s="22" t="s">
        <v>138</v>
      </c>
      <c r="B31" s="23">
        <v>0.56000000000000005</v>
      </c>
    </row>
    <row r="32" spans="1:5">
      <c r="A32" s="22" t="s">
        <v>139</v>
      </c>
      <c r="B32" s="23">
        <v>0.74</v>
      </c>
    </row>
    <row r="33" spans="1:2">
      <c r="A33" s="18" t="s">
        <v>140</v>
      </c>
      <c r="B33" s="19">
        <v>0.4</v>
      </c>
    </row>
    <row r="34" spans="1:2">
      <c r="A34" s="22" t="s">
        <v>141</v>
      </c>
      <c r="B34" s="23">
        <v>0.6</v>
      </c>
    </row>
    <row r="35" spans="1:2">
      <c r="A35" s="18" t="s">
        <v>115</v>
      </c>
      <c r="B35" s="19">
        <v>0.43</v>
      </c>
    </row>
    <row r="36" spans="1:2">
      <c r="A36" s="18" t="s">
        <v>142</v>
      </c>
      <c r="B36" s="19">
        <v>0.37</v>
      </c>
    </row>
    <row r="37" spans="1:2">
      <c r="A37" s="18" t="s">
        <v>143</v>
      </c>
      <c r="B37" s="19">
        <v>0.36</v>
      </c>
    </row>
    <row r="38" spans="1:2">
      <c r="A38" s="22" t="s">
        <v>144</v>
      </c>
      <c r="B38" s="23">
        <v>0.51</v>
      </c>
    </row>
    <row r="39" spans="1:2">
      <c r="A39" s="22" t="s">
        <v>155</v>
      </c>
      <c r="B39" s="23">
        <v>0.56000000000000005</v>
      </c>
    </row>
    <row r="40" spans="1:2">
      <c r="A40" s="22" t="s">
        <v>145</v>
      </c>
      <c r="B40" s="23">
        <v>0.56000000000000005</v>
      </c>
    </row>
    <row r="41" spans="1:2">
      <c r="A41" s="18" t="s">
        <v>146</v>
      </c>
      <c r="B41" s="19">
        <v>0.48</v>
      </c>
    </row>
    <row r="42" spans="1:2">
      <c r="A42" s="22" t="s">
        <v>111</v>
      </c>
      <c r="B42" s="23">
        <v>0.55000000000000004</v>
      </c>
    </row>
    <row r="43" spans="1:2">
      <c r="A43" s="22" t="s">
        <v>147</v>
      </c>
      <c r="B43" s="23">
        <v>0.56000000000000005</v>
      </c>
    </row>
    <row r="44" spans="1:2">
      <c r="A44" s="22" t="s">
        <v>148</v>
      </c>
      <c r="B44" s="23">
        <v>0.57999999999999996</v>
      </c>
    </row>
    <row r="45" spans="1:2">
      <c r="A45" s="18" t="s">
        <v>149</v>
      </c>
      <c r="B45" s="19">
        <v>0.57999999999999996</v>
      </c>
    </row>
    <row r="46" spans="1:2">
      <c r="A46" s="18" t="s">
        <v>150</v>
      </c>
      <c r="B46" s="19">
        <v>0.48</v>
      </c>
    </row>
    <row r="47" spans="1:2">
      <c r="A47" s="18" t="s">
        <v>151</v>
      </c>
      <c r="B47" s="19">
        <v>0.42</v>
      </c>
    </row>
    <row r="48" spans="1:2">
      <c r="A48" s="22" t="s">
        <v>152</v>
      </c>
      <c r="B48" s="23">
        <v>0.5</v>
      </c>
    </row>
    <row r="49" spans="1:2">
      <c r="A49" s="22" t="s">
        <v>153</v>
      </c>
      <c r="B49" s="23">
        <v>0.55000000000000004</v>
      </c>
    </row>
    <row r="50" spans="1:2">
      <c r="A50" s="22" t="s">
        <v>154</v>
      </c>
      <c r="B50" s="23">
        <v>0.53</v>
      </c>
    </row>
    <row r="51" spans="1:2">
      <c r="A51" s="22" t="s">
        <v>156</v>
      </c>
      <c r="B51" s="23">
        <v>0.52</v>
      </c>
    </row>
    <row r="52" spans="1:2">
      <c r="A52" s="22" t="s">
        <v>157</v>
      </c>
      <c r="B52" s="23">
        <v>0.52</v>
      </c>
    </row>
    <row r="53" spans="1:2">
      <c r="A53" s="22" t="s">
        <v>158</v>
      </c>
      <c r="B53" s="23">
        <v>0.75</v>
      </c>
    </row>
    <row r="54" spans="1:2">
      <c r="A54" s="22" t="s">
        <v>159</v>
      </c>
      <c r="B54" s="23">
        <v>0.52</v>
      </c>
    </row>
    <row r="55" spans="1:2">
      <c r="A55" s="22" t="s">
        <v>160</v>
      </c>
      <c r="B55" s="23">
        <v>0.35</v>
      </c>
    </row>
    <row r="56" spans="1:2">
      <c r="A56" s="22" t="s">
        <v>161</v>
      </c>
      <c r="B56" s="23">
        <v>0.37</v>
      </c>
    </row>
    <row r="57" spans="1:2">
      <c r="A57" s="18" t="s">
        <v>162</v>
      </c>
      <c r="B57" s="19">
        <v>0.45</v>
      </c>
    </row>
    <row r="58" spans="1:2">
      <c r="A58" s="18" t="s">
        <v>163</v>
      </c>
      <c r="B58" s="19">
        <v>0.39</v>
      </c>
    </row>
    <row r="59" spans="1:2">
      <c r="A59" s="18" t="s">
        <v>164</v>
      </c>
      <c r="B59" s="19">
        <v>0.44</v>
      </c>
    </row>
    <row r="60" spans="1:2">
      <c r="A60" s="18" t="s">
        <v>165</v>
      </c>
      <c r="B60" s="19">
        <v>0.46</v>
      </c>
    </row>
    <row r="61" spans="1:2">
      <c r="A61" s="18" t="s">
        <v>166</v>
      </c>
      <c r="B61" s="19">
        <v>0.46</v>
      </c>
    </row>
    <row r="62" spans="1:2">
      <c r="A62" s="18" t="s">
        <v>167</v>
      </c>
      <c r="B62" s="19">
        <v>0.44</v>
      </c>
    </row>
    <row r="63" spans="1:2">
      <c r="A63" s="18" t="s">
        <v>168</v>
      </c>
      <c r="B63" s="19">
        <v>0.46</v>
      </c>
    </row>
    <row r="64" spans="1:2">
      <c r="A64" s="18" t="s">
        <v>169</v>
      </c>
      <c r="B64" s="19">
        <v>0.48</v>
      </c>
    </row>
    <row r="65" spans="1:2">
      <c r="A65" s="18" t="s">
        <v>170</v>
      </c>
      <c r="B65" s="19">
        <v>0.44</v>
      </c>
    </row>
    <row r="66" spans="1:2">
      <c r="A66" s="18" t="s">
        <v>171</v>
      </c>
      <c r="B66" s="19">
        <v>0.34</v>
      </c>
    </row>
    <row r="67" spans="1:2">
      <c r="A67" s="22" t="s">
        <v>172</v>
      </c>
      <c r="B67" s="23">
        <v>0.5</v>
      </c>
    </row>
    <row r="68" spans="1:2">
      <c r="A68" s="22" t="s">
        <v>173</v>
      </c>
      <c r="B68" s="23">
        <v>0.57999999999999996</v>
      </c>
    </row>
    <row r="69" spans="1:2">
      <c r="A69" s="18" t="s">
        <v>174</v>
      </c>
      <c r="B69" s="19">
        <v>0.37</v>
      </c>
    </row>
    <row r="70" spans="1:2">
      <c r="A70" s="18" t="s">
        <v>175</v>
      </c>
      <c r="B70" s="19">
        <v>0.37</v>
      </c>
    </row>
    <row r="71" spans="1:2">
      <c r="A71" s="18" t="s">
        <v>176</v>
      </c>
      <c r="B71" s="19">
        <v>0.38</v>
      </c>
    </row>
    <row r="72" spans="1:2">
      <c r="A72" s="18" t="s">
        <v>177</v>
      </c>
      <c r="B72" s="19">
        <v>0.36</v>
      </c>
    </row>
    <row r="73" spans="1:2">
      <c r="A73" s="22" t="s">
        <v>178</v>
      </c>
      <c r="B73" s="23">
        <v>0.37</v>
      </c>
    </row>
    <row r="74" spans="1:2">
      <c r="A74" s="22" t="s">
        <v>179</v>
      </c>
      <c r="B74" s="23">
        <v>0.53</v>
      </c>
    </row>
    <row r="75" spans="1:2">
      <c r="A75" s="22" t="s">
        <v>180</v>
      </c>
      <c r="B75" s="23">
        <v>0.43</v>
      </c>
    </row>
    <row r="76" spans="1:2" ht="17" thickBot="1">
      <c r="A76" s="26" t="s">
        <v>181</v>
      </c>
      <c r="B76" s="27">
        <v>0.38</v>
      </c>
    </row>
    <row r="77" spans="1:2">
      <c r="A77" s="30" t="s">
        <v>183</v>
      </c>
      <c r="B77" s="31">
        <v>0.42</v>
      </c>
    </row>
    <row r="78" spans="1:2">
      <c r="A78" s="24" t="s">
        <v>184</v>
      </c>
      <c r="B78" s="25">
        <v>0.56999999999999995</v>
      </c>
    </row>
    <row r="79" spans="1:2" ht="17" thickBot="1">
      <c r="A79" s="28" t="s">
        <v>182</v>
      </c>
      <c r="B79" s="29">
        <v>0.54</v>
      </c>
    </row>
    <row r="83" spans="1:1">
      <c r="A83" t="s">
        <v>327</v>
      </c>
    </row>
    <row r="84" spans="1:1">
      <c r="A84" t="s">
        <v>326</v>
      </c>
    </row>
    <row r="85" spans="1:1">
      <c r="A85" t="s">
        <v>328</v>
      </c>
    </row>
    <row r="87" spans="1:1">
      <c r="A87" t="s">
        <v>337</v>
      </c>
    </row>
    <row r="88" spans="1:1">
      <c r="A88" t="s">
        <v>338</v>
      </c>
    </row>
    <row r="90" spans="1:1">
      <c r="A90" t="s">
        <v>340</v>
      </c>
    </row>
    <row r="91" spans="1:1">
      <c r="A91" t="s">
        <v>341</v>
      </c>
    </row>
    <row r="93" spans="1:1">
      <c r="A93" t="s">
        <v>388</v>
      </c>
    </row>
    <row r="94" spans="1:1">
      <c r="A94" t="s">
        <v>389</v>
      </c>
    </row>
  </sheetData>
  <mergeCells count="2">
    <mergeCell ref="A7:C7"/>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8CD3-F109-854F-BCC7-9E474EC6C536}">
  <dimension ref="A1:AD86"/>
  <sheetViews>
    <sheetView topLeftCell="A15" zoomScale="75" zoomScaleNormal="75" workbookViewId="0">
      <selection activeCell="H22" sqref="H22"/>
    </sheetView>
  </sheetViews>
  <sheetFormatPr baseColWidth="10" defaultColWidth="12.83203125" defaultRowHeight="19"/>
  <cols>
    <col min="1" max="1" width="38.83203125" style="70" customWidth="1"/>
    <col min="2" max="2" width="15.5" style="70" bestFit="1" customWidth="1"/>
    <col min="3" max="3" width="13.83203125" style="70" bestFit="1" customWidth="1"/>
    <col min="4" max="12" width="15.5" style="70" bestFit="1" customWidth="1"/>
    <col min="13" max="13" width="13.83203125" style="70" bestFit="1" customWidth="1"/>
    <col min="14" max="30" width="15.5" style="70" bestFit="1" customWidth="1"/>
    <col min="31" max="16384" width="12.83203125" style="70"/>
  </cols>
  <sheetData>
    <row r="1" spans="1:8" s="125" customFormat="1" ht="48" customHeight="1">
      <c r="A1" s="185" t="s">
        <v>222</v>
      </c>
      <c r="B1" s="185"/>
      <c r="C1" s="185"/>
      <c r="D1" s="185"/>
      <c r="E1" s="185"/>
      <c r="F1" s="50"/>
      <c r="G1" s="50"/>
      <c r="H1" s="50"/>
    </row>
    <row r="2" spans="1:8" s="125" customFormat="1" ht="60">
      <c r="A2" s="170" t="s">
        <v>123</v>
      </c>
      <c r="B2" s="170" t="s">
        <v>223</v>
      </c>
      <c r="C2" s="170" t="s">
        <v>221</v>
      </c>
      <c r="D2" s="170" t="s">
        <v>224</v>
      </c>
      <c r="E2" s="170" t="s">
        <v>226</v>
      </c>
      <c r="F2" s="53"/>
    </row>
    <row r="3" spans="1:8" s="125" customFormat="1" ht="48" customHeight="1">
      <c r="A3" s="169" t="s">
        <v>463</v>
      </c>
      <c r="B3" s="101">
        <f>IF(BOISEMENT!C3=0,0,1)</f>
        <v>1</v>
      </c>
      <c r="C3" s="186">
        <f>BOISEMENT!D3</f>
        <v>0.19480519480519481</v>
      </c>
      <c r="D3" s="171">
        <f>C3*B3</f>
        <v>0.19480519480519481</v>
      </c>
      <c r="E3" s="171">
        <f>D3*COEFFICIENTS!B28</f>
        <v>0.11298701298701298</v>
      </c>
    </row>
    <row r="4" spans="1:8" s="125" customFormat="1" ht="48" customHeight="1">
      <c r="A4" s="169" t="s">
        <v>464</v>
      </c>
      <c r="B4" s="101">
        <f>IF(BOISEMENT!C4=0,0,1)</f>
        <v>1</v>
      </c>
      <c r="C4" s="186">
        <f>BOISEMENT!D4</f>
        <v>0.19480519480519481</v>
      </c>
      <c r="D4" s="171">
        <f t="shared" ref="D4:D8" si="0">C4*B4</f>
        <v>0.19480519480519481</v>
      </c>
      <c r="E4" s="171">
        <f>D4*COEFFICIENTS!B42</f>
        <v>0.10714285714285715</v>
      </c>
    </row>
    <row r="5" spans="1:8" s="125" customFormat="1" ht="48" customHeight="1">
      <c r="A5" s="169" t="s">
        <v>465</v>
      </c>
      <c r="B5" s="101">
        <f>IF(BOISEMENT!C5=0,0,1)</f>
        <v>1</v>
      </c>
      <c r="C5" s="186">
        <f>BOISEMENT!D5</f>
        <v>5.1948051948051951E-2</v>
      </c>
      <c r="D5" s="171">
        <f t="shared" si="0"/>
        <v>5.1948051948051951E-2</v>
      </c>
      <c r="E5" s="171">
        <f>D5*COEFFICIENTS!B18</f>
        <v>2.7012987012987016E-2</v>
      </c>
    </row>
    <row r="6" spans="1:8" s="125" customFormat="1" ht="48" customHeight="1">
      <c r="A6" s="169" t="s">
        <v>466</v>
      </c>
      <c r="B6" s="101">
        <f>IF(BOISEMENT!C6=0,0,1)</f>
        <v>1</v>
      </c>
      <c r="C6" s="186">
        <f>BOISEMENT!D6</f>
        <v>0.19480519480519481</v>
      </c>
      <c r="D6" s="171">
        <f t="shared" si="0"/>
        <v>0.19480519480519481</v>
      </c>
      <c r="E6" s="171">
        <f>D6*COEFFICIENTS!B22</f>
        <v>9.1558441558441561E-2</v>
      </c>
    </row>
    <row r="7" spans="1:8" s="125" customFormat="1" ht="48" customHeight="1">
      <c r="A7" s="169" t="s">
        <v>467</v>
      </c>
      <c r="B7" s="101">
        <f>IF(BOISEMENT!C7=0,0,1)</f>
        <v>1</v>
      </c>
      <c r="C7" s="186">
        <f>BOISEMENT!D7</f>
        <v>0.19480519480519481</v>
      </c>
      <c r="D7" s="171">
        <f t="shared" si="0"/>
        <v>0.19480519480519481</v>
      </c>
      <c r="E7" s="171">
        <f>D7*COEFFICIENTS!B38</f>
        <v>9.9350649350649356E-2</v>
      </c>
    </row>
    <row r="8" spans="1:8" s="125" customFormat="1" ht="48" customHeight="1">
      <c r="A8" s="169" t="s">
        <v>468</v>
      </c>
      <c r="B8" s="101">
        <f>IF(BOISEMENT!C8=0,0,1)</f>
        <v>1</v>
      </c>
      <c r="C8" s="186">
        <f>BOISEMENT!D8</f>
        <v>0.16883116883116883</v>
      </c>
      <c r="D8" s="171">
        <f t="shared" si="0"/>
        <v>0.16883116883116883</v>
      </c>
      <c r="E8" s="171">
        <f>D8*COEFFICIENTS!B35</f>
        <v>7.2597402597402591E-2</v>
      </c>
    </row>
    <row r="9" spans="1:8" s="125" customFormat="1" ht="48" customHeight="1">
      <c r="A9" s="169"/>
      <c r="B9" s="101"/>
      <c r="C9" s="186"/>
      <c r="D9" s="171"/>
      <c r="E9" s="171"/>
    </row>
    <row r="10" spans="1:8" s="125" customFormat="1" ht="48" customHeight="1">
      <c r="A10" s="169"/>
      <c r="B10" s="101"/>
      <c r="C10" s="186"/>
      <c r="D10" s="171"/>
      <c r="E10" s="171"/>
    </row>
    <row r="11" spans="1:8" s="125" customFormat="1" ht="48" customHeight="1">
      <c r="A11" s="169"/>
      <c r="B11" s="101"/>
      <c r="C11" s="186"/>
      <c r="D11" s="171"/>
      <c r="E11" s="171"/>
    </row>
    <row r="12" spans="1:8" s="125" customFormat="1" ht="48" customHeight="1">
      <c r="A12" s="169"/>
      <c r="B12" s="101"/>
      <c r="C12" s="186"/>
      <c r="D12" s="171"/>
      <c r="E12" s="171"/>
    </row>
    <row r="13" spans="1:8" s="125" customFormat="1" ht="48" customHeight="1">
      <c r="A13" s="120" t="s">
        <v>227</v>
      </c>
      <c r="B13" s="120"/>
      <c r="C13" s="57">
        <f>SUM(C3:C12)</f>
        <v>1</v>
      </c>
      <c r="D13" s="173">
        <f>SUM(D3:D12)</f>
        <v>1</v>
      </c>
      <c r="E13" s="173">
        <f>SUM(E3:E12)</f>
        <v>0.51064935064935069</v>
      </c>
    </row>
    <row r="14" spans="1:8" s="125" customFormat="1" ht="48" customHeight="1"/>
    <row r="15" spans="1:8" s="125" customFormat="1" ht="48" customHeight="1">
      <c r="A15" s="132" t="s">
        <v>231</v>
      </c>
      <c r="B15" s="231">
        <f>BOISEMENT!C19</f>
        <v>13.57</v>
      </c>
      <c r="C15" s="231"/>
    </row>
    <row r="16" spans="1:8" s="125" customFormat="1" ht="48" customHeight="1">
      <c r="A16" s="132" t="s">
        <v>117</v>
      </c>
      <c r="B16" s="231" t="str">
        <f>BOISEMENT!C20</f>
        <v>Agricole</v>
      </c>
      <c r="C16" s="231"/>
    </row>
    <row r="17" spans="1:30" s="125" customFormat="1" ht="48" customHeight="1"/>
    <row r="18" spans="1:30" s="125" customFormat="1" ht="60">
      <c r="A18" s="124" t="s">
        <v>218</v>
      </c>
      <c r="B18" s="124" t="s">
        <v>262</v>
      </c>
      <c r="C18" s="174">
        <v>5</v>
      </c>
      <c r="D18" s="174">
        <v>10</v>
      </c>
      <c r="E18" s="174">
        <v>15</v>
      </c>
      <c r="F18" s="174">
        <v>20</v>
      </c>
      <c r="G18" s="174">
        <v>25</v>
      </c>
      <c r="H18" s="174">
        <v>30</v>
      </c>
      <c r="I18" s="174">
        <v>35</v>
      </c>
      <c r="J18" s="174">
        <v>40</v>
      </c>
      <c r="K18" s="174">
        <v>45</v>
      </c>
      <c r="L18" s="174">
        <v>50</v>
      </c>
      <c r="M18" s="174">
        <v>55</v>
      </c>
      <c r="N18" s="174">
        <v>60</v>
      </c>
      <c r="O18" s="174">
        <v>65</v>
      </c>
      <c r="P18" s="174">
        <v>70</v>
      </c>
      <c r="Q18" s="174">
        <v>75</v>
      </c>
      <c r="R18" s="174">
        <v>80</v>
      </c>
      <c r="S18" s="174">
        <v>85</v>
      </c>
      <c r="T18" s="174">
        <v>90</v>
      </c>
      <c r="U18" s="174">
        <v>95</v>
      </c>
      <c r="V18" s="174">
        <v>100</v>
      </c>
      <c r="W18" s="174">
        <v>105</v>
      </c>
      <c r="X18" s="174">
        <v>110</v>
      </c>
      <c r="Y18" s="174">
        <v>115</v>
      </c>
      <c r="Z18" s="174">
        <v>120</v>
      </c>
      <c r="AA18" s="174">
        <v>125</v>
      </c>
      <c r="AB18" s="174">
        <v>130</v>
      </c>
      <c r="AC18" s="174">
        <v>135</v>
      </c>
      <c r="AD18" s="174">
        <v>140</v>
      </c>
    </row>
    <row r="19" spans="1:30" s="125" customFormat="1" ht="48" customHeight="1">
      <c r="A19" s="62" t="s">
        <v>261</v>
      </c>
      <c r="B19" s="62">
        <f>H19*$B$15</f>
        <v>0</v>
      </c>
      <c r="C19" s="130">
        <f>IF(B16=COEFFICIENTS!A4,E13*0.475*5,0)</f>
        <v>0</v>
      </c>
      <c r="D19" s="130">
        <f>IF($B$16=COEFFICIENTS!$A$4,C19+($E$13*0.475*5)-(C28/$B$15),0)</f>
        <v>0</v>
      </c>
      <c r="E19" s="171">
        <f>IF($B$16=COEFFICIENTS!$A$4,D19+($E$13*0.475*5)-(D28/$B$15),0)</f>
        <v>0</v>
      </c>
      <c r="F19" s="171">
        <f>IF($B$16=COEFFICIENTS!$A$4,E19+($E$13*0.475*5)-(E28/$B$15),0)</f>
        <v>0</v>
      </c>
      <c r="G19" s="171">
        <f>IF($B$16=COEFFICIENTS!$A$4,F19+($E$13*0.475*5)-(F28/$B$15),0)</f>
        <v>0</v>
      </c>
      <c r="H19" s="171">
        <f>IF($B$16=COEFFICIENTS!$A$4,G19+($E$13*0.475*5)-(G28/$B$15),0)</f>
        <v>0</v>
      </c>
      <c r="I19" s="171">
        <f>IF($B$16=COEFFICIENTS!$A$4,H19+($E$13*0.475*5)-(H28/$B$15),0)</f>
        <v>0</v>
      </c>
      <c r="J19" s="171">
        <f>IF($B$16=COEFFICIENTS!$A$4,I19+($E$13*0.475*5)-(I28/$B$15),0)</f>
        <v>0</v>
      </c>
      <c r="K19" s="171">
        <f>IF($B$16=COEFFICIENTS!$A$4,J19+($E$13*0.475*5)-(J28/$B$15),0)</f>
        <v>0</v>
      </c>
      <c r="L19" s="171">
        <f>IF($B$16=COEFFICIENTS!$A$4,K19+($E$13*0.475*5)-(K28/$B$15),0)</f>
        <v>0</v>
      </c>
      <c r="M19" s="171">
        <f>IF($B$16=COEFFICIENTS!$A$4,L19+($E$13*0.475*5)-(L28/$B$15),0)</f>
        <v>0</v>
      </c>
      <c r="N19" s="171">
        <f>IF($B$16=COEFFICIENTS!$A$4,M19+($E$13*0.475*5)-(M28/$B$15),0)</f>
        <v>0</v>
      </c>
      <c r="O19" s="171">
        <f>IF($B$16=COEFFICIENTS!$A$4,N19+($E$13*0.475*5)-(N28/$B$15),0)</f>
        <v>0</v>
      </c>
      <c r="P19" s="171">
        <f>IF($B$16=COEFFICIENTS!$A$4,O19+($E$13*0.475*5)-(O28/$B$15),0)</f>
        <v>0</v>
      </c>
      <c r="Q19" s="171">
        <f>IF($B$16=COEFFICIENTS!$A$4,P19+($E$13*0.475*5)-(P28/$B$15),0)</f>
        <v>0</v>
      </c>
      <c r="R19" s="171">
        <f>IF($B$16=COEFFICIENTS!$A$4,Q19+($E$13*0.475*5)-(Q28/$B$15),0)</f>
        <v>0</v>
      </c>
      <c r="S19" s="171">
        <f>IF($B$16=COEFFICIENTS!$A$4,R19+($E$13*0.475*5)-(R28/$B$15),0)</f>
        <v>0</v>
      </c>
      <c r="T19" s="171">
        <f>IF($B$16=COEFFICIENTS!$A$4,S19+($E$13*0.475*5)-(S28/$B$15),0)</f>
        <v>0</v>
      </c>
      <c r="U19" s="171">
        <f>IF($B$16=COEFFICIENTS!$A$4,T19+($E$13*0.475*5)-(T28/$B$15),0)</f>
        <v>0</v>
      </c>
      <c r="V19" s="171">
        <f>IF($B$16=COEFFICIENTS!$A$4,U19+($E$13*0.475*5)-(U28/$B$15),0)</f>
        <v>0</v>
      </c>
      <c r="W19" s="171">
        <f>IF($B$16=COEFFICIENTS!$A$4,V19+($E$13*0.475*5)-(V28/$B$15),0)</f>
        <v>0</v>
      </c>
      <c r="X19" s="171">
        <f>IF($B$16=COEFFICIENTS!$A$4,W19+($E$13*0.475*5)-(W28/$B$15),0)</f>
        <v>0</v>
      </c>
      <c r="Y19" s="171">
        <f>IF($B$16=COEFFICIENTS!$A$4,X19+($E$13*0.475*5)-(X28/$B$15),0)</f>
        <v>0</v>
      </c>
      <c r="Z19" s="171">
        <f>IF($B$16=COEFFICIENTS!$A$4,Y19+($E$13*0.475*5)-(Y28/$B$15),0)</f>
        <v>0</v>
      </c>
      <c r="AA19" s="171">
        <f>IF($B$16=COEFFICIENTS!$A$4,Z19+($E$13*0.475*5)-(Z28/$B$15),0)</f>
        <v>0</v>
      </c>
      <c r="AB19" s="171">
        <f>IF($B$16=COEFFICIENTS!$A$4,AA19+($E$13*0.475*5)-(AA28/$B$15),0)</f>
        <v>0</v>
      </c>
      <c r="AC19" s="171">
        <f>IF($B$16=COEFFICIENTS!$A$4,AB19+($E$13*0.475*5)-(AB28/$B$15),0)</f>
        <v>0</v>
      </c>
      <c r="AD19" s="171">
        <f>IF($B$16=COEFFICIENTS!$A$4,AC19+($E$13*0.475*5)-(AC28/$B$15),0)</f>
        <v>0</v>
      </c>
    </row>
    <row r="20" spans="1:30" s="125" customFormat="1" ht="48" customHeight="1">
      <c r="A20" s="62" t="s">
        <v>230</v>
      </c>
      <c r="B20" s="62">
        <f t="shared" ref="B20:B21" si="1">H20*$B$15</f>
        <v>0</v>
      </c>
      <c r="C20" s="130">
        <f>IF($B$16=COEFFICIENTS!A4,E13*5,0)</f>
        <v>0</v>
      </c>
      <c r="D20" s="130">
        <f>IF($B$16=COEFFICIENTS!$A$4,C20+($E$13*5)-(D27/$B$15),0)</f>
        <v>0</v>
      </c>
      <c r="E20" s="171">
        <f>IF($B$16=COEFFICIENTS!$A$4,D20+($E$13*5)-(E27/$B$15),0)</f>
        <v>0</v>
      </c>
      <c r="F20" s="171">
        <f>IF($B$16=COEFFICIENTS!$A$4,E20+($E$13*5)-(F27/$B$15),0)</f>
        <v>0</v>
      </c>
      <c r="G20" s="171">
        <f>IF($B$16=COEFFICIENTS!$A$4,F20+($E$13*5)-(G27/$B$15),0)</f>
        <v>0</v>
      </c>
      <c r="H20" s="171">
        <f>IF($B$16=COEFFICIENTS!$A$4,G20+($E$13*5)-(H27/$B$15),0)</f>
        <v>0</v>
      </c>
      <c r="I20" s="171">
        <f>IF($B$16=COEFFICIENTS!$A$4,H20+($E$13*5)-(I27/$B$15),0)</f>
        <v>0</v>
      </c>
      <c r="J20" s="171">
        <f>IF($B$16=COEFFICIENTS!$A$4,I20+($E$13*5)-(J27/$B$15),0)</f>
        <v>0</v>
      </c>
      <c r="K20" s="171">
        <f>IF($B$16=COEFFICIENTS!$A$4,J20+($E$13*5)-(K27/$B$15),0)</f>
        <v>0</v>
      </c>
      <c r="L20" s="171">
        <f>IF($B$16=COEFFICIENTS!$A$4,K20+($E$13*5)-(L27/$B$15),0)</f>
        <v>0</v>
      </c>
      <c r="M20" s="171">
        <f>IF($B$16=COEFFICIENTS!$A$4,L20+($E$13*5)-(M27/$B$15),0)</f>
        <v>0</v>
      </c>
      <c r="N20" s="171">
        <f>IF($B$16=COEFFICIENTS!$A$4,M20+($E$13*5)-(N27/$B$15),0)</f>
        <v>0</v>
      </c>
      <c r="O20" s="171">
        <f>IF($B$16=COEFFICIENTS!$A$4,N20+($E$13*5)-(O27/$B$15),0)</f>
        <v>0</v>
      </c>
      <c r="P20" s="171">
        <f>IF($B$16=COEFFICIENTS!$A$4,O20+($E$13*5)-(P27/$B$15),0)</f>
        <v>0</v>
      </c>
      <c r="Q20" s="171">
        <f>IF($B$16=COEFFICIENTS!$A$4,P20+($E$13*5)-(Q27/$B$15),0)</f>
        <v>0</v>
      </c>
      <c r="R20" s="171">
        <f>IF($B$16=COEFFICIENTS!$A$4,Q20+($E$13*5)-(R27/$B$15),0)</f>
        <v>0</v>
      </c>
      <c r="S20" s="171">
        <f>IF($B$16=COEFFICIENTS!$A$4,R20+($E$13*5)-(S27/$B$15),0)</f>
        <v>0</v>
      </c>
      <c r="T20" s="171">
        <f>IF($B$16=COEFFICIENTS!$A$4,S20+($E$13*5)-(T27/$B$15),0)</f>
        <v>0</v>
      </c>
      <c r="U20" s="171">
        <f>IF($B$16=COEFFICIENTS!$A$4,T20+($E$13*5)-(U27/$B$15),0)</f>
        <v>0</v>
      </c>
      <c r="V20" s="171">
        <f>IF($B$16=COEFFICIENTS!$A$4,U20+($E$13*5)-(V27/$B$15),0)</f>
        <v>0</v>
      </c>
      <c r="W20" s="171">
        <f>IF($B$16=COEFFICIENTS!$A$4,V20+($E$13*5)-(W27/$B$15),0)</f>
        <v>0</v>
      </c>
      <c r="X20" s="171">
        <f>IF($B$16=COEFFICIENTS!$A$4,W20+($E$13*5)-(X27/$B$15),0)</f>
        <v>0</v>
      </c>
      <c r="Y20" s="171">
        <f>IF($B$16=COEFFICIENTS!$A$4,X20+($E$13*5)-(Y27/$B$15),0)</f>
        <v>0</v>
      </c>
      <c r="Z20" s="171">
        <f>IF($B$16=COEFFICIENTS!$A$4,Y20+($E$13*5)-(Z27/$B$15),0)</f>
        <v>0</v>
      </c>
      <c r="AA20" s="171">
        <f>IF($B$16=COEFFICIENTS!$A$4,Z20+($E$13*5)-(AA27/$B$15),0)</f>
        <v>0</v>
      </c>
      <c r="AB20" s="171">
        <f>IF($B$16=COEFFICIENTS!$A$4,AA20+($E$13*5)-(AB27/$B$15),0)</f>
        <v>0</v>
      </c>
      <c r="AC20" s="171">
        <f>IF($B$16=COEFFICIENTS!$A$4,AB20+($E$13*5)-(AC27/$B$15),0)</f>
        <v>0</v>
      </c>
      <c r="AD20" s="171">
        <f>IF($B$16=COEFFICIENTS!$A$4,AC20+($E$13*5)-(AD27/$B$15),0)</f>
        <v>0</v>
      </c>
    </row>
    <row r="21" spans="1:30" s="125" customFormat="1" ht="48" customHeight="1">
      <c r="A21" s="62" t="s">
        <v>219</v>
      </c>
      <c r="B21" s="62">
        <f t="shared" si="1"/>
        <v>0</v>
      </c>
      <c r="C21" s="130">
        <f>IF($B$16=COEFFICIENTS!A4,(EXP(-1.0587+0.8836*LN(C20)+0.284))*5,0)</f>
        <v>0</v>
      </c>
      <c r="D21" s="130">
        <f>IF($B$16=COEFFICIENTS!$A$4,(EXP(-1.0587+0.8836*LN(D20)+0.284))*5,0)</f>
        <v>0</v>
      </c>
      <c r="E21" s="171">
        <f>IF($B$16=COEFFICIENTS!$A$4,(EXP(-1.0587+0.8836*LN(E20)+0.284))*5,0)</f>
        <v>0</v>
      </c>
      <c r="F21" s="171">
        <f>IF($B$16=COEFFICIENTS!$A$4,(EXP(-1.0587+0.8836*LN(F20)+0.284))*5,0)</f>
        <v>0</v>
      </c>
      <c r="G21" s="171">
        <f>IF($B$16=COEFFICIENTS!$A$4,(EXP(-1.0587+0.8836*LN(G20)+0.284))*5,0)</f>
        <v>0</v>
      </c>
      <c r="H21" s="171">
        <f>IF($B$16=COEFFICIENTS!$A$4,(EXP(-1.0587+0.8836*LN(H20)+0.284))*5,0)</f>
        <v>0</v>
      </c>
      <c r="I21" s="171">
        <f>IF($B$16=COEFFICIENTS!$A$4,(EXP(-1.0587+0.8836*LN(I20)+0.284))*5,0)</f>
        <v>0</v>
      </c>
      <c r="J21" s="171">
        <f>IF($B$16=COEFFICIENTS!$A$4,(EXP(-1.0587+0.8836*LN(J20)+0.284))*5,0)</f>
        <v>0</v>
      </c>
      <c r="K21" s="171">
        <f>IF($B$16=COEFFICIENTS!$A$4,(EXP(-1.0587+0.8836*LN(K20)+0.284))*5,0)</f>
        <v>0</v>
      </c>
      <c r="L21" s="171">
        <f>IF($B$16=COEFFICIENTS!$A$4,(EXP(-1.0587+0.8836*LN(L20)+0.284))*5,0)</f>
        <v>0</v>
      </c>
      <c r="M21" s="171">
        <f>IF($B$16=COEFFICIENTS!$A$4,(EXP(-1.0587+0.8836*LN(M20)+0.284))*5,0)</f>
        <v>0</v>
      </c>
      <c r="N21" s="171">
        <f>IF($B$16=COEFFICIENTS!$A$4,(EXP(-1.0587+0.8836*LN(N20)+0.284))*5,0)</f>
        <v>0</v>
      </c>
      <c r="O21" s="171">
        <f>IF($B$16=COEFFICIENTS!$A$4,(EXP(-1.0587+0.8836*LN(O20)+0.284))*5,0)</f>
        <v>0</v>
      </c>
      <c r="P21" s="171">
        <f>IF($B$16=COEFFICIENTS!$A$4,(EXP(-1.0587+0.8836*LN(P20)+0.284))*5,0)</f>
        <v>0</v>
      </c>
      <c r="Q21" s="171">
        <f>IF($B$16=COEFFICIENTS!$A$4,(EXP(-1.0587+0.8836*LN(Q20)+0.284))*5,0)</f>
        <v>0</v>
      </c>
      <c r="R21" s="171">
        <f>IF($B$16=COEFFICIENTS!$A$4,(EXP(-1.0587+0.8836*LN(R20)+0.284))*5,0)</f>
        <v>0</v>
      </c>
      <c r="S21" s="171">
        <f>IF($B$16=COEFFICIENTS!$A$4,(EXP(-1.0587+0.8836*LN(S20)+0.284))*5,0)</f>
        <v>0</v>
      </c>
      <c r="T21" s="171">
        <f>IF($B$16=COEFFICIENTS!$A$4,(EXP(-1.0587+0.8836*LN(T20)+0.284))*5,0)</f>
        <v>0</v>
      </c>
      <c r="U21" s="171">
        <f>IF($B$16=COEFFICIENTS!$A$4,(EXP(-1.0587+0.8836*LN(U20)+0.284))*5,0)</f>
        <v>0</v>
      </c>
      <c r="V21" s="171">
        <f>IF($B$16=COEFFICIENTS!$A$4,(EXP(-1.0587+0.8836*LN(V20)+0.284))*5,0)</f>
        <v>0</v>
      </c>
      <c r="W21" s="171">
        <f>IF($B$16=COEFFICIENTS!$A$4,(EXP(-1.0587+0.8836*LN(W20)+0.284))*5,0)</f>
        <v>0</v>
      </c>
      <c r="X21" s="171">
        <f>IF($B$16=COEFFICIENTS!$A$4,(EXP(-1.0587+0.8836*LN(X20)+0.284))*5,0)</f>
        <v>0</v>
      </c>
      <c r="Y21" s="171">
        <f>IF($B$16=COEFFICIENTS!$A$4,(EXP(-1.0587+0.8836*LN(Y20)+0.284))*5,0)</f>
        <v>0</v>
      </c>
      <c r="Z21" s="171">
        <f>IF($B$16=COEFFICIENTS!$A$4,(EXP(-1.0587+0.8836*LN(Z20)+0.284))*5,0)</f>
        <v>0</v>
      </c>
      <c r="AA21" s="171">
        <f>IF($B$16=COEFFICIENTS!$A$4,(EXP(-1.0587+0.8836*LN(AA20)+0.284))*5,0)</f>
        <v>0</v>
      </c>
      <c r="AB21" s="171">
        <f>IF($B$16=COEFFICIENTS!$A$4,(EXP(-1.0587+0.8836*LN(AB20)+0.284))*5,0)</f>
        <v>0</v>
      </c>
      <c r="AC21" s="171">
        <f>IF($B$16=COEFFICIENTS!$A$4,(EXP(-1.0587+0.8836*LN(AC20)+0.284))*5,0)</f>
        <v>0</v>
      </c>
      <c r="AD21" s="171">
        <f>IF($B$16=COEFFICIENTS!$A$4,(EXP(-1.0587+0.8836*LN(AD20)+0.284))*5,0)</f>
        <v>0</v>
      </c>
    </row>
    <row r="22" spans="1:30" s="125" customFormat="1" ht="48" customHeight="1">
      <c r="A22" s="127" t="s">
        <v>476</v>
      </c>
      <c r="B22" s="173">
        <f>H22</f>
        <v>67.849999999999994</v>
      </c>
      <c r="C22" s="62">
        <f>$B$15*IF($B$16=COEFFICIENTS!$A$2,5,IF($B$16=COEFFICIENTS!$A$3,0,IF($B$16=COEFFICIENTS!$A$4,0.475*(C20+C21))))</f>
        <v>67.849999999999994</v>
      </c>
      <c r="D22" s="62">
        <f>$B$15*IF($B$16=COEFFICIENTS!$A$2,5,IF($B$16=COEFFICIENTS!$A$3,0,IF($B$16=COEFFICIENTS!$A$4,0.475*(D20+D21))))</f>
        <v>67.849999999999994</v>
      </c>
      <c r="E22" s="62">
        <f>$B$15*IF($B$16=COEFFICIENTS!$A$2,5,IF($B$16=COEFFICIENTS!$A$3,0,IF($B$16=COEFFICIENTS!$A$4,0.475*(E20+E21))))</f>
        <v>67.849999999999994</v>
      </c>
      <c r="F22" s="62">
        <f>$B$15*IF($B$16=COEFFICIENTS!$A$2,5,IF($B$16=COEFFICIENTS!$A$3,0,IF($B$16=COEFFICIENTS!$A$4,0.475*(F20+F21))))</f>
        <v>67.849999999999994</v>
      </c>
      <c r="G22" s="62">
        <f>$B$15*IF($B$16=COEFFICIENTS!$A$2,5,IF($B$16=COEFFICIENTS!$A$3,0,IF($B$16=COEFFICIENTS!$A$4,0.475*(G20+G21))))</f>
        <v>67.849999999999994</v>
      </c>
      <c r="H22" s="62">
        <f>$B$15*IF($B$16=COEFFICIENTS!$A$2,5,IF($B$16=COEFFICIENTS!$A$3,0,IF($B$16=COEFFICIENTS!$A$4,0.475*(H20+H21))))</f>
        <v>67.849999999999994</v>
      </c>
      <c r="I22" s="62">
        <f>$B$15*IF($B$16=COEFFICIENTS!$A$2,5,IF($B$16=COEFFICIENTS!$A$3,0,IF($B$16=COEFFICIENTS!$A$4,0.475*(I20+I21))))</f>
        <v>67.849999999999994</v>
      </c>
      <c r="J22" s="62">
        <f>$B$15*IF($B$16=COEFFICIENTS!$A$2,5,IF($B$16=COEFFICIENTS!$A$3,0,IF($B$16=COEFFICIENTS!$A$4,0.475*(J20+J21))))</f>
        <v>67.849999999999994</v>
      </c>
      <c r="K22" s="62">
        <f>$B$15*IF($B$16=COEFFICIENTS!$A$2,5,IF($B$16=COEFFICIENTS!$A$3,0,IF($B$16=COEFFICIENTS!$A$4,0.475*(K20+K21))))</f>
        <v>67.849999999999994</v>
      </c>
      <c r="L22" s="62">
        <f>$B$15*IF($B$16=COEFFICIENTS!$A$2,5,IF($B$16=COEFFICIENTS!$A$3,0,IF($B$16=COEFFICIENTS!$A$4,0.475*(L20+L21))))</f>
        <v>67.849999999999994</v>
      </c>
      <c r="M22" s="62">
        <f>$B$15*IF($B$16=COEFFICIENTS!$A$2,5,IF($B$16=COEFFICIENTS!$A$3,0,IF($B$16=COEFFICIENTS!$A$4,0.475*(M20+M21))))</f>
        <v>67.849999999999994</v>
      </c>
      <c r="N22" s="62">
        <f>$B$15*IF($B$16=COEFFICIENTS!$A$2,5,IF($B$16=COEFFICIENTS!$A$3,0,IF($B$16=COEFFICIENTS!$A$4,0.475*(N20+N21))))</f>
        <v>67.849999999999994</v>
      </c>
      <c r="O22" s="62">
        <f>$B$15*IF($B$16=COEFFICIENTS!$A$2,5,IF($B$16=COEFFICIENTS!$A$3,0,IF($B$16=COEFFICIENTS!$A$4,0.475*(O20+O21))))</f>
        <v>67.849999999999994</v>
      </c>
      <c r="P22" s="62">
        <f>$B$15*IF($B$16=COEFFICIENTS!$A$2,5,IF($B$16=COEFFICIENTS!$A$3,0,IF($B$16=COEFFICIENTS!$A$4,0.475*(P20+P21))))</f>
        <v>67.849999999999994</v>
      </c>
      <c r="Q22" s="62">
        <f>$B$15*IF($B$16=COEFFICIENTS!$A$2,5,IF($B$16=COEFFICIENTS!$A$3,0,IF($B$16=COEFFICIENTS!$A$4,0.475*(Q20+Q21))))</f>
        <v>67.849999999999994</v>
      </c>
      <c r="R22" s="62">
        <f>$B$15*IF($B$16=COEFFICIENTS!$A$2,5,IF($B$16=COEFFICIENTS!$A$3,0,IF($B$16=COEFFICIENTS!$A$4,0.475*(R20+R21))))</f>
        <v>67.849999999999994</v>
      </c>
      <c r="S22" s="62">
        <f>$B$15*IF($B$16=COEFFICIENTS!$A$2,5,IF($B$16=COEFFICIENTS!$A$3,0,IF($B$16=COEFFICIENTS!$A$4,0.475*(S20+S21))))</f>
        <v>67.849999999999994</v>
      </c>
      <c r="T22" s="62">
        <f>$B$15*IF($B$16=COEFFICIENTS!$A$2,5,IF($B$16=COEFFICIENTS!$A$3,0,IF($B$16=COEFFICIENTS!$A$4,0.475*(T20+T21))))</f>
        <v>67.849999999999994</v>
      </c>
      <c r="U22" s="62">
        <f>$B$15*IF($B$16=COEFFICIENTS!$A$2,5,IF($B$16=COEFFICIENTS!$A$3,0,IF($B$16=COEFFICIENTS!$A$4,0.475*(U20+U21))))</f>
        <v>67.849999999999994</v>
      </c>
      <c r="V22" s="62">
        <f>$B$15*IF($B$16=COEFFICIENTS!$A$2,5,IF($B$16=COEFFICIENTS!$A$3,0,IF($B$16=COEFFICIENTS!$A$4,0.475*(V20+V21))))</f>
        <v>67.849999999999994</v>
      </c>
      <c r="W22" s="62">
        <f>$B$15*IF($B$16=COEFFICIENTS!$A$2,5,IF($B$16=COEFFICIENTS!$A$3,0,IF($B$16=COEFFICIENTS!$A$4,0.475*(W20+W21))))</f>
        <v>67.849999999999994</v>
      </c>
      <c r="X22" s="62">
        <f>$B$15*IF($B$16=COEFFICIENTS!$A$2,5,IF($B$16=COEFFICIENTS!$A$3,0,IF($B$16=COEFFICIENTS!$A$4,0.475*(X20+X21))))</f>
        <v>67.849999999999994</v>
      </c>
      <c r="Y22" s="62">
        <f>$B$15*IF($B$16=COEFFICIENTS!$A$2,5,IF($B$16=COEFFICIENTS!$A$3,0,IF($B$16=COEFFICIENTS!$A$4,0.475*(Y20+Y21))))</f>
        <v>67.849999999999994</v>
      </c>
      <c r="Z22" s="62">
        <f>$B$15*IF($B$16=COEFFICIENTS!$A$2,5,IF($B$16=COEFFICIENTS!$A$3,0,IF($B$16=COEFFICIENTS!$A$4,0.475*(Z20+Z21))))</f>
        <v>67.849999999999994</v>
      </c>
      <c r="AA22" s="62">
        <f>$B$15*IF($B$16=COEFFICIENTS!$A$2,5,IF($B$16=COEFFICIENTS!$A$3,0,IF($B$16=COEFFICIENTS!$A$4,0.475*(AA20+AA21))))</f>
        <v>67.849999999999994</v>
      </c>
      <c r="AB22" s="62">
        <f>$B$15*IF($B$16=COEFFICIENTS!$A$2,5,IF($B$16=COEFFICIENTS!$A$3,0,IF($B$16=COEFFICIENTS!$A$4,0.475*(AB20+AB21))))</f>
        <v>67.849999999999994</v>
      </c>
      <c r="AC22" s="62">
        <f>$B$15*IF($B$16=COEFFICIENTS!$A$2,5,IF($B$16=COEFFICIENTS!$A$3,0,IF($B$16=COEFFICIENTS!$A$4,0.475*(AC20+AC21))))</f>
        <v>67.849999999999994</v>
      </c>
      <c r="AD22" s="62">
        <f>$B$15*IF($B$16=COEFFICIENTS!$A$2,5,IF($B$16=COEFFICIENTS!$A$3,0,IF($B$16=COEFFICIENTS!$A$4,0.475*(AD20+AD21))))</f>
        <v>67.849999999999994</v>
      </c>
    </row>
    <row r="23" spans="1:30" s="125" customFormat="1" ht="48" customHeight="1">
      <c r="A23" s="127" t="s">
        <v>477</v>
      </c>
      <c r="B23" s="173">
        <f>H23</f>
        <v>610.65</v>
      </c>
      <c r="C23" s="62">
        <f>$B$15*IF($B$16=COEFFICIENTS!$A$2,45,70)</f>
        <v>610.65</v>
      </c>
      <c r="D23" s="62">
        <f>$B$15*IF($B$16=COEFFICIENTS!$A$2,45,70)</f>
        <v>610.65</v>
      </c>
      <c r="E23" s="62">
        <f>$B$15*IF($B$16=COEFFICIENTS!$A$2,45,70)</f>
        <v>610.65</v>
      </c>
      <c r="F23" s="62">
        <f>$B$15*IF($B$16=COEFFICIENTS!$A$2,45,70)</f>
        <v>610.65</v>
      </c>
      <c r="G23" s="62">
        <f>$B$15*IF($B$16=COEFFICIENTS!$A$2,45,70)</f>
        <v>610.65</v>
      </c>
      <c r="H23" s="62">
        <f>$B$15*IF($B$16=COEFFICIENTS!$A$2,45,70)</f>
        <v>610.65</v>
      </c>
      <c r="I23" s="62">
        <f>$B$15*IF($B$16=COEFFICIENTS!$A$2,45,70)</f>
        <v>610.65</v>
      </c>
      <c r="J23" s="62">
        <f>$B$15*IF($B$16=COEFFICIENTS!$A$2,45,70)</f>
        <v>610.65</v>
      </c>
      <c r="K23" s="62">
        <f>$B$15*IF($B$16=COEFFICIENTS!$A$2,45,70)</f>
        <v>610.65</v>
      </c>
      <c r="L23" s="62">
        <f>$B$15*IF($B$16=COEFFICIENTS!$A$2,45,70)</f>
        <v>610.65</v>
      </c>
      <c r="M23" s="62">
        <f>$B$15*IF($B$16=COEFFICIENTS!$A$2,45,70)</f>
        <v>610.65</v>
      </c>
      <c r="N23" s="62">
        <f>$B$15*IF($B$16=COEFFICIENTS!$A$2,45,70)</f>
        <v>610.65</v>
      </c>
      <c r="O23" s="62">
        <f>$B$15*IF($B$16=COEFFICIENTS!$A$2,45,70)</f>
        <v>610.65</v>
      </c>
      <c r="P23" s="62">
        <f>$B$15*IF($B$16=COEFFICIENTS!$A$2,45,70)</f>
        <v>610.65</v>
      </c>
      <c r="Q23" s="62">
        <f>$B$15*IF($B$16=COEFFICIENTS!$A$2,45,70)</f>
        <v>610.65</v>
      </c>
      <c r="R23" s="62">
        <f>$B$15*IF($B$16=COEFFICIENTS!$A$2,45,70)</f>
        <v>610.65</v>
      </c>
      <c r="S23" s="62">
        <f>$B$15*IF($B$16=COEFFICIENTS!$A$2,45,70)</f>
        <v>610.65</v>
      </c>
      <c r="T23" s="62">
        <f>$B$15*IF($B$16=COEFFICIENTS!$A$2,45,70)</f>
        <v>610.65</v>
      </c>
      <c r="U23" s="62">
        <f>$B$15*IF($B$16=COEFFICIENTS!$A$2,45,70)</f>
        <v>610.65</v>
      </c>
      <c r="V23" s="62">
        <f>$B$15*IF($B$16=COEFFICIENTS!$A$2,45,70)</f>
        <v>610.65</v>
      </c>
      <c r="W23" s="62">
        <f>$B$15*IF($B$16=COEFFICIENTS!$A$2,45,70)</f>
        <v>610.65</v>
      </c>
      <c r="X23" s="62">
        <f>$B$15*IF($B$16=COEFFICIENTS!$A$2,45,70)</f>
        <v>610.65</v>
      </c>
      <c r="Y23" s="62">
        <f>$B$15*IF($B$16=COEFFICIENTS!$A$2,45,70)</f>
        <v>610.65</v>
      </c>
      <c r="Z23" s="62">
        <f>$B$15*IF($B$16=COEFFICIENTS!$A$2,45,70)</f>
        <v>610.65</v>
      </c>
      <c r="AA23" s="62">
        <f>$B$15*IF($B$16=COEFFICIENTS!$A$2,45,70)</f>
        <v>610.65</v>
      </c>
      <c r="AB23" s="62">
        <f>$B$15*IF($B$16=COEFFICIENTS!$A$2,45,70)</f>
        <v>610.65</v>
      </c>
      <c r="AC23" s="62">
        <f>$B$15*IF($B$16=COEFFICIENTS!$A$2,45,70)</f>
        <v>610.65</v>
      </c>
      <c r="AD23" s="62">
        <f>$B$15*IF($B$16=COEFFICIENTS!$A$2,45,70)</f>
        <v>610.65</v>
      </c>
    </row>
    <row r="24" spans="1:30" s="125" customFormat="1" ht="48" customHeight="1">
      <c r="A24" s="63" t="s">
        <v>265</v>
      </c>
      <c r="B24" s="63">
        <f>(B23+B22)*(44/12)</f>
        <v>2487.833333333333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row>
    <row r="25" spans="1:30" s="125" customFormat="1" ht="48" customHeight="1">
      <c r="A25" s="64" t="s">
        <v>228</v>
      </c>
      <c r="B25" s="64">
        <f>SUM(C25:AD25)</f>
        <v>0</v>
      </c>
      <c r="C25" s="131">
        <v>0</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0</v>
      </c>
      <c r="AA25" s="131">
        <v>0</v>
      </c>
      <c r="AB25" s="131">
        <v>0</v>
      </c>
      <c r="AC25" s="131">
        <v>0</v>
      </c>
      <c r="AD25" s="131">
        <v>0</v>
      </c>
    </row>
    <row r="26" spans="1:30" s="166" customFormat="1" ht="48" customHeight="1">
      <c r="A26" s="64" t="s">
        <v>237</v>
      </c>
      <c r="B26" s="64">
        <f>SUM(C26:AD26)</f>
        <v>0</v>
      </c>
      <c r="C26" s="131">
        <v>0</v>
      </c>
      <c r="D26" s="131">
        <f>D25*C22*$B$15</f>
        <v>0</v>
      </c>
      <c r="E26" s="131">
        <f t="shared" ref="E26:AD26" si="2">E25*D22*$B$15</f>
        <v>0</v>
      </c>
      <c r="F26" s="131">
        <f t="shared" si="2"/>
        <v>0</v>
      </c>
      <c r="G26" s="131">
        <f t="shared" si="2"/>
        <v>0</v>
      </c>
      <c r="H26" s="131">
        <f t="shared" si="2"/>
        <v>0</v>
      </c>
      <c r="I26" s="131">
        <f t="shared" si="2"/>
        <v>0</v>
      </c>
      <c r="J26" s="131">
        <f t="shared" si="2"/>
        <v>0</v>
      </c>
      <c r="K26" s="131">
        <f t="shared" si="2"/>
        <v>0</v>
      </c>
      <c r="L26" s="131">
        <f t="shared" si="2"/>
        <v>0</v>
      </c>
      <c r="M26" s="131">
        <f t="shared" si="2"/>
        <v>0</v>
      </c>
      <c r="N26" s="131">
        <f t="shared" si="2"/>
        <v>0</v>
      </c>
      <c r="O26" s="131">
        <f t="shared" si="2"/>
        <v>0</v>
      </c>
      <c r="P26" s="131">
        <f t="shared" si="2"/>
        <v>0</v>
      </c>
      <c r="Q26" s="131">
        <f t="shared" si="2"/>
        <v>0</v>
      </c>
      <c r="R26" s="131">
        <f t="shared" si="2"/>
        <v>0</v>
      </c>
      <c r="S26" s="131">
        <f t="shared" si="2"/>
        <v>0</v>
      </c>
      <c r="T26" s="131">
        <f t="shared" si="2"/>
        <v>0</v>
      </c>
      <c r="U26" s="131">
        <f t="shared" si="2"/>
        <v>0</v>
      </c>
      <c r="V26" s="131">
        <f t="shared" si="2"/>
        <v>0</v>
      </c>
      <c r="W26" s="131">
        <f t="shared" si="2"/>
        <v>0</v>
      </c>
      <c r="X26" s="131">
        <f t="shared" si="2"/>
        <v>0</v>
      </c>
      <c r="Y26" s="131">
        <f t="shared" si="2"/>
        <v>0</v>
      </c>
      <c r="Z26" s="131">
        <f t="shared" si="2"/>
        <v>0</v>
      </c>
      <c r="AA26" s="131">
        <f t="shared" si="2"/>
        <v>0</v>
      </c>
      <c r="AB26" s="131">
        <f t="shared" si="2"/>
        <v>0</v>
      </c>
      <c r="AC26" s="131">
        <f t="shared" si="2"/>
        <v>0</v>
      </c>
      <c r="AD26" s="131">
        <f t="shared" si="2"/>
        <v>0</v>
      </c>
    </row>
    <row r="27" spans="1:30" s="166" customFormat="1" ht="48" customHeight="1">
      <c r="A27" s="64" t="s">
        <v>239</v>
      </c>
      <c r="B27" s="64">
        <f>SUM(C27:AD27)</f>
        <v>0</v>
      </c>
      <c r="C27" s="73">
        <v>0</v>
      </c>
      <c r="D27" s="73">
        <v>0</v>
      </c>
      <c r="E27" s="73">
        <v>0</v>
      </c>
      <c r="F27" s="73">
        <v>0</v>
      </c>
      <c r="G27" s="73">
        <v>0</v>
      </c>
      <c r="H27" s="73">
        <v>0</v>
      </c>
      <c r="I27" s="73">
        <v>0</v>
      </c>
      <c r="J27" s="73">
        <v>0</v>
      </c>
      <c r="K27" s="73">
        <v>0</v>
      </c>
      <c r="L27" s="73">
        <v>0</v>
      </c>
      <c r="M27" s="73">
        <v>0</v>
      </c>
      <c r="N27" s="73">
        <v>0</v>
      </c>
      <c r="O27" s="73">
        <v>0</v>
      </c>
      <c r="P27" s="73">
        <v>0</v>
      </c>
      <c r="Q27" s="73">
        <v>0</v>
      </c>
      <c r="R27" s="73">
        <v>0</v>
      </c>
      <c r="S27" s="73">
        <v>0</v>
      </c>
      <c r="T27" s="73">
        <v>0</v>
      </c>
      <c r="U27" s="73">
        <v>0</v>
      </c>
      <c r="V27" s="73">
        <v>0</v>
      </c>
      <c r="W27" s="73">
        <v>0</v>
      </c>
      <c r="X27" s="73">
        <v>0</v>
      </c>
      <c r="Y27" s="73">
        <v>0</v>
      </c>
      <c r="Z27" s="73">
        <v>0</v>
      </c>
      <c r="AA27" s="73">
        <v>0</v>
      </c>
      <c r="AB27" s="73">
        <v>0</v>
      </c>
      <c r="AC27" s="73">
        <v>0</v>
      </c>
      <c r="AD27" s="73">
        <v>0</v>
      </c>
    </row>
    <row r="28" spans="1:30" s="166" customFormat="1" ht="48" customHeight="1">
      <c r="A28" s="64" t="s">
        <v>240</v>
      </c>
      <c r="B28" s="64">
        <f>SUM(C28:AD28)</f>
        <v>0</v>
      </c>
      <c r="C28" s="109">
        <f>C27*C26</f>
        <v>0</v>
      </c>
      <c r="D28" s="109">
        <f>D27*D26</f>
        <v>0</v>
      </c>
      <c r="E28" s="109">
        <f t="shared" ref="E28:AD28" si="3">E27*E26</f>
        <v>0</v>
      </c>
      <c r="F28" s="109">
        <f t="shared" si="3"/>
        <v>0</v>
      </c>
      <c r="G28" s="109">
        <f t="shared" si="3"/>
        <v>0</v>
      </c>
      <c r="H28" s="109">
        <f t="shared" si="3"/>
        <v>0</v>
      </c>
      <c r="I28" s="109">
        <f t="shared" si="3"/>
        <v>0</v>
      </c>
      <c r="J28" s="109">
        <f t="shared" si="3"/>
        <v>0</v>
      </c>
      <c r="K28" s="109">
        <f t="shared" si="3"/>
        <v>0</v>
      </c>
      <c r="L28" s="109">
        <f t="shared" si="3"/>
        <v>0</v>
      </c>
      <c r="M28" s="109">
        <f t="shared" si="3"/>
        <v>0</v>
      </c>
      <c r="N28" s="109">
        <f t="shared" si="3"/>
        <v>0</v>
      </c>
      <c r="O28" s="109">
        <f t="shared" si="3"/>
        <v>0</v>
      </c>
      <c r="P28" s="109">
        <f t="shared" si="3"/>
        <v>0</v>
      </c>
      <c r="Q28" s="109">
        <f t="shared" si="3"/>
        <v>0</v>
      </c>
      <c r="R28" s="109">
        <f t="shared" si="3"/>
        <v>0</v>
      </c>
      <c r="S28" s="109">
        <f t="shared" si="3"/>
        <v>0</v>
      </c>
      <c r="T28" s="109">
        <f t="shared" si="3"/>
        <v>0</v>
      </c>
      <c r="U28" s="109">
        <f t="shared" si="3"/>
        <v>0</v>
      </c>
      <c r="V28" s="109">
        <f t="shared" si="3"/>
        <v>0</v>
      </c>
      <c r="W28" s="109">
        <f t="shared" si="3"/>
        <v>0</v>
      </c>
      <c r="X28" s="109">
        <f t="shared" si="3"/>
        <v>0</v>
      </c>
      <c r="Y28" s="109">
        <f t="shared" si="3"/>
        <v>0</v>
      </c>
      <c r="Z28" s="109">
        <f t="shared" si="3"/>
        <v>0</v>
      </c>
      <c r="AA28" s="109">
        <f t="shared" si="3"/>
        <v>0</v>
      </c>
      <c r="AB28" s="109">
        <f t="shared" si="3"/>
        <v>0</v>
      </c>
      <c r="AC28" s="109">
        <f t="shared" si="3"/>
        <v>0</v>
      </c>
      <c r="AD28" s="109">
        <f t="shared" si="3"/>
        <v>0</v>
      </c>
    </row>
    <row r="29" spans="1:30" s="166" customFormat="1" ht="48" customHeight="1">
      <c r="A29" s="129" t="s">
        <v>247</v>
      </c>
      <c r="B29" s="129">
        <f>H29</f>
        <v>0</v>
      </c>
      <c r="C29" s="110">
        <v>0</v>
      </c>
      <c r="D29" s="110">
        <v>0</v>
      </c>
      <c r="E29" s="110">
        <v>0</v>
      </c>
      <c r="F29" s="110">
        <v>0</v>
      </c>
      <c r="G29" s="110">
        <v>0</v>
      </c>
      <c r="H29" s="110">
        <v>0</v>
      </c>
      <c r="I29" s="110">
        <v>0</v>
      </c>
      <c r="J29" s="110">
        <v>0</v>
      </c>
      <c r="K29" s="110">
        <v>0</v>
      </c>
      <c r="L29" s="110">
        <v>0</v>
      </c>
      <c r="M29" s="110">
        <v>0</v>
      </c>
      <c r="N29" s="110">
        <v>0</v>
      </c>
      <c r="O29" s="110">
        <v>0</v>
      </c>
      <c r="P29" s="110">
        <v>0</v>
      </c>
      <c r="Q29" s="110">
        <v>0</v>
      </c>
      <c r="R29" s="110">
        <v>0</v>
      </c>
      <c r="S29" s="110">
        <v>0</v>
      </c>
      <c r="T29" s="110">
        <v>0</v>
      </c>
      <c r="U29" s="110">
        <v>0</v>
      </c>
      <c r="V29" s="110">
        <v>0</v>
      </c>
      <c r="W29" s="110">
        <v>0</v>
      </c>
      <c r="X29" s="110">
        <v>0</v>
      </c>
      <c r="Y29" s="110">
        <v>0</v>
      </c>
      <c r="Z29" s="110">
        <v>0</v>
      </c>
      <c r="AA29" s="110">
        <v>0</v>
      </c>
      <c r="AB29" s="110">
        <v>0</v>
      </c>
      <c r="AC29" s="110">
        <v>0</v>
      </c>
      <c r="AD29" s="110">
        <v>0</v>
      </c>
    </row>
    <row r="30" spans="1:30" s="166" customFormat="1" ht="48" customHeight="1">
      <c r="A30" s="129" t="s">
        <v>367</v>
      </c>
      <c r="B30" s="129">
        <f>SUM(C30:AD30)</f>
        <v>0</v>
      </c>
      <c r="C30" s="110">
        <f>0.25*(C28/0.475)</f>
        <v>0</v>
      </c>
      <c r="D30" s="110">
        <f t="shared" ref="D30:AD30" si="4">0.25*(D28/0.475)</f>
        <v>0</v>
      </c>
      <c r="E30" s="110">
        <f t="shared" si="4"/>
        <v>0</v>
      </c>
      <c r="F30" s="110">
        <f t="shared" si="4"/>
        <v>0</v>
      </c>
      <c r="G30" s="110">
        <f t="shared" si="4"/>
        <v>0</v>
      </c>
      <c r="H30" s="110">
        <f t="shared" si="4"/>
        <v>0</v>
      </c>
      <c r="I30" s="110">
        <f t="shared" si="4"/>
        <v>0</v>
      </c>
      <c r="J30" s="110">
        <f t="shared" si="4"/>
        <v>0</v>
      </c>
      <c r="K30" s="110">
        <f t="shared" si="4"/>
        <v>0</v>
      </c>
      <c r="L30" s="110">
        <f t="shared" si="4"/>
        <v>0</v>
      </c>
      <c r="M30" s="110">
        <f t="shared" si="4"/>
        <v>0</v>
      </c>
      <c r="N30" s="110">
        <f t="shared" si="4"/>
        <v>0</v>
      </c>
      <c r="O30" s="110">
        <f t="shared" si="4"/>
        <v>0</v>
      </c>
      <c r="P30" s="110">
        <f t="shared" si="4"/>
        <v>0</v>
      </c>
      <c r="Q30" s="110">
        <f t="shared" si="4"/>
        <v>0</v>
      </c>
      <c r="R30" s="110">
        <f t="shared" si="4"/>
        <v>0</v>
      </c>
      <c r="S30" s="110">
        <f t="shared" si="4"/>
        <v>0</v>
      </c>
      <c r="T30" s="110">
        <f t="shared" si="4"/>
        <v>0</v>
      </c>
      <c r="U30" s="110">
        <f t="shared" si="4"/>
        <v>0</v>
      </c>
      <c r="V30" s="110">
        <f t="shared" si="4"/>
        <v>0</v>
      </c>
      <c r="W30" s="110">
        <f t="shared" si="4"/>
        <v>0</v>
      </c>
      <c r="X30" s="110">
        <f t="shared" si="4"/>
        <v>0</v>
      </c>
      <c r="Y30" s="110">
        <f t="shared" si="4"/>
        <v>0</v>
      </c>
      <c r="Z30" s="110">
        <f t="shared" si="4"/>
        <v>0</v>
      </c>
      <c r="AA30" s="110">
        <f t="shared" si="4"/>
        <v>0</v>
      </c>
      <c r="AB30" s="110">
        <f t="shared" si="4"/>
        <v>0</v>
      </c>
      <c r="AC30" s="110">
        <f t="shared" si="4"/>
        <v>0</v>
      </c>
      <c r="AD30" s="110">
        <f t="shared" si="4"/>
        <v>0</v>
      </c>
    </row>
    <row r="31" spans="1:30" s="166" customFormat="1" ht="48" customHeight="1">
      <c r="A31" s="64" t="s">
        <v>242</v>
      </c>
      <c r="B31" s="64">
        <f>SUM(C31:AD31)</f>
        <v>0</v>
      </c>
      <c r="C31" s="73">
        <v>0</v>
      </c>
      <c r="D31" s="73">
        <v>0</v>
      </c>
      <c r="E31" s="73">
        <v>0</v>
      </c>
      <c r="F31" s="73">
        <v>0</v>
      </c>
      <c r="G31" s="73">
        <v>0</v>
      </c>
      <c r="H31" s="73">
        <v>0</v>
      </c>
      <c r="I31" s="73">
        <v>0</v>
      </c>
      <c r="J31" s="73">
        <v>0</v>
      </c>
      <c r="K31" s="73">
        <v>0</v>
      </c>
      <c r="L31" s="73">
        <v>0</v>
      </c>
      <c r="M31" s="73">
        <v>0</v>
      </c>
      <c r="N31" s="73">
        <v>0</v>
      </c>
      <c r="O31" s="73">
        <v>0</v>
      </c>
      <c r="P31" s="73">
        <v>0</v>
      </c>
      <c r="Q31" s="73">
        <v>0</v>
      </c>
      <c r="R31" s="73">
        <v>0</v>
      </c>
      <c r="S31" s="73">
        <v>0</v>
      </c>
      <c r="T31" s="73">
        <v>0</v>
      </c>
      <c r="U31" s="73">
        <v>0</v>
      </c>
      <c r="V31" s="73">
        <v>0</v>
      </c>
      <c r="W31" s="73">
        <v>0</v>
      </c>
      <c r="X31" s="73">
        <v>0</v>
      </c>
      <c r="Y31" s="73">
        <v>0</v>
      </c>
      <c r="Z31" s="73">
        <v>0</v>
      </c>
      <c r="AA31" s="73">
        <v>0</v>
      </c>
      <c r="AB31" s="73">
        <v>0</v>
      </c>
      <c r="AC31" s="73">
        <v>0</v>
      </c>
      <c r="AD31" s="73">
        <v>0</v>
      </c>
    </row>
    <row r="32" spans="1:30" s="166" customFormat="1" ht="48" customHeight="1">
      <c r="A32" s="64" t="s">
        <v>241</v>
      </c>
      <c r="B32" s="64">
        <f>SUM(C32:AD32)</f>
        <v>0</v>
      </c>
      <c r="C32" s="109">
        <f t="shared" ref="C32:AD32" si="5">C31*C26</f>
        <v>0</v>
      </c>
      <c r="D32" s="109">
        <f t="shared" si="5"/>
        <v>0</v>
      </c>
      <c r="E32" s="109">
        <f t="shared" si="5"/>
        <v>0</v>
      </c>
      <c r="F32" s="109">
        <f t="shared" si="5"/>
        <v>0</v>
      </c>
      <c r="G32" s="109">
        <f t="shared" si="5"/>
        <v>0</v>
      </c>
      <c r="H32" s="109">
        <f t="shared" si="5"/>
        <v>0</v>
      </c>
      <c r="I32" s="109">
        <f t="shared" si="5"/>
        <v>0</v>
      </c>
      <c r="J32" s="109">
        <f t="shared" si="5"/>
        <v>0</v>
      </c>
      <c r="K32" s="109">
        <f t="shared" si="5"/>
        <v>0</v>
      </c>
      <c r="L32" s="109">
        <f t="shared" si="5"/>
        <v>0</v>
      </c>
      <c r="M32" s="109">
        <f t="shared" si="5"/>
        <v>0</v>
      </c>
      <c r="N32" s="109">
        <f t="shared" si="5"/>
        <v>0</v>
      </c>
      <c r="O32" s="109">
        <f t="shared" si="5"/>
        <v>0</v>
      </c>
      <c r="P32" s="109">
        <f t="shared" si="5"/>
        <v>0</v>
      </c>
      <c r="Q32" s="109">
        <f t="shared" si="5"/>
        <v>0</v>
      </c>
      <c r="R32" s="109">
        <f t="shared" si="5"/>
        <v>0</v>
      </c>
      <c r="S32" s="109">
        <f t="shared" si="5"/>
        <v>0</v>
      </c>
      <c r="T32" s="109">
        <f t="shared" si="5"/>
        <v>0</v>
      </c>
      <c r="U32" s="109">
        <f t="shared" si="5"/>
        <v>0</v>
      </c>
      <c r="V32" s="109">
        <f t="shared" si="5"/>
        <v>0</v>
      </c>
      <c r="W32" s="109">
        <f t="shared" si="5"/>
        <v>0</v>
      </c>
      <c r="X32" s="109">
        <f t="shared" si="5"/>
        <v>0</v>
      </c>
      <c r="Y32" s="109">
        <f t="shared" si="5"/>
        <v>0</v>
      </c>
      <c r="Z32" s="109">
        <f t="shared" si="5"/>
        <v>0</v>
      </c>
      <c r="AA32" s="109">
        <f t="shared" si="5"/>
        <v>0</v>
      </c>
      <c r="AB32" s="109">
        <f t="shared" si="5"/>
        <v>0</v>
      </c>
      <c r="AC32" s="109">
        <f t="shared" si="5"/>
        <v>0</v>
      </c>
      <c r="AD32" s="109">
        <f t="shared" si="5"/>
        <v>0</v>
      </c>
    </row>
    <row r="33" spans="1:30" s="166" customFormat="1" ht="48" customHeight="1">
      <c r="A33" s="129" t="s">
        <v>248</v>
      </c>
      <c r="B33" s="129">
        <f>H33</f>
        <v>0</v>
      </c>
      <c r="C33" s="110">
        <v>0</v>
      </c>
      <c r="D33" s="110">
        <f>D32+((EXP(-(LN(2))/2))*C33)+(((1-(EXP(-(LN(2))/2)))/2)*C32)</f>
        <v>0</v>
      </c>
      <c r="E33" s="110">
        <f t="shared" ref="E33:AD33" si="6">E32+((EXP(-(LN(2))/2))*D33)+(((1-(EXP(-(LN(2))/2)))/2)*D32)</f>
        <v>0</v>
      </c>
      <c r="F33" s="110">
        <f t="shared" si="6"/>
        <v>0</v>
      </c>
      <c r="G33" s="110">
        <f t="shared" si="6"/>
        <v>0</v>
      </c>
      <c r="H33" s="110">
        <f t="shared" si="6"/>
        <v>0</v>
      </c>
      <c r="I33" s="110">
        <f t="shared" si="6"/>
        <v>0</v>
      </c>
      <c r="J33" s="110">
        <f t="shared" si="6"/>
        <v>0</v>
      </c>
      <c r="K33" s="110">
        <f t="shared" si="6"/>
        <v>0</v>
      </c>
      <c r="L33" s="110">
        <f t="shared" si="6"/>
        <v>0</v>
      </c>
      <c r="M33" s="110">
        <f t="shared" si="6"/>
        <v>0</v>
      </c>
      <c r="N33" s="110">
        <f t="shared" si="6"/>
        <v>0</v>
      </c>
      <c r="O33" s="110">
        <f t="shared" si="6"/>
        <v>0</v>
      </c>
      <c r="P33" s="110">
        <f t="shared" si="6"/>
        <v>0</v>
      </c>
      <c r="Q33" s="110">
        <f t="shared" si="6"/>
        <v>0</v>
      </c>
      <c r="R33" s="110">
        <f t="shared" si="6"/>
        <v>0</v>
      </c>
      <c r="S33" s="110">
        <f t="shared" si="6"/>
        <v>0</v>
      </c>
      <c r="T33" s="110">
        <f t="shared" si="6"/>
        <v>0</v>
      </c>
      <c r="U33" s="110">
        <f t="shared" si="6"/>
        <v>0</v>
      </c>
      <c r="V33" s="110">
        <f t="shared" si="6"/>
        <v>0</v>
      </c>
      <c r="W33" s="110">
        <f t="shared" si="6"/>
        <v>0</v>
      </c>
      <c r="X33" s="110">
        <f t="shared" si="6"/>
        <v>0</v>
      </c>
      <c r="Y33" s="110">
        <f t="shared" si="6"/>
        <v>0</v>
      </c>
      <c r="Z33" s="110">
        <f t="shared" si="6"/>
        <v>0</v>
      </c>
      <c r="AA33" s="110">
        <f t="shared" si="6"/>
        <v>0</v>
      </c>
      <c r="AB33" s="110">
        <f t="shared" si="6"/>
        <v>0</v>
      </c>
      <c r="AC33" s="110">
        <f t="shared" si="6"/>
        <v>0</v>
      </c>
      <c r="AD33" s="110">
        <f t="shared" si="6"/>
        <v>0</v>
      </c>
    </row>
    <row r="34" spans="1:30" s="166" customFormat="1" ht="48" customHeight="1">
      <c r="A34" s="129" t="s">
        <v>367</v>
      </c>
      <c r="B34" s="129">
        <f>SUM(C34:AD34)</f>
        <v>0</v>
      </c>
      <c r="C34" s="110">
        <f>0*(C32/0.475)</f>
        <v>0</v>
      </c>
      <c r="D34" s="110">
        <f t="shared" ref="D34:AD34" si="7">0*(D32/0.475)</f>
        <v>0</v>
      </c>
      <c r="E34" s="110">
        <f t="shared" si="7"/>
        <v>0</v>
      </c>
      <c r="F34" s="110">
        <f t="shared" si="7"/>
        <v>0</v>
      </c>
      <c r="G34" s="110">
        <f t="shared" si="7"/>
        <v>0</v>
      </c>
      <c r="H34" s="110">
        <f t="shared" si="7"/>
        <v>0</v>
      </c>
      <c r="I34" s="110">
        <f t="shared" si="7"/>
        <v>0</v>
      </c>
      <c r="J34" s="110">
        <f t="shared" si="7"/>
        <v>0</v>
      </c>
      <c r="K34" s="110">
        <f t="shared" si="7"/>
        <v>0</v>
      </c>
      <c r="L34" s="110">
        <f t="shared" si="7"/>
        <v>0</v>
      </c>
      <c r="M34" s="110">
        <f t="shared" si="7"/>
        <v>0</v>
      </c>
      <c r="N34" s="110">
        <f t="shared" si="7"/>
        <v>0</v>
      </c>
      <c r="O34" s="110">
        <f t="shared" si="7"/>
        <v>0</v>
      </c>
      <c r="P34" s="110">
        <f t="shared" si="7"/>
        <v>0</v>
      </c>
      <c r="Q34" s="110">
        <f t="shared" si="7"/>
        <v>0</v>
      </c>
      <c r="R34" s="110">
        <f t="shared" si="7"/>
        <v>0</v>
      </c>
      <c r="S34" s="110">
        <f t="shared" si="7"/>
        <v>0</v>
      </c>
      <c r="T34" s="110">
        <f t="shared" si="7"/>
        <v>0</v>
      </c>
      <c r="U34" s="110">
        <f t="shared" si="7"/>
        <v>0</v>
      </c>
      <c r="V34" s="110">
        <f t="shared" si="7"/>
        <v>0</v>
      </c>
      <c r="W34" s="110">
        <f t="shared" si="7"/>
        <v>0</v>
      </c>
      <c r="X34" s="110">
        <f t="shared" si="7"/>
        <v>0</v>
      </c>
      <c r="Y34" s="110">
        <f t="shared" si="7"/>
        <v>0</v>
      </c>
      <c r="Z34" s="110">
        <f t="shared" si="7"/>
        <v>0</v>
      </c>
      <c r="AA34" s="110">
        <f t="shared" si="7"/>
        <v>0</v>
      </c>
      <c r="AB34" s="110">
        <f t="shared" si="7"/>
        <v>0</v>
      </c>
      <c r="AC34" s="110">
        <f t="shared" si="7"/>
        <v>0</v>
      </c>
      <c r="AD34" s="110">
        <f t="shared" si="7"/>
        <v>0</v>
      </c>
    </row>
    <row r="35" spans="1:30" s="166" customFormat="1" ht="48" customHeight="1">
      <c r="A35" s="64" t="s">
        <v>243</v>
      </c>
      <c r="B35" s="64">
        <f>SUM(C35:AD35)</f>
        <v>0</v>
      </c>
      <c r="C35" s="73">
        <v>0</v>
      </c>
      <c r="D35" s="73">
        <v>0</v>
      </c>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c r="X35" s="73">
        <v>0</v>
      </c>
      <c r="Y35" s="73">
        <v>0</v>
      </c>
      <c r="Z35" s="73">
        <v>0</v>
      </c>
      <c r="AA35" s="73">
        <v>0</v>
      </c>
      <c r="AB35" s="73">
        <v>0</v>
      </c>
      <c r="AC35" s="73">
        <v>0</v>
      </c>
      <c r="AD35" s="73">
        <v>0</v>
      </c>
    </row>
    <row r="36" spans="1:30" s="166" customFormat="1" ht="48" customHeight="1">
      <c r="A36" s="64" t="s">
        <v>244</v>
      </c>
      <c r="B36" s="64">
        <f>SUM(C36:AD36)</f>
        <v>0</v>
      </c>
      <c r="C36" s="109">
        <f t="shared" ref="C36:AD36" si="8">C35*C26</f>
        <v>0</v>
      </c>
      <c r="D36" s="109">
        <f t="shared" si="8"/>
        <v>0</v>
      </c>
      <c r="E36" s="109">
        <f t="shared" si="8"/>
        <v>0</v>
      </c>
      <c r="F36" s="109">
        <f t="shared" si="8"/>
        <v>0</v>
      </c>
      <c r="G36" s="109">
        <f t="shared" si="8"/>
        <v>0</v>
      </c>
      <c r="H36" s="109">
        <f t="shared" si="8"/>
        <v>0</v>
      </c>
      <c r="I36" s="109">
        <f t="shared" si="8"/>
        <v>0</v>
      </c>
      <c r="J36" s="109">
        <f t="shared" si="8"/>
        <v>0</v>
      </c>
      <c r="K36" s="109">
        <f t="shared" si="8"/>
        <v>0</v>
      </c>
      <c r="L36" s="109">
        <f t="shared" si="8"/>
        <v>0</v>
      </c>
      <c r="M36" s="109">
        <f t="shared" si="8"/>
        <v>0</v>
      </c>
      <c r="N36" s="109">
        <f t="shared" si="8"/>
        <v>0</v>
      </c>
      <c r="O36" s="109">
        <f t="shared" si="8"/>
        <v>0</v>
      </c>
      <c r="P36" s="109">
        <f t="shared" si="8"/>
        <v>0</v>
      </c>
      <c r="Q36" s="109">
        <f t="shared" si="8"/>
        <v>0</v>
      </c>
      <c r="R36" s="109">
        <f t="shared" si="8"/>
        <v>0</v>
      </c>
      <c r="S36" s="109">
        <f t="shared" si="8"/>
        <v>0</v>
      </c>
      <c r="T36" s="109">
        <f t="shared" si="8"/>
        <v>0</v>
      </c>
      <c r="U36" s="109">
        <f t="shared" si="8"/>
        <v>0</v>
      </c>
      <c r="V36" s="109">
        <f t="shared" si="8"/>
        <v>0</v>
      </c>
      <c r="W36" s="109">
        <f t="shared" si="8"/>
        <v>0</v>
      </c>
      <c r="X36" s="109">
        <f t="shared" si="8"/>
        <v>0</v>
      </c>
      <c r="Y36" s="109">
        <f t="shared" si="8"/>
        <v>0</v>
      </c>
      <c r="Z36" s="109">
        <f t="shared" si="8"/>
        <v>0</v>
      </c>
      <c r="AA36" s="109">
        <f t="shared" si="8"/>
        <v>0</v>
      </c>
      <c r="AB36" s="109">
        <f t="shared" si="8"/>
        <v>0</v>
      </c>
      <c r="AC36" s="109">
        <f t="shared" si="8"/>
        <v>0</v>
      </c>
      <c r="AD36" s="109">
        <f t="shared" si="8"/>
        <v>0</v>
      </c>
    </row>
    <row r="37" spans="1:30" s="166" customFormat="1" ht="48" customHeight="1">
      <c r="A37" s="129" t="s">
        <v>249</v>
      </c>
      <c r="B37" s="129">
        <f>H37</f>
        <v>0</v>
      </c>
      <c r="C37" s="110">
        <v>0</v>
      </c>
      <c r="D37" s="110">
        <f>D36+((EXP(-(LN(2))/25))*C37)+(((1-(EXP(-(LN(2))/25)))/25)*C36)</f>
        <v>0</v>
      </c>
      <c r="E37" s="110">
        <f t="shared" ref="E37:AD37" si="9">E36+((EXP(-(LN(2))/25))*D37)+(((1-(EXP(-(LN(2))/25)))/25)*D36)</f>
        <v>0</v>
      </c>
      <c r="F37" s="110">
        <f t="shared" si="9"/>
        <v>0</v>
      </c>
      <c r="G37" s="110">
        <f t="shared" si="9"/>
        <v>0</v>
      </c>
      <c r="H37" s="110">
        <f t="shared" si="9"/>
        <v>0</v>
      </c>
      <c r="I37" s="110">
        <f t="shared" si="9"/>
        <v>0</v>
      </c>
      <c r="J37" s="110">
        <f t="shared" si="9"/>
        <v>0</v>
      </c>
      <c r="K37" s="110">
        <f t="shared" si="9"/>
        <v>0</v>
      </c>
      <c r="L37" s="110">
        <f t="shared" si="9"/>
        <v>0</v>
      </c>
      <c r="M37" s="110">
        <f t="shared" si="9"/>
        <v>0</v>
      </c>
      <c r="N37" s="110">
        <f t="shared" si="9"/>
        <v>0</v>
      </c>
      <c r="O37" s="110">
        <f t="shared" si="9"/>
        <v>0</v>
      </c>
      <c r="P37" s="110">
        <f t="shared" si="9"/>
        <v>0</v>
      </c>
      <c r="Q37" s="110">
        <f t="shared" si="9"/>
        <v>0</v>
      </c>
      <c r="R37" s="110">
        <f t="shared" si="9"/>
        <v>0</v>
      </c>
      <c r="S37" s="110">
        <f t="shared" si="9"/>
        <v>0</v>
      </c>
      <c r="T37" s="110">
        <f t="shared" si="9"/>
        <v>0</v>
      </c>
      <c r="U37" s="110">
        <f t="shared" si="9"/>
        <v>0</v>
      </c>
      <c r="V37" s="110">
        <f t="shared" si="9"/>
        <v>0</v>
      </c>
      <c r="W37" s="110">
        <f t="shared" si="9"/>
        <v>0</v>
      </c>
      <c r="X37" s="110">
        <f t="shared" si="9"/>
        <v>0</v>
      </c>
      <c r="Y37" s="110">
        <f t="shared" si="9"/>
        <v>0</v>
      </c>
      <c r="Z37" s="110">
        <f t="shared" si="9"/>
        <v>0</v>
      </c>
      <c r="AA37" s="110">
        <f t="shared" si="9"/>
        <v>0</v>
      </c>
      <c r="AB37" s="110">
        <f t="shared" si="9"/>
        <v>0</v>
      </c>
      <c r="AC37" s="110">
        <f t="shared" si="9"/>
        <v>0</v>
      </c>
      <c r="AD37" s="110">
        <f t="shared" si="9"/>
        <v>0</v>
      </c>
    </row>
    <row r="38" spans="1:30" s="166" customFormat="1" ht="48" customHeight="1">
      <c r="A38" s="129" t="s">
        <v>367</v>
      </c>
      <c r="B38" s="129">
        <f>SUM(C38:AD38)</f>
        <v>0</v>
      </c>
      <c r="C38" s="110">
        <f>0.77*(C36/0.475)</f>
        <v>0</v>
      </c>
      <c r="D38" s="110">
        <f t="shared" ref="D38:AD38" si="10">0.77*(D36/0.475)</f>
        <v>0</v>
      </c>
      <c r="E38" s="110">
        <f t="shared" si="10"/>
        <v>0</v>
      </c>
      <c r="F38" s="110">
        <f t="shared" si="10"/>
        <v>0</v>
      </c>
      <c r="G38" s="110">
        <f t="shared" si="10"/>
        <v>0</v>
      </c>
      <c r="H38" s="110">
        <f t="shared" si="10"/>
        <v>0</v>
      </c>
      <c r="I38" s="110">
        <f t="shared" si="10"/>
        <v>0</v>
      </c>
      <c r="J38" s="110">
        <f t="shared" si="10"/>
        <v>0</v>
      </c>
      <c r="K38" s="110">
        <f t="shared" si="10"/>
        <v>0</v>
      </c>
      <c r="L38" s="110">
        <f t="shared" si="10"/>
        <v>0</v>
      </c>
      <c r="M38" s="110">
        <f t="shared" si="10"/>
        <v>0</v>
      </c>
      <c r="N38" s="110">
        <f t="shared" si="10"/>
        <v>0</v>
      </c>
      <c r="O38" s="110">
        <f t="shared" si="10"/>
        <v>0</v>
      </c>
      <c r="P38" s="110">
        <f t="shared" si="10"/>
        <v>0</v>
      </c>
      <c r="Q38" s="110">
        <f t="shared" si="10"/>
        <v>0</v>
      </c>
      <c r="R38" s="110">
        <f t="shared" si="10"/>
        <v>0</v>
      </c>
      <c r="S38" s="110">
        <f t="shared" si="10"/>
        <v>0</v>
      </c>
      <c r="T38" s="110">
        <f t="shared" si="10"/>
        <v>0</v>
      </c>
      <c r="U38" s="110">
        <f t="shared" si="10"/>
        <v>0</v>
      </c>
      <c r="V38" s="110">
        <f t="shared" si="10"/>
        <v>0</v>
      </c>
      <c r="W38" s="110">
        <f t="shared" si="10"/>
        <v>0</v>
      </c>
      <c r="X38" s="110">
        <f t="shared" si="10"/>
        <v>0</v>
      </c>
      <c r="Y38" s="110">
        <f t="shared" si="10"/>
        <v>0</v>
      </c>
      <c r="Z38" s="110">
        <f t="shared" si="10"/>
        <v>0</v>
      </c>
      <c r="AA38" s="110">
        <f t="shared" si="10"/>
        <v>0</v>
      </c>
      <c r="AB38" s="110">
        <f t="shared" si="10"/>
        <v>0</v>
      </c>
      <c r="AC38" s="110">
        <f t="shared" si="10"/>
        <v>0</v>
      </c>
      <c r="AD38" s="110">
        <f t="shared" si="10"/>
        <v>0</v>
      </c>
    </row>
    <row r="39" spans="1:30" s="166" customFormat="1" ht="48" customHeight="1">
      <c r="A39" s="64" t="s">
        <v>245</v>
      </c>
      <c r="B39" s="64">
        <f>SUM(C39:AD39)</f>
        <v>0</v>
      </c>
      <c r="C39" s="73">
        <v>0</v>
      </c>
      <c r="D39" s="73">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row>
    <row r="40" spans="1:30" s="166" customFormat="1" ht="48" customHeight="1">
      <c r="A40" s="64" t="s">
        <v>246</v>
      </c>
      <c r="B40" s="64">
        <f>SUM(C40:AD40)</f>
        <v>0</v>
      </c>
      <c r="C40" s="109">
        <f t="shared" ref="C40:AD40" si="11">C39*C26</f>
        <v>0</v>
      </c>
      <c r="D40" s="109">
        <f t="shared" si="11"/>
        <v>0</v>
      </c>
      <c r="E40" s="109">
        <f t="shared" si="11"/>
        <v>0</v>
      </c>
      <c r="F40" s="109">
        <f t="shared" si="11"/>
        <v>0</v>
      </c>
      <c r="G40" s="109">
        <f t="shared" si="11"/>
        <v>0</v>
      </c>
      <c r="H40" s="109">
        <f t="shared" si="11"/>
        <v>0</v>
      </c>
      <c r="I40" s="109">
        <f t="shared" si="11"/>
        <v>0</v>
      </c>
      <c r="J40" s="109">
        <f t="shared" si="11"/>
        <v>0</v>
      </c>
      <c r="K40" s="109">
        <f t="shared" si="11"/>
        <v>0</v>
      </c>
      <c r="L40" s="109">
        <f t="shared" si="11"/>
        <v>0</v>
      </c>
      <c r="M40" s="109">
        <f t="shared" si="11"/>
        <v>0</v>
      </c>
      <c r="N40" s="109">
        <f t="shared" si="11"/>
        <v>0</v>
      </c>
      <c r="O40" s="109">
        <f t="shared" si="11"/>
        <v>0</v>
      </c>
      <c r="P40" s="109">
        <f t="shared" si="11"/>
        <v>0</v>
      </c>
      <c r="Q40" s="109">
        <f t="shared" si="11"/>
        <v>0</v>
      </c>
      <c r="R40" s="109">
        <f t="shared" si="11"/>
        <v>0</v>
      </c>
      <c r="S40" s="109">
        <f t="shared" si="11"/>
        <v>0</v>
      </c>
      <c r="T40" s="109">
        <f t="shared" si="11"/>
        <v>0</v>
      </c>
      <c r="U40" s="109">
        <f t="shared" si="11"/>
        <v>0</v>
      </c>
      <c r="V40" s="109">
        <f t="shared" si="11"/>
        <v>0</v>
      </c>
      <c r="W40" s="109">
        <f t="shared" si="11"/>
        <v>0</v>
      </c>
      <c r="X40" s="109">
        <f t="shared" si="11"/>
        <v>0</v>
      </c>
      <c r="Y40" s="109">
        <f t="shared" si="11"/>
        <v>0</v>
      </c>
      <c r="Z40" s="109">
        <f t="shared" si="11"/>
        <v>0</v>
      </c>
      <c r="AA40" s="109">
        <f t="shared" si="11"/>
        <v>0</v>
      </c>
      <c r="AB40" s="109">
        <f t="shared" si="11"/>
        <v>0</v>
      </c>
      <c r="AC40" s="109">
        <f t="shared" si="11"/>
        <v>0</v>
      </c>
      <c r="AD40" s="109">
        <f t="shared" si="11"/>
        <v>0</v>
      </c>
    </row>
    <row r="41" spans="1:30" s="166" customFormat="1" ht="48" customHeight="1">
      <c r="A41" s="129" t="s">
        <v>250</v>
      </c>
      <c r="B41" s="129">
        <f>H41</f>
        <v>0</v>
      </c>
      <c r="C41" s="110">
        <v>0</v>
      </c>
      <c r="D41" s="110">
        <f t="shared" ref="D41:AD41" si="12">D40+((EXP(-(LN(2))/35))*C41)+(((1-(EXP(-(LN(2))/35)))/35)*C40)</f>
        <v>0</v>
      </c>
      <c r="E41" s="110">
        <f t="shared" si="12"/>
        <v>0</v>
      </c>
      <c r="F41" s="110">
        <f t="shared" si="12"/>
        <v>0</v>
      </c>
      <c r="G41" s="110">
        <f t="shared" si="12"/>
        <v>0</v>
      </c>
      <c r="H41" s="110">
        <f t="shared" si="12"/>
        <v>0</v>
      </c>
      <c r="I41" s="110">
        <f t="shared" si="12"/>
        <v>0</v>
      </c>
      <c r="J41" s="110">
        <f t="shared" si="12"/>
        <v>0</v>
      </c>
      <c r="K41" s="110">
        <f t="shared" si="12"/>
        <v>0</v>
      </c>
      <c r="L41" s="110">
        <f t="shared" si="12"/>
        <v>0</v>
      </c>
      <c r="M41" s="110">
        <f t="shared" si="12"/>
        <v>0</v>
      </c>
      <c r="N41" s="110">
        <f t="shared" si="12"/>
        <v>0</v>
      </c>
      <c r="O41" s="110">
        <f t="shared" si="12"/>
        <v>0</v>
      </c>
      <c r="P41" s="110">
        <f t="shared" si="12"/>
        <v>0</v>
      </c>
      <c r="Q41" s="110">
        <f t="shared" si="12"/>
        <v>0</v>
      </c>
      <c r="R41" s="110">
        <f t="shared" si="12"/>
        <v>0</v>
      </c>
      <c r="S41" s="110">
        <f t="shared" si="12"/>
        <v>0</v>
      </c>
      <c r="T41" s="110">
        <f t="shared" si="12"/>
        <v>0</v>
      </c>
      <c r="U41" s="110">
        <f t="shared" si="12"/>
        <v>0</v>
      </c>
      <c r="V41" s="110">
        <f t="shared" si="12"/>
        <v>0</v>
      </c>
      <c r="W41" s="110">
        <f t="shared" si="12"/>
        <v>0</v>
      </c>
      <c r="X41" s="110">
        <f t="shared" si="12"/>
        <v>0</v>
      </c>
      <c r="Y41" s="110">
        <f t="shared" si="12"/>
        <v>0</v>
      </c>
      <c r="Z41" s="110">
        <f t="shared" si="12"/>
        <v>0</v>
      </c>
      <c r="AA41" s="110">
        <f t="shared" si="12"/>
        <v>0</v>
      </c>
      <c r="AB41" s="110">
        <f t="shared" si="12"/>
        <v>0</v>
      </c>
      <c r="AC41" s="110">
        <f t="shared" si="12"/>
        <v>0</v>
      </c>
      <c r="AD41" s="110">
        <f t="shared" si="12"/>
        <v>0</v>
      </c>
    </row>
    <row r="42" spans="1:30" s="166" customFormat="1" ht="48" customHeight="1">
      <c r="A42" s="129" t="s">
        <v>367</v>
      </c>
      <c r="B42" s="129">
        <f>SUM(C42:AD42)</f>
        <v>0</v>
      </c>
      <c r="C42" s="110">
        <f>1.52*(C40/0.475)</f>
        <v>0</v>
      </c>
      <c r="D42" s="110">
        <f t="shared" ref="D42:AD42" si="13">1.52*(D40/0.475)</f>
        <v>0</v>
      </c>
      <c r="E42" s="110">
        <f t="shared" si="13"/>
        <v>0</v>
      </c>
      <c r="F42" s="110">
        <f t="shared" si="13"/>
        <v>0</v>
      </c>
      <c r="G42" s="110">
        <f t="shared" si="13"/>
        <v>0</v>
      </c>
      <c r="H42" s="110">
        <f t="shared" si="13"/>
        <v>0</v>
      </c>
      <c r="I42" s="110">
        <f t="shared" si="13"/>
        <v>0</v>
      </c>
      <c r="J42" s="110">
        <f t="shared" si="13"/>
        <v>0</v>
      </c>
      <c r="K42" s="110">
        <f t="shared" si="13"/>
        <v>0</v>
      </c>
      <c r="L42" s="110">
        <f t="shared" si="13"/>
        <v>0</v>
      </c>
      <c r="M42" s="110">
        <f t="shared" si="13"/>
        <v>0</v>
      </c>
      <c r="N42" s="110">
        <f t="shared" si="13"/>
        <v>0</v>
      </c>
      <c r="O42" s="110">
        <f t="shared" si="13"/>
        <v>0</v>
      </c>
      <c r="P42" s="110">
        <f t="shared" si="13"/>
        <v>0</v>
      </c>
      <c r="Q42" s="110">
        <f t="shared" si="13"/>
        <v>0</v>
      </c>
      <c r="R42" s="110">
        <f t="shared" si="13"/>
        <v>0</v>
      </c>
      <c r="S42" s="110">
        <f t="shared" si="13"/>
        <v>0</v>
      </c>
      <c r="T42" s="110">
        <f t="shared" si="13"/>
        <v>0</v>
      </c>
      <c r="U42" s="110">
        <f t="shared" si="13"/>
        <v>0</v>
      </c>
      <c r="V42" s="110">
        <f t="shared" si="13"/>
        <v>0</v>
      </c>
      <c r="W42" s="110">
        <f t="shared" si="13"/>
        <v>0</v>
      </c>
      <c r="X42" s="110">
        <f t="shared" si="13"/>
        <v>0</v>
      </c>
      <c r="Y42" s="110">
        <f t="shared" si="13"/>
        <v>0</v>
      </c>
      <c r="Z42" s="110">
        <f t="shared" si="13"/>
        <v>0</v>
      </c>
      <c r="AA42" s="110">
        <f t="shared" si="13"/>
        <v>0</v>
      </c>
      <c r="AB42" s="110">
        <f t="shared" si="13"/>
        <v>0</v>
      </c>
      <c r="AC42" s="110">
        <f t="shared" si="13"/>
        <v>0</v>
      </c>
      <c r="AD42" s="110">
        <f t="shared" si="13"/>
        <v>0</v>
      </c>
    </row>
    <row r="43" spans="1:30" s="167" customFormat="1" ht="48" customHeight="1">
      <c r="A43" s="66" t="s">
        <v>268</v>
      </c>
      <c r="B43" s="66">
        <f>((SUM(B29,B33,B37,B41)*(44/12)))</f>
        <v>0</v>
      </c>
      <c r="C43" s="129">
        <f>((C41+C37+C33+C29)*(44/12))</f>
        <v>0</v>
      </c>
      <c r="D43" s="129">
        <f t="shared" ref="D43:AD43" si="14">((D41+D37+D33+D29)*(44/12))</f>
        <v>0</v>
      </c>
      <c r="E43" s="129">
        <f t="shared" si="14"/>
        <v>0</v>
      </c>
      <c r="F43" s="129">
        <f t="shared" si="14"/>
        <v>0</v>
      </c>
      <c r="G43" s="129">
        <f t="shared" si="14"/>
        <v>0</v>
      </c>
      <c r="H43" s="129">
        <f t="shared" si="14"/>
        <v>0</v>
      </c>
      <c r="I43" s="129">
        <f t="shared" si="14"/>
        <v>0</v>
      </c>
      <c r="J43" s="129">
        <f t="shared" si="14"/>
        <v>0</v>
      </c>
      <c r="K43" s="129">
        <f t="shared" si="14"/>
        <v>0</v>
      </c>
      <c r="L43" s="129">
        <f t="shared" si="14"/>
        <v>0</v>
      </c>
      <c r="M43" s="129">
        <f t="shared" si="14"/>
        <v>0</v>
      </c>
      <c r="N43" s="129">
        <f t="shared" si="14"/>
        <v>0</v>
      </c>
      <c r="O43" s="129">
        <f t="shared" si="14"/>
        <v>0</v>
      </c>
      <c r="P43" s="129">
        <f t="shared" si="14"/>
        <v>0</v>
      </c>
      <c r="Q43" s="129">
        <f t="shared" si="14"/>
        <v>0</v>
      </c>
      <c r="R43" s="129">
        <f t="shared" si="14"/>
        <v>0</v>
      </c>
      <c r="S43" s="129">
        <f t="shared" si="14"/>
        <v>0</v>
      </c>
      <c r="T43" s="129">
        <f t="shared" si="14"/>
        <v>0</v>
      </c>
      <c r="U43" s="129">
        <f t="shared" si="14"/>
        <v>0</v>
      </c>
      <c r="V43" s="129">
        <f t="shared" si="14"/>
        <v>0</v>
      </c>
      <c r="W43" s="129">
        <f t="shared" si="14"/>
        <v>0</v>
      </c>
      <c r="X43" s="129">
        <f t="shared" si="14"/>
        <v>0</v>
      </c>
      <c r="Y43" s="129">
        <f t="shared" si="14"/>
        <v>0</v>
      </c>
      <c r="Z43" s="129">
        <f t="shared" si="14"/>
        <v>0</v>
      </c>
      <c r="AA43" s="129">
        <f t="shared" si="14"/>
        <v>0</v>
      </c>
      <c r="AB43" s="129">
        <f t="shared" si="14"/>
        <v>0</v>
      </c>
      <c r="AC43" s="129">
        <f t="shared" si="14"/>
        <v>0</v>
      </c>
      <c r="AD43" s="129">
        <f t="shared" si="14"/>
        <v>0</v>
      </c>
    </row>
    <row r="44" spans="1:30" s="166" customFormat="1" ht="48" customHeight="1">
      <c r="A44" s="66" t="s">
        <v>269</v>
      </c>
      <c r="B44" s="66">
        <f>(SUM(C44:AD44))</f>
        <v>0</v>
      </c>
      <c r="C44" s="129">
        <f t="shared" ref="C44:AD44" si="15">C42+C38+C34+C30</f>
        <v>0</v>
      </c>
      <c r="D44" s="129">
        <f t="shared" si="15"/>
        <v>0</v>
      </c>
      <c r="E44" s="129">
        <f t="shared" si="15"/>
        <v>0</v>
      </c>
      <c r="F44" s="129">
        <f t="shared" si="15"/>
        <v>0</v>
      </c>
      <c r="G44" s="129">
        <f t="shared" si="15"/>
        <v>0</v>
      </c>
      <c r="H44" s="129">
        <f t="shared" si="15"/>
        <v>0</v>
      </c>
      <c r="I44" s="129">
        <f t="shared" si="15"/>
        <v>0</v>
      </c>
      <c r="J44" s="129">
        <f t="shared" si="15"/>
        <v>0</v>
      </c>
      <c r="K44" s="129">
        <f t="shared" si="15"/>
        <v>0</v>
      </c>
      <c r="L44" s="129">
        <f t="shared" si="15"/>
        <v>0</v>
      </c>
      <c r="M44" s="129">
        <f t="shared" si="15"/>
        <v>0</v>
      </c>
      <c r="N44" s="129">
        <f t="shared" si="15"/>
        <v>0</v>
      </c>
      <c r="O44" s="129">
        <f t="shared" si="15"/>
        <v>0</v>
      </c>
      <c r="P44" s="129">
        <f t="shared" si="15"/>
        <v>0</v>
      </c>
      <c r="Q44" s="129">
        <f t="shared" si="15"/>
        <v>0</v>
      </c>
      <c r="R44" s="129">
        <f t="shared" si="15"/>
        <v>0</v>
      </c>
      <c r="S44" s="129">
        <f t="shared" si="15"/>
        <v>0</v>
      </c>
      <c r="T44" s="129">
        <f t="shared" si="15"/>
        <v>0</v>
      </c>
      <c r="U44" s="129">
        <f t="shared" si="15"/>
        <v>0</v>
      </c>
      <c r="V44" s="129">
        <f t="shared" si="15"/>
        <v>0</v>
      </c>
      <c r="W44" s="129">
        <f t="shared" si="15"/>
        <v>0</v>
      </c>
      <c r="X44" s="129">
        <f t="shared" si="15"/>
        <v>0</v>
      </c>
      <c r="Y44" s="129">
        <f t="shared" si="15"/>
        <v>0</v>
      </c>
      <c r="Z44" s="129">
        <f t="shared" si="15"/>
        <v>0</v>
      </c>
      <c r="AA44" s="129">
        <f t="shared" si="15"/>
        <v>0</v>
      </c>
      <c r="AB44" s="129">
        <f t="shared" si="15"/>
        <v>0</v>
      </c>
      <c r="AC44" s="129">
        <f t="shared" si="15"/>
        <v>0</v>
      </c>
      <c r="AD44" s="129">
        <f t="shared" si="15"/>
        <v>0</v>
      </c>
    </row>
    <row r="45" spans="1:30" s="125" customFormat="1" ht="48" customHeight="1">
      <c r="A45" s="126" t="s">
        <v>346</v>
      </c>
      <c r="B45" s="90">
        <f>B24+B43</f>
        <v>2487.833333333333</v>
      </c>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row>
    <row r="46" spans="1:30" s="125" customFormat="1" ht="48" customHeight="1">
      <c r="A46" s="126" t="s">
        <v>347</v>
      </c>
      <c r="B46" s="90">
        <f>B44</f>
        <v>0</v>
      </c>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row>
    <row r="47" spans="1:30" s="125" customFormat="1" ht="48" customHeight="1">
      <c r="A47" s="128" t="s">
        <v>267</v>
      </c>
      <c r="B47" s="88">
        <f>SUM(B24,B43,B44)</f>
        <v>2487.833333333333</v>
      </c>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30" s="125" customFormat="1" ht="48" customHeight="1">
      <c r="A48" s="104"/>
      <c r="B48" s="105"/>
      <c r="Y48" s="68"/>
    </row>
    <row r="49" spans="1:11" s="125" customFormat="1" ht="73" customHeight="1">
      <c r="A49" s="101" t="s">
        <v>280</v>
      </c>
      <c r="B49" s="257" t="str">
        <f>IF(SUM(C40:AD40,C36:AD36,C32:AD32,C28:AD28)=SUM(C26:AD26),"OK","Revoir les taux de prélèvement des produits bois")</f>
        <v>OK</v>
      </c>
      <c r="C49" s="257"/>
      <c r="G49" s="69"/>
      <c r="H49" s="69"/>
      <c r="I49" s="69"/>
      <c r="J49" s="69"/>
      <c r="K49" s="69"/>
    </row>
    <row r="50" spans="1:11" s="125" customFormat="1" ht="48" customHeight="1">
      <c r="G50" s="69"/>
      <c r="J50" s="69"/>
    </row>
    <row r="51" spans="1:11" s="125" customFormat="1" ht="48" customHeight="1">
      <c r="G51" s="69"/>
      <c r="J51" s="69"/>
    </row>
    <row r="52" spans="1:11" s="125" customFormat="1" ht="48" customHeight="1"/>
    <row r="53" spans="1:11" s="125" customFormat="1" ht="48" customHeight="1"/>
    <row r="54" spans="1:11" s="125" customFormat="1" ht="48" customHeight="1"/>
    <row r="55" spans="1:11" s="125" customFormat="1" ht="48" customHeight="1"/>
    <row r="56" spans="1:11" s="125" customFormat="1" ht="48" customHeight="1"/>
    <row r="57" spans="1:11" s="125" customFormat="1" ht="48" customHeight="1"/>
    <row r="58" spans="1:11" s="125" customFormat="1" ht="48" customHeight="1"/>
    <row r="59" spans="1:11" s="125" customFormat="1" ht="48" customHeight="1"/>
    <row r="60" spans="1:11" s="125" customFormat="1" ht="48" customHeight="1"/>
    <row r="61" spans="1:11" s="125" customFormat="1" ht="48" customHeight="1"/>
    <row r="62" spans="1:11" s="125" customFormat="1" ht="48" customHeight="1"/>
    <row r="63" spans="1:11" s="125" customFormat="1" ht="48" customHeight="1"/>
    <row r="64" spans="1:11" s="125" customFormat="1" ht="48" customHeight="1"/>
    <row r="65" s="125" customFormat="1" ht="48" customHeight="1"/>
    <row r="66" s="125" customFormat="1" ht="48" customHeight="1"/>
    <row r="67" s="125" customFormat="1" ht="48" customHeight="1"/>
    <row r="68" s="125" customFormat="1" ht="48" customHeight="1"/>
    <row r="69" s="125" customFormat="1" ht="48" customHeight="1"/>
    <row r="70" s="125" customFormat="1" ht="48" customHeight="1"/>
    <row r="71" s="125" customFormat="1" ht="48" customHeight="1"/>
    <row r="72" s="125" customFormat="1" ht="48" customHeight="1"/>
    <row r="73" s="125" customFormat="1" ht="48" customHeight="1"/>
    <row r="74" s="125" customFormat="1" ht="48" customHeight="1"/>
    <row r="75" s="125" customFormat="1" ht="48" customHeight="1"/>
    <row r="76" s="125" customFormat="1" ht="48" customHeight="1"/>
    <row r="77" s="125" customFormat="1" ht="48" customHeight="1"/>
    <row r="78" s="125" customFormat="1" ht="48" customHeight="1"/>
    <row r="79" s="125" customFormat="1" ht="48" customHeight="1"/>
    <row r="80" s="125" customFormat="1" ht="48" customHeight="1"/>
    <row r="81" s="125" customFormat="1" ht="48" customHeight="1"/>
    <row r="82" s="125" customFormat="1" ht="48" customHeight="1"/>
    <row r="83" s="125" customFormat="1" ht="48" customHeight="1"/>
    <row r="84" s="125" customFormat="1" ht="48" customHeight="1"/>
    <row r="85" s="125" customFormat="1" ht="48" customHeight="1"/>
    <row r="86" s="125" customFormat="1" ht="48" customHeight="1"/>
  </sheetData>
  <mergeCells count="3">
    <mergeCell ref="B49:C49"/>
    <mergeCell ref="B15:C15"/>
    <mergeCell ref="B16:C16"/>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3CB9-7A6B-0043-8D44-81314CAF35C6}">
  <dimension ref="A1:AG108"/>
  <sheetViews>
    <sheetView topLeftCell="A34" zoomScale="85" workbookViewId="0">
      <selection activeCell="C36" sqref="C36"/>
    </sheetView>
  </sheetViews>
  <sheetFormatPr baseColWidth="10" defaultColWidth="14.6640625" defaultRowHeight="19"/>
  <cols>
    <col min="1" max="1" width="41.33203125" style="70" customWidth="1"/>
    <col min="2" max="2" width="15.6640625" style="70" customWidth="1"/>
    <col min="3" max="11" width="14.6640625" style="70"/>
    <col min="12" max="12" width="14.83203125" style="70" customWidth="1"/>
    <col min="13" max="13" width="15.6640625" style="70" customWidth="1"/>
    <col min="14" max="15" width="16.33203125" style="70" bestFit="1" customWidth="1"/>
    <col min="16" max="16" width="17" style="70" bestFit="1" customWidth="1"/>
    <col min="17" max="17" width="16.1640625" style="70" bestFit="1" customWidth="1"/>
    <col min="18" max="18" width="22.6640625" style="70" bestFit="1" customWidth="1"/>
    <col min="19" max="19" width="17.5" style="70" bestFit="1" customWidth="1"/>
    <col min="20" max="21" width="18.1640625" style="70" bestFit="1" customWidth="1"/>
    <col min="22" max="22" width="17.1640625" style="70" bestFit="1" customWidth="1"/>
    <col min="23" max="23" width="16.33203125" style="70" bestFit="1" customWidth="1"/>
    <col min="24" max="24" width="17" style="70" bestFit="1" customWidth="1"/>
    <col min="25" max="25" width="16.33203125" style="70" bestFit="1" customWidth="1"/>
    <col min="26" max="26" width="15.33203125" style="70" bestFit="1" customWidth="1"/>
    <col min="27" max="27" width="15" style="70" bestFit="1" customWidth="1"/>
    <col min="28" max="28" width="15.83203125" style="70" bestFit="1" customWidth="1"/>
    <col min="29" max="30" width="15" style="70" bestFit="1" customWidth="1"/>
    <col min="31" max="31" width="15.6640625" style="70" bestFit="1" customWidth="1"/>
    <col min="32" max="32" width="15.1640625" style="70" bestFit="1" customWidth="1"/>
    <col min="33" max="33" width="14.83203125" style="70" bestFit="1" customWidth="1"/>
    <col min="34" max="16384" width="14.6640625" style="70"/>
  </cols>
  <sheetData>
    <row r="1" spans="1:21" s="84" customFormat="1" ht="57" customHeight="1">
      <c r="A1" s="221" t="s">
        <v>222</v>
      </c>
      <c r="B1" s="221"/>
      <c r="C1" s="221"/>
      <c r="D1" s="221"/>
      <c r="E1" s="221"/>
      <c r="F1" s="221"/>
      <c r="G1" s="221"/>
      <c r="H1" s="50"/>
      <c r="J1" s="221" t="s">
        <v>281</v>
      </c>
      <c r="K1" s="221"/>
      <c r="L1" s="221"/>
      <c r="M1" s="221"/>
      <c r="N1" s="221"/>
      <c r="O1" s="221"/>
      <c r="P1" s="221"/>
      <c r="Q1" s="221"/>
      <c r="R1" s="221"/>
      <c r="S1" s="221"/>
      <c r="T1" s="221"/>
      <c r="U1" s="221"/>
    </row>
    <row r="2" spans="1:21" s="84" customFormat="1" ht="57" customHeight="1">
      <c r="A2" s="78" t="s">
        <v>123</v>
      </c>
      <c r="B2" s="78" t="s">
        <v>223</v>
      </c>
      <c r="C2" s="78" t="s">
        <v>221</v>
      </c>
      <c r="D2" s="78" t="s">
        <v>224</v>
      </c>
      <c r="E2" s="78" t="s">
        <v>226</v>
      </c>
      <c r="F2" s="78" t="s">
        <v>225</v>
      </c>
      <c r="G2" s="78" t="s">
        <v>226</v>
      </c>
      <c r="H2" s="53"/>
      <c r="J2" s="78" t="s">
        <v>283</v>
      </c>
      <c r="K2" s="228" t="s">
        <v>284</v>
      </c>
      <c r="L2" s="228"/>
      <c r="M2" s="228" t="s">
        <v>285</v>
      </c>
      <c r="N2" s="228"/>
      <c r="O2" s="228" t="s">
        <v>286</v>
      </c>
      <c r="P2" s="228"/>
      <c r="Q2" s="228"/>
      <c r="R2" s="228"/>
      <c r="S2" s="228"/>
      <c r="T2" s="78" t="s">
        <v>325</v>
      </c>
      <c r="U2" s="78" t="s">
        <v>287</v>
      </c>
    </row>
    <row r="3" spans="1:21" s="84" customFormat="1" ht="57" customHeight="1">
      <c r="A3" s="80" t="s">
        <v>205</v>
      </c>
      <c r="B3" s="101">
        <v>5.0999999999999996</v>
      </c>
      <c r="C3" s="55">
        <v>0.4</v>
      </c>
      <c r="D3" s="83">
        <f>C3*B3</f>
        <v>2.04</v>
      </c>
      <c r="E3" s="56">
        <f>D3*COEFFICIENTS!B28</f>
        <v>1.1832</v>
      </c>
      <c r="F3" s="83">
        <f>D3*COEFFICIENTS!$C$10</f>
        <v>3.1824000000000003</v>
      </c>
      <c r="G3" s="56">
        <f>F3*COEFFICIENTS!B28</f>
        <v>1.8457920000000001</v>
      </c>
      <c r="J3" s="79">
        <v>1</v>
      </c>
      <c r="K3" s="222" t="s">
        <v>288</v>
      </c>
      <c r="L3" s="222"/>
      <c r="M3" s="230" t="s">
        <v>289</v>
      </c>
      <c r="N3" s="230"/>
      <c r="O3" s="230" t="s">
        <v>291</v>
      </c>
      <c r="P3" s="230"/>
      <c r="Q3" s="230"/>
      <c r="R3" s="230"/>
      <c r="S3" s="230"/>
      <c r="T3" s="99" t="s">
        <v>326</v>
      </c>
      <c r="U3" s="99">
        <f>IF(T3="OUI",3,0)</f>
        <v>3</v>
      </c>
    </row>
    <row r="4" spans="1:21" s="84" customFormat="1" ht="57" customHeight="1">
      <c r="A4" s="80" t="s">
        <v>111</v>
      </c>
      <c r="B4" s="101">
        <v>5.6</v>
      </c>
      <c r="C4" s="55">
        <v>0.4</v>
      </c>
      <c r="D4" s="83">
        <f t="shared" ref="D4:D12" si="0">C4*B4</f>
        <v>2.2399999999999998</v>
      </c>
      <c r="E4" s="83">
        <f>D4*COEFFICIENTS!B42</f>
        <v>1.232</v>
      </c>
      <c r="F4" s="83">
        <f>D4*COEFFICIENTS!$C$10</f>
        <v>3.4943999999999997</v>
      </c>
      <c r="G4" s="83">
        <f>F4*COEFFICIENTS!B42</f>
        <v>1.9219200000000001</v>
      </c>
      <c r="J4" s="79">
        <v>2</v>
      </c>
      <c r="K4" s="222" t="s">
        <v>288</v>
      </c>
      <c r="L4" s="222"/>
      <c r="M4" s="230" t="s">
        <v>290</v>
      </c>
      <c r="N4" s="230"/>
      <c r="O4" s="230" t="s">
        <v>292</v>
      </c>
      <c r="P4" s="230"/>
      <c r="Q4" s="230"/>
      <c r="R4" s="230"/>
      <c r="S4" s="230"/>
      <c r="T4" s="99" t="s">
        <v>326</v>
      </c>
      <c r="U4" s="99">
        <f>IF(T4="OUI",2,0)</f>
        <v>2</v>
      </c>
    </row>
    <row r="5" spans="1:21" s="84" customFormat="1" ht="57" customHeight="1">
      <c r="A5" s="80" t="s">
        <v>112</v>
      </c>
      <c r="B5" s="101">
        <v>7.1</v>
      </c>
      <c r="C5" s="55">
        <v>0.1</v>
      </c>
      <c r="D5" s="83">
        <f t="shared" si="0"/>
        <v>0.71</v>
      </c>
      <c r="E5" s="83">
        <f>D5*COEFFICIENTS!B22</f>
        <v>0.33369999999999994</v>
      </c>
      <c r="F5" s="83">
        <f>D5*COEFFICIENTS!$C$10</f>
        <v>1.1075999999999999</v>
      </c>
      <c r="G5" s="83">
        <f>F5*COEFFICIENTS!B22</f>
        <v>0.52057199999999992</v>
      </c>
      <c r="J5" s="79">
        <v>3</v>
      </c>
      <c r="K5" s="222" t="s">
        <v>288</v>
      </c>
      <c r="L5" s="222"/>
      <c r="M5" s="230" t="s">
        <v>293</v>
      </c>
      <c r="N5" s="230"/>
      <c r="O5" s="230" t="s">
        <v>282</v>
      </c>
      <c r="P5" s="230"/>
      <c r="Q5" s="230"/>
      <c r="R5" s="230"/>
      <c r="S5" s="230"/>
      <c r="T5" s="99" t="s">
        <v>326</v>
      </c>
      <c r="U5" s="99">
        <f>IF(T5="OUI",5,0)</f>
        <v>5</v>
      </c>
    </row>
    <row r="6" spans="1:21" s="84" customFormat="1" ht="57" customHeight="1">
      <c r="A6" s="80" t="s">
        <v>256</v>
      </c>
      <c r="B6" s="101">
        <v>3.9</v>
      </c>
      <c r="C6" s="55">
        <v>0</v>
      </c>
      <c r="D6" s="83">
        <f t="shared" si="0"/>
        <v>0</v>
      </c>
      <c r="E6" s="83">
        <f>D6*COEFFICIENTS!B23</f>
        <v>0</v>
      </c>
      <c r="F6" s="83">
        <f>D6*COEFFICIENTS!$C$10</f>
        <v>0</v>
      </c>
      <c r="G6" s="83">
        <f>F6*COEFFICIENTS!B23</f>
        <v>0</v>
      </c>
      <c r="J6" s="79">
        <v>4</v>
      </c>
      <c r="K6" s="222" t="s">
        <v>288</v>
      </c>
      <c r="L6" s="222"/>
      <c r="M6" s="230" t="s">
        <v>368</v>
      </c>
      <c r="N6" s="230"/>
      <c r="O6" s="230" t="s">
        <v>374</v>
      </c>
      <c r="P6" s="230"/>
      <c r="Q6" s="230"/>
      <c r="R6" s="230"/>
      <c r="S6" s="230"/>
      <c r="T6" s="99" t="s">
        <v>326</v>
      </c>
      <c r="U6" s="99">
        <f>IF(T6="OUI",3,0)</f>
        <v>3</v>
      </c>
    </row>
    <row r="7" spans="1:21" s="84" customFormat="1" ht="57" customHeight="1">
      <c r="A7" s="80" t="s">
        <v>206</v>
      </c>
      <c r="B7" s="101">
        <v>3.9</v>
      </c>
      <c r="C7" s="55">
        <v>7.4999999999999997E-2</v>
      </c>
      <c r="D7" s="83">
        <f t="shared" si="0"/>
        <v>0.29249999999999998</v>
      </c>
      <c r="E7" s="56">
        <f>(0.67*D7*COEFFICIENTS!B20)+(0.33*D7*COEFFICIENTS!B18)</f>
        <v>0.16973775000000002</v>
      </c>
      <c r="F7" s="83">
        <f>D7*COEFFICIENTS!$C$10</f>
        <v>0.45629999999999998</v>
      </c>
      <c r="G7" s="56">
        <f>(0.67*F7*COEFFICIENTS!B20)+(0.33*F7*COEFFICIENTS!B18)</f>
        <v>0.26479089</v>
      </c>
      <c r="J7" s="79">
        <v>5</v>
      </c>
      <c r="K7" s="222" t="s">
        <v>288</v>
      </c>
      <c r="L7" s="222"/>
      <c r="M7" s="230" t="s">
        <v>296</v>
      </c>
      <c r="N7" s="230"/>
      <c r="O7" s="230" t="s">
        <v>297</v>
      </c>
      <c r="P7" s="230"/>
      <c r="Q7" s="230"/>
      <c r="R7" s="230"/>
      <c r="S7" s="230"/>
      <c r="T7" s="99" t="s">
        <v>326</v>
      </c>
      <c r="U7" s="99">
        <f>IF(T7="OUI",5,0)</f>
        <v>5</v>
      </c>
    </row>
    <row r="8" spans="1:21" s="84" customFormat="1" ht="57" customHeight="1">
      <c r="A8" s="80" t="s">
        <v>207</v>
      </c>
      <c r="B8" s="101">
        <v>11.8</v>
      </c>
      <c r="C8" s="55">
        <v>0</v>
      </c>
      <c r="D8" s="83">
        <f t="shared" si="0"/>
        <v>0</v>
      </c>
      <c r="E8" s="56">
        <f>D8*COEFFICIENTS!B32</f>
        <v>0</v>
      </c>
      <c r="F8" s="83">
        <f>D8*COEFFICIENTS!$B$10</f>
        <v>0</v>
      </c>
      <c r="G8" s="56">
        <v>0</v>
      </c>
      <c r="J8" s="79">
        <v>6</v>
      </c>
      <c r="K8" s="222" t="s">
        <v>288</v>
      </c>
      <c r="L8" s="222"/>
      <c r="M8" s="230" t="s">
        <v>298</v>
      </c>
      <c r="N8" s="230"/>
      <c r="O8" s="230" t="s">
        <v>299</v>
      </c>
      <c r="P8" s="230"/>
      <c r="Q8" s="230"/>
      <c r="R8" s="230"/>
      <c r="S8" s="230"/>
      <c r="T8" s="99" t="s">
        <v>326</v>
      </c>
      <c r="U8" s="99">
        <f>IF(T8="OUI",5,0)</f>
        <v>5</v>
      </c>
    </row>
    <row r="9" spans="1:21" s="84" customFormat="1" ht="57" customHeight="1">
      <c r="A9" s="80" t="s">
        <v>166</v>
      </c>
      <c r="B9" s="101">
        <v>6.6</v>
      </c>
      <c r="C9" s="55">
        <v>0</v>
      </c>
      <c r="D9" s="83">
        <f t="shared" si="0"/>
        <v>0</v>
      </c>
      <c r="E9" s="83">
        <f>D9*COEFFICIENTS!B61</f>
        <v>0</v>
      </c>
      <c r="F9" s="83">
        <f>D9*COEFFICIENTS!$B$10</f>
        <v>0</v>
      </c>
      <c r="G9" s="83">
        <f>F9*COEFFICIENTS!B61</f>
        <v>0</v>
      </c>
      <c r="J9" s="79">
        <v>7</v>
      </c>
      <c r="K9" s="222" t="s">
        <v>288</v>
      </c>
      <c r="L9" s="222"/>
      <c r="M9" s="230" t="s">
        <v>300</v>
      </c>
      <c r="N9" s="230"/>
      <c r="O9" s="230" t="s">
        <v>301</v>
      </c>
      <c r="P9" s="230"/>
      <c r="Q9" s="230"/>
      <c r="R9" s="230"/>
      <c r="S9" s="230"/>
      <c r="T9" s="99" t="s">
        <v>326</v>
      </c>
      <c r="U9" s="99">
        <f>IF(T9="OUI",2,0)</f>
        <v>2</v>
      </c>
    </row>
    <row r="10" spans="1:21" s="84" customFormat="1" ht="57" customHeight="1">
      <c r="A10" s="80" t="s">
        <v>170</v>
      </c>
      <c r="B10" s="101">
        <v>4.5</v>
      </c>
      <c r="C10" s="55">
        <v>0</v>
      </c>
      <c r="D10" s="83">
        <f t="shared" si="0"/>
        <v>0</v>
      </c>
      <c r="E10" s="83">
        <f>D10*COEFFICIENTS!B65</f>
        <v>0</v>
      </c>
      <c r="F10" s="83">
        <f>D10*COEFFICIENTS!$B$10</f>
        <v>0</v>
      </c>
      <c r="G10" s="83">
        <f>F10*COEFFICIENTS!B65</f>
        <v>0</v>
      </c>
      <c r="J10" s="92">
        <v>8</v>
      </c>
      <c r="K10" s="223" t="s">
        <v>302</v>
      </c>
      <c r="L10" s="223"/>
      <c r="M10" s="236" t="s">
        <v>379</v>
      </c>
      <c r="N10" s="236"/>
      <c r="O10" s="236" t="s">
        <v>384</v>
      </c>
      <c r="P10" s="236"/>
      <c r="Q10" s="236"/>
      <c r="R10" s="236"/>
      <c r="S10" s="236"/>
      <c r="T10" s="100" t="s">
        <v>326</v>
      </c>
      <c r="U10" s="100">
        <f>IF(T10="OUI",3,0)</f>
        <v>3</v>
      </c>
    </row>
    <row r="11" spans="1:21" s="84" customFormat="1" ht="57" customHeight="1">
      <c r="A11" s="80" t="s">
        <v>208</v>
      </c>
      <c r="B11" s="101">
        <v>14.2</v>
      </c>
      <c r="C11" s="55">
        <v>2.5000000000000001E-2</v>
      </c>
      <c r="D11" s="83">
        <f t="shared" si="0"/>
        <v>0.35499999999999998</v>
      </c>
      <c r="E11" s="83">
        <f>D11*COEFFICIENTS!B35</f>
        <v>0.15264999999999998</v>
      </c>
      <c r="F11" s="83">
        <f>D11*COEFFICIENTS!$B$10</f>
        <v>0.46149999999999997</v>
      </c>
      <c r="G11" s="83">
        <f>F11*COEFFICIENTS!B35</f>
        <v>0.19844499999999998</v>
      </c>
      <c r="J11" s="92">
        <v>9</v>
      </c>
      <c r="K11" s="223" t="s">
        <v>302</v>
      </c>
      <c r="L11" s="223"/>
      <c r="M11" s="236" t="s">
        <v>380</v>
      </c>
      <c r="N11" s="236"/>
      <c r="O11" s="236" t="s">
        <v>385</v>
      </c>
      <c r="P11" s="236"/>
      <c r="Q11" s="236"/>
      <c r="R11" s="236"/>
      <c r="S11" s="236"/>
      <c r="T11" s="100" t="s">
        <v>326</v>
      </c>
      <c r="U11" s="100">
        <f>IF(T11="OUI",5,0)</f>
        <v>5</v>
      </c>
    </row>
    <row r="12" spans="1:21" s="84" customFormat="1" ht="57" customHeight="1">
      <c r="A12" s="80" t="s">
        <v>209</v>
      </c>
      <c r="B12" s="101">
        <v>5.0999999999999996</v>
      </c>
      <c r="C12" s="55">
        <v>0</v>
      </c>
      <c r="D12" s="83">
        <f t="shared" si="0"/>
        <v>0</v>
      </c>
      <c r="E12" s="83">
        <f>D12*COEFFICIENTS!B36</f>
        <v>0</v>
      </c>
      <c r="F12" s="83">
        <f>D12*COEFFICIENTS!$B$10</f>
        <v>0</v>
      </c>
      <c r="G12" s="83">
        <v>0</v>
      </c>
      <c r="J12" s="92">
        <v>10</v>
      </c>
      <c r="K12" s="223" t="s">
        <v>302</v>
      </c>
      <c r="L12" s="223"/>
      <c r="M12" s="236" t="s">
        <v>381</v>
      </c>
      <c r="N12" s="236"/>
      <c r="O12" s="236" t="s">
        <v>305</v>
      </c>
      <c r="P12" s="236"/>
      <c r="Q12" s="236"/>
      <c r="R12" s="236"/>
      <c r="S12" s="236"/>
      <c r="T12" s="100" t="s">
        <v>326</v>
      </c>
      <c r="U12" s="100">
        <f>IF(T12="OUI",1,0)</f>
        <v>1</v>
      </c>
    </row>
    <row r="13" spans="1:21" s="84" customFormat="1" ht="57" customHeight="1">
      <c r="A13" s="224" t="s">
        <v>227</v>
      </c>
      <c r="B13" s="224"/>
      <c r="C13" s="57">
        <f>SUM(C3:C12)</f>
        <v>1</v>
      </c>
      <c r="D13" s="58">
        <f>SUM(D3:D12)</f>
        <v>5.6374999999999993</v>
      </c>
      <c r="E13" s="58">
        <f>SUM(E3:E12)</f>
        <v>3.0712877499999998</v>
      </c>
      <c r="F13" s="58">
        <f>SUM(F3:F12)</f>
        <v>8.7021999999999995</v>
      </c>
      <c r="G13" s="58">
        <f>SUM(G3:G12)</f>
        <v>4.7515198899999991</v>
      </c>
      <c r="J13" s="92">
        <v>11</v>
      </c>
      <c r="K13" s="223" t="s">
        <v>302</v>
      </c>
      <c r="L13" s="223"/>
      <c r="M13" s="236" t="s">
        <v>382</v>
      </c>
      <c r="N13" s="236"/>
      <c r="O13" s="236" t="s">
        <v>306</v>
      </c>
      <c r="P13" s="236"/>
      <c r="Q13" s="236"/>
      <c r="R13" s="236"/>
      <c r="S13" s="236"/>
      <c r="T13" s="100" t="s">
        <v>326</v>
      </c>
      <c r="U13" s="100">
        <f>IF(T13="OUI",2,0)</f>
        <v>2</v>
      </c>
    </row>
    <row r="14" spans="1:21" s="84" customFormat="1" ht="57" customHeight="1">
      <c r="A14" s="235" t="s">
        <v>251</v>
      </c>
      <c r="B14" s="235"/>
      <c r="C14" s="59">
        <f>SUM(C3:C7)</f>
        <v>0.97499999999999998</v>
      </c>
      <c r="D14" s="237" t="s">
        <v>276</v>
      </c>
      <c r="E14" s="237"/>
      <c r="F14" s="237"/>
      <c r="G14" s="237"/>
      <c r="J14" s="92">
        <v>12</v>
      </c>
      <c r="K14" s="223" t="s">
        <v>302</v>
      </c>
      <c r="L14" s="223"/>
      <c r="M14" s="236" t="s">
        <v>383</v>
      </c>
      <c r="N14" s="236"/>
      <c r="O14" s="236" t="s">
        <v>386</v>
      </c>
      <c r="P14" s="236"/>
      <c r="Q14" s="236"/>
      <c r="R14" s="236"/>
      <c r="S14" s="236"/>
      <c r="T14" s="100" t="s">
        <v>326</v>
      </c>
      <c r="U14" s="100">
        <f>IF(T14="OUI",3,0)</f>
        <v>3</v>
      </c>
    </row>
    <row r="15" spans="1:21" s="84" customFormat="1" ht="57" customHeight="1">
      <c r="A15" s="235" t="s">
        <v>253</v>
      </c>
      <c r="B15" s="235"/>
      <c r="C15" s="59">
        <f>C6</f>
        <v>0</v>
      </c>
      <c r="D15" s="237" t="s">
        <v>330</v>
      </c>
      <c r="E15" s="237"/>
      <c r="F15" s="237"/>
      <c r="G15" s="237"/>
      <c r="J15" s="82">
        <v>13</v>
      </c>
      <c r="K15" s="224" t="s">
        <v>307</v>
      </c>
      <c r="L15" s="224"/>
      <c r="M15" s="235" t="s">
        <v>308</v>
      </c>
      <c r="N15" s="235"/>
      <c r="O15" s="235" t="s">
        <v>311</v>
      </c>
      <c r="P15" s="235"/>
      <c r="Q15" s="235"/>
      <c r="R15" s="235"/>
      <c r="S15" s="235"/>
      <c r="T15" s="101" t="s">
        <v>326</v>
      </c>
      <c r="U15" s="101">
        <f>IF(T15="OUI",5,0)</f>
        <v>5</v>
      </c>
    </row>
    <row r="16" spans="1:21" s="84" customFormat="1" ht="57" customHeight="1">
      <c r="A16" s="235" t="s">
        <v>254</v>
      </c>
      <c r="B16" s="235"/>
      <c r="C16" s="59">
        <f>C9</f>
        <v>0</v>
      </c>
      <c r="D16" s="237" t="s">
        <v>257</v>
      </c>
      <c r="E16" s="237"/>
      <c r="F16" s="237"/>
      <c r="G16" s="237"/>
      <c r="J16" s="82">
        <v>14</v>
      </c>
      <c r="K16" s="224" t="s">
        <v>307</v>
      </c>
      <c r="L16" s="224"/>
      <c r="M16" s="235" t="s">
        <v>309</v>
      </c>
      <c r="N16" s="235"/>
      <c r="O16" s="235" t="s">
        <v>312</v>
      </c>
      <c r="P16" s="235"/>
      <c r="Q16" s="235"/>
      <c r="R16" s="235"/>
      <c r="S16" s="235"/>
      <c r="T16" s="101" t="s">
        <v>326</v>
      </c>
      <c r="U16" s="101">
        <f>IF(T16="OUI",1,0)</f>
        <v>1</v>
      </c>
    </row>
    <row r="17" spans="1:33" s="84" customFormat="1" ht="57" customHeight="1">
      <c r="A17" s="235" t="s">
        <v>252</v>
      </c>
      <c r="B17" s="235"/>
      <c r="C17" s="59">
        <f>SUM(C8,C10:C12)</f>
        <v>2.5000000000000001E-2</v>
      </c>
      <c r="D17" s="237" t="s">
        <v>255</v>
      </c>
      <c r="E17" s="237"/>
      <c r="F17" s="237"/>
      <c r="G17" s="237"/>
      <c r="J17" s="82">
        <v>15</v>
      </c>
      <c r="K17" s="224" t="s">
        <v>307</v>
      </c>
      <c r="L17" s="224"/>
      <c r="M17" s="235" t="s">
        <v>310</v>
      </c>
      <c r="N17" s="235"/>
      <c r="O17" s="235" t="s">
        <v>313</v>
      </c>
      <c r="P17" s="235"/>
      <c r="Q17" s="235"/>
      <c r="R17" s="235"/>
      <c r="S17" s="235"/>
      <c r="T17" s="101" t="s">
        <v>326</v>
      </c>
      <c r="U17" s="101">
        <f>IF(T17="OUI",1,0)</f>
        <v>1</v>
      </c>
    </row>
    <row r="18" spans="1:33" s="84" customFormat="1" ht="57" customHeight="1">
      <c r="J18" s="82">
        <v>16</v>
      </c>
      <c r="K18" s="224" t="s">
        <v>307</v>
      </c>
      <c r="L18" s="224"/>
      <c r="M18" s="235" t="s">
        <v>377</v>
      </c>
      <c r="N18" s="235"/>
      <c r="O18" s="235" t="s">
        <v>376</v>
      </c>
      <c r="P18" s="235"/>
      <c r="Q18" s="235"/>
      <c r="R18" s="235"/>
      <c r="S18" s="235"/>
      <c r="T18" s="101" t="s">
        <v>326</v>
      </c>
      <c r="U18" s="101">
        <f>IF(T18="OUI",5,0)</f>
        <v>5</v>
      </c>
    </row>
    <row r="19" spans="1:33" s="84" customFormat="1" ht="57" customHeight="1">
      <c r="A19" s="80" t="s">
        <v>231</v>
      </c>
      <c r="B19" s="231">
        <v>13</v>
      </c>
      <c r="C19" s="231"/>
      <c r="J19" s="82">
        <v>17</v>
      </c>
      <c r="K19" s="224" t="s">
        <v>307</v>
      </c>
      <c r="L19" s="224"/>
      <c r="M19" s="235" t="s">
        <v>378</v>
      </c>
      <c r="N19" s="235"/>
      <c r="O19" s="235" t="s">
        <v>375</v>
      </c>
      <c r="P19" s="235"/>
      <c r="Q19" s="235"/>
      <c r="R19" s="235"/>
      <c r="S19" s="235"/>
      <c r="T19" s="101" t="s">
        <v>326</v>
      </c>
      <c r="U19" s="101">
        <f>IF(T19="OUI",2,0)</f>
        <v>2</v>
      </c>
    </row>
    <row r="20" spans="1:33" s="84" customFormat="1" ht="57" customHeight="1">
      <c r="A20" s="80" t="s">
        <v>263</v>
      </c>
      <c r="B20" s="231" t="s">
        <v>116</v>
      </c>
      <c r="C20" s="231"/>
      <c r="J20" s="93">
        <v>18</v>
      </c>
      <c r="K20" s="225" t="s">
        <v>316</v>
      </c>
      <c r="L20" s="225"/>
      <c r="M20" s="229" t="s">
        <v>317</v>
      </c>
      <c r="N20" s="229"/>
      <c r="O20" s="229" t="s">
        <v>318</v>
      </c>
      <c r="P20" s="229"/>
      <c r="Q20" s="229"/>
      <c r="R20" s="229"/>
      <c r="S20" s="229"/>
      <c r="T20" s="96" t="s">
        <v>326</v>
      </c>
      <c r="U20" s="96">
        <f>IF(T20="OUI",1,0)</f>
        <v>1</v>
      </c>
    </row>
    <row r="21" spans="1:33" s="84" customFormat="1" ht="57" customHeight="1">
      <c r="A21" s="80" t="s">
        <v>387</v>
      </c>
      <c r="B21" s="231" t="s">
        <v>388</v>
      </c>
      <c r="C21" s="231"/>
      <c r="J21" s="93">
        <v>19</v>
      </c>
      <c r="K21" s="225" t="s">
        <v>316</v>
      </c>
      <c r="L21" s="225"/>
      <c r="M21" s="229" t="s">
        <v>319</v>
      </c>
      <c r="N21" s="229"/>
      <c r="O21" s="229" t="s">
        <v>320</v>
      </c>
      <c r="P21" s="229"/>
      <c r="Q21" s="229"/>
      <c r="R21" s="229"/>
      <c r="S21" s="229"/>
      <c r="T21" s="96" t="s">
        <v>326</v>
      </c>
      <c r="U21" s="96">
        <f>IF(T21="OUI",1,0)</f>
        <v>1</v>
      </c>
    </row>
    <row r="22" spans="1:33" s="84" customFormat="1" ht="57" customHeight="1">
      <c r="A22" s="53"/>
      <c r="B22" s="119"/>
      <c r="C22" s="119"/>
      <c r="J22" s="93">
        <v>20</v>
      </c>
      <c r="K22" s="225" t="s">
        <v>316</v>
      </c>
      <c r="L22" s="225"/>
      <c r="M22" s="229" t="s">
        <v>323</v>
      </c>
      <c r="N22" s="229"/>
      <c r="O22" s="229" t="s">
        <v>324</v>
      </c>
      <c r="P22" s="229"/>
      <c r="Q22" s="229"/>
      <c r="R22" s="229"/>
      <c r="S22" s="229"/>
      <c r="T22" s="96" t="s">
        <v>326</v>
      </c>
      <c r="U22" s="96">
        <f>IF(T22="OUI",5,0)</f>
        <v>5</v>
      </c>
    </row>
    <row r="23" spans="1:33" s="84" customFormat="1" ht="57" customHeight="1">
      <c r="A23" s="53"/>
      <c r="B23" s="119"/>
      <c r="C23" s="119"/>
      <c r="S23" s="216" t="s">
        <v>329</v>
      </c>
      <c r="T23" s="216"/>
      <c r="U23" s="87">
        <f>SUM(U3:U22)</f>
        <v>60</v>
      </c>
    </row>
    <row r="24" spans="1:33" s="84" customFormat="1" ht="48" customHeight="1">
      <c r="A24" s="108" t="s">
        <v>220</v>
      </c>
      <c r="B24" s="108" t="s">
        <v>236</v>
      </c>
      <c r="C24" s="68"/>
      <c r="D24" s="68"/>
    </row>
    <row r="25" spans="1:33" s="84" customFormat="1" ht="48" customHeight="1">
      <c r="A25" s="64" t="s">
        <v>232</v>
      </c>
      <c r="B25" s="107">
        <v>0</v>
      </c>
      <c r="C25" s="68"/>
      <c r="D25" s="68"/>
      <c r="E25" s="68"/>
      <c r="F25" s="68"/>
      <c r="G25" s="68"/>
      <c r="H25" s="68"/>
      <c r="I25" s="68"/>
      <c r="J25" s="68"/>
      <c r="K25" s="68"/>
      <c r="L25" s="241" t="s">
        <v>351</v>
      </c>
      <c r="M25" s="241"/>
      <c r="N25" s="241"/>
      <c r="O25" s="241"/>
      <c r="P25" s="241"/>
      <c r="Q25" s="241"/>
      <c r="R25" s="241"/>
      <c r="S25" s="241"/>
      <c r="T25" s="241"/>
      <c r="U25" s="68"/>
      <c r="V25" s="68"/>
      <c r="W25" s="68"/>
      <c r="X25" s="68"/>
      <c r="Y25" s="68"/>
      <c r="Z25" s="68"/>
      <c r="AA25" s="68"/>
      <c r="AB25" s="68"/>
      <c r="AC25" s="68"/>
      <c r="AD25" s="68"/>
      <c r="AE25" s="68"/>
      <c r="AF25" s="68"/>
      <c r="AG25" s="68"/>
    </row>
    <row r="26" spans="1:33" s="84" customFormat="1" ht="48" customHeight="1">
      <c r="A26" s="64" t="s">
        <v>235</v>
      </c>
      <c r="B26" s="107">
        <v>2</v>
      </c>
      <c r="C26" s="68"/>
      <c r="D26" s="68"/>
      <c r="E26" s="68"/>
      <c r="F26" s="68"/>
      <c r="G26" s="68"/>
      <c r="H26" s="68"/>
      <c r="I26" s="68"/>
      <c r="J26" s="248" t="s">
        <v>363</v>
      </c>
      <c r="K26" s="248"/>
      <c r="L26" s="242" t="s">
        <v>372</v>
      </c>
      <c r="M26" s="242"/>
      <c r="N26" s="242"/>
      <c r="O26" s="246">
        <f>T26-((T27-T28)/(1.045^T29))</f>
        <v>2399.2767160135172</v>
      </c>
      <c r="P26" s="239" t="s">
        <v>373</v>
      </c>
      <c r="Q26" s="239"/>
      <c r="R26" s="239"/>
      <c r="S26" s="239"/>
      <c r="T26" s="95">
        <v>2000</v>
      </c>
      <c r="U26" s="68"/>
      <c r="V26" s="68"/>
      <c r="W26" s="68"/>
      <c r="X26" s="68"/>
      <c r="Y26" s="68"/>
      <c r="Z26" s="68"/>
      <c r="AA26" s="68"/>
      <c r="AB26" s="68"/>
      <c r="AC26" s="68"/>
      <c r="AD26" s="68"/>
      <c r="AE26" s="68"/>
      <c r="AF26" s="68"/>
      <c r="AG26" s="68"/>
    </row>
    <row r="27" spans="1:33" s="84" customFormat="1" ht="48" customHeight="1">
      <c r="A27" s="64" t="s">
        <v>238</v>
      </c>
      <c r="B27" s="107">
        <v>5</v>
      </c>
      <c r="C27" s="68"/>
      <c r="D27" s="68"/>
      <c r="E27" s="68"/>
      <c r="F27" s="68"/>
      <c r="G27" s="68"/>
      <c r="H27" s="68"/>
      <c r="I27" s="68"/>
      <c r="J27" s="248"/>
      <c r="K27" s="248"/>
      <c r="L27" s="242"/>
      <c r="M27" s="242"/>
      <c r="N27" s="242"/>
      <c r="O27" s="246"/>
      <c r="P27" s="239" t="s">
        <v>370</v>
      </c>
      <c r="Q27" s="239"/>
      <c r="R27" s="239"/>
      <c r="S27" s="239"/>
      <c r="T27" s="95">
        <v>300</v>
      </c>
      <c r="U27" s="68"/>
      <c r="V27" s="68"/>
      <c r="W27" s="68"/>
      <c r="X27" s="68"/>
      <c r="Y27" s="68"/>
      <c r="Z27" s="68"/>
      <c r="AA27" s="68"/>
      <c r="AB27" s="68"/>
      <c r="AC27" s="68"/>
      <c r="AD27" s="68"/>
      <c r="AE27" s="68"/>
      <c r="AF27" s="68"/>
      <c r="AG27" s="68"/>
    </row>
    <row r="28" spans="1:33" s="84" customFormat="1" ht="48" customHeight="1">
      <c r="A28" s="64" t="s">
        <v>233</v>
      </c>
      <c r="B28" s="107">
        <v>25</v>
      </c>
      <c r="C28" s="68"/>
      <c r="D28" s="68"/>
      <c r="E28" s="68"/>
      <c r="F28" s="68"/>
      <c r="G28" s="68"/>
      <c r="H28" s="68"/>
      <c r="I28" s="68"/>
      <c r="J28" s="248"/>
      <c r="K28" s="248"/>
      <c r="L28" s="242"/>
      <c r="M28" s="242"/>
      <c r="N28" s="242"/>
      <c r="O28" s="246"/>
      <c r="P28" s="239" t="s">
        <v>369</v>
      </c>
      <c r="Q28" s="239"/>
      <c r="R28" s="239"/>
      <c r="S28" s="239"/>
      <c r="T28" s="94">
        <v>1500</v>
      </c>
      <c r="U28" s="68"/>
      <c r="V28" s="68"/>
      <c r="W28" s="68"/>
      <c r="X28" s="68"/>
      <c r="Y28" s="68"/>
      <c r="Z28" s="68"/>
      <c r="AA28" s="68"/>
      <c r="AB28" s="68"/>
      <c r="AC28" s="68"/>
      <c r="AD28" s="68"/>
      <c r="AE28" s="68"/>
      <c r="AF28" s="68"/>
      <c r="AG28" s="68"/>
    </row>
    <row r="29" spans="1:33" s="84" customFormat="1" ht="48" customHeight="1">
      <c r="A29" s="64" t="s">
        <v>234</v>
      </c>
      <c r="B29" s="107">
        <v>35</v>
      </c>
      <c r="C29" s="68"/>
      <c r="D29" s="68"/>
      <c r="E29" s="68"/>
      <c r="F29" s="68"/>
      <c r="G29" s="68"/>
      <c r="H29" s="68"/>
      <c r="I29" s="68"/>
      <c r="J29" s="248"/>
      <c r="K29" s="248"/>
      <c r="L29" s="242"/>
      <c r="M29" s="242"/>
      <c r="N29" s="242"/>
      <c r="O29" s="246"/>
      <c r="P29" s="239" t="s">
        <v>371</v>
      </c>
      <c r="Q29" s="239"/>
      <c r="R29" s="239"/>
      <c r="S29" s="239"/>
      <c r="T29" s="116">
        <v>25</v>
      </c>
      <c r="U29" s="68"/>
      <c r="V29" s="68"/>
      <c r="W29" s="68"/>
      <c r="X29" s="68"/>
      <c r="Y29" s="68"/>
      <c r="Z29" s="68"/>
      <c r="AA29" s="68"/>
      <c r="AB29" s="68"/>
      <c r="AC29" s="68"/>
      <c r="AD29" s="68"/>
      <c r="AE29" s="68"/>
      <c r="AF29" s="68"/>
      <c r="AG29" s="68"/>
    </row>
    <row r="30" spans="1:33" s="84" customFormat="1" ht="48" customHeight="1">
      <c r="A30" s="65"/>
      <c r="B30" s="250" t="s">
        <v>260</v>
      </c>
      <c r="C30" s="250"/>
      <c r="D30" s="250"/>
      <c r="E30" s="111"/>
      <c r="F30" s="68"/>
      <c r="G30" s="68"/>
      <c r="H30" s="68"/>
      <c r="I30" s="68"/>
      <c r="J30" s="249" t="s">
        <v>364</v>
      </c>
      <c r="K30" s="249"/>
      <c r="L30" s="244" t="s">
        <v>362</v>
      </c>
      <c r="M30" s="244"/>
      <c r="N30" s="244"/>
      <c r="O30" s="245">
        <f>T26-SUM(T33:Z33)</f>
        <v>1935.9078770208928</v>
      </c>
      <c r="P30" s="237" t="s">
        <v>356</v>
      </c>
      <c r="Q30" s="237"/>
      <c r="R30" s="237"/>
      <c r="S30" s="237"/>
      <c r="T30" s="116">
        <v>0</v>
      </c>
      <c r="U30" s="116">
        <v>15</v>
      </c>
      <c r="V30" s="116">
        <v>25</v>
      </c>
      <c r="W30" s="116">
        <v>35</v>
      </c>
      <c r="X30" s="116">
        <v>60</v>
      </c>
      <c r="Y30" s="116">
        <v>90</v>
      </c>
      <c r="Z30" s="116">
        <v>130</v>
      </c>
      <c r="AA30" s="68"/>
      <c r="AB30" s="68"/>
      <c r="AC30" s="68"/>
      <c r="AD30" s="68"/>
      <c r="AE30" s="68"/>
      <c r="AF30" s="68"/>
      <c r="AG30" s="68"/>
    </row>
    <row r="31" spans="1:33" s="84" customFormat="1" ht="48" customHeight="1">
      <c r="A31" s="64" t="s">
        <v>232</v>
      </c>
      <c r="B31" s="259">
        <v>0</v>
      </c>
      <c r="C31" s="259"/>
      <c r="D31" s="259"/>
      <c r="E31" s="68"/>
      <c r="F31" s="68"/>
      <c r="G31" s="68"/>
      <c r="H31" s="68"/>
      <c r="I31" s="68"/>
      <c r="J31" s="249"/>
      <c r="K31" s="249"/>
      <c r="L31" s="244"/>
      <c r="M31" s="244"/>
      <c r="N31" s="244"/>
      <c r="O31" s="245"/>
      <c r="P31" s="237" t="s">
        <v>352</v>
      </c>
      <c r="Q31" s="237"/>
      <c r="R31" s="237"/>
      <c r="S31" s="237"/>
      <c r="T31" s="95">
        <v>0</v>
      </c>
      <c r="U31" s="95">
        <v>1000</v>
      </c>
      <c r="V31" s="95">
        <v>2000</v>
      </c>
      <c r="W31" s="95">
        <v>4000</v>
      </c>
      <c r="X31" s="95">
        <v>2000</v>
      </c>
      <c r="Y31" s="95">
        <v>3000</v>
      </c>
      <c r="Z31" s="95">
        <v>9000</v>
      </c>
      <c r="AA31" s="68"/>
      <c r="AB31" s="68"/>
      <c r="AC31" s="68"/>
      <c r="AD31" s="68"/>
      <c r="AE31" s="68"/>
      <c r="AF31" s="68"/>
      <c r="AG31" s="68"/>
    </row>
    <row r="32" spans="1:33" s="84" customFormat="1" ht="48" customHeight="1">
      <c r="A32" s="64" t="s">
        <v>258</v>
      </c>
      <c r="B32" s="251" t="s">
        <v>279</v>
      </c>
      <c r="C32" s="251"/>
      <c r="D32" s="251"/>
      <c r="E32" s="68"/>
      <c r="F32" s="68"/>
      <c r="G32" s="68"/>
      <c r="H32" s="68"/>
      <c r="I32" s="68"/>
      <c r="J32" s="249"/>
      <c r="K32" s="249"/>
      <c r="L32" s="244"/>
      <c r="M32" s="244"/>
      <c r="N32" s="244"/>
      <c r="O32" s="245"/>
      <c r="P32" s="237" t="s">
        <v>353</v>
      </c>
      <c r="Q32" s="237"/>
      <c r="R32" s="237"/>
      <c r="S32" s="237"/>
      <c r="T32" s="95">
        <v>2000</v>
      </c>
      <c r="U32" s="95">
        <v>0</v>
      </c>
      <c r="V32" s="95">
        <v>500</v>
      </c>
      <c r="W32" s="95">
        <v>0</v>
      </c>
      <c r="X32" s="95">
        <v>500</v>
      </c>
      <c r="Y32" s="95">
        <v>100</v>
      </c>
      <c r="Z32" s="95">
        <v>100</v>
      </c>
      <c r="AA32" s="68"/>
      <c r="AB32" s="68"/>
      <c r="AC32" s="68"/>
      <c r="AD32" s="68"/>
      <c r="AE32" s="68"/>
      <c r="AF32" s="68"/>
      <c r="AG32" s="68"/>
    </row>
    <row r="33" spans="1:33" s="84" customFormat="1" ht="48" customHeight="1">
      <c r="A33" s="64" t="s">
        <v>259</v>
      </c>
      <c r="B33" s="251">
        <v>1.52</v>
      </c>
      <c r="C33" s="251"/>
      <c r="D33" s="251"/>
      <c r="E33" s="68"/>
      <c r="F33" s="68"/>
      <c r="G33" s="68"/>
      <c r="H33" s="68"/>
      <c r="I33" s="68"/>
      <c r="J33" s="249"/>
      <c r="K33" s="249"/>
      <c r="L33" s="244"/>
      <c r="M33" s="244"/>
      <c r="N33" s="244"/>
      <c r="O33" s="245"/>
      <c r="P33" s="237" t="s">
        <v>357</v>
      </c>
      <c r="Q33" s="237"/>
      <c r="R33" s="237"/>
      <c r="S33" s="237"/>
      <c r="T33" s="102">
        <f>(T31-T32)/(1.045^T30)</f>
        <v>-2000</v>
      </c>
      <c r="U33" s="102">
        <f t="shared" ref="U33:Z33" si="1">(U31-U32)/(1.045^U30)</f>
        <v>516.72044231576797</v>
      </c>
      <c r="V33" s="102">
        <f t="shared" si="1"/>
        <v>499.0958950168968</v>
      </c>
      <c r="W33" s="102">
        <f t="shared" si="1"/>
        <v>857.01776743717392</v>
      </c>
      <c r="X33" s="102">
        <f t="shared" si="1"/>
        <v>106.93351242110978</v>
      </c>
      <c r="Y33" s="102">
        <f t="shared" si="1"/>
        <v>55.199082317665592</v>
      </c>
      <c r="Z33" s="102">
        <f t="shared" si="1"/>
        <v>29.125423470493139</v>
      </c>
      <c r="AA33" s="68"/>
      <c r="AB33" s="68"/>
      <c r="AC33" s="68"/>
      <c r="AD33" s="68"/>
      <c r="AE33" s="68"/>
      <c r="AF33" s="68"/>
      <c r="AG33" s="68"/>
    </row>
    <row r="34" spans="1:33" s="84" customFormat="1" ht="48" customHeight="1">
      <c r="E34" s="68"/>
      <c r="F34" s="68"/>
      <c r="G34" s="68"/>
      <c r="H34" s="68"/>
      <c r="I34" s="68"/>
      <c r="J34" s="68"/>
      <c r="K34" s="68"/>
      <c r="L34" s="247" t="s">
        <v>358</v>
      </c>
      <c r="M34" s="247"/>
      <c r="N34" s="247"/>
      <c r="O34" s="103">
        <f>O26-O30</f>
        <v>463.36883899262443</v>
      </c>
      <c r="P34" s="258" t="str">
        <f>IF(O34&gt;0,"Additionnalité du projet confirmée",IF(O34&lt;0,"Projet non additionnel",""))</f>
        <v>Additionnalité du projet confirmée</v>
      </c>
      <c r="Q34" s="258"/>
      <c r="R34" s="258"/>
      <c r="S34" s="258"/>
      <c r="T34" s="68"/>
      <c r="U34" s="68"/>
      <c r="V34" s="68"/>
      <c r="W34" s="68"/>
      <c r="X34" s="68"/>
      <c r="Y34" s="68"/>
      <c r="Z34" s="68"/>
      <c r="AA34" s="68"/>
      <c r="AB34" s="68"/>
      <c r="AC34" s="68"/>
      <c r="AD34" s="68"/>
      <c r="AE34" s="68"/>
      <c r="AF34" s="68"/>
      <c r="AG34" s="68"/>
    </row>
    <row r="35" spans="1:33" s="84" customFormat="1" ht="48" customHeight="1">
      <c r="A35" s="111"/>
      <c r="B35" s="112"/>
      <c r="C35" s="112"/>
      <c r="D35" s="112"/>
      <c r="E35" s="68"/>
      <c r="F35" s="68"/>
      <c r="G35" s="68"/>
      <c r="H35" s="68"/>
      <c r="I35" s="68"/>
      <c r="J35" s="68"/>
      <c r="K35" s="68"/>
      <c r="L35" s="117"/>
      <c r="M35" s="117"/>
      <c r="N35" s="117"/>
      <c r="O35" s="118"/>
      <c r="P35" s="68"/>
      <c r="Q35" s="68"/>
      <c r="R35" s="68"/>
      <c r="S35" s="68"/>
      <c r="T35" s="68"/>
      <c r="U35" s="68"/>
      <c r="V35" s="68"/>
      <c r="W35" s="68"/>
      <c r="X35" s="68"/>
      <c r="Y35" s="68"/>
      <c r="Z35" s="68"/>
      <c r="AA35" s="68"/>
      <c r="AB35" s="68"/>
      <c r="AC35" s="68"/>
      <c r="AD35" s="68"/>
      <c r="AE35" s="68"/>
      <c r="AF35" s="68"/>
      <c r="AG35" s="68"/>
    </row>
    <row r="36" spans="1:33" s="84" customFormat="1" ht="48" customHeight="1">
      <c r="A36" s="241" t="s">
        <v>365</v>
      </c>
      <c r="B36" s="241"/>
      <c r="C36" s="112"/>
      <c r="D36" s="112"/>
      <c r="E36" s="68"/>
      <c r="F36" s="68"/>
      <c r="G36" s="68"/>
      <c r="H36" s="68"/>
      <c r="I36" s="68"/>
      <c r="J36" s="68"/>
      <c r="K36" s="68"/>
      <c r="L36" s="117"/>
      <c r="M36" s="117"/>
      <c r="N36" s="117"/>
      <c r="O36" s="118"/>
      <c r="P36" s="68"/>
      <c r="Q36" s="68"/>
      <c r="R36" s="68"/>
      <c r="S36" s="68"/>
      <c r="T36" s="68"/>
      <c r="U36" s="68"/>
      <c r="V36" s="68"/>
      <c r="W36" s="68"/>
      <c r="X36" s="68"/>
      <c r="Y36" s="68"/>
      <c r="Z36" s="68"/>
      <c r="AA36" s="68"/>
      <c r="AB36" s="68"/>
      <c r="AC36" s="68"/>
      <c r="AD36" s="68"/>
      <c r="AE36" s="68"/>
      <c r="AF36" s="68"/>
      <c r="AG36" s="68"/>
    </row>
    <row r="37" spans="1:33" s="84" customFormat="1" ht="60">
      <c r="A37" s="108" t="s">
        <v>218</v>
      </c>
      <c r="B37" s="108" t="s">
        <v>366</v>
      </c>
      <c r="C37" s="113">
        <v>0</v>
      </c>
      <c r="D37" s="113">
        <v>1</v>
      </c>
      <c r="E37" s="113">
        <v>2</v>
      </c>
      <c r="F37" s="113">
        <v>3</v>
      </c>
      <c r="G37" s="113">
        <v>4</v>
      </c>
      <c r="H37" s="113">
        <v>5</v>
      </c>
      <c r="I37" s="113">
        <v>6</v>
      </c>
      <c r="J37" s="113">
        <v>7</v>
      </c>
      <c r="K37" s="113">
        <v>8</v>
      </c>
      <c r="L37" s="113">
        <v>9</v>
      </c>
      <c r="M37" s="113">
        <v>10</v>
      </c>
      <c r="N37" s="113">
        <v>11</v>
      </c>
      <c r="O37" s="113">
        <v>12</v>
      </c>
      <c r="P37" s="113">
        <v>13</v>
      </c>
      <c r="Q37" s="113">
        <v>14</v>
      </c>
      <c r="R37" s="113">
        <v>15</v>
      </c>
      <c r="S37" s="113">
        <v>16</v>
      </c>
      <c r="T37" s="113">
        <v>17</v>
      </c>
      <c r="U37" s="113">
        <v>18</v>
      </c>
      <c r="V37" s="113">
        <v>19</v>
      </c>
      <c r="W37" s="113">
        <v>20</v>
      </c>
      <c r="X37" s="113">
        <v>21</v>
      </c>
      <c r="Y37" s="113">
        <v>22</v>
      </c>
      <c r="Z37" s="113">
        <v>23</v>
      </c>
      <c r="AA37" s="113">
        <v>24</v>
      </c>
      <c r="AB37" s="113">
        <v>25</v>
      </c>
      <c r="AC37" s="113">
        <v>26</v>
      </c>
      <c r="AD37" s="113">
        <v>27</v>
      </c>
      <c r="AE37" s="113">
        <v>28</v>
      </c>
      <c r="AF37" s="113">
        <v>29</v>
      </c>
      <c r="AG37" s="113">
        <v>30</v>
      </c>
    </row>
    <row r="38" spans="1:33" s="84" customFormat="1" ht="48" customHeight="1">
      <c r="A38" s="62" t="s">
        <v>261</v>
      </c>
      <c r="B38" s="62">
        <f>AG38*$B$19</f>
        <v>434.30312250812483</v>
      </c>
      <c r="C38" s="83">
        <f>E13*0.475</f>
        <v>1.4588616812499997</v>
      </c>
      <c r="D38" s="83">
        <f t="shared" ref="D38:AG38" si="2">C38+($E$13*0.475)-(C47/$B$19)</f>
        <v>2.9177233624999994</v>
      </c>
      <c r="E38" s="83">
        <f t="shared" si="2"/>
        <v>4.3765850437499996</v>
      </c>
      <c r="F38" s="83">
        <f t="shared" si="2"/>
        <v>5.8354467249999988</v>
      </c>
      <c r="G38" s="83">
        <f t="shared" si="2"/>
        <v>7.2943084062499981</v>
      </c>
      <c r="H38" s="83">
        <f t="shared" si="2"/>
        <v>8.7531700874999974</v>
      </c>
      <c r="I38" s="83">
        <f t="shared" si="2"/>
        <v>10.212031768749997</v>
      </c>
      <c r="J38" s="83">
        <f>I38+($E$13*0.475)-(I47/$B$19)</f>
        <v>11.670893449999996</v>
      </c>
      <c r="K38" s="83">
        <f t="shared" si="2"/>
        <v>13.129755131249995</v>
      </c>
      <c r="L38" s="83">
        <f t="shared" si="2"/>
        <v>14.588616812499994</v>
      </c>
      <c r="M38" s="83">
        <f t="shared" si="2"/>
        <v>16.047478493749995</v>
      </c>
      <c r="N38" s="83">
        <f t="shared" si="2"/>
        <v>13.129755131249997</v>
      </c>
      <c r="O38" s="83">
        <f t="shared" si="2"/>
        <v>14.588616812499996</v>
      </c>
      <c r="P38" s="83">
        <f t="shared" si="2"/>
        <v>16.047478493749995</v>
      </c>
      <c r="Q38" s="83">
        <f t="shared" si="2"/>
        <v>17.506340174999995</v>
      </c>
      <c r="R38" s="83">
        <f t="shared" si="2"/>
        <v>18.965201856249994</v>
      </c>
      <c r="S38" s="83">
        <f t="shared" si="2"/>
        <v>20.424063537499993</v>
      </c>
      <c r="T38" s="83">
        <f t="shared" si="2"/>
        <v>21.882925218749993</v>
      </c>
      <c r="U38" s="83">
        <f t="shared" si="2"/>
        <v>23.341786899999992</v>
      </c>
      <c r="V38" s="83">
        <f t="shared" si="2"/>
        <v>24.800648581249991</v>
      </c>
      <c r="W38" s="83">
        <f t="shared" si="2"/>
        <v>26.25951026249999</v>
      </c>
      <c r="X38" s="83">
        <f t="shared" si="2"/>
        <v>20.278177369374994</v>
      </c>
      <c r="Y38" s="83">
        <f t="shared" si="2"/>
        <v>21.737039050624993</v>
      </c>
      <c r="Z38" s="83">
        <f t="shared" si="2"/>
        <v>23.195900731874993</v>
      </c>
      <c r="AA38" s="83">
        <f>Z38+($E$13*0.475)-(Z47/$B$19)</f>
        <v>24.654762413124992</v>
      </c>
      <c r="AB38" s="83">
        <f t="shared" si="2"/>
        <v>26.113624094374991</v>
      </c>
      <c r="AC38" s="83">
        <f t="shared" si="2"/>
        <v>27.57248577562499</v>
      </c>
      <c r="AD38" s="83">
        <f t="shared" si="2"/>
        <v>29.03134745687499</v>
      </c>
      <c r="AE38" s="83">
        <f t="shared" si="2"/>
        <v>30.490209138124989</v>
      </c>
      <c r="AF38" s="83">
        <f t="shared" si="2"/>
        <v>31.949070819374988</v>
      </c>
      <c r="AG38" s="83">
        <f t="shared" si="2"/>
        <v>33.407932500624987</v>
      </c>
    </row>
    <row r="39" spans="1:33" s="84" customFormat="1" ht="48" customHeight="1">
      <c r="A39" s="62" t="s">
        <v>229</v>
      </c>
      <c r="B39" s="62">
        <f t="shared" ref="B39:B44" si="3">AG39*$B$19</f>
        <v>3228.7670887688137</v>
      </c>
      <c r="C39" s="83">
        <f>F13</f>
        <v>8.7021999999999995</v>
      </c>
      <c r="D39" s="83">
        <f t="shared" ref="D39:AG39" si="4">C39+$F$13-(D47/$B$19)</f>
        <v>17.404399999999999</v>
      </c>
      <c r="E39" s="83">
        <f t="shared" si="4"/>
        <v>26.1066</v>
      </c>
      <c r="F39" s="83">
        <f t="shared" si="4"/>
        <v>34.808799999999998</v>
      </c>
      <c r="G39" s="83">
        <f t="shared" si="4"/>
        <v>43.510999999999996</v>
      </c>
      <c r="H39" s="83">
        <f t="shared" si="4"/>
        <v>52.213199999999993</v>
      </c>
      <c r="I39" s="83">
        <f t="shared" si="4"/>
        <v>60.915399999999991</v>
      </c>
      <c r="J39" s="83">
        <f>I39+$F$13-(J47/$B$19)</f>
        <v>69.617599999999996</v>
      </c>
      <c r="K39" s="83">
        <f t="shared" si="4"/>
        <v>78.319800000000001</v>
      </c>
      <c r="L39" s="83">
        <f t="shared" si="4"/>
        <v>87.022000000000006</v>
      </c>
      <c r="M39" s="83">
        <f t="shared" si="4"/>
        <v>91.347614956250013</v>
      </c>
      <c r="N39" s="83">
        <f t="shared" si="4"/>
        <v>100.04981495625002</v>
      </c>
      <c r="O39" s="83">
        <f t="shared" si="4"/>
        <v>108.75201495625002</v>
      </c>
      <c r="P39" s="83">
        <f t="shared" si="4"/>
        <v>117.45421495625003</v>
      </c>
      <c r="Q39" s="83">
        <f t="shared" si="4"/>
        <v>126.15641495625003</v>
      </c>
      <c r="R39" s="83">
        <f t="shared" si="4"/>
        <v>134.85861495625002</v>
      </c>
      <c r="S39" s="83">
        <f t="shared" si="4"/>
        <v>143.56081495625003</v>
      </c>
      <c r="T39" s="83">
        <f t="shared" si="4"/>
        <v>152.26301495625003</v>
      </c>
      <c r="U39" s="83">
        <f t="shared" si="4"/>
        <v>160.96521495625004</v>
      </c>
      <c r="V39" s="83">
        <f t="shared" si="4"/>
        <v>169.66741495625004</v>
      </c>
      <c r="W39" s="83">
        <f t="shared" si="4"/>
        <v>170.92942038187505</v>
      </c>
      <c r="X39" s="83">
        <f t="shared" si="4"/>
        <v>179.63162038187505</v>
      </c>
      <c r="Y39" s="83">
        <f t="shared" si="4"/>
        <v>188.33382038187506</v>
      </c>
      <c r="Z39" s="83">
        <f t="shared" si="4"/>
        <v>197.03602038187506</v>
      </c>
      <c r="AA39" s="83">
        <f>Z39+$F$13-(AA47/$B$19)</f>
        <v>205.73822038187507</v>
      </c>
      <c r="AB39" s="83">
        <f t="shared" si="4"/>
        <v>214.44042038187507</v>
      </c>
      <c r="AC39" s="83">
        <f t="shared" si="4"/>
        <v>223.14262038187508</v>
      </c>
      <c r="AD39" s="83">
        <f t="shared" si="4"/>
        <v>231.84482038187508</v>
      </c>
      <c r="AE39" s="83">
        <f t="shared" si="4"/>
        <v>240.54702038187509</v>
      </c>
      <c r="AF39" s="83">
        <f t="shared" si="4"/>
        <v>249.24922038187509</v>
      </c>
      <c r="AG39" s="83">
        <f t="shared" si="4"/>
        <v>248.36669913606261</v>
      </c>
    </row>
    <row r="40" spans="1:33" s="84" customFormat="1" ht="48" customHeight="1">
      <c r="A40" s="62" t="s">
        <v>230</v>
      </c>
      <c r="B40" s="62">
        <f t="shared" si="3"/>
        <v>1008.7001574480995</v>
      </c>
      <c r="C40" s="83">
        <f>G13</f>
        <v>4.7515198899999991</v>
      </c>
      <c r="D40" s="83">
        <f>C40+$G$13-(D46*C40)</f>
        <v>9.5030397799999982</v>
      </c>
      <c r="E40" s="83">
        <f t="shared" ref="E40:AG40" si="5">D40+$G$13-(E46*D40)</f>
        <v>14.254559669999997</v>
      </c>
      <c r="F40" s="83">
        <f t="shared" si="5"/>
        <v>19.006079559999996</v>
      </c>
      <c r="G40" s="83">
        <f t="shared" si="5"/>
        <v>23.757599449999994</v>
      </c>
      <c r="H40" s="83">
        <f t="shared" si="5"/>
        <v>28.509119339999991</v>
      </c>
      <c r="I40" s="83">
        <f t="shared" si="5"/>
        <v>33.260639229999988</v>
      </c>
      <c r="J40" s="83">
        <f>I40+$G$13-(J46*I40)</f>
        <v>38.012159119999986</v>
      </c>
      <c r="K40" s="83">
        <f t="shared" si="5"/>
        <v>42.763679009999983</v>
      </c>
      <c r="L40" s="83">
        <f t="shared" si="5"/>
        <v>47.51519889999998</v>
      </c>
      <c r="M40" s="83">
        <f t="shared" si="5"/>
        <v>38.012159119999986</v>
      </c>
      <c r="N40" s="83">
        <f t="shared" si="5"/>
        <v>42.763679009999983</v>
      </c>
      <c r="O40" s="83">
        <f t="shared" si="5"/>
        <v>47.51519889999998</v>
      </c>
      <c r="P40" s="83">
        <f t="shared" si="5"/>
        <v>52.266718789999977</v>
      </c>
      <c r="Q40" s="83">
        <f t="shared" si="5"/>
        <v>57.018238679999975</v>
      </c>
      <c r="R40" s="83">
        <f t="shared" si="5"/>
        <v>61.769758569999972</v>
      </c>
      <c r="S40" s="83">
        <f t="shared" si="5"/>
        <v>66.521278459999976</v>
      </c>
      <c r="T40" s="83">
        <f t="shared" si="5"/>
        <v>71.272798349999974</v>
      </c>
      <c r="U40" s="83">
        <f t="shared" si="5"/>
        <v>76.024318239999971</v>
      </c>
      <c r="V40" s="83">
        <f t="shared" si="5"/>
        <v>80.775838129999968</v>
      </c>
      <c r="W40" s="83">
        <f t="shared" si="5"/>
        <v>61.294606580999975</v>
      </c>
      <c r="X40" s="83">
        <f t="shared" si="5"/>
        <v>66.04612647099998</v>
      </c>
      <c r="Y40" s="83">
        <f t="shared" si="5"/>
        <v>70.797646360999977</v>
      </c>
      <c r="Z40" s="83">
        <f t="shared" si="5"/>
        <v>75.549166250999974</v>
      </c>
      <c r="AA40" s="83">
        <f>Z40+$G$13-(AA46*Z40)</f>
        <v>80.300686140999971</v>
      </c>
      <c r="AB40" s="83">
        <f t="shared" si="5"/>
        <v>85.052206030999969</v>
      </c>
      <c r="AC40" s="83">
        <f t="shared" si="5"/>
        <v>89.803725920999966</v>
      </c>
      <c r="AD40" s="83">
        <f t="shared" si="5"/>
        <v>94.555245810999963</v>
      </c>
      <c r="AE40" s="83">
        <f t="shared" si="5"/>
        <v>99.306765700999961</v>
      </c>
      <c r="AF40" s="83">
        <f t="shared" si="5"/>
        <v>104.05828559099996</v>
      </c>
      <c r="AG40" s="83">
        <f t="shared" si="5"/>
        <v>77.592319803699965</v>
      </c>
    </row>
    <row r="41" spans="1:33" s="84" customFormat="1" ht="48" customHeight="1">
      <c r="A41" s="62" t="s">
        <v>219</v>
      </c>
      <c r="B41" s="62">
        <f t="shared" si="3"/>
        <v>280.11686203023447</v>
      </c>
      <c r="C41" s="83">
        <f>EXP(-1.0587+0.8836*LN(C40)+0.284)</f>
        <v>1.8264227471975993</v>
      </c>
      <c r="D41" s="83">
        <f>EXP(-1.0587+0.8836*LN(D40)+0.284)</f>
        <v>3.3697013476514166</v>
      </c>
      <c r="E41" s="83">
        <f t="shared" ref="E41:AG41" si="6">EXP(-1.0587+0.8836*LN(E40)+0.284)</f>
        <v>4.8215386016540505</v>
      </c>
      <c r="F41" s="83">
        <f t="shared" si="6"/>
        <v>6.2170092820987506</v>
      </c>
      <c r="G41" s="83">
        <f t="shared" si="6"/>
        <v>7.5720104258878047</v>
      </c>
      <c r="H41" s="83">
        <f t="shared" si="6"/>
        <v>8.8956103665901232</v>
      </c>
      <c r="I41" s="83">
        <f t="shared" si="6"/>
        <v>10.193655108225352</v>
      </c>
      <c r="J41" s="83">
        <f t="shared" si="6"/>
        <v>11.47021662339327</v>
      </c>
      <c r="K41" s="83">
        <f t="shared" si="6"/>
        <v>12.728287863754359</v>
      </c>
      <c r="L41" s="83">
        <f t="shared" si="6"/>
        <v>13.970157662400272</v>
      </c>
      <c r="M41" s="83">
        <f t="shared" si="6"/>
        <v>11.47021662339327</v>
      </c>
      <c r="N41" s="83">
        <f t="shared" si="6"/>
        <v>12.728287863754359</v>
      </c>
      <c r="O41" s="83">
        <f t="shared" si="6"/>
        <v>13.970157662400272</v>
      </c>
      <c r="P41" s="83">
        <f t="shared" si="6"/>
        <v>15.197630596073585</v>
      </c>
      <c r="Q41" s="83">
        <f t="shared" si="6"/>
        <v>16.412164317639014</v>
      </c>
      <c r="R41" s="83">
        <f t="shared" si="6"/>
        <v>17.61495968423106</v>
      </c>
      <c r="S41" s="83">
        <f t="shared" si="6"/>
        <v>18.807022310900106</v>
      </c>
      <c r="T41" s="83">
        <f t="shared" si="6"/>
        <v>19.989206012990557</v>
      </c>
      <c r="U41" s="83">
        <f t="shared" si="6"/>
        <v>21.162244323230791</v>
      </c>
      <c r="V41" s="83">
        <f t="shared" si="6"/>
        <v>22.326773900332686</v>
      </c>
      <c r="W41" s="83">
        <f t="shared" si="6"/>
        <v>17.495178403097778</v>
      </c>
      <c r="X41" s="83">
        <f t="shared" si="6"/>
        <v>18.688273656338136</v>
      </c>
      <c r="Y41" s="83">
        <f t="shared" si="6"/>
        <v>19.871410462788283</v>
      </c>
      <c r="Z41" s="83">
        <f t="shared" si="6"/>
        <v>21.045333218839421</v>
      </c>
      <c r="AA41" s="83">
        <f t="shared" si="6"/>
        <v>22.210687393471677</v>
      </c>
      <c r="AB41" s="83">
        <f t="shared" si="6"/>
        <v>23.36803775349755</v>
      </c>
      <c r="AC41" s="83">
        <f t="shared" si="6"/>
        <v>24.517882399299037</v>
      </c>
      <c r="AD41" s="83">
        <f t="shared" si="6"/>
        <v>25.660663745258692</v>
      </c>
      <c r="AE41" s="83">
        <f t="shared" si="6"/>
        <v>26.796777230324579</v>
      </c>
      <c r="AF41" s="83">
        <f t="shared" si="6"/>
        <v>27.926578314234565</v>
      </c>
      <c r="AG41" s="83">
        <f t="shared" si="6"/>
        <v>21.547450925402654</v>
      </c>
    </row>
    <row r="42" spans="1:33" s="84" customFormat="1" ht="48" customHeight="1">
      <c r="A42" s="58" t="s">
        <v>331</v>
      </c>
      <c r="B42" s="58" t="e">
        <f>AG42*$B$19</f>
        <v>#REF!</v>
      </c>
      <c r="C42" s="62" t="e">
        <f>((C41+C40)*0.475)-#REF!</f>
        <v>#REF!</v>
      </c>
      <c r="D42" s="62" t="e">
        <f>((D41+D40)*0.475)-#REF!</f>
        <v>#REF!</v>
      </c>
      <c r="E42" s="62" t="e">
        <f>((E41+E40)*0.475)-#REF!</f>
        <v>#REF!</v>
      </c>
      <c r="F42" s="62" t="e">
        <f>((F41+F40)*0.475)-#REF!</f>
        <v>#REF!</v>
      </c>
      <c r="G42" s="62" t="e">
        <f>((G41+G40)*0.475)-#REF!</f>
        <v>#REF!</v>
      </c>
      <c r="H42" s="62" t="e">
        <f>((H41+H40)*0.475)-#REF!</f>
        <v>#REF!</v>
      </c>
      <c r="I42" s="62" t="e">
        <f>((I41+I40)*0.475)-#REF!</f>
        <v>#REF!</v>
      </c>
      <c r="J42" s="62" t="e">
        <f>((J41+J40)*0.475)-#REF!</f>
        <v>#REF!</v>
      </c>
      <c r="K42" s="62" t="e">
        <f>((K41+K40)*0.475)-#REF!</f>
        <v>#REF!</v>
      </c>
      <c r="L42" s="62" t="e">
        <f>((L41+L40)*0.475)-#REF!</f>
        <v>#REF!</v>
      </c>
      <c r="M42" s="62" t="e">
        <f>((M41+M40)*0.475)-#REF!</f>
        <v>#REF!</v>
      </c>
      <c r="N42" s="62" t="e">
        <f>((N41+N40)*0.475)-#REF!</f>
        <v>#REF!</v>
      </c>
      <c r="O42" s="62" t="e">
        <f>((O41+O40)*0.475)-#REF!</f>
        <v>#REF!</v>
      </c>
      <c r="P42" s="62" t="e">
        <f>((P41+P40)*0.475)-#REF!</f>
        <v>#REF!</v>
      </c>
      <c r="Q42" s="62" t="e">
        <f>((Q41+Q40)*0.475)-#REF!</f>
        <v>#REF!</v>
      </c>
      <c r="R42" s="62" t="e">
        <f>((R41+R40)*0.475)-#REF!</f>
        <v>#REF!</v>
      </c>
      <c r="S42" s="62" t="e">
        <f>((S41+S40)*0.475)-#REF!</f>
        <v>#REF!</v>
      </c>
      <c r="T42" s="62" t="e">
        <f>((T41+T40)*0.475)-#REF!</f>
        <v>#REF!</v>
      </c>
      <c r="U42" s="62" t="e">
        <f>((U41+U40)*0.475)-#REF!</f>
        <v>#REF!</v>
      </c>
      <c r="V42" s="62" t="e">
        <f>((V41+V40)*0.475)-#REF!</f>
        <v>#REF!</v>
      </c>
      <c r="W42" s="62" t="e">
        <f>((W41+W40)*0.475)-#REF!</f>
        <v>#REF!</v>
      </c>
      <c r="X42" s="62" t="e">
        <f>((X41+X40)*0.475)-#REF!</f>
        <v>#REF!</v>
      </c>
      <c r="Y42" s="62" t="e">
        <f>((Y41+Y40)*0.475)-#REF!</f>
        <v>#REF!</v>
      </c>
      <c r="Z42" s="62" t="e">
        <f>((Z41+Z40)*0.475)-#REF!</f>
        <v>#REF!</v>
      </c>
      <c r="AA42" s="62" t="e">
        <f>((AA41+AA40)*0.475)-#REF!</f>
        <v>#REF!</v>
      </c>
      <c r="AB42" s="62" t="e">
        <f>((AB41+AB40)*0.475)-#REF!</f>
        <v>#REF!</v>
      </c>
      <c r="AC42" s="62" t="e">
        <f>((AC41+AC40)*0.475)-#REF!</f>
        <v>#REF!</v>
      </c>
      <c r="AD42" s="62" t="e">
        <f>((AD41+AD40)*0.475)-#REF!</f>
        <v>#REF!</v>
      </c>
      <c r="AE42" s="62" t="e">
        <f>((AE41+AE40)*0.475)-#REF!</f>
        <v>#REF!</v>
      </c>
      <c r="AF42" s="62" t="e">
        <f>((AF41+AF40)*0.475)-#REF!</f>
        <v>#REF!</v>
      </c>
      <c r="AG42" s="62" t="e">
        <f>((AG41+AG40)*0.475)-#REF!</f>
        <v>#REF!</v>
      </c>
    </row>
    <row r="43" spans="1:33" s="84" customFormat="1" ht="48" customHeight="1">
      <c r="A43" s="58" t="s">
        <v>332</v>
      </c>
      <c r="B43" s="58" t="e">
        <f>AG43*$B$19</f>
        <v>#REF!</v>
      </c>
      <c r="C43" s="62" t="e">
        <f>70-#REF!</f>
        <v>#REF!</v>
      </c>
      <c r="D43" s="62" t="e">
        <f>70-#REF!</f>
        <v>#REF!</v>
      </c>
      <c r="E43" s="62" t="e">
        <f>70-#REF!</f>
        <v>#REF!</v>
      </c>
      <c r="F43" s="62" t="e">
        <f>70-#REF!</f>
        <v>#REF!</v>
      </c>
      <c r="G43" s="62" t="e">
        <f>70-#REF!</f>
        <v>#REF!</v>
      </c>
      <c r="H43" s="62" t="e">
        <f>70-#REF!</f>
        <v>#REF!</v>
      </c>
      <c r="I43" s="62" t="e">
        <f>70-#REF!</f>
        <v>#REF!</v>
      </c>
      <c r="J43" s="62" t="e">
        <f>70-#REF!</f>
        <v>#REF!</v>
      </c>
      <c r="K43" s="62" t="e">
        <f>70-#REF!</f>
        <v>#REF!</v>
      </c>
      <c r="L43" s="62" t="e">
        <f>70-#REF!</f>
        <v>#REF!</v>
      </c>
      <c r="M43" s="62" t="e">
        <f>70-#REF!</f>
        <v>#REF!</v>
      </c>
      <c r="N43" s="62" t="e">
        <f>70-#REF!</f>
        <v>#REF!</v>
      </c>
      <c r="O43" s="62" t="e">
        <f>70-#REF!</f>
        <v>#REF!</v>
      </c>
      <c r="P43" s="62" t="e">
        <f>70-#REF!</f>
        <v>#REF!</v>
      </c>
      <c r="Q43" s="62" t="e">
        <f>70-#REF!</f>
        <v>#REF!</v>
      </c>
      <c r="R43" s="62" t="e">
        <f>70-#REF!</f>
        <v>#REF!</v>
      </c>
      <c r="S43" s="62" t="e">
        <f>70-#REF!</f>
        <v>#REF!</v>
      </c>
      <c r="T43" s="62" t="e">
        <f>70-#REF!</f>
        <v>#REF!</v>
      </c>
      <c r="U43" s="62" t="e">
        <f>70-#REF!</f>
        <v>#REF!</v>
      </c>
      <c r="V43" s="62" t="e">
        <f>70-#REF!</f>
        <v>#REF!</v>
      </c>
      <c r="W43" s="62" t="e">
        <f>70-#REF!</f>
        <v>#REF!</v>
      </c>
      <c r="X43" s="62" t="e">
        <f>70-#REF!</f>
        <v>#REF!</v>
      </c>
      <c r="Y43" s="62" t="e">
        <f>70-#REF!</f>
        <v>#REF!</v>
      </c>
      <c r="Z43" s="62" t="e">
        <f>70-#REF!</f>
        <v>#REF!</v>
      </c>
      <c r="AA43" s="62" t="e">
        <f>70-#REF!</f>
        <v>#REF!</v>
      </c>
      <c r="AB43" s="62" t="e">
        <f>70-#REF!</f>
        <v>#REF!</v>
      </c>
      <c r="AC43" s="62" t="e">
        <f>70-#REF!</f>
        <v>#REF!</v>
      </c>
      <c r="AD43" s="62" t="e">
        <f>70-#REF!</f>
        <v>#REF!</v>
      </c>
      <c r="AE43" s="62" t="e">
        <f>70-#REF!</f>
        <v>#REF!</v>
      </c>
      <c r="AF43" s="62" t="e">
        <f>70-#REF!</f>
        <v>#REF!</v>
      </c>
      <c r="AG43" s="62" t="e">
        <f>70-#REF!</f>
        <v>#REF!</v>
      </c>
    </row>
    <row r="44" spans="1:33" s="84" customFormat="1" ht="48" customHeight="1">
      <c r="A44" s="58" t="s">
        <v>333</v>
      </c>
      <c r="B44" s="58">
        <f t="shared" si="3"/>
        <v>130</v>
      </c>
      <c r="C44" s="62">
        <f>IF($B$21=COEFFICIENTS!$A$93,C37*(10/30),IF($B$21=COEFFICIENTS!$A$94,(0.5*C37*(10/30))))</f>
        <v>0</v>
      </c>
      <c r="D44" s="62">
        <f>IF($B$21=COEFFICIENTS!$A$93,D37*(10/30),IF($B$21=COEFFICIENTS!$A$94,(0.5*D37*(10/30))))</f>
        <v>0.33333333333333331</v>
      </c>
      <c r="E44" s="62">
        <f>IF($B$21=COEFFICIENTS!$A$93,E37*(10/30),IF($B$21=COEFFICIENTS!$A$94,(0.5*E37*(10/30))))</f>
        <v>0.66666666666666663</v>
      </c>
      <c r="F44" s="62">
        <f>IF($B$21=COEFFICIENTS!$A$93,F37*(10/30),IF($B$21=COEFFICIENTS!$A$94,(0.5*F37*(10/30))))</f>
        <v>1</v>
      </c>
      <c r="G44" s="62">
        <f>IF($B$21=COEFFICIENTS!$A$93,G37*(10/30),IF($B$21=COEFFICIENTS!$A$94,(0.5*G37*(10/30))))</f>
        <v>1.3333333333333333</v>
      </c>
      <c r="H44" s="62">
        <f>IF($B$21=COEFFICIENTS!$A$93,H37*(10/30),IF($B$21=COEFFICIENTS!$A$94,(0.5*H37*(10/30))))</f>
        <v>1.6666666666666665</v>
      </c>
      <c r="I44" s="62">
        <f>IF($B$21=COEFFICIENTS!$A$93,I37*(10/30),IF($B$21=COEFFICIENTS!$A$94,(0.5*I37*(10/30))))</f>
        <v>2</v>
      </c>
      <c r="J44" s="62">
        <f>IF($B$21=COEFFICIENTS!$A$93,J37*(10/30),IF($B$21=COEFFICIENTS!$A$94,(0.5*J37*(10/30))))</f>
        <v>2.333333333333333</v>
      </c>
      <c r="K44" s="62">
        <f>IF($B$21=COEFFICIENTS!$A$93,K37*(10/30),IF($B$21=COEFFICIENTS!$A$94,(0.5*K37*(10/30))))</f>
        <v>2.6666666666666665</v>
      </c>
      <c r="L44" s="62">
        <f>IF($B$21=COEFFICIENTS!$A$93,L37*(10/30),IF($B$21=COEFFICIENTS!$A$94,(0.5*L37*(10/30))))</f>
        <v>3</v>
      </c>
      <c r="M44" s="62">
        <f>IF($B$21=COEFFICIENTS!$A$93,M37*(10/30),IF($B$21=COEFFICIENTS!$A$94,(0.5*M37*(10/30))))</f>
        <v>3.333333333333333</v>
      </c>
      <c r="N44" s="62">
        <f>IF($B$21=COEFFICIENTS!$A$93,N37*(10/30),IF($B$21=COEFFICIENTS!$A$94,(0.5*N37*(10/30))))</f>
        <v>3.6666666666666665</v>
      </c>
      <c r="O44" s="62">
        <f>IF($B$21=COEFFICIENTS!$A$93,O37*(10/30),IF($B$21=COEFFICIENTS!$A$94,(0.5*O37*(10/30))))</f>
        <v>4</v>
      </c>
      <c r="P44" s="62">
        <f>IF($B$21=COEFFICIENTS!$A$93,P37*(10/30),IF($B$21=COEFFICIENTS!$A$94,(0.5*P37*(10/30))))</f>
        <v>4.333333333333333</v>
      </c>
      <c r="Q44" s="62">
        <f>IF($B$21=COEFFICIENTS!$A$93,Q37*(10/30),IF($B$21=COEFFICIENTS!$A$94,(0.5*Q37*(10/30))))</f>
        <v>4.6666666666666661</v>
      </c>
      <c r="R44" s="62">
        <f>IF($B$21=COEFFICIENTS!$A$93,R37*(10/30),IF($B$21=COEFFICIENTS!$A$94,(0.5*R37*(10/30))))</f>
        <v>5</v>
      </c>
      <c r="S44" s="62">
        <f>IF($B$21=COEFFICIENTS!$A$93,S37*(10/30),IF($B$21=COEFFICIENTS!$A$94,(0.5*S37*(10/30))))</f>
        <v>5.333333333333333</v>
      </c>
      <c r="T44" s="62">
        <f>IF($B$21=COEFFICIENTS!$A$93,T37*(10/30),IF($B$21=COEFFICIENTS!$A$94,(0.5*T37*(10/30))))</f>
        <v>5.6666666666666661</v>
      </c>
      <c r="U44" s="62">
        <f>IF($B$21=COEFFICIENTS!$A$93,U37*(10/30),IF($B$21=COEFFICIENTS!$A$94,(0.5*U37*(10/30))))</f>
        <v>6</v>
      </c>
      <c r="V44" s="62">
        <f>IF($B$21=COEFFICIENTS!$A$93,V37*(10/30),IF($B$21=COEFFICIENTS!$A$94,(0.5*V37*(10/30))))</f>
        <v>6.333333333333333</v>
      </c>
      <c r="W44" s="62">
        <f>IF($B$21=COEFFICIENTS!$A$93,W37*(10/30),IF($B$21=COEFFICIENTS!$A$94,(0.5*W37*(10/30))))</f>
        <v>6.6666666666666661</v>
      </c>
      <c r="X44" s="62">
        <f>IF($B$21=COEFFICIENTS!$A$93,X37*(10/30),IF($B$21=COEFFICIENTS!$A$94,(0.5*X37*(10/30))))</f>
        <v>7</v>
      </c>
      <c r="Y44" s="62">
        <f>IF($B$21=COEFFICIENTS!$A$93,Y37*(10/30),IF($B$21=COEFFICIENTS!$A$94,(0.5*Y37*(10/30))))</f>
        <v>7.333333333333333</v>
      </c>
      <c r="Z44" s="62">
        <f>IF($B$21=COEFFICIENTS!$A$93,Z37*(10/30),IF($B$21=COEFFICIENTS!$A$94,(0.5*Z37*(10/30))))</f>
        <v>7.6666666666666661</v>
      </c>
      <c r="AA44" s="62">
        <f>IF($B$21=COEFFICIENTS!$A$93,AA37*(10/30),IF($B$21=COEFFICIENTS!$A$94,(0.5*AA37*(10/30))))</f>
        <v>8</v>
      </c>
      <c r="AB44" s="62">
        <f>IF($B$21=COEFFICIENTS!$A$93,AB37*(10/30),IF($B$21=COEFFICIENTS!$A$94,(0.5*AB37*(10/30))))</f>
        <v>8.3333333333333321</v>
      </c>
      <c r="AC44" s="62">
        <f>IF($B$21=COEFFICIENTS!$A$93,AC37*(10/30),IF($B$21=COEFFICIENTS!$A$94,(0.5*AC37*(10/30))))</f>
        <v>8.6666666666666661</v>
      </c>
      <c r="AD44" s="62">
        <f>IF($B$21=COEFFICIENTS!$A$93,AD37*(10/30),IF($B$21=COEFFICIENTS!$A$94,(0.5*AD37*(10/30))))</f>
        <v>9</v>
      </c>
      <c r="AE44" s="62">
        <f>IF($B$21=COEFFICIENTS!$A$93,AE37*(10/30),IF($B$21=COEFFICIENTS!$A$94,(0.5*AE37*(10/30))))</f>
        <v>9.3333333333333321</v>
      </c>
      <c r="AF44" s="62">
        <f>IF($B$21=COEFFICIENTS!$A$93,AF37*(10/30),IF($B$21=COEFFICIENTS!$A$94,(0.5*AF37*(10/30))))</f>
        <v>9.6666666666666661</v>
      </c>
      <c r="AG44" s="62">
        <f>IF($B$21=COEFFICIENTS!$A$93,AG37*(10/30),IF($B$21=COEFFICIENTS!$A$94,(0.5*AG37*(10/30))))</f>
        <v>10</v>
      </c>
    </row>
    <row r="45" spans="1:33" s="84" customFormat="1" ht="48" customHeight="1">
      <c r="A45" s="63" t="s">
        <v>264</v>
      </c>
      <c r="B45" s="63" t="e">
        <f>(B42+B43+B44)*(44/12)</f>
        <v>#REF!</v>
      </c>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row>
    <row r="46" spans="1:33" s="84" customFormat="1" ht="48" customHeight="1">
      <c r="A46" s="64" t="s">
        <v>228</v>
      </c>
      <c r="B46" s="64">
        <f t="shared" ref="B46:B63" si="7">SUM(C46:AG46)</f>
        <v>0.89999999999999991</v>
      </c>
      <c r="C46" s="114">
        <v>0</v>
      </c>
      <c r="D46" s="114">
        <v>0</v>
      </c>
      <c r="E46" s="114">
        <v>0</v>
      </c>
      <c r="F46" s="114">
        <v>0</v>
      </c>
      <c r="G46" s="114">
        <v>0</v>
      </c>
      <c r="H46" s="114">
        <v>0</v>
      </c>
      <c r="I46" s="114">
        <v>0</v>
      </c>
      <c r="J46" s="114">
        <v>0</v>
      </c>
      <c r="K46" s="114">
        <v>0</v>
      </c>
      <c r="L46" s="114">
        <v>0</v>
      </c>
      <c r="M46" s="114">
        <v>0.3</v>
      </c>
      <c r="N46" s="114">
        <v>0</v>
      </c>
      <c r="O46" s="114">
        <v>0</v>
      </c>
      <c r="P46" s="114">
        <v>0</v>
      </c>
      <c r="Q46" s="114">
        <v>0</v>
      </c>
      <c r="R46" s="114">
        <v>0</v>
      </c>
      <c r="S46" s="114">
        <v>0</v>
      </c>
      <c r="T46" s="114">
        <v>0</v>
      </c>
      <c r="U46" s="114">
        <v>0</v>
      </c>
      <c r="V46" s="114">
        <v>0</v>
      </c>
      <c r="W46" s="114">
        <v>0.3</v>
      </c>
      <c r="X46" s="114">
        <v>0</v>
      </c>
      <c r="Y46" s="114">
        <v>0</v>
      </c>
      <c r="Z46" s="114">
        <v>0</v>
      </c>
      <c r="AA46" s="114">
        <v>0</v>
      </c>
      <c r="AB46" s="114">
        <v>0</v>
      </c>
      <c r="AC46" s="114">
        <v>0</v>
      </c>
      <c r="AD46" s="114">
        <v>0</v>
      </c>
      <c r="AE46" s="114">
        <v>0</v>
      </c>
      <c r="AF46" s="114">
        <v>0</v>
      </c>
      <c r="AG46" s="114">
        <v>0.3</v>
      </c>
    </row>
    <row r="47" spans="1:33" s="84" customFormat="1" ht="48" customHeight="1">
      <c r="A47" s="64" t="s">
        <v>237</v>
      </c>
      <c r="B47" s="64">
        <f t="shared" si="7"/>
        <v>278.21951123118737</v>
      </c>
      <c r="C47" s="107">
        <v>0</v>
      </c>
      <c r="D47" s="107">
        <f t="shared" ref="D47:AG47" si="8">D46*C38*$B$19</f>
        <v>0</v>
      </c>
      <c r="E47" s="107">
        <f t="shared" si="8"/>
        <v>0</v>
      </c>
      <c r="F47" s="107">
        <f t="shared" si="8"/>
        <v>0</v>
      </c>
      <c r="G47" s="107">
        <f t="shared" si="8"/>
        <v>0</v>
      </c>
      <c r="H47" s="107">
        <f t="shared" si="8"/>
        <v>0</v>
      </c>
      <c r="I47" s="107">
        <f t="shared" si="8"/>
        <v>0</v>
      </c>
      <c r="J47" s="107">
        <f>J46*I38*$B$19</f>
        <v>0</v>
      </c>
      <c r="K47" s="107">
        <f t="shared" si="8"/>
        <v>0</v>
      </c>
      <c r="L47" s="107">
        <f t="shared" si="8"/>
        <v>0</v>
      </c>
      <c r="M47" s="107">
        <f t="shared" si="8"/>
        <v>56.895605568749971</v>
      </c>
      <c r="N47" s="107">
        <f t="shared" si="8"/>
        <v>0</v>
      </c>
      <c r="O47" s="107">
        <f t="shared" si="8"/>
        <v>0</v>
      </c>
      <c r="P47" s="107">
        <f t="shared" si="8"/>
        <v>0</v>
      </c>
      <c r="Q47" s="107">
        <f t="shared" si="8"/>
        <v>0</v>
      </c>
      <c r="R47" s="107">
        <f t="shared" si="8"/>
        <v>0</v>
      </c>
      <c r="S47" s="107">
        <f t="shared" si="8"/>
        <v>0</v>
      </c>
      <c r="T47" s="107">
        <f t="shared" si="8"/>
        <v>0</v>
      </c>
      <c r="U47" s="107">
        <f t="shared" si="8"/>
        <v>0</v>
      </c>
      <c r="V47" s="107">
        <f t="shared" si="8"/>
        <v>0</v>
      </c>
      <c r="W47" s="107">
        <f t="shared" si="8"/>
        <v>96.72252946687496</v>
      </c>
      <c r="X47" s="107">
        <f t="shared" si="8"/>
        <v>0</v>
      </c>
      <c r="Y47" s="107">
        <f t="shared" si="8"/>
        <v>0</v>
      </c>
      <c r="Z47" s="107">
        <f t="shared" si="8"/>
        <v>0</v>
      </c>
      <c r="AA47" s="107">
        <f>AA46*Z38*$B$19</f>
        <v>0</v>
      </c>
      <c r="AB47" s="107">
        <f t="shared" si="8"/>
        <v>0</v>
      </c>
      <c r="AC47" s="107">
        <f t="shared" si="8"/>
        <v>0</v>
      </c>
      <c r="AD47" s="107">
        <f t="shared" si="8"/>
        <v>0</v>
      </c>
      <c r="AE47" s="107">
        <f t="shared" si="8"/>
        <v>0</v>
      </c>
      <c r="AF47" s="107">
        <f t="shared" si="8"/>
        <v>0</v>
      </c>
      <c r="AG47" s="107">
        <f t="shared" si="8"/>
        <v>124.60137619556244</v>
      </c>
    </row>
    <row r="48" spans="1:33" s="84" customFormat="1" ht="48" customHeight="1">
      <c r="A48" s="64" t="s">
        <v>239</v>
      </c>
      <c r="B48" s="64">
        <f t="shared" si="7"/>
        <v>0</v>
      </c>
      <c r="C48" s="114">
        <v>0</v>
      </c>
      <c r="D48" s="114">
        <v>0</v>
      </c>
      <c r="E48" s="114">
        <v>0</v>
      </c>
      <c r="F48" s="114">
        <v>0</v>
      </c>
      <c r="G48" s="114">
        <v>0</v>
      </c>
      <c r="H48" s="114">
        <v>0</v>
      </c>
      <c r="I48" s="114">
        <v>0</v>
      </c>
      <c r="J48" s="114">
        <v>0</v>
      </c>
      <c r="K48" s="114">
        <v>0</v>
      </c>
      <c r="L48" s="114">
        <v>0</v>
      </c>
      <c r="M48" s="114">
        <f>(C15*0.428)</f>
        <v>0</v>
      </c>
      <c r="N48" s="114">
        <v>0</v>
      </c>
      <c r="O48" s="114">
        <v>0</v>
      </c>
      <c r="P48" s="114">
        <v>0</v>
      </c>
      <c r="Q48" s="114">
        <v>0</v>
      </c>
      <c r="R48" s="114">
        <v>0</v>
      </c>
      <c r="S48" s="114">
        <v>0</v>
      </c>
      <c r="T48" s="114">
        <v>0</v>
      </c>
      <c r="U48" s="114">
        <v>0</v>
      </c>
      <c r="V48" s="114">
        <v>0</v>
      </c>
      <c r="W48" s="114">
        <f>(C15*0.428)</f>
        <v>0</v>
      </c>
      <c r="X48" s="114">
        <v>0</v>
      </c>
      <c r="Y48" s="114">
        <v>0</v>
      </c>
      <c r="Z48" s="114">
        <v>0</v>
      </c>
      <c r="AA48" s="114">
        <v>0</v>
      </c>
      <c r="AB48" s="114">
        <v>0</v>
      </c>
      <c r="AC48" s="114">
        <v>0</v>
      </c>
      <c r="AD48" s="114">
        <v>0</v>
      </c>
      <c r="AE48" s="114">
        <v>0</v>
      </c>
      <c r="AF48" s="114">
        <v>0</v>
      </c>
      <c r="AG48" s="114">
        <f>(C15*0.428)</f>
        <v>0</v>
      </c>
    </row>
    <row r="49" spans="1:33" s="60" customFormat="1" ht="48" customHeight="1">
      <c r="A49" s="64" t="s">
        <v>270</v>
      </c>
      <c r="B49" s="64">
        <f t="shared" si="7"/>
        <v>0</v>
      </c>
      <c r="C49" s="109">
        <f t="shared" ref="C49:AG49" si="9">C48*C47</f>
        <v>0</v>
      </c>
      <c r="D49" s="109">
        <f>D48*D47</f>
        <v>0</v>
      </c>
      <c r="E49" s="109">
        <f t="shared" si="9"/>
        <v>0</v>
      </c>
      <c r="F49" s="109">
        <f t="shared" si="9"/>
        <v>0</v>
      </c>
      <c r="G49" s="109">
        <f t="shared" si="9"/>
        <v>0</v>
      </c>
      <c r="H49" s="109">
        <f t="shared" si="9"/>
        <v>0</v>
      </c>
      <c r="I49" s="109">
        <f t="shared" si="9"/>
        <v>0</v>
      </c>
      <c r="J49" s="109">
        <f t="shared" si="9"/>
        <v>0</v>
      </c>
      <c r="K49" s="109">
        <f t="shared" si="9"/>
        <v>0</v>
      </c>
      <c r="L49" s="109">
        <f t="shared" si="9"/>
        <v>0</v>
      </c>
      <c r="M49" s="109">
        <f t="shared" si="9"/>
        <v>0</v>
      </c>
      <c r="N49" s="109">
        <f t="shared" si="9"/>
        <v>0</v>
      </c>
      <c r="O49" s="109">
        <f t="shared" si="9"/>
        <v>0</v>
      </c>
      <c r="P49" s="109">
        <f t="shared" si="9"/>
        <v>0</v>
      </c>
      <c r="Q49" s="109">
        <f t="shared" si="9"/>
        <v>0</v>
      </c>
      <c r="R49" s="109">
        <f t="shared" si="9"/>
        <v>0</v>
      </c>
      <c r="S49" s="109">
        <f t="shared" si="9"/>
        <v>0</v>
      </c>
      <c r="T49" s="109">
        <f t="shared" si="9"/>
        <v>0</v>
      </c>
      <c r="U49" s="109">
        <f t="shared" si="9"/>
        <v>0</v>
      </c>
      <c r="V49" s="109">
        <f t="shared" si="9"/>
        <v>0</v>
      </c>
      <c r="W49" s="109">
        <f t="shared" si="9"/>
        <v>0</v>
      </c>
      <c r="X49" s="109">
        <f t="shared" si="9"/>
        <v>0</v>
      </c>
      <c r="Y49" s="109">
        <f t="shared" si="9"/>
        <v>0</v>
      </c>
      <c r="Z49" s="109">
        <f t="shared" si="9"/>
        <v>0</v>
      </c>
      <c r="AA49" s="109">
        <f t="shared" si="9"/>
        <v>0</v>
      </c>
      <c r="AB49" s="109">
        <f t="shared" si="9"/>
        <v>0</v>
      </c>
      <c r="AC49" s="109">
        <f t="shared" si="9"/>
        <v>0</v>
      </c>
      <c r="AD49" s="109">
        <f t="shared" si="9"/>
        <v>0</v>
      </c>
      <c r="AE49" s="109">
        <f t="shared" si="9"/>
        <v>0</v>
      </c>
      <c r="AF49" s="109">
        <f t="shared" si="9"/>
        <v>0</v>
      </c>
      <c r="AG49" s="109">
        <f t="shared" si="9"/>
        <v>0</v>
      </c>
    </row>
    <row r="50" spans="1:33" s="60" customFormat="1" ht="48" customHeight="1">
      <c r="A50" s="65" t="s">
        <v>277</v>
      </c>
      <c r="B50" s="65">
        <f>AG50</f>
        <v>0</v>
      </c>
      <c r="C50" s="110">
        <v>0</v>
      </c>
      <c r="D50" s="110">
        <v>0</v>
      </c>
      <c r="E50" s="110">
        <v>0</v>
      </c>
      <c r="F50" s="110">
        <v>0</v>
      </c>
      <c r="G50" s="110">
        <v>0</v>
      </c>
      <c r="H50" s="110">
        <v>0</v>
      </c>
      <c r="I50" s="110">
        <v>0</v>
      </c>
      <c r="J50" s="110">
        <v>0</v>
      </c>
      <c r="K50" s="110">
        <v>0</v>
      </c>
      <c r="L50" s="110">
        <v>0</v>
      </c>
      <c r="M50" s="110">
        <v>0</v>
      </c>
      <c r="N50" s="110">
        <v>0</v>
      </c>
      <c r="O50" s="110">
        <v>0</v>
      </c>
      <c r="P50" s="110">
        <v>0</v>
      </c>
      <c r="Q50" s="110">
        <v>0</v>
      </c>
      <c r="R50" s="110">
        <v>0</v>
      </c>
      <c r="S50" s="110">
        <v>0</v>
      </c>
      <c r="T50" s="110">
        <v>0</v>
      </c>
      <c r="U50" s="110">
        <v>0</v>
      </c>
      <c r="V50" s="110">
        <v>0</v>
      </c>
      <c r="W50" s="110">
        <v>0</v>
      </c>
      <c r="X50" s="110">
        <v>0</v>
      </c>
      <c r="Y50" s="110">
        <v>0</v>
      </c>
      <c r="Z50" s="110">
        <v>0</v>
      </c>
      <c r="AA50" s="110">
        <v>0</v>
      </c>
      <c r="AB50" s="110">
        <v>0</v>
      </c>
      <c r="AC50" s="110">
        <v>0</v>
      </c>
      <c r="AD50" s="110">
        <v>0</v>
      </c>
      <c r="AE50" s="110">
        <v>0</v>
      </c>
      <c r="AF50" s="110">
        <v>0</v>
      </c>
      <c r="AG50" s="110">
        <v>0</v>
      </c>
    </row>
    <row r="51" spans="1:33" s="60" customFormat="1" ht="48" customHeight="1">
      <c r="A51" s="65" t="s">
        <v>278</v>
      </c>
      <c r="B51" s="65" t="e">
        <f>SUM(C51:AG51)</f>
        <v>#REF!</v>
      </c>
      <c r="C51" s="110" t="e">
        <f>(0.25*(C49/0.475))-#REF!</f>
        <v>#REF!</v>
      </c>
      <c r="D51" s="110" t="e">
        <f>(0.25*(D49/0.475))-#REF!</f>
        <v>#REF!</v>
      </c>
      <c r="E51" s="110" t="e">
        <f>(0.25*(E49/0.475))-#REF!</f>
        <v>#REF!</v>
      </c>
      <c r="F51" s="110" t="e">
        <f>(0.25*(F49/0.475))-#REF!</f>
        <v>#REF!</v>
      </c>
      <c r="G51" s="110" t="e">
        <f>(0.25*(G49/0.475))-#REF!</f>
        <v>#REF!</v>
      </c>
      <c r="H51" s="110" t="e">
        <f>(0.25*(H49/0.475))-#REF!</f>
        <v>#REF!</v>
      </c>
      <c r="I51" s="110" t="e">
        <f>(0.25*(I49/0.475))-#REF!</f>
        <v>#REF!</v>
      </c>
      <c r="J51" s="110" t="e">
        <f>(0.25*(J49/0.475))-#REF!</f>
        <v>#REF!</v>
      </c>
      <c r="K51" s="110" t="e">
        <f>(0.25*(K49/0.475))-#REF!</f>
        <v>#REF!</v>
      </c>
      <c r="L51" s="110" t="e">
        <f>(0.25*(L49/0.475))-#REF!</f>
        <v>#REF!</v>
      </c>
      <c r="M51" s="110" t="e">
        <f>(0.25*(M49/0.475))-#REF!</f>
        <v>#REF!</v>
      </c>
      <c r="N51" s="110" t="e">
        <f>(0.25*(N49/0.475))-#REF!</f>
        <v>#REF!</v>
      </c>
      <c r="O51" s="110" t="e">
        <f>(0.25*(O49/0.475))-#REF!</f>
        <v>#REF!</v>
      </c>
      <c r="P51" s="110" t="e">
        <f>(0.25*(P49/0.475))-#REF!</f>
        <v>#REF!</v>
      </c>
      <c r="Q51" s="110" t="e">
        <f>(0.25*(Q49/0.475))-#REF!</f>
        <v>#REF!</v>
      </c>
      <c r="R51" s="110" t="e">
        <f>(0.25*(R49/0.475))-#REF!</f>
        <v>#REF!</v>
      </c>
      <c r="S51" s="110" t="e">
        <f>(0.25*(S49/0.475))-#REF!</f>
        <v>#REF!</v>
      </c>
      <c r="T51" s="110" t="e">
        <f>(0.25*(T49/0.475))-#REF!</f>
        <v>#REF!</v>
      </c>
      <c r="U51" s="110" t="e">
        <f>(0.25*(U49/0.475))-#REF!</f>
        <v>#REF!</v>
      </c>
      <c r="V51" s="110" t="e">
        <f>(0.25*(V49/0.475))-#REF!</f>
        <v>#REF!</v>
      </c>
      <c r="W51" s="110" t="e">
        <f>(0.25*(W49/0.475))-#REF!</f>
        <v>#REF!</v>
      </c>
      <c r="X51" s="110" t="e">
        <f>(0.25*(X49/0.475))-#REF!</f>
        <v>#REF!</v>
      </c>
      <c r="Y51" s="110" t="e">
        <f>(0.25*(Y49/0.475))-#REF!</f>
        <v>#REF!</v>
      </c>
      <c r="Z51" s="110" t="e">
        <f>(0.25*(Z49/0.475))-#REF!</f>
        <v>#REF!</v>
      </c>
      <c r="AA51" s="110" t="e">
        <f>(0.25*(AA49/0.475))-#REF!</f>
        <v>#REF!</v>
      </c>
      <c r="AB51" s="110" t="e">
        <f>(0.25*(AB49/0.475))-#REF!</f>
        <v>#REF!</v>
      </c>
      <c r="AC51" s="110" t="e">
        <f>(0.25*(AC49/0.475))-#REF!</f>
        <v>#REF!</v>
      </c>
      <c r="AD51" s="110" t="e">
        <f>(0.25*(AD49/0.475))-#REF!</f>
        <v>#REF!</v>
      </c>
      <c r="AE51" s="110" t="e">
        <f>(0.25*(AE49/0.475))-#REF!</f>
        <v>#REF!</v>
      </c>
      <c r="AF51" s="110" t="e">
        <f>(0.25*(AF49/0.475))-#REF!</f>
        <v>#REF!</v>
      </c>
      <c r="AG51" s="110" t="e">
        <f>(0.25*(AG49/0.475))-#REF!</f>
        <v>#REF!</v>
      </c>
    </row>
    <row r="52" spans="1:33" s="84" customFormat="1" ht="48" customHeight="1">
      <c r="A52" s="64" t="s">
        <v>242</v>
      </c>
      <c r="B52" s="64">
        <f t="shared" si="7"/>
        <v>3.3000000000000002E-2</v>
      </c>
      <c r="C52" s="114">
        <v>0</v>
      </c>
      <c r="D52" s="114">
        <v>0</v>
      </c>
      <c r="E52" s="114">
        <v>0</v>
      </c>
      <c r="F52" s="114">
        <v>0</v>
      </c>
      <c r="G52" s="114">
        <v>0</v>
      </c>
      <c r="H52" s="114">
        <v>0</v>
      </c>
      <c r="I52" s="114">
        <v>0</v>
      </c>
      <c r="J52" s="114">
        <v>0</v>
      </c>
      <c r="K52" s="114">
        <v>0</v>
      </c>
      <c r="L52" s="114">
        <v>0</v>
      </c>
      <c r="M52" s="114">
        <f>(C15*0.14*0.44)+(C17*1*0.44)</f>
        <v>1.1000000000000001E-2</v>
      </c>
      <c r="N52" s="114">
        <v>0</v>
      </c>
      <c r="O52" s="114">
        <v>0</v>
      </c>
      <c r="P52" s="114">
        <v>0</v>
      </c>
      <c r="Q52" s="114">
        <v>0</v>
      </c>
      <c r="R52" s="114">
        <v>0</v>
      </c>
      <c r="S52" s="114">
        <v>0</v>
      </c>
      <c r="T52" s="114">
        <v>0</v>
      </c>
      <c r="U52" s="114">
        <v>0</v>
      </c>
      <c r="V52" s="114">
        <v>0</v>
      </c>
      <c r="W52" s="114">
        <f>(C15*0.14*0.44)+(C16*0.75*0.44)+(C17*1*0.44)</f>
        <v>1.1000000000000001E-2</v>
      </c>
      <c r="X52" s="114">
        <v>0</v>
      </c>
      <c r="Y52" s="114">
        <v>0</v>
      </c>
      <c r="Z52" s="114">
        <v>0</v>
      </c>
      <c r="AA52" s="114">
        <v>0</v>
      </c>
      <c r="AB52" s="114">
        <v>0</v>
      </c>
      <c r="AC52" s="114">
        <v>0</v>
      </c>
      <c r="AD52" s="114">
        <v>0</v>
      </c>
      <c r="AE52" s="114">
        <v>0</v>
      </c>
      <c r="AF52" s="114">
        <v>0</v>
      </c>
      <c r="AG52" s="114">
        <f>(C15*0.14*0.44)+(C16*0.4*0.44)+(C17*0.44)</f>
        <v>1.1000000000000001E-2</v>
      </c>
    </row>
    <row r="53" spans="1:33" s="60" customFormat="1" ht="48" customHeight="1">
      <c r="A53" s="64" t="s">
        <v>241</v>
      </c>
      <c r="B53" s="64">
        <f t="shared" si="7"/>
        <v>3.0604146235430614</v>
      </c>
      <c r="C53" s="109">
        <f t="shared" ref="C53:AG53" si="10">C52*C47</f>
        <v>0</v>
      </c>
      <c r="D53" s="109">
        <f t="shared" si="10"/>
        <v>0</v>
      </c>
      <c r="E53" s="109">
        <f t="shared" si="10"/>
        <v>0</v>
      </c>
      <c r="F53" s="109">
        <f t="shared" si="10"/>
        <v>0</v>
      </c>
      <c r="G53" s="109">
        <f t="shared" si="10"/>
        <v>0</v>
      </c>
      <c r="H53" s="109">
        <f t="shared" si="10"/>
        <v>0</v>
      </c>
      <c r="I53" s="109">
        <f t="shared" si="10"/>
        <v>0</v>
      </c>
      <c r="J53" s="109">
        <f t="shared" si="10"/>
        <v>0</v>
      </c>
      <c r="K53" s="109">
        <f t="shared" si="10"/>
        <v>0</v>
      </c>
      <c r="L53" s="109">
        <f t="shared" si="10"/>
        <v>0</v>
      </c>
      <c r="M53" s="109">
        <f t="shared" si="10"/>
        <v>0.62585166125624969</v>
      </c>
      <c r="N53" s="109">
        <f t="shared" si="10"/>
        <v>0</v>
      </c>
      <c r="O53" s="109">
        <f t="shared" si="10"/>
        <v>0</v>
      </c>
      <c r="P53" s="109">
        <f t="shared" si="10"/>
        <v>0</v>
      </c>
      <c r="Q53" s="109">
        <f t="shared" si="10"/>
        <v>0</v>
      </c>
      <c r="R53" s="109">
        <f t="shared" si="10"/>
        <v>0</v>
      </c>
      <c r="S53" s="109">
        <f t="shared" si="10"/>
        <v>0</v>
      </c>
      <c r="T53" s="109">
        <f t="shared" si="10"/>
        <v>0</v>
      </c>
      <c r="U53" s="109">
        <f t="shared" si="10"/>
        <v>0</v>
      </c>
      <c r="V53" s="109">
        <f t="shared" si="10"/>
        <v>0</v>
      </c>
      <c r="W53" s="109">
        <f t="shared" si="10"/>
        <v>1.0639478241356246</v>
      </c>
      <c r="X53" s="109">
        <f t="shared" si="10"/>
        <v>0</v>
      </c>
      <c r="Y53" s="109">
        <f t="shared" si="10"/>
        <v>0</v>
      </c>
      <c r="Z53" s="109">
        <f t="shared" si="10"/>
        <v>0</v>
      </c>
      <c r="AA53" s="109">
        <f t="shared" si="10"/>
        <v>0</v>
      </c>
      <c r="AB53" s="109">
        <f t="shared" si="10"/>
        <v>0</v>
      </c>
      <c r="AC53" s="109">
        <f t="shared" si="10"/>
        <v>0</v>
      </c>
      <c r="AD53" s="109">
        <f t="shared" si="10"/>
        <v>0</v>
      </c>
      <c r="AE53" s="109">
        <f t="shared" si="10"/>
        <v>0</v>
      </c>
      <c r="AF53" s="109">
        <f t="shared" si="10"/>
        <v>0</v>
      </c>
      <c r="AG53" s="109">
        <f t="shared" si="10"/>
        <v>1.3706151381511869</v>
      </c>
    </row>
    <row r="54" spans="1:33" s="60" customFormat="1" ht="48" customHeight="1">
      <c r="A54" s="65" t="s">
        <v>271</v>
      </c>
      <c r="B54" s="65">
        <f>AG54</f>
        <v>1.4114872339043982</v>
      </c>
      <c r="C54" s="110">
        <v>0</v>
      </c>
      <c r="D54" s="110">
        <f>D53+((EXP(-(LN(2))/2))*C54)+(((1-(EXP(-(LN(2))/2)))/2)*C53)</f>
        <v>0</v>
      </c>
      <c r="E54" s="110">
        <f t="shared" ref="E54:AG54" si="11">E53+((EXP(-(LN(2))/2))*D54)+(((1-(EXP(-(LN(2))/2)))/2)*D53)</f>
        <v>0</v>
      </c>
      <c r="F54" s="110">
        <f t="shared" si="11"/>
        <v>0</v>
      </c>
      <c r="G54" s="110">
        <f t="shared" si="11"/>
        <v>0</v>
      </c>
      <c r="H54" s="110">
        <f t="shared" si="11"/>
        <v>0</v>
      </c>
      <c r="I54" s="110">
        <f t="shared" si="11"/>
        <v>0</v>
      </c>
      <c r="J54" s="110">
        <f>J53+((EXP(-(LN(2))/2))*I54)+(((1-(EXP(-(LN(2))/2)))/2)*I53)</f>
        <v>0</v>
      </c>
      <c r="K54" s="110">
        <f>K53+((EXP(-(LN(2))/2))*J54)+(((1-(EXP(-(LN(2))/2)))/2)*J53)</f>
        <v>0</v>
      </c>
      <c r="L54" s="110">
        <f t="shared" si="11"/>
        <v>0</v>
      </c>
      <c r="M54" s="110">
        <f t="shared" si="11"/>
        <v>0.62585166125624969</v>
      </c>
      <c r="N54" s="110">
        <f t="shared" si="11"/>
        <v>0.53419780747370493</v>
      </c>
      <c r="O54" s="110">
        <f t="shared" si="11"/>
        <v>0.37773489215964257</v>
      </c>
      <c r="P54" s="110">
        <f t="shared" si="11"/>
        <v>0.26709890373685252</v>
      </c>
      <c r="Q54" s="110">
        <f t="shared" si="11"/>
        <v>0.18886744607982131</v>
      </c>
      <c r="R54" s="110">
        <f t="shared" si="11"/>
        <v>0.13354945186842629</v>
      </c>
      <c r="S54" s="110">
        <f>S53+((EXP(-(LN(2))/2))*R54)+(((1-(EXP(-(LN(2))/2)))/2)*R53)</f>
        <v>9.4433723039910669E-2</v>
      </c>
      <c r="T54" s="110">
        <f t="shared" si="11"/>
        <v>6.6774725934213144E-2</v>
      </c>
      <c r="U54" s="110">
        <f t="shared" si="11"/>
        <v>4.7216861519955335E-2</v>
      </c>
      <c r="V54" s="110">
        <f t="shared" si="11"/>
        <v>3.3387362967106572E-2</v>
      </c>
      <c r="W54" s="110">
        <f t="shared" si="11"/>
        <v>1.0875562548956024</v>
      </c>
      <c r="X54" s="110">
        <f t="shared" si="11"/>
        <v>0.92482995418885183</v>
      </c>
      <c r="Y54" s="110">
        <f t="shared" si="11"/>
        <v>0.65395353205138129</v>
      </c>
      <c r="Z54" s="110">
        <f t="shared" si="11"/>
        <v>0.46241497709442597</v>
      </c>
      <c r="AA54" s="110">
        <f>AA53+((EXP(-(LN(2))/2))*Z54)+(((1-(EXP(-(LN(2))/2)))/2)*Z53)</f>
        <v>0.32697676602569065</v>
      </c>
      <c r="AB54" s="110">
        <f t="shared" si="11"/>
        <v>0.23120748854721299</v>
      </c>
      <c r="AC54" s="110">
        <f t="shared" si="11"/>
        <v>0.16348838301284532</v>
      </c>
      <c r="AD54" s="110">
        <f t="shared" si="11"/>
        <v>0.11560374427360649</v>
      </c>
      <c r="AE54" s="110">
        <f t="shared" si="11"/>
        <v>8.1744191506422662E-2</v>
      </c>
      <c r="AF54" s="110">
        <f t="shared" si="11"/>
        <v>5.7801872136803246E-2</v>
      </c>
      <c r="AG54" s="110">
        <f t="shared" si="11"/>
        <v>1.4114872339043982</v>
      </c>
    </row>
    <row r="55" spans="1:33" s="60" customFormat="1" ht="48" customHeight="1">
      <c r="A55" s="65" t="s">
        <v>278</v>
      </c>
      <c r="B55" s="65" t="e">
        <f t="shared" si="7"/>
        <v>#REF!</v>
      </c>
      <c r="C55" s="110" t="e">
        <f>(0*(C53/0.475))-#REF!</f>
        <v>#REF!</v>
      </c>
      <c r="D55" s="110" t="e">
        <f>(0*(D53/0.475))-#REF!</f>
        <v>#REF!</v>
      </c>
      <c r="E55" s="110" t="e">
        <f>(0*(E53/0.475))-#REF!</f>
        <v>#REF!</v>
      </c>
      <c r="F55" s="110" t="e">
        <f>(0*(F53/0.475))-#REF!</f>
        <v>#REF!</v>
      </c>
      <c r="G55" s="110" t="e">
        <f>(0*(G53/0.475))-#REF!</f>
        <v>#REF!</v>
      </c>
      <c r="H55" s="110" t="e">
        <f>(0*(H53/0.475))-#REF!</f>
        <v>#REF!</v>
      </c>
      <c r="I55" s="110" t="e">
        <f>(0*(I53/0.475))-#REF!</f>
        <v>#REF!</v>
      </c>
      <c r="J55" s="110" t="e">
        <f>(0*(J53/0.475))-#REF!</f>
        <v>#REF!</v>
      </c>
      <c r="K55" s="110" t="e">
        <f>(0*(K53/0.475))-#REF!</f>
        <v>#REF!</v>
      </c>
      <c r="L55" s="110" t="e">
        <f>(0*(L53/0.475))-#REF!</f>
        <v>#REF!</v>
      </c>
      <c r="M55" s="110" t="e">
        <f>(0*(M53/0.475))-#REF!</f>
        <v>#REF!</v>
      </c>
      <c r="N55" s="110" t="e">
        <f>(0*(N53/0.475))-#REF!</f>
        <v>#REF!</v>
      </c>
      <c r="O55" s="110" t="e">
        <f>(0*(O53/0.475))-#REF!</f>
        <v>#REF!</v>
      </c>
      <c r="P55" s="110" t="e">
        <f>(0*(P53/0.475))-#REF!</f>
        <v>#REF!</v>
      </c>
      <c r="Q55" s="110" t="e">
        <f>(0*(Q53/0.475))-#REF!</f>
        <v>#REF!</v>
      </c>
      <c r="R55" s="110" t="e">
        <f>(0*(R53/0.475))-#REF!</f>
        <v>#REF!</v>
      </c>
      <c r="S55" s="110" t="e">
        <f>(0*(S53/0.475))-#REF!</f>
        <v>#REF!</v>
      </c>
      <c r="T55" s="110" t="e">
        <f>(0*(T53/0.475))-#REF!</f>
        <v>#REF!</v>
      </c>
      <c r="U55" s="110" t="e">
        <f>(0*(U53/0.475))-#REF!</f>
        <v>#REF!</v>
      </c>
      <c r="V55" s="110" t="e">
        <f>(0*(V53/0.475))-#REF!</f>
        <v>#REF!</v>
      </c>
      <c r="W55" s="110" t="e">
        <f>(0*(W53/0.475))-#REF!</f>
        <v>#REF!</v>
      </c>
      <c r="X55" s="110" t="e">
        <f>(0*(X53/0.475))-#REF!</f>
        <v>#REF!</v>
      </c>
      <c r="Y55" s="110" t="e">
        <f>(0*(Y53/0.475))-#REF!</f>
        <v>#REF!</v>
      </c>
      <c r="Z55" s="110" t="e">
        <f>(0*(Z53/0.475))-#REF!</f>
        <v>#REF!</v>
      </c>
      <c r="AA55" s="110" t="e">
        <f>(0*(AA53/0.475))-#REF!</f>
        <v>#REF!</v>
      </c>
      <c r="AB55" s="110" t="e">
        <f>(0*(AB53/0.475))-#REF!</f>
        <v>#REF!</v>
      </c>
      <c r="AC55" s="110" t="e">
        <f>(0*(AC53/0.475))-#REF!</f>
        <v>#REF!</v>
      </c>
      <c r="AD55" s="110" t="e">
        <f>(0*(AD53/0.475))-#REF!</f>
        <v>#REF!</v>
      </c>
      <c r="AE55" s="110" t="e">
        <f>(0*(AE53/0.475))-#REF!</f>
        <v>#REF!</v>
      </c>
      <c r="AF55" s="110" t="e">
        <f>(0*(AF53/0.475))-#REF!</f>
        <v>#REF!</v>
      </c>
      <c r="AG55" s="110" t="e">
        <f>(0*(AG53/0.475))-#REF!</f>
        <v>#REF!</v>
      </c>
    </row>
    <row r="56" spans="1:33" s="84" customFormat="1" ht="48" customHeight="1">
      <c r="A56" s="64" t="s">
        <v>243</v>
      </c>
      <c r="B56" s="64">
        <f t="shared" si="7"/>
        <v>4.200000000000001E-2</v>
      </c>
      <c r="C56" s="114">
        <v>0</v>
      </c>
      <c r="D56" s="114">
        <v>0</v>
      </c>
      <c r="E56" s="114">
        <v>0</v>
      </c>
      <c r="F56" s="114">
        <v>0</v>
      </c>
      <c r="G56" s="114">
        <v>0</v>
      </c>
      <c r="H56" s="114">
        <v>0</v>
      </c>
      <c r="I56" s="114">
        <v>0</v>
      </c>
      <c r="J56" s="114">
        <v>0</v>
      </c>
      <c r="K56" s="114">
        <v>0</v>
      </c>
      <c r="L56" s="114">
        <v>0</v>
      </c>
      <c r="M56" s="114">
        <f>(C15*0.14*0.56)+(C17*0.56)</f>
        <v>1.4000000000000002E-2</v>
      </c>
      <c r="N56" s="114">
        <v>0</v>
      </c>
      <c r="O56" s="114">
        <v>0</v>
      </c>
      <c r="P56" s="114">
        <v>0</v>
      </c>
      <c r="Q56" s="114">
        <v>0</v>
      </c>
      <c r="R56" s="114">
        <v>0</v>
      </c>
      <c r="S56" s="114">
        <v>0</v>
      </c>
      <c r="T56" s="114">
        <v>0</v>
      </c>
      <c r="U56" s="114">
        <v>0</v>
      </c>
      <c r="V56" s="114">
        <v>0</v>
      </c>
      <c r="W56" s="114">
        <f>(C15*0.14*0.56)+(C16*0.75*0.56)+(C17*0.56)</f>
        <v>1.4000000000000002E-2</v>
      </c>
      <c r="X56" s="114">
        <v>0</v>
      </c>
      <c r="Y56" s="114">
        <v>0</v>
      </c>
      <c r="Z56" s="114">
        <v>0</v>
      </c>
      <c r="AA56" s="114">
        <v>0</v>
      </c>
      <c r="AB56" s="114">
        <v>0</v>
      </c>
      <c r="AC56" s="114">
        <v>0</v>
      </c>
      <c r="AD56" s="114">
        <v>0</v>
      </c>
      <c r="AE56" s="114">
        <v>0</v>
      </c>
      <c r="AF56" s="114">
        <v>0</v>
      </c>
      <c r="AG56" s="114">
        <f>(C15*0.14*0.56)+(C16*0.4*0.56)+(C17*0.56)</f>
        <v>1.4000000000000002E-2</v>
      </c>
    </row>
    <row r="57" spans="1:33" s="60" customFormat="1" ht="48" customHeight="1">
      <c r="A57" s="64" t="s">
        <v>272</v>
      </c>
      <c r="B57" s="64">
        <f t="shared" si="7"/>
        <v>3.8950731572366237</v>
      </c>
      <c r="C57" s="109">
        <f t="shared" ref="C57:AG57" si="12">C56*C47</f>
        <v>0</v>
      </c>
      <c r="D57" s="109">
        <f t="shared" si="12"/>
        <v>0</v>
      </c>
      <c r="E57" s="109">
        <f t="shared" si="12"/>
        <v>0</v>
      </c>
      <c r="F57" s="109">
        <f t="shared" si="12"/>
        <v>0</v>
      </c>
      <c r="G57" s="109">
        <f t="shared" si="12"/>
        <v>0</v>
      </c>
      <c r="H57" s="109">
        <f t="shared" si="12"/>
        <v>0</v>
      </c>
      <c r="I57" s="109">
        <f t="shared" si="12"/>
        <v>0</v>
      </c>
      <c r="J57" s="109">
        <f t="shared" si="12"/>
        <v>0</v>
      </c>
      <c r="K57" s="109">
        <f t="shared" si="12"/>
        <v>0</v>
      </c>
      <c r="L57" s="109">
        <f t="shared" si="12"/>
        <v>0</v>
      </c>
      <c r="M57" s="109">
        <f t="shared" si="12"/>
        <v>0.79653847796249977</v>
      </c>
      <c r="N57" s="109">
        <f t="shared" si="12"/>
        <v>0</v>
      </c>
      <c r="O57" s="109">
        <f t="shared" si="12"/>
        <v>0</v>
      </c>
      <c r="P57" s="109">
        <f t="shared" si="12"/>
        <v>0</v>
      </c>
      <c r="Q57" s="109">
        <f t="shared" si="12"/>
        <v>0</v>
      </c>
      <c r="R57" s="109">
        <f t="shared" si="12"/>
        <v>0</v>
      </c>
      <c r="S57" s="109">
        <f t="shared" si="12"/>
        <v>0</v>
      </c>
      <c r="T57" s="109">
        <f t="shared" si="12"/>
        <v>0</v>
      </c>
      <c r="U57" s="109">
        <f t="shared" si="12"/>
        <v>0</v>
      </c>
      <c r="V57" s="109">
        <f t="shared" si="12"/>
        <v>0</v>
      </c>
      <c r="W57" s="109">
        <f t="shared" si="12"/>
        <v>1.3541154125362496</v>
      </c>
      <c r="X57" s="109">
        <f t="shared" si="12"/>
        <v>0</v>
      </c>
      <c r="Y57" s="109">
        <f t="shared" si="12"/>
        <v>0</v>
      </c>
      <c r="Z57" s="109">
        <f t="shared" si="12"/>
        <v>0</v>
      </c>
      <c r="AA57" s="109">
        <f t="shared" si="12"/>
        <v>0</v>
      </c>
      <c r="AB57" s="109">
        <f t="shared" si="12"/>
        <v>0</v>
      </c>
      <c r="AC57" s="109">
        <f t="shared" si="12"/>
        <v>0</v>
      </c>
      <c r="AD57" s="109">
        <f t="shared" si="12"/>
        <v>0</v>
      </c>
      <c r="AE57" s="109">
        <f t="shared" si="12"/>
        <v>0</v>
      </c>
      <c r="AF57" s="109">
        <f t="shared" si="12"/>
        <v>0</v>
      </c>
      <c r="AG57" s="109">
        <f t="shared" si="12"/>
        <v>1.7444192667378744</v>
      </c>
    </row>
    <row r="58" spans="1:33" s="60" customFormat="1" ht="48" customHeight="1">
      <c r="A58" s="65" t="s">
        <v>273</v>
      </c>
      <c r="B58" s="65">
        <f>AG58</f>
        <v>3.2298065888033962</v>
      </c>
      <c r="C58" s="110">
        <v>0</v>
      </c>
      <c r="D58" s="110">
        <f>D57+((EXP(-(LN(2))/25))*C58)+(((1-(EXP(-(LN(2))/25)))/25)*C57)</f>
        <v>0</v>
      </c>
      <c r="E58" s="110">
        <f t="shared" ref="E58:AG58" si="13">E57+((EXP(-(LN(2))/25))*D58)+(((1-(EXP(-(LN(2))/25)))/25)*D57)</f>
        <v>0</v>
      </c>
      <c r="F58" s="110">
        <f t="shared" si="13"/>
        <v>0</v>
      </c>
      <c r="G58" s="110">
        <f t="shared" si="13"/>
        <v>0</v>
      </c>
      <c r="H58" s="110">
        <f t="shared" si="13"/>
        <v>0</v>
      </c>
      <c r="I58" s="110">
        <f t="shared" si="13"/>
        <v>0</v>
      </c>
      <c r="J58" s="110">
        <f>J57+((EXP(-(LN(2))/25))*I58)+(((1-(EXP(-(LN(2))/25)))/25)*I57)</f>
        <v>0</v>
      </c>
      <c r="K58" s="110">
        <f>K57+((EXP(-(LN(2))/25))*J58)+(((1-(EXP(-(LN(2))/25)))/25)*J57)</f>
        <v>0</v>
      </c>
      <c r="L58" s="110">
        <f t="shared" si="13"/>
        <v>0</v>
      </c>
      <c r="M58" s="110">
        <f t="shared" si="13"/>
        <v>0.79653847796249977</v>
      </c>
      <c r="N58" s="110">
        <f t="shared" si="13"/>
        <v>0.77562834685719806</v>
      </c>
      <c r="O58" s="110">
        <f t="shared" si="13"/>
        <v>0.75441874892386596</v>
      </c>
      <c r="P58" s="110">
        <f t="shared" si="13"/>
        <v>0.73378912856138512</v>
      </c>
      <c r="Q58" s="110">
        <f t="shared" si="13"/>
        <v>0.7137236262525809</v>
      </c>
      <c r="R58" s="110">
        <f t="shared" si="13"/>
        <v>0.69420681615960977</v>
      </c>
      <c r="S58" s="110">
        <f>S57+((EXP(-(LN(2))/25))*R58)+(((1-(EXP(-(LN(2))/25)))/25)*R57)</f>
        <v>0.67522369426497542</v>
      </c>
      <c r="T58" s="110">
        <f t="shared" si="13"/>
        <v>0.65675966683682885</v>
      </c>
      <c r="U58" s="110">
        <f t="shared" si="13"/>
        <v>0.63880053920968594</v>
      </c>
      <c r="V58" s="110">
        <f t="shared" si="13"/>
        <v>0.6213325048719367</v>
      </c>
      <c r="W58" s="110">
        <f t="shared" si="13"/>
        <v>1.9584575473880068</v>
      </c>
      <c r="X58" s="110">
        <f t="shared" si="13"/>
        <v>1.9063845570505009</v>
      </c>
      <c r="Y58" s="110">
        <f t="shared" si="13"/>
        <v>1.8542543710855481</v>
      </c>
      <c r="Z58" s="110">
        <f t="shared" si="13"/>
        <v>1.8035496877972144</v>
      </c>
      <c r="AA58" s="110">
        <f>AA57+((EXP(-(LN(2))/25))*Z58)+(((1-(EXP(-(LN(2))/25)))/25)*Z57)</f>
        <v>1.7542315267398436</v>
      </c>
      <c r="AB58" s="110">
        <f t="shared" si="13"/>
        <v>1.7062619733901159</v>
      </c>
      <c r="AC58" s="110">
        <f t="shared" si="13"/>
        <v>1.6596041499993457</v>
      </c>
      <c r="AD58" s="110">
        <f t="shared" si="13"/>
        <v>1.6142221872428244</v>
      </c>
      <c r="AE58" s="110">
        <f t="shared" si="13"/>
        <v>1.5700811966444139</v>
      </c>
      <c r="AF58" s="110">
        <f t="shared" si="13"/>
        <v>1.5271472437551907</v>
      </c>
      <c r="AG58" s="110">
        <f t="shared" si="13"/>
        <v>3.2298065888033962</v>
      </c>
    </row>
    <row r="59" spans="1:33" s="60" customFormat="1" ht="48" customHeight="1">
      <c r="A59" s="65" t="s">
        <v>278</v>
      </c>
      <c r="B59" s="65" t="e">
        <f t="shared" si="7"/>
        <v>#REF!</v>
      </c>
      <c r="C59" s="110" t="e">
        <f>(0.77*(C57/0.475))-#REF!</f>
        <v>#REF!</v>
      </c>
      <c r="D59" s="110" t="e">
        <f>(0.77*(D57/0.475))-#REF!</f>
        <v>#REF!</v>
      </c>
      <c r="E59" s="110" t="e">
        <f>(0.77*(E57/0.475))-#REF!</f>
        <v>#REF!</v>
      </c>
      <c r="F59" s="110" t="e">
        <f>(0.77*(F57/0.475))-#REF!</f>
        <v>#REF!</v>
      </c>
      <c r="G59" s="110" t="e">
        <f>(0.77*(G57/0.475))-#REF!</f>
        <v>#REF!</v>
      </c>
      <c r="H59" s="110" t="e">
        <f>(0.77*(H57/0.475))-#REF!</f>
        <v>#REF!</v>
      </c>
      <c r="I59" s="110" t="e">
        <f>(0.77*(I57/0.475))-#REF!</f>
        <v>#REF!</v>
      </c>
      <c r="J59" s="110" t="e">
        <f>(0.77*(J57/0.475))-#REF!</f>
        <v>#REF!</v>
      </c>
      <c r="K59" s="110" t="e">
        <f>(0.77*(K57/0.475))-#REF!</f>
        <v>#REF!</v>
      </c>
      <c r="L59" s="110" t="e">
        <f>(0.77*(L57/0.475))-#REF!</f>
        <v>#REF!</v>
      </c>
      <c r="M59" s="110" t="e">
        <f>(0.77*(M57/0.475))-#REF!</f>
        <v>#REF!</v>
      </c>
      <c r="N59" s="110" t="e">
        <f>(0.77*(N57/0.475))-#REF!</f>
        <v>#REF!</v>
      </c>
      <c r="O59" s="110" t="e">
        <f>(0.77*(O57/0.475))-#REF!</f>
        <v>#REF!</v>
      </c>
      <c r="P59" s="110" t="e">
        <f>(0.77*(P57/0.475))-#REF!</f>
        <v>#REF!</v>
      </c>
      <c r="Q59" s="110" t="e">
        <f>(0.77*(Q57/0.475))-#REF!</f>
        <v>#REF!</v>
      </c>
      <c r="R59" s="110" t="e">
        <f>(0.77*(R57/0.475))-#REF!</f>
        <v>#REF!</v>
      </c>
      <c r="S59" s="110" t="e">
        <f>(0.77*(S57/0.475))-#REF!</f>
        <v>#REF!</v>
      </c>
      <c r="T59" s="110" t="e">
        <f>(0.77*(T57/0.475))-#REF!</f>
        <v>#REF!</v>
      </c>
      <c r="U59" s="110" t="e">
        <f>(0.77*(U57/0.475))-#REF!</f>
        <v>#REF!</v>
      </c>
      <c r="V59" s="110" t="e">
        <f>(0.77*(V57/0.475))-#REF!</f>
        <v>#REF!</v>
      </c>
      <c r="W59" s="110" t="e">
        <f>(0.77*(W57/0.475))-#REF!</f>
        <v>#REF!</v>
      </c>
      <c r="X59" s="110" t="e">
        <f>(0.77*(X57/0.475))-#REF!</f>
        <v>#REF!</v>
      </c>
      <c r="Y59" s="110" t="e">
        <f>(0.77*(Y57/0.475))-#REF!</f>
        <v>#REF!</v>
      </c>
      <c r="Z59" s="110" t="e">
        <f>(0.77*(Z57/0.475))-#REF!</f>
        <v>#REF!</v>
      </c>
      <c r="AA59" s="110" t="e">
        <f>(0.77*(AA57/0.475))-#REF!</f>
        <v>#REF!</v>
      </c>
      <c r="AB59" s="110" t="e">
        <f>(0.77*(AB57/0.475))-#REF!</f>
        <v>#REF!</v>
      </c>
      <c r="AC59" s="110" t="e">
        <f>(0.77*(AC57/0.475))-#REF!</f>
        <v>#REF!</v>
      </c>
      <c r="AD59" s="110" t="e">
        <f>(0.77*(AD57/0.475))-#REF!</f>
        <v>#REF!</v>
      </c>
      <c r="AE59" s="110" t="e">
        <f>(0.77*(AE57/0.475))-#REF!</f>
        <v>#REF!</v>
      </c>
      <c r="AF59" s="110" t="e">
        <f>(0.77*(AF57/0.475))-#REF!</f>
        <v>#REF!</v>
      </c>
      <c r="AG59" s="110" t="e">
        <f>(0.77*(AG57/0.475))-#REF!</f>
        <v>#REF!</v>
      </c>
    </row>
    <row r="60" spans="1:33" s="84" customFormat="1" ht="48" customHeight="1">
      <c r="A60" s="64" t="s">
        <v>245</v>
      </c>
      <c r="B60" s="64">
        <f t="shared" si="7"/>
        <v>2.9249999999999998</v>
      </c>
      <c r="C60" s="114">
        <v>0</v>
      </c>
      <c r="D60" s="114">
        <v>0</v>
      </c>
      <c r="E60" s="114">
        <v>0</v>
      </c>
      <c r="F60" s="114">
        <v>0</v>
      </c>
      <c r="G60" s="114">
        <v>0</v>
      </c>
      <c r="H60" s="114">
        <v>0</v>
      </c>
      <c r="I60" s="114">
        <v>0</v>
      </c>
      <c r="J60" s="114">
        <v>0</v>
      </c>
      <c r="K60" s="114">
        <v>0</v>
      </c>
      <c r="L60" s="114">
        <v>0</v>
      </c>
      <c r="M60" s="114">
        <f>(C14*1)+(C15*43.2)</f>
        <v>0.97499999999999998</v>
      </c>
      <c r="N60" s="114">
        <v>0</v>
      </c>
      <c r="O60" s="114">
        <v>0</v>
      </c>
      <c r="P60" s="114">
        <v>0</v>
      </c>
      <c r="Q60" s="114">
        <v>0</v>
      </c>
      <c r="R60" s="114">
        <v>0</v>
      </c>
      <c r="S60" s="114">
        <v>0</v>
      </c>
      <c r="T60" s="114">
        <v>0</v>
      </c>
      <c r="U60" s="114">
        <v>0</v>
      </c>
      <c r="V60" s="114">
        <v>0</v>
      </c>
      <c r="W60" s="114">
        <f>(C14*1)+(C15*0.432)+(C16*0.25)</f>
        <v>0.97499999999999998</v>
      </c>
      <c r="X60" s="114">
        <v>0</v>
      </c>
      <c r="Y60" s="114">
        <v>0</v>
      </c>
      <c r="Z60" s="114">
        <v>0</v>
      </c>
      <c r="AA60" s="114">
        <v>0</v>
      </c>
      <c r="AB60" s="114">
        <v>0</v>
      </c>
      <c r="AC60" s="114">
        <v>0</v>
      </c>
      <c r="AD60" s="114">
        <v>0</v>
      </c>
      <c r="AE60" s="114">
        <v>0</v>
      </c>
      <c r="AF60" s="114">
        <v>0</v>
      </c>
      <c r="AG60" s="114">
        <f>(C14*1)+(C15*0.432)+(C16*0.6)</f>
        <v>0.97499999999999998</v>
      </c>
    </row>
    <row r="61" spans="1:33" s="60" customFormat="1" ht="48" customHeight="1">
      <c r="A61" s="64" t="s">
        <v>274</v>
      </c>
      <c r="B61" s="64">
        <f t="shared" si="7"/>
        <v>271.26402345040765</v>
      </c>
      <c r="C61" s="109">
        <f t="shared" ref="C61:AG61" si="14">C60*C47</f>
        <v>0</v>
      </c>
      <c r="D61" s="109">
        <f t="shared" si="14"/>
        <v>0</v>
      </c>
      <c r="E61" s="109">
        <f t="shared" si="14"/>
        <v>0</v>
      </c>
      <c r="F61" s="109">
        <f t="shared" si="14"/>
        <v>0</v>
      </c>
      <c r="G61" s="109">
        <f t="shared" si="14"/>
        <v>0</v>
      </c>
      <c r="H61" s="109">
        <f t="shared" si="14"/>
        <v>0</v>
      </c>
      <c r="I61" s="109">
        <f t="shared" si="14"/>
        <v>0</v>
      </c>
      <c r="J61" s="109">
        <f t="shared" si="14"/>
        <v>0</v>
      </c>
      <c r="K61" s="109">
        <f t="shared" si="14"/>
        <v>0</v>
      </c>
      <c r="L61" s="109">
        <f t="shared" si="14"/>
        <v>0</v>
      </c>
      <c r="M61" s="109">
        <f t="shared" si="14"/>
        <v>55.473215429531223</v>
      </c>
      <c r="N61" s="109">
        <f t="shared" si="14"/>
        <v>0</v>
      </c>
      <c r="O61" s="109">
        <f t="shared" si="14"/>
        <v>0</v>
      </c>
      <c r="P61" s="109">
        <f t="shared" si="14"/>
        <v>0</v>
      </c>
      <c r="Q61" s="109">
        <f t="shared" si="14"/>
        <v>0</v>
      </c>
      <c r="R61" s="109">
        <f t="shared" si="14"/>
        <v>0</v>
      </c>
      <c r="S61" s="109">
        <f t="shared" si="14"/>
        <v>0</v>
      </c>
      <c r="T61" s="109">
        <f t="shared" si="14"/>
        <v>0</v>
      </c>
      <c r="U61" s="109">
        <f t="shared" si="14"/>
        <v>0</v>
      </c>
      <c r="V61" s="109">
        <f t="shared" si="14"/>
        <v>0</v>
      </c>
      <c r="W61" s="109">
        <f t="shared" si="14"/>
        <v>94.30446623020309</v>
      </c>
      <c r="X61" s="109">
        <f t="shared" si="14"/>
        <v>0</v>
      </c>
      <c r="Y61" s="109">
        <f t="shared" si="14"/>
        <v>0</v>
      </c>
      <c r="Z61" s="109">
        <f t="shared" si="14"/>
        <v>0</v>
      </c>
      <c r="AA61" s="109">
        <f t="shared" si="14"/>
        <v>0</v>
      </c>
      <c r="AB61" s="109">
        <f t="shared" si="14"/>
        <v>0</v>
      </c>
      <c r="AC61" s="109">
        <f t="shared" si="14"/>
        <v>0</v>
      </c>
      <c r="AD61" s="109">
        <f t="shared" si="14"/>
        <v>0</v>
      </c>
      <c r="AE61" s="109">
        <f t="shared" si="14"/>
        <v>0</v>
      </c>
      <c r="AF61" s="109">
        <f t="shared" si="14"/>
        <v>0</v>
      </c>
      <c r="AG61" s="109">
        <f t="shared" si="14"/>
        <v>121.48634179067338</v>
      </c>
    </row>
    <row r="62" spans="1:33" s="60" customFormat="1" ht="48" customHeight="1">
      <c r="A62" s="65" t="s">
        <v>275</v>
      </c>
      <c r="B62" s="65">
        <f>AG62</f>
        <v>236.24387889096877</v>
      </c>
      <c r="C62" s="110">
        <v>0</v>
      </c>
      <c r="D62" s="110">
        <f t="shared" ref="D62:L62" si="15">D61+((EXP(-(LN(2))/35))*C62)+(((1-(EXP(-(LN(2))/35)))/35)*C61)</f>
        <v>0</v>
      </c>
      <c r="E62" s="110">
        <f t="shared" si="15"/>
        <v>0</v>
      </c>
      <c r="F62" s="110">
        <f t="shared" si="15"/>
        <v>0</v>
      </c>
      <c r="G62" s="110">
        <f t="shared" si="15"/>
        <v>0</v>
      </c>
      <c r="H62" s="110">
        <f t="shared" si="15"/>
        <v>0</v>
      </c>
      <c r="I62" s="110">
        <f t="shared" si="15"/>
        <v>0</v>
      </c>
      <c r="J62" s="110">
        <f>J61+((EXP(-(LN(2))/35))*I62)+(((1-(EXP(-(LN(2))/35)))/35)*I61)</f>
        <v>0</v>
      </c>
      <c r="K62" s="110">
        <f>K61+((EXP(-(LN(2))/35))*J62)+(((1-(EXP(-(LN(2))/35)))/35)*J61)</f>
        <v>0</v>
      </c>
      <c r="L62" s="110">
        <f t="shared" si="15"/>
        <v>0</v>
      </c>
      <c r="M62" s="110">
        <f>M61+((EXP(-(LN(2))/35))*L62)+(((1-(EXP(-(LN(2))/35)))/35)*L61)</f>
        <v>55.473215429531223</v>
      </c>
      <c r="N62" s="110">
        <f t="shared" ref="N62:AG62" si="16">N61+((EXP(-(LN(2))/35))*M62)+(((1-(EXP(-(LN(2))/35)))/35)*M61)</f>
        <v>54.416499393685783</v>
      </c>
      <c r="O62" s="110">
        <f t="shared" si="16"/>
        <v>53.349425031362919</v>
      </c>
      <c r="P62" s="110">
        <f t="shared" si="16"/>
        <v>52.303275346434113</v>
      </c>
      <c r="Q62" s="110">
        <f t="shared" si="16"/>
        <v>51.277640018738452</v>
      </c>
      <c r="R62" s="110">
        <f t="shared" si="16"/>
        <v>50.272116774243131</v>
      </c>
      <c r="S62" s="110">
        <f>S61+((EXP(-(LN(2))/35))*R62)+(((1-(EXP(-(LN(2))/35)))/35)*R61)</f>
        <v>49.286311227263738</v>
      </c>
      <c r="T62" s="110">
        <f t="shared" si="16"/>
        <v>48.3198367257786</v>
      </c>
      <c r="U62" s="110">
        <f t="shared" si="16"/>
        <v>47.372314199776348</v>
      </c>
      <c r="V62" s="110">
        <f t="shared" si="16"/>
        <v>46.443372012577328</v>
      </c>
      <c r="W62" s="110">
        <f t="shared" si="16"/>
        <v>139.83711204527359</v>
      </c>
      <c r="X62" s="110">
        <f t="shared" si="16"/>
        <v>137.14782737207449</v>
      </c>
      <c r="Y62" s="110">
        <f t="shared" si="16"/>
        <v>134.45844212922287</v>
      </c>
      <c r="Z62" s="110">
        <f t="shared" si="16"/>
        <v>131.82179409062056</v>
      </c>
      <c r="AA62" s="110">
        <f>AA61+((EXP(-(LN(2))/35))*Z62)+(((1-(EXP(-(LN(2))/35)))/35)*Z61)</f>
        <v>129.2368491118587</v>
      </c>
      <c r="AB62" s="110">
        <f t="shared" si="16"/>
        <v>126.70259332746963</v>
      </c>
      <c r="AC62" s="110">
        <f t="shared" si="16"/>
        <v>124.21803275326901</v>
      </c>
      <c r="AD62" s="110">
        <f t="shared" si="16"/>
        <v>121.78219289649617</v>
      </c>
      <c r="AE62" s="110">
        <f t="shared" si="16"/>
        <v>119.39411837359903</v>
      </c>
      <c r="AF62" s="110">
        <f t="shared" si="16"/>
        <v>117.05287253551427</v>
      </c>
      <c r="AG62" s="110">
        <f t="shared" si="16"/>
        <v>236.24387889096877</v>
      </c>
    </row>
    <row r="63" spans="1:33" s="60" customFormat="1" ht="48" customHeight="1">
      <c r="A63" s="65" t="s">
        <v>278</v>
      </c>
      <c r="B63" s="65" t="e">
        <f t="shared" si="7"/>
        <v>#REF!</v>
      </c>
      <c r="C63" s="110" t="e">
        <f>(1.52*(C61/0.475))-#REF!</f>
        <v>#REF!</v>
      </c>
      <c r="D63" s="110" t="e">
        <f>(1.52*(D61/0.475))-#REF!</f>
        <v>#REF!</v>
      </c>
      <c r="E63" s="110" t="e">
        <f>(1.52*(E61/0.475))-#REF!</f>
        <v>#REF!</v>
      </c>
      <c r="F63" s="110" t="e">
        <f>(1.52*(F61/0.475))-#REF!</f>
        <v>#REF!</v>
      </c>
      <c r="G63" s="110" t="e">
        <f>(1.52*(G61/0.475))-#REF!</f>
        <v>#REF!</v>
      </c>
      <c r="H63" s="110" t="e">
        <f>(1.52*(H61/0.475))-#REF!</f>
        <v>#REF!</v>
      </c>
      <c r="I63" s="110" t="e">
        <f>(1.52*(I61/0.475))-#REF!</f>
        <v>#REF!</v>
      </c>
      <c r="J63" s="110" t="e">
        <f>(1.52*(J61/0.475))-#REF!</f>
        <v>#REF!</v>
      </c>
      <c r="K63" s="110" t="e">
        <f>(1.52*(K61/0.475))-#REF!</f>
        <v>#REF!</v>
      </c>
      <c r="L63" s="110" t="e">
        <f>(1.52*(L61/0.475))-#REF!</f>
        <v>#REF!</v>
      </c>
      <c r="M63" s="110" t="e">
        <f>(1.52*(M61/0.475))-#REF!</f>
        <v>#REF!</v>
      </c>
      <c r="N63" s="110" t="e">
        <f>(1.52*(N61/0.475))-#REF!</f>
        <v>#REF!</v>
      </c>
      <c r="O63" s="110" t="e">
        <f>(1.52*(O61/0.475))-#REF!</f>
        <v>#REF!</v>
      </c>
      <c r="P63" s="110" t="e">
        <f>(1.52*(P61/0.475))-#REF!</f>
        <v>#REF!</v>
      </c>
      <c r="Q63" s="110" t="e">
        <f>(1.52*(Q61/0.475))-#REF!</f>
        <v>#REF!</v>
      </c>
      <c r="R63" s="110" t="e">
        <f>(1.52*(R61/0.475))-#REF!</f>
        <v>#REF!</v>
      </c>
      <c r="S63" s="110" t="e">
        <f>(1.52*(S61/0.475))-#REF!</f>
        <v>#REF!</v>
      </c>
      <c r="T63" s="110" t="e">
        <f>(1.52*(T61/0.475))-#REF!</f>
        <v>#REF!</v>
      </c>
      <c r="U63" s="110" t="e">
        <f>(1.52*(U61/0.475))-#REF!</f>
        <v>#REF!</v>
      </c>
      <c r="V63" s="110" t="e">
        <f>(1.52*(V61/0.475))-#REF!</f>
        <v>#REF!</v>
      </c>
      <c r="W63" s="110" t="e">
        <f>(1.52*(W61/0.475))-#REF!</f>
        <v>#REF!</v>
      </c>
      <c r="X63" s="110" t="e">
        <f>(1.52*(X61/0.475))-#REF!</f>
        <v>#REF!</v>
      </c>
      <c r="Y63" s="110" t="e">
        <f>(1.52*(Y61/0.475))-#REF!</f>
        <v>#REF!</v>
      </c>
      <c r="Z63" s="110" t="e">
        <f>(1.52*(Z61/0.475))-#REF!</f>
        <v>#REF!</v>
      </c>
      <c r="AA63" s="110" t="e">
        <f>(1.52*(AA61/0.475))-#REF!</f>
        <v>#REF!</v>
      </c>
      <c r="AB63" s="110" t="e">
        <f>(1.52*(AB61/0.475))-#REF!</f>
        <v>#REF!</v>
      </c>
      <c r="AC63" s="110" t="e">
        <f>(1.52*(AC61/0.475))-#REF!</f>
        <v>#REF!</v>
      </c>
      <c r="AD63" s="110" t="e">
        <f>(1.52*(AD61/0.475))-#REF!</f>
        <v>#REF!</v>
      </c>
      <c r="AE63" s="110" t="e">
        <f>(1.52*(AE61/0.475))-#REF!</f>
        <v>#REF!</v>
      </c>
      <c r="AF63" s="110" t="e">
        <f>(1.52*(AF61/0.475))-#REF!</f>
        <v>#REF!</v>
      </c>
      <c r="AG63" s="110" t="e">
        <f>(1.52*(AG61/0.475))-#REF!</f>
        <v>#REF!</v>
      </c>
    </row>
    <row r="64" spans="1:33" s="53" customFormat="1" ht="48" customHeight="1">
      <c r="A64" s="66" t="s">
        <v>268</v>
      </c>
      <c r="B64" s="66" t="e">
        <f>((SUM(B50,B54,B58,B62)*(44/12))-#REF!)</f>
        <v>#REF!</v>
      </c>
      <c r="C64" s="65" t="e">
        <f>((C62+C58+C54+C50)*(44/12))-#REF!</f>
        <v>#REF!</v>
      </c>
      <c r="D64" s="65" t="e">
        <f>((D62+D58+D54+D50)*(44/12))-#REF!</f>
        <v>#REF!</v>
      </c>
      <c r="E64" s="65" t="e">
        <f>((E62+E58+E54+E50)*(44/12))-#REF!</f>
        <v>#REF!</v>
      </c>
      <c r="F64" s="65" t="e">
        <f>((F62+F58+F54+F50)*(44/12))-#REF!</f>
        <v>#REF!</v>
      </c>
      <c r="G64" s="65" t="e">
        <f>((G62+G58+G54+G50)*(44/12))-#REF!</f>
        <v>#REF!</v>
      </c>
      <c r="H64" s="65" t="e">
        <f>((H62+H58+H54+H50)*(44/12))-#REF!</f>
        <v>#REF!</v>
      </c>
      <c r="I64" s="65" t="e">
        <f>((I62+I58+I54+I50)*(44/12))-#REF!</f>
        <v>#REF!</v>
      </c>
      <c r="J64" s="65" t="e">
        <f>((J62+J58+J54+J50)*(44/12))-#REF!</f>
        <v>#REF!</v>
      </c>
      <c r="K64" s="65" t="e">
        <f>((K62+K58+K54+K50)*(44/12))-#REF!</f>
        <v>#REF!</v>
      </c>
      <c r="L64" s="65" t="e">
        <f>((L62+L58+L54+L50)*(44/12))-#REF!</f>
        <v>#REF!</v>
      </c>
      <c r="M64" s="65" t="e">
        <f>((M62+M58+M54+M50)*(44/12))-#REF!</f>
        <v>#REF!</v>
      </c>
      <c r="N64" s="65" t="e">
        <f>((N62+N58+N54+N50)*(44/12))-#REF!</f>
        <v>#REF!</v>
      </c>
      <c r="O64" s="65" t="e">
        <f>((O62+O58+O54+O50)*(44/12))-#REF!</f>
        <v>#REF!</v>
      </c>
      <c r="P64" s="65" t="e">
        <f>((P62+P58+P54+P50)*(44/12))-#REF!</f>
        <v>#REF!</v>
      </c>
      <c r="Q64" s="65" t="e">
        <f>((Q62+Q58+Q54+Q50)*(44/12))-#REF!</f>
        <v>#REF!</v>
      </c>
      <c r="R64" s="65" t="e">
        <f>((R62+R58+R54+R50)*(44/12))-#REF!</f>
        <v>#REF!</v>
      </c>
      <c r="S64" s="65" t="e">
        <f>((S62+S58+S54+S50)*(44/12))-#REF!</f>
        <v>#REF!</v>
      </c>
      <c r="T64" s="65" t="e">
        <f>((T62+T58+T54+T50)*(44/12))-#REF!</f>
        <v>#REF!</v>
      </c>
      <c r="U64" s="65" t="e">
        <f>((U62+U58+U54+U50)*(44/12))-#REF!</f>
        <v>#REF!</v>
      </c>
      <c r="V64" s="65" t="e">
        <f>((V62+V58+V54+V50)*(44/12))-#REF!</f>
        <v>#REF!</v>
      </c>
      <c r="W64" s="65" t="e">
        <f>((W62+W58+W54+W50)*(44/12))-#REF!</f>
        <v>#REF!</v>
      </c>
      <c r="X64" s="65" t="e">
        <f>((X62+X58+X54+X50)*(44/12))-#REF!</f>
        <v>#REF!</v>
      </c>
      <c r="Y64" s="65" t="e">
        <f>((Y62+Y58+Y54+Y50)*(44/12))-#REF!</f>
        <v>#REF!</v>
      </c>
      <c r="Z64" s="65" t="e">
        <f>((Z62+Z58+Z54+Z50)*(44/12))-#REF!</f>
        <v>#REF!</v>
      </c>
      <c r="AA64" s="65" t="e">
        <f>((AA62+AA58+AA54+AA50)*(44/12))-#REF!</f>
        <v>#REF!</v>
      </c>
      <c r="AB64" s="65" t="e">
        <f>((AB62+AB58+AB54+AB50)*(44/12))-#REF!</f>
        <v>#REF!</v>
      </c>
      <c r="AC64" s="65" t="e">
        <f>((AC62+AC58+AC54+AC50)*(44/12))-#REF!</f>
        <v>#REF!</v>
      </c>
      <c r="AD64" s="65" t="e">
        <f>((AD62+AD58+AD54+AD50)*(44/12))-#REF!</f>
        <v>#REF!</v>
      </c>
      <c r="AE64" s="65" t="e">
        <f>((AE62+AE58+AE54+AE50)*(44/12))-#REF!</f>
        <v>#REF!</v>
      </c>
      <c r="AF64" s="65" t="e">
        <f>((AF62+AF58+AF54+AF50)*(44/12))-#REF!</f>
        <v>#REF!</v>
      </c>
      <c r="AG64" s="65" t="e">
        <f>((AG62+AG58+AG54+AG50)*(44/12))-#REF!</f>
        <v>#REF!</v>
      </c>
    </row>
    <row r="65" spans="1:33" s="84" customFormat="1" ht="48" customHeight="1">
      <c r="A65" s="66" t="s">
        <v>269</v>
      </c>
      <c r="B65" s="66" t="e">
        <f>(SUM(C65:AG65))</f>
        <v>#REF!</v>
      </c>
      <c r="C65" s="65" t="e">
        <f>(C63+C59+C55+C51)</f>
        <v>#REF!</v>
      </c>
      <c r="D65" s="65" t="e">
        <f t="shared" ref="D65:AG65" si="17">(D63+D59+D55+D51)</f>
        <v>#REF!</v>
      </c>
      <c r="E65" s="65" t="e">
        <f t="shared" si="17"/>
        <v>#REF!</v>
      </c>
      <c r="F65" s="65" t="e">
        <f t="shared" si="17"/>
        <v>#REF!</v>
      </c>
      <c r="G65" s="65" t="e">
        <f t="shared" si="17"/>
        <v>#REF!</v>
      </c>
      <c r="H65" s="65" t="e">
        <f t="shared" si="17"/>
        <v>#REF!</v>
      </c>
      <c r="I65" s="65" t="e">
        <f t="shared" si="17"/>
        <v>#REF!</v>
      </c>
      <c r="J65" s="65" t="e">
        <f t="shared" si="17"/>
        <v>#REF!</v>
      </c>
      <c r="K65" s="65" t="e">
        <f t="shared" si="17"/>
        <v>#REF!</v>
      </c>
      <c r="L65" s="65" t="e">
        <f t="shared" si="17"/>
        <v>#REF!</v>
      </c>
      <c r="M65" s="65" t="e">
        <f t="shared" si="17"/>
        <v>#REF!</v>
      </c>
      <c r="N65" s="65" t="e">
        <f t="shared" si="17"/>
        <v>#REF!</v>
      </c>
      <c r="O65" s="65" t="e">
        <f t="shared" si="17"/>
        <v>#REF!</v>
      </c>
      <c r="P65" s="65" t="e">
        <f t="shared" si="17"/>
        <v>#REF!</v>
      </c>
      <c r="Q65" s="65" t="e">
        <f t="shared" si="17"/>
        <v>#REF!</v>
      </c>
      <c r="R65" s="65" t="e">
        <f t="shared" si="17"/>
        <v>#REF!</v>
      </c>
      <c r="S65" s="65" t="e">
        <f t="shared" si="17"/>
        <v>#REF!</v>
      </c>
      <c r="T65" s="65" t="e">
        <f t="shared" si="17"/>
        <v>#REF!</v>
      </c>
      <c r="U65" s="65" t="e">
        <f t="shared" si="17"/>
        <v>#REF!</v>
      </c>
      <c r="V65" s="65" t="e">
        <f t="shared" si="17"/>
        <v>#REF!</v>
      </c>
      <c r="W65" s="65" t="e">
        <f t="shared" si="17"/>
        <v>#REF!</v>
      </c>
      <c r="X65" s="65" t="e">
        <f t="shared" si="17"/>
        <v>#REF!</v>
      </c>
      <c r="Y65" s="65" t="e">
        <f t="shared" si="17"/>
        <v>#REF!</v>
      </c>
      <c r="Z65" s="65" t="e">
        <f t="shared" si="17"/>
        <v>#REF!</v>
      </c>
      <c r="AA65" s="65" t="e">
        <f t="shared" si="17"/>
        <v>#REF!</v>
      </c>
      <c r="AB65" s="65" t="e">
        <f t="shared" si="17"/>
        <v>#REF!</v>
      </c>
      <c r="AC65" s="65" t="e">
        <f t="shared" si="17"/>
        <v>#REF!</v>
      </c>
      <c r="AD65" s="65" t="e">
        <f t="shared" si="17"/>
        <v>#REF!</v>
      </c>
      <c r="AE65" s="65" t="e">
        <f t="shared" si="17"/>
        <v>#REF!</v>
      </c>
      <c r="AF65" s="65" t="e">
        <f t="shared" si="17"/>
        <v>#REF!</v>
      </c>
      <c r="AG65" s="65" t="e">
        <f t="shared" si="17"/>
        <v>#REF!</v>
      </c>
    </row>
    <row r="66" spans="1:33" s="84" customFormat="1" ht="48" customHeight="1">
      <c r="A66" s="67" t="s">
        <v>346</v>
      </c>
      <c r="B66" s="90" t="e">
        <f>B45+B64</f>
        <v>#REF!</v>
      </c>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s="84" customFormat="1" ht="48" customHeight="1">
      <c r="A67" s="67" t="s">
        <v>347</v>
      </c>
      <c r="B67" s="90" t="e">
        <f>B65</f>
        <v>#REF!</v>
      </c>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8" spans="1:33" s="84" customFormat="1" ht="48" customHeight="1">
      <c r="A68" s="115" t="s">
        <v>345</v>
      </c>
      <c r="B68" s="88" t="e">
        <f>SUM(B45,B64,B65)</f>
        <v>#REF!</v>
      </c>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row>
    <row r="69" spans="1:33" s="84" customFormat="1" ht="48" customHeight="1">
      <c r="A69" s="104"/>
      <c r="B69" s="105"/>
      <c r="Y69" s="68"/>
    </row>
    <row r="70" spans="1:33" s="84" customFormat="1" ht="78" customHeight="1">
      <c r="A70" s="101" t="s">
        <v>280</v>
      </c>
      <c r="B70" s="257" t="str">
        <f>IF(SUM(C61:AG61,C57:AG57,C53:AG53,C49:AG49)=SUM(C47:AG47),"OK","Revoir les taux de prélèvement des produits bois")</f>
        <v>OK</v>
      </c>
      <c r="C70" s="257"/>
      <c r="D70" s="91"/>
      <c r="G70" s="69"/>
      <c r="H70" s="69"/>
      <c r="I70" s="69"/>
      <c r="J70" s="69"/>
      <c r="K70" s="69"/>
    </row>
    <row r="71" spans="1:33" s="84" customFormat="1" ht="48" customHeight="1">
      <c r="G71" s="69"/>
      <c r="J71" s="69"/>
    </row>
    <row r="72" spans="1:33" s="84" customFormat="1" ht="48" customHeight="1">
      <c r="A72" s="221" t="s">
        <v>95</v>
      </c>
      <c r="B72" s="221"/>
      <c r="C72" s="221"/>
      <c r="G72" s="69"/>
      <c r="J72" s="69"/>
    </row>
    <row r="73" spans="1:33" s="84" customFormat="1" ht="48" customHeight="1">
      <c r="A73" s="93" t="s">
        <v>336</v>
      </c>
      <c r="B73" s="81" t="s">
        <v>337</v>
      </c>
      <c r="C73" s="86">
        <f>IF(B73=COEFFICIENTS!A88,0.05,0)</f>
        <v>0</v>
      </c>
      <c r="G73" s="69"/>
      <c r="J73" s="69"/>
    </row>
    <row r="74" spans="1:33" s="84" customFormat="1" ht="48" customHeight="1">
      <c r="A74" s="93" t="s">
        <v>334</v>
      </c>
      <c r="B74" s="81" t="s">
        <v>326</v>
      </c>
      <c r="C74" s="86">
        <v>0.1</v>
      </c>
    </row>
    <row r="75" spans="1:33" s="84" customFormat="1" ht="48" customHeight="1">
      <c r="A75" s="93" t="s">
        <v>335</v>
      </c>
      <c r="B75" s="81" t="s">
        <v>328</v>
      </c>
      <c r="C75" s="73">
        <v>0</v>
      </c>
    </row>
    <row r="76" spans="1:33" s="84" customFormat="1" ht="48" customHeight="1">
      <c r="A76" s="93" t="s">
        <v>339</v>
      </c>
      <c r="B76" s="81" t="s">
        <v>340</v>
      </c>
      <c r="C76" s="86">
        <f>IF(B76=COEFFICIENTS!A91,0.1,0)</f>
        <v>0</v>
      </c>
    </row>
    <row r="77" spans="1:33" s="84" customFormat="1" ht="48" customHeight="1">
      <c r="A77" s="93" t="s">
        <v>342</v>
      </c>
      <c r="B77" s="81" t="s">
        <v>340</v>
      </c>
      <c r="C77" s="73">
        <v>0.1</v>
      </c>
    </row>
    <row r="78" spans="1:33" s="84" customFormat="1" ht="48" customHeight="1">
      <c r="A78" s="228" t="s">
        <v>343</v>
      </c>
      <c r="B78" s="228"/>
      <c r="C78" s="89">
        <f>SUM(C73:C77)</f>
        <v>0.2</v>
      </c>
    </row>
    <row r="79" spans="1:33" s="84" customFormat="1" ht="48" customHeight="1">
      <c r="A79" s="216" t="s">
        <v>344</v>
      </c>
      <c r="B79" s="216"/>
      <c r="C79" s="88" t="e">
        <f>(1-C78)*B68</f>
        <v>#REF!</v>
      </c>
    </row>
    <row r="80" spans="1:33" s="84" customFormat="1" ht="48" customHeight="1"/>
    <row r="81" s="84" customFormat="1" ht="48" customHeight="1"/>
    <row r="82" s="84" customFormat="1" ht="48" customHeight="1"/>
    <row r="83" s="84" customFormat="1" ht="48" customHeight="1"/>
    <row r="84" s="84" customFormat="1" ht="48" customHeight="1"/>
    <row r="85" s="84" customFormat="1" ht="48" customHeight="1"/>
    <row r="86" s="84" customFormat="1" ht="48" customHeight="1"/>
    <row r="87" s="84" customFormat="1" ht="48" customHeight="1"/>
    <row r="88" s="84" customFormat="1" ht="48" customHeight="1"/>
    <row r="89" s="84" customFormat="1" ht="48" customHeight="1"/>
    <row r="90" s="84" customFormat="1" ht="48" customHeight="1"/>
    <row r="91" s="84" customFormat="1" ht="48" customHeight="1"/>
    <row r="92" s="84" customFormat="1" ht="48" customHeight="1"/>
    <row r="93" s="84" customFormat="1" ht="48" customHeight="1"/>
    <row r="94" s="84" customFormat="1" ht="48" customHeight="1"/>
    <row r="95" s="84" customFormat="1" ht="48" customHeight="1"/>
    <row r="96" s="84" customFormat="1" ht="48" customHeight="1"/>
    <row r="97" s="84" customFormat="1" ht="48" customHeight="1"/>
    <row r="98" s="84" customFormat="1" ht="48" customHeight="1"/>
    <row r="99" s="84" customFormat="1" ht="48" customHeight="1"/>
    <row r="100" s="84" customFormat="1" ht="48" customHeight="1"/>
    <row r="101" s="84" customFormat="1" ht="48" customHeight="1"/>
    <row r="102" s="84" customFormat="1" ht="48" customHeight="1"/>
    <row r="103" s="84" customFormat="1" ht="48" customHeight="1"/>
    <row r="104" s="84" customFormat="1" ht="48" customHeight="1"/>
    <row r="105" s="84" customFormat="1" ht="48" customHeight="1"/>
    <row r="106" s="84" customFormat="1" ht="48" customHeight="1"/>
    <row r="107" s="84" customFormat="1" ht="48" customHeight="1"/>
    <row r="108" s="84" customFormat="1" ht="48" customHeight="1"/>
  </sheetData>
  <mergeCells count="104">
    <mergeCell ref="A14:B14"/>
    <mergeCell ref="D14:G14"/>
    <mergeCell ref="A15:B15"/>
    <mergeCell ref="D15:G15"/>
    <mergeCell ref="B31:D31"/>
    <mergeCell ref="B32:D32"/>
    <mergeCell ref="B33:D33"/>
    <mergeCell ref="A16:B16"/>
    <mergeCell ref="D16:G16"/>
    <mergeCell ref="A17:B17"/>
    <mergeCell ref="D17:G17"/>
    <mergeCell ref="B19:C19"/>
    <mergeCell ref="B20:C20"/>
    <mergeCell ref="B21:C21"/>
    <mergeCell ref="J1:U1"/>
    <mergeCell ref="K2:L2"/>
    <mergeCell ref="M2:N2"/>
    <mergeCell ref="O2:S2"/>
    <mergeCell ref="K3:L3"/>
    <mergeCell ref="M3:N3"/>
    <mergeCell ref="O3:S3"/>
    <mergeCell ref="A1:G1"/>
    <mergeCell ref="A13:B13"/>
    <mergeCell ref="K6:L6"/>
    <mergeCell ref="M6:N6"/>
    <mergeCell ref="O6:S6"/>
    <mergeCell ref="K7:L7"/>
    <mergeCell ref="M7:N7"/>
    <mergeCell ref="O7:S7"/>
    <mergeCell ref="K4:L4"/>
    <mergeCell ref="M4:N4"/>
    <mergeCell ref="O4:S4"/>
    <mergeCell ref="K5:L5"/>
    <mergeCell ref="M5:N5"/>
    <mergeCell ref="O5:S5"/>
    <mergeCell ref="K10:L10"/>
    <mergeCell ref="M10:N10"/>
    <mergeCell ref="O10:S10"/>
    <mergeCell ref="K11:L11"/>
    <mergeCell ref="M11:N11"/>
    <mergeCell ref="O11:S11"/>
    <mergeCell ref="K8:L8"/>
    <mergeCell ref="M8:N8"/>
    <mergeCell ref="O8:S8"/>
    <mergeCell ref="K9:L9"/>
    <mergeCell ref="M9:N9"/>
    <mergeCell ref="O9:S9"/>
    <mergeCell ref="S23:T23"/>
    <mergeCell ref="L25:T25"/>
    <mergeCell ref="P27:S27"/>
    <mergeCell ref="P28:S28"/>
    <mergeCell ref="P29:S29"/>
    <mergeCell ref="K21:L21"/>
    <mergeCell ref="M21:N21"/>
    <mergeCell ref="O21:S21"/>
    <mergeCell ref="K20:L20"/>
    <mergeCell ref="M20:N20"/>
    <mergeCell ref="O20:S20"/>
    <mergeCell ref="K22:L22"/>
    <mergeCell ref="M22:N22"/>
    <mergeCell ref="O22:S22"/>
    <mergeCell ref="A79:B79"/>
    <mergeCell ref="L26:N29"/>
    <mergeCell ref="O26:O29"/>
    <mergeCell ref="P26:S26"/>
    <mergeCell ref="J26:K29"/>
    <mergeCell ref="P34:S34"/>
    <mergeCell ref="B30:D30"/>
    <mergeCell ref="L34:N34"/>
    <mergeCell ref="A36:B36"/>
    <mergeCell ref="B70:C70"/>
    <mergeCell ref="A72:C72"/>
    <mergeCell ref="A78:B78"/>
    <mergeCell ref="J30:K33"/>
    <mergeCell ref="L30:N33"/>
    <mergeCell ref="O30:O33"/>
    <mergeCell ref="P30:S30"/>
    <mergeCell ref="P31:S31"/>
    <mergeCell ref="P32:S32"/>
    <mergeCell ref="P33:S33"/>
    <mergeCell ref="O19:S19"/>
    <mergeCell ref="O18:S18"/>
    <mergeCell ref="M19:N19"/>
    <mergeCell ref="M18:N18"/>
    <mergeCell ref="K19:L19"/>
    <mergeCell ref="K18:L18"/>
    <mergeCell ref="M12:N12"/>
    <mergeCell ref="O12:S12"/>
    <mergeCell ref="K12:L12"/>
    <mergeCell ref="K17:L17"/>
    <mergeCell ref="K16:L16"/>
    <mergeCell ref="O17:S17"/>
    <mergeCell ref="O16:S16"/>
    <mergeCell ref="M17:N17"/>
    <mergeCell ref="M16:N16"/>
    <mergeCell ref="K13:L13"/>
    <mergeCell ref="M13:N13"/>
    <mergeCell ref="O13:S13"/>
    <mergeCell ref="K14:L14"/>
    <mergeCell ref="M14:N14"/>
    <mergeCell ref="O14:S14"/>
    <mergeCell ref="K15:L15"/>
    <mergeCell ref="M15:N15"/>
    <mergeCell ref="O15:S15"/>
  </mergeCells>
  <conditionalFormatting sqref="B70">
    <cfRule type="containsText" dxfId="5" priority="3" operator="containsText" text="Revoir les taux de prélèvement des produits bois">
      <formula>NOT(ISERROR(SEARCH("Revoir les taux de prélèvement des produits bois",B70)))</formula>
    </cfRule>
    <cfRule type="containsText" dxfId="4" priority="4" operator="containsText" text="OK">
      <formula>NOT(ISERROR(SEARCH("OK",B70)))</formula>
    </cfRule>
  </conditionalFormatting>
  <conditionalFormatting sqref="P34:S34">
    <cfRule type="containsText" dxfId="3" priority="1" operator="containsText" text="Projet non additionnel">
      <formula>NOT(ISERROR(SEARCH("Projet non additionnel",P34)))</formula>
    </cfRule>
    <cfRule type="containsText" dxfId="2" priority="2" operator="containsText" text="Additionnalité du projet confirmée">
      <formula>NOT(ISERROR(SEARCH("Additionnalité du projet confirmée",P34)))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77AF8A45-7379-4B47-904A-FB575EA8DF08}">
          <x14:formula1>
            <xm:f>COEFFICIENTS!$A$90:$A$91</xm:f>
          </x14:formula1>
          <xm:sqref>B76:B77</xm:sqref>
        </x14:dataValidation>
        <x14:dataValidation type="list" allowBlank="1" showInputMessage="1" showErrorMessage="1" xr:uid="{7A56C6D5-36BD-D44B-8968-670BA69B0A8C}">
          <x14:formula1>
            <xm:f>COEFFICIENTS!$A$87:$A$88</xm:f>
          </x14:formula1>
          <xm:sqref>B73</xm:sqref>
        </x14:dataValidation>
        <x14:dataValidation type="list" allowBlank="1" showInputMessage="1" showErrorMessage="1" xr:uid="{C3CC70C5-6B13-4A4F-8FD8-C07D8AECCA69}">
          <x14:formula1>
            <xm:f>COEFFICIENTS!$A$84:$A$85</xm:f>
          </x14:formula1>
          <xm:sqref>B75 T3:T22</xm:sqref>
        </x14:dataValidation>
        <x14:dataValidation type="list" allowBlank="1" showInputMessage="1" showErrorMessage="1" xr:uid="{9A66C16D-AF44-F84B-9854-17CB1F3F0501}">
          <x14:formula1>
            <xm:f>COEFFICIENTS!$A$93:$A$94</xm:f>
          </x14:formula1>
          <xm:sqref>B21:C21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852D-5BDC-FF49-B798-EA028EB96FCF}">
  <dimension ref="A1:AP154"/>
  <sheetViews>
    <sheetView zoomScale="90" zoomScaleNormal="89" workbookViewId="0">
      <selection activeCell="A44" sqref="A44:A46"/>
    </sheetView>
  </sheetViews>
  <sheetFormatPr baseColWidth="10" defaultRowHeight="36" customHeight="1"/>
  <cols>
    <col min="1" max="1" width="15.33203125" style="155" bestFit="1" customWidth="1"/>
    <col min="2" max="2" width="17.33203125" style="155" customWidth="1"/>
    <col min="3" max="3" width="10.1640625" style="155" customWidth="1"/>
    <col min="4" max="15" width="10.83203125" style="155"/>
    <col min="16" max="16" width="14" style="155" bestFit="1" customWidth="1"/>
    <col min="17" max="17" width="10.83203125" style="155"/>
    <col min="18" max="18" width="14.1640625" style="155" bestFit="1" customWidth="1"/>
    <col min="19" max="19" width="10.83203125" style="155"/>
    <col min="20" max="20" width="12.33203125" style="155" bestFit="1" customWidth="1"/>
    <col min="21" max="24" width="10.83203125" style="155"/>
    <col min="25" max="25" width="14" style="155" customWidth="1"/>
    <col min="26" max="27" width="10.83203125" style="155"/>
    <col min="28" max="28" width="13" style="155" customWidth="1"/>
    <col min="29" max="29" width="16.33203125" style="155" customWidth="1"/>
    <col min="30" max="31" width="10.83203125" style="155"/>
    <col min="32" max="32" width="13.6640625" style="155" bestFit="1" customWidth="1"/>
    <col min="33" max="33" width="14.6640625" style="155" customWidth="1"/>
    <col min="34" max="35" width="10.83203125" style="155"/>
    <col min="36" max="36" width="13.6640625" style="155" customWidth="1"/>
    <col min="37" max="37" width="17.83203125" style="155" customWidth="1"/>
    <col min="38" max="16384" width="10.83203125" style="155"/>
  </cols>
  <sheetData>
    <row r="1" spans="1:42" ht="36" customHeight="1">
      <c r="A1" s="264" t="s">
        <v>393</v>
      </c>
      <c r="B1" s="264"/>
      <c r="C1" s="264"/>
      <c r="D1" s="264"/>
      <c r="E1" s="264"/>
      <c r="F1" s="264"/>
      <c r="G1" s="264"/>
      <c r="H1" s="264"/>
      <c r="I1" s="264"/>
      <c r="J1" s="264"/>
      <c r="K1" s="264"/>
      <c r="L1" s="264"/>
      <c r="M1" s="264"/>
      <c r="N1" s="264"/>
      <c r="O1" s="264"/>
      <c r="P1" s="264"/>
      <c r="Q1" s="264"/>
      <c r="R1" s="264"/>
      <c r="S1" s="264"/>
      <c r="T1" s="264"/>
      <c r="U1" s="264"/>
      <c r="V1" s="264"/>
      <c r="W1" s="264"/>
      <c r="X1" s="176"/>
      <c r="Y1" s="176"/>
      <c r="Z1" s="176"/>
      <c r="AA1" s="176"/>
      <c r="AB1" s="176"/>
      <c r="AC1" s="176"/>
      <c r="AD1" s="176"/>
      <c r="AE1" s="176"/>
      <c r="AF1" s="176"/>
      <c r="AG1" s="176"/>
      <c r="AH1" s="176"/>
      <c r="AI1" s="176"/>
      <c r="AJ1" s="176"/>
      <c r="AK1" s="176"/>
      <c r="AL1" s="176"/>
      <c r="AM1" s="176"/>
      <c r="AN1" s="176"/>
      <c r="AO1" s="176"/>
      <c r="AP1" s="176"/>
    </row>
    <row r="2" spans="1:42" ht="36" customHeight="1">
      <c r="A2" s="134"/>
      <c r="B2" s="134"/>
      <c r="C2" s="134"/>
      <c r="D2" s="134"/>
      <c r="E2" s="134"/>
      <c r="F2" s="134"/>
      <c r="G2" s="134"/>
      <c r="H2" s="134"/>
      <c r="I2" s="134"/>
      <c r="J2" s="134"/>
      <c r="K2" s="134"/>
      <c r="L2" s="134"/>
      <c r="M2" s="134"/>
      <c r="N2" s="134"/>
      <c r="O2" s="134"/>
      <c r="P2" s="134"/>
      <c r="Q2" s="134"/>
      <c r="R2" s="134"/>
      <c r="S2" s="134"/>
      <c r="T2" s="134"/>
      <c r="U2" s="134"/>
      <c r="V2" s="134"/>
      <c r="W2" s="134"/>
      <c r="X2" s="134"/>
    </row>
    <row r="3" spans="1:42" ht="36" customHeight="1">
      <c r="A3" s="134"/>
      <c r="B3" s="260" t="s">
        <v>392</v>
      </c>
      <c r="C3" s="260"/>
      <c r="D3" s="137">
        <v>5</v>
      </c>
      <c r="E3" s="137">
        <v>10</v>
      </c>
      <c r="F3" s="137">
        <v>15</v>
      </c>
      <c r="G3" s="137">
        <v>20</v>
      </c>
      <c r="H3" s="137">
        <v>25</v>
      </c>
      <c r="I3" s="137">
        <v>30</v>
      </c>
      <c r="J3" s="137">
        <v>35</v>
      </c>
      <c r="K3" s="137">
        <v>40</v>
      </c>
      <c r="L3" s="137">
        <v>45</v>
      </c>
      <c r="M3" s="137">
        <v>50</v>
      </c>
      <c r="N3" s="137">
        <v>55</v>
      </c>
      <c r="O3" s="179">
        <v>60</v>
      </c>
      <c r="P3" s="134"/>
      <c r="AG3" s="263" t="s">
        <v>394</v>
      </c>
      <c r="AH3" s="263"/>
      <c r="AI3" s="135">
        <f>BOISEMENT!C19</f>
        <v>13.57</v>
      </c>
      <c r="AJ3" s="154"/>
      <c r="AK3" s="154"/>
      <c r="AL3" s="134"/>
      <c r="AM3" s="134"/>
      <c r="AN3" s="134"/>
      <c r="AO3" s="134"/>
    </row>
    <row r="4" spans="1:42" ht="36" customHeight="1">
      <c r="A4" s="260" t="s">
        <v>397</v>
      </c>
      <c r="B4" s="137" t="s">
        <v>398</v>
      </c>
      <c r="C4" s="137">
        <v>1</v>
      </c>
      <c r="D4" s="138">
        <v>5.5</v>
      </c>
      <c r="E4" s="138">
        <v>10</v>
      </c>
      <c r="F4" s="138">
        <v>14.5</v>
      </c>
      <c r="G4" s="138">
        <v>18.5</v>
      </c>
      <c r="H4" s="138">
        <v>22</v>
      </c>
      <c r="I4" s="138">
        <v>25</v>
      </c>
      <c r="J4" s="138">
        <v>26.5</v>
      </c>
      <c r="K4" s="138">
        <v>28</v>
      </c>
      <c r="L4" s="138">
        <v>28.5</v>
      </c>
      <c r="M4" s="138">
        <v>29</v>
      </c>
      <c r="N4" s="138">
        <v>29.5</v>
      </c>
      <c r="O4" s="184">
        <v>30</v>
      </c>
      <c r="P4" s="134"/>
      <c r="AG4" s="263" t="s">
        <v>395</v>
      </c>
      <c r="AH4" s="263"/>
      <c r="AI4" s="135">
        <f>BOISEMENT!C21</f>
        <v>15400</v>
      </c>
      <c r="AJ4" s="154"/>
      <c r="AK4" s="154"/>
      <c r="AL4" s="134"/>
      <c r="AM4" s="134"/>
      <c r="AN4" s="134"/>
      <c r="AO4" s="134"/>
    </row>
    <row r="5" spans="1:42" ht="36" customHeight="1">
      <c r="A5" s="260"/>
      <c r="B5" s="137" t="s">
        <v>398</v>
      </c>
      <c r="C5" s="137">
        <v>2</v>
      </c>
      <c r="D5" s="138">
        <v>5</v>
      </c>
      <c r="E5" s="138">
        <v>9</v>
      </c>
      <c r="F5" s="138">
        <v>12.5</v>
      </c>
      <c r="G5" s="138">
        <v>16.5</v>
      </c>
      <c r="H5" s="138">
        <v>19.5</v>
      </c>
      <c r="I5" s="138">
        <v>22.5</v>
      </c>
      <c r="J5" s="138">
        <v>24</v>
      </c>
      <c r="K5" s="138">
        <v>25</v>
      </c>
      <c r="L5" s="138">
        <v>25.5</v>
      </c>
      <c r="M5" s="138">
        <v>26</v>
      </c>
      <c r="N5" s="138">
        <v>26.5</v>
      </c>
      <c r="O5" s="184">
        <v>27</v>
      </c>
      <c r="P5" s="134"/>
      <c r="AG5" s="263" t="s">
        <v>396</v>
      </c>
      <c r="AH5" s="263"/>
      <c r="AI5" s="135">
        <f>BOISEMENT!C5</f>
        <v>800</v>
      </c>
      <c r="AJ5" s="134"/>
      <c r="AK5" s="134"/>
      <c r="AL5" s="134"/>
      <c r="AM5" s="134"/>
      <c r="AN5" s="134"/>
      <c r="AO5" s="134"/>
    </row>
    <row r="6" spans="1:42" ht="36" customHeight="1">
      <c r="A6" s="260"/>
      <c r="B6" s="137" t="s">
        <v>398</v>
      </c>
      <c r="C6" s="137">
        <v>3</v>
      </c>
      <c r="D6" s="138">
        <v>4.5</v>
      </c>
      <c r="E6" s="138">
        <v>8</v>
      </c>
      <c r="F6" s="138">
        <v>11.5</v>
      </c>
      <c r="G6" s="138">
        <v>15</v>
      </c>
      <c r="H6" s="138">
        <v>17</v>
      </c>
      <c r="I6" s="138">
        <v>20</v>
      </c>
      <c r="J6" s="138">
        <v>21.5</v>
      </c>
      <c r="K6" s="138">
        <v>22.5</v>
      </c>
      <c r="L6" s="138">
        <v>23</v>
      </c>
      <c r="M6" s="138">
        <v>23.5</v>
      </c>
      <c r="N6" s="138">
        <v>23.75</v>
      </c>
      <c r="O6" s="184">
        <v>24</v>
      </c>
      <c r="P6" s="134"/>
      <c r="AG6" s="263" t="s">
        <v>398</v>
      </c>
      <c r="AH6" s="263"/>
      <c r="AI6" s="163">
        <f>BOISEMENT!E5</f>
        <v>2</v>
      </c>
      <c r="AJ6" s="134"/>
      <c r="AK6" s="134"/>
      <c r="AL6" s="134"/>
      <c r="AM6" s="134"/>
      <c r="AN6" s="134"/>
      <c r="AO6" s="134"/>
    </row>
    <row r="7" spans="1:42" ht="36" customHeight="1">
      <c r="A7" s="260"/>
      <c r="B7" s="137" t="s">
        <v>398</v>
      </c>
      <c r="C7" s="137">
        <v>4</v>
      </c>
      <c r="D7" s="138">
        <v>3.75</v>
      </c>
      <c r="E7" s="138">
        <v>7</v>
      </c>
      <c r="F7" s="138">
        <v>10</v>
      </c>
      <c r="G7" s="138">
        <v>13</v>
      </c>
      <c r="H7" s="138">
        <v>15</v>
      </c>
      <c r="I7" s="138">
        <v>17.5</v>
      </c>
      <c r="J7" s="138">
        <v>19</v>
      </c>
      <c r="K7" s="138">
        <v>19.5</v>
      </c>
      <c r="L7" s="138">
        <v>20</v>
      </c>
      <c r="M7" s="138">
        <v>20.5</v>
      </c>
      <c r="N7" s="138">
        <v>20.75</v>
      </c>
      <c r="O7" s="184">
        <v>21</v>
      </c>
      <c r="P7" s="134"/>
      <c r="AG7" s="134"/>
      <c r="AH7" s="134"/>
      <c r="AI7" s="134"/>
      <c r="AJ7" s="134"/>
      <c r="AK7" s="134"/>
      <c r="AL7" s="134"/>
      <c r="AM7" s="134"/>
      <c r="AN7" s="134"/>
      <c r="AO7" s="134"/>
    </row>
    <row r="8" spans="1:42" ht="36" customHeight="1">
      <c r="A8" s="260"/>
      <c r="B8" s="137" t="s">
        <v>398</v>
      </c>
      <c r="C8" s="137">
        <v>5</v>
      </c>
      <c r="D8" s="138">
        <v>3</v>
      </c>
      <c r="E8" s="138">
        <v>6</v>
      </c>
      <c r="F8" s="138">
        <v>8.5</v>
      </c>
      <c r="G8" s="138">
        <v>11</v>
      </c>
      <c r="H8" s="138">
        <v>13.5</v>
      </c>
      <c r="I8" s="138">
        <v>15</v>
      </c>
      <c r="J8" s="138">
        <v>16</v>
      </c>
      <c r="K8" s="138">
        <v>16.5</v>
      </c>
      <c r="L8" s="138">
        <v>17</v>
      </c>
      <c r="M8" s="138">
        <v>17.5</v>
      </c>
      <c r="N8" s="138">
        <v>17.75</v>
      </c>
      <c r="O8" s="184">
        <v>18</v>
      </c>
      <c r="P8" s="134"/>
      <c r="AG8" s="261" t="s">
        <v>399</v>
      </c>
      <c r="AH8" s="261"/>
      <c r="AI8" s="261"/>
      <c r="AJ8" s="134"/>
      <c r="AK8" s="134"/>
      <c r="AL8" s="134"/>
      <c r="AM8" s="134"/>
      <c r="AN8" s="134"/>
      <c r="AO8" s="134"/>
    </row>
    <row r="9" spans="1:42" ht="36" customHeight="1">
      <c r="A9" s="260"/>
      <c r="B9" s="137" t="s">
        <v>398</v>
      </c>
      <c r="C9" s="137">
        <v>6</v>
      </c>
      <c r="D9" s="138">
        <v>2.5</v>
      </c>
      <c r="E9" s="138">
        <v>5</v>
      </c>
      <c r="F9" s="138">
        <v>7</v>
      </c>
      <c r="G9" s="138">
        <v>9.5</v>
      </c>
      <c r="H9" s="138">
        <v>11</v>
      </c>
      <c r="I9" s="138">
        <v>12.5</v>
      </c>
      <c r="J9" s="138">
        <v>13.5</v>
      </c>
      <c r="K9" s="138">
        <v>14</v>
      </c>
      <c r="L9" s="138">
        <v>14.5</v>
      </c>
      <c r="M9" s="138">
        <v>14.75</v>
      </c>
      <c r="N9" s="138">
        <v>14.87</v>
      </c>
      <c r="O9" s="184">
        <v>15</v>
      </c>
      <c r="P9" s="134"/>
      <c r="AG9" s="262" t="s">
        <v>400</v>
      </c>
      <c r="AH9" s="262"/>
      <c r="AI9" s="139">
        <v>0.49299999999999999</v>
      </c>
      <c r="AJ9" s="134"/>
      <c r="AK9" s="134"/>
      <c r="AL9" s="134"/>
      <c r="AM9" s="134"/>
      <c r="AN9" s="134"/>
      <c r="AO9" s="134"/>
    </row>
    <row r="10" spans="1:42" ht="36" customHeight="1">
      <c r="A10" s="140" t="s">
        <v>403</v>
      </c>
      <c r="B10" s="265" t="s">
        <v>404</v>
      </c>
      <c r="C10" s="265"/>
      <c r="D10" s="141">
        <v>3.25</v>
      </c>
      <c r="E10" s="141">
        <v>4</v>
      </c>
      <c r="F10" s="141">
        <v>3.75</v>
      </c>
      <c r="G10" s="141">
        <v>3.1</v>
      </c>
      <c r="H10" s="141">
        <v>2.75</v>
      </c>
      <c r="I10" s="141">
        <v>2.5</v>
      </c>
      <c r="J10" s="141">
        <v>2</v>
      </c>
      <c r="K10" s="141">
        <v>1.85</v>
      </c>
      <c r="L10" s="141">
        <v>1.8</v>
      </c>
      <c r="M10" s="141">
        <v>1.65</v>
      </c>
      <c r="N10" s="141">
        <v>1.55</v>
      </c>
      <c r="O10" s="141">
        <v>1.5</v>
      </c>
      <c r="P10" s="134"/>
      <c r="AG10" s="262" t="s">
        <v>401</v>
      </c>
      <c r="AH10" s="262"/>
      <c r="AI10" s="139">
        <v>0.66100000000000003</v>
      </c>
      <c r="AJ10" s="134"/>
      <c r="AK10" s="134"/>
      <c r="AL10" s="134"/>
      <c r="AM10" s="134"/>
      <c r="AN10" s="134"/>
      <c r="AO10" s="134"/>
    </row>
    <row r="11" spans="1:42" ht="36" customHeight="1">
      <c r="A11" s="140" t="s">
        <v>406</v>
      </c>
      <c r="B11" s="265" t="s">
        <v>404</v>
      </c>
      <c r="C11" s="265"/>
      <c r="D11" s="141">
        <f>5*D10*2</f>
        <v>32.5</v>
      </c>
      <c r="E11" s="141">
        <f>D11+(5*D10*2)</f>
        <v>65</v>
      </c>
      <c r="F11" s="141">
        <f t="shared" ref="F11:O11" si="0">E11+(5*E10*2)</f>
        <v>105</v>
      </c>
      <c r="G11" s="141">
        <f t="shared" si="0"/>
        <v>142.5</v>
      </c>
      <c r="H11" s="141">
        <f t="shared" si="0"/>
        <v>173.5</v>
      </c>
      <c r="I11" s="141">
        <f t="shared" si="0"/>
        <v>201</v>
      </c>
      <c r="J11" s="141">
        <f t="shared" si="0"/>
        <v>226</v>
      </c>
      <c r="K11" s="141">
        <f t="shared" si="0"/>
        <v>246</v>
      </c>
      <c r="L11" s="141">
        <f t="shared" si="0"/>
        <v>264.5</v>
      </c>
      <c r="M11" s="141">
        <f t="shared" si="0"/>
        <v>282.5</v>
      </c>
      <c r="N11" s="141">
        <f t="shared" si="0"/>
        <v>299</v>
      </c>
      <c r="O11" s="141">
        <f t="shared" si="0"/>
        <v>314.5</v>
      </c>
      <c r="P11" s="134"/>
      <c r="AG11" s="262" t="s">
        <v>402</v>
      </c>
      <c r="AH11" s="262"/>
      <c r="AI11" s="139">
        <v>-2E-3</v>
      </c>
      <c r="AJ11" s="134"/>
      <c r="AK11" s="134"/>
      <c r="AL11" s="134"/>
      <c r="AM11" s="134"/>
      <c r="AN11" s="134"/>
      <c r="AO11" s="134"/>
    </row>
    <row r="12" spans="1:42" ht="36" customHeight="1">
      <c r="A12" s="140" t="s">
        <v>407</v>
      </c>
      <c r="B12" s="265" t="s">
        <v>404</v>
      </c>
      <c r="C12" s="265"/>
      <c r="D12" s="142">
        <f>(PI()*D11)/10</f>
        <v>10.210176124166827</v>
      </c>
      <c r="E12" s="142">
        <f t="shared" ref="E12:O12" si="1">(PI()*E11)/10</f>
        <v>20.420352248333653</v>
      </c>
      <c r="F12" s="142">
        <f t="shared" si="1"/>
        <v>32.986722862692829</v>
      </c>
      <c r="G12" s="142">
        <f t="shared" si="1"/>
        <v>44.767695313654556</v>
      </c>
      <c r="H12" s="142">
        <f t="shared" si="1"/>
        <v>54.506632539782913</v>
      </c>
      <c r="I12" s="142">
        <f t="shared" si="1"/>
        <v>63.146012337154843</v>
      </c>
      <c r="J12" s="142">
        <f t="shared" si="1"/>
        <v>70.999993971129328</v>
      </c>
      <c r="K12" s="142">
        <f t="shared" si="1"/>
        <v>77.283179278308907</v>
      </c>
      <c r="L12" s="142">
        <f t="shared" si="1"/>
        <v>83.095125687450022</v>
      </c>
      <c r="M12" s="142">
        <f t="shared" si="1"/>
        <v>88.749992463911653</v>
      </c>
      <c r="N12" s="142">
        <f t="shared" si="1"/>
        <v>93.933620342334819</v>
      </c>
      <c r="O12" s="142">
        <f t="shared" si="1"/>
        <v>98.803088955398991</v>
      </c>
      <c r="P12" s="134"/>
      <c r="AG12" s="262" t="s">
        <v>405</v>
      </c>
      <c r="AH12" s="262"/>
      <c r="AI12" s="139">
        <v>0.47199999999999998</v>
      </c>
      <c r="AJ12" s="134"/>
      <c r="AK12" s="134"/>
      <c r="AL12" s="134"/>
      <c r="AM12" s="134"/>
      <c r="AN12" s="134"/>
      <c r="AO12" s="134"/>
    </row>
    <row r="13" spans="1:42" ht="36" customHeight="1">
      <c r="A13" s="263" t="s">
        <v>446</v>
      </c>
      <c r="B13" s="135" t="s">
        <v>398</v>
      </c>
      <c r="C13" s="135">
        <v>1</v>
      </c>
      <c r="D13" s="156">
        <f>((0.6252*(D4^2))-(3.1062*D4)+5.4825)/1.56</f>
        <v>4.6863461538461531</v>
      </c>
      <c r="E13" s="156">
        <f t="shared" ref="E13:O13" si="2">((0.6252*(E4^2))-(3.1062*E4)+5.4825)/1.56</f>
        <v>23.679807692307691</v>
      </c>
      <c r="F13" s="156">
        <f t="shared" si="2"/>
        <v>58.904423076923074</v>
      </c>
      <c r="G13" s="156">
        <f t="shared" si="2"/>
        <v>103.84134615384613</v>
      </c>
      <c r="H13" s="156">
        <f t="shared" si="2"/>
        <v>153.68134615384614</v>
      </c>
      <c r="I13" s="156">
        <f t="shared" si="2"/>
        <v>204.21634615384616</v>
      </c>
      <c r="J13" s="156">
        <f t="shared" si="2"/>
        <v>232.18903846153844</v>
      </c>
      <c r="K13" s="156">
        <f t="shared" si="2"/>
        <v>261.96519230769229</v>
      </c>
      <c r="L13" s="156">
        <f t="shared" si="2"/>
        <v>272.29134615384612</v>
      </c>
      <c r="M13" s="156">
        <f t="shared" si="2"/>
        <v>282.81788461538463</v>
      </c>
      <c r="N13" s="156">
        <f t="shared" si="2"/>
        <v>293.54480769230764</v>
      </c>
      <c r="O13" s="156">
        <f t="shared" si="2"/>
        <v>304.47211538461539</v>
      </c>
      <c r="P13" s="134"/>
      <c r="AG13" s="134"/>
      <c r="AH13" s="134"/>
      <c r="AI13" s="134"/>
      <c r="AJ13" s="134"/>
      <c r="AK13" s="134"/>
      <c r="AL13" s="134"/>
      <c r="AM13" s="134"/>
      <c r="AN13" s="134"/>
      <c r="AO13" s="134"/>
    </row>
    <row r="14" spans="1:42" ht="36" customHeight="1">
      <c r="A14" s="263"/>
      <c r="B14" s="135" t="s">
        <v>398</v>
      </c>
      <c r="C14" s="135">
        <v>2</v>
      </c>
      <c r="D14" s="156">
        <f t="shared" ref="D14:O14" si="3">((0.6252*(D5^2))-(3.1062*D5)+5.4825)/1.56</f>
        <v>3.5778846153846153</v>
      </c>
      <c r="E14" s="156">
        <f t="shared" si="3"/>
        <v>18.05634615384615</v>
      </c>
      <c r="F14" s="156">
        <f t="shared" si="3"/>
        <v>41.245192307692307</v>
      </c>
      <c r="G14" s="156">
        <f t="shared" si="3"/>
        <v>79.769807692307694</v>
      </c>
      <c r="H14" s="156">
        <f t="shared" si="3"/>
        <v>117.07942307692305</v>
      </c>
      <c r="I14" s="156">
        <f t="shared" si="3"/>
        <v>161.6028846153846</v>
      </c>
      <c r="J14" s="156">
        <f t="shared" si="3"/>
        <v>186.56980769230765</v>
      </c>
      <c r="K14" s="156">
        <f t="shared" si="3"/>
        <v>204.21634615384616</v>
      </c>
      <c r="L14" s="156">
        <f t="shared" si="3"/>
        <v>213.34019230769229</v>
      </c>
      <c r="M14" s="156">
        <f t="shared" si="3"/>
        <v>222.6644230769231</v>
      </c>
      <c r="N14" s="156">
        <f t="shared" si="3"/>
        <v>232.18903846153844</v>
      </c>
      <c r="O14" s="156">
        <f t="shared" si="3"/>
        <v>241.9140384615385</v>
      </c>
      <c r="P14" s="134"/>
      <c r="Q14" s="134"/>
      <c r="R14" s="134"/>
      <c r="S14" s="134"/>
      <c r="T14" s="134"/>
      <c r="U14" s="134"/>
      <c r="V14" s="134"/>
      <c r="AG14" s="143" t="s">
        <v>408</v>
      </c>
      <c r="AH14" s="135" t="s">
        <v>392</v>
      </c>
      <c r="AI14" s="135" t="s">
        <v>397</v>
      </c>
      <c r="AJ14" s="135" t="s">
        <v>409</v>
      </c>
      <c r="AK14" s="135" t="s">
        <v>410</v>
      </c>
      <c r="AL14" s="135" t="s">
        <v>232</v>
      </c>
      <c r="AM14" s="135" t="s">
        <v>411</v>
      </c>
      <c r="AN14" s="135" t="s">
        <v>258</v>
      </c>
      <c r="AO14" s="135" t="s">
        <v>259</v>
      </c>
    </row>
    <row r="15" spans="1:42" ht="36" customHeight="1">
      <c r="A15" s="263"/>
      <c r="B15" s="135" t="s">
        <v>398</v>
      </c>
      <c r="C15" s="135">
        <v>3</v>
      </c>
      <c r="D15" s="156">
        <f t="shared" ref="D15:O15" si="4">((0.6252*(D6^2))-(3.1062*D6)+5.4825)/1.56</f>
        <v>2.6698076923076917</v>
      </c>
      <c r="E15" s="156">
        <f t="shared" si="4"/>
        <v>13.234423076923076</v>
      </c>
      <c r="F15" s="156">
        <f t="shared" si="4"/>
        <v>33.617884615384611</v>
      </c>
      <c r="G15" s="156">
        <f t="shared" si="4"/>
        <v>63.820192307692302</v>
      </c>
      <c r="H15" s="156">
        <f t="shared" si="4"/>
        <v>85.487115384615365</v>
      </c>
      <c r="I15" s="156">
        <f t="shared" si="4"/>
        <v>123.99903846153845</v>
      </c>
      <c r="J15" s="156">
        <f t="shared" si="4"/>
        <v>145.9601923076923</v>
      </c>
      <c r="K15" s="156">
        <f t="shared" si="4"/>
        <v>161.6028846153846</v>
      </c>
      <c r="L15" s="156">
        <f t="shared" si="4"/>
        <v>169.72480769230768</v>
      </c>
      <c r="M15" s="156">
        <f t="shared" si="4"/>
        <v>178.04711538461541</v>
      </c>
      <c r="N15" s="156">
        <f t="shared" si="4"/>
        <v>182.28341346153846</v>
      </c>
      <c r="O15" s="156">
        <f t="shared" si="4"/>
        <v>186.56980769230765</v>
      </c>
      <c r="P15" s="134"/>
      <c r="Q15" s="134"/>
      <c r="R15" s="134"/>
      <c r="S15" s="134"/>
      <c r="T15" s="134"/>
      <c r="U15" s="134"/>
      <c r="V15" s="134"/>
      <c r="AG15" s="135" t="s">
        <v>412</v>
      </c>
      <c r="AH15" s="145">
        <f>IF(AI6=C4,F3,IF(AI6=C5,G3,IF(AI6=C6,G3,IF(AI6=C7,H3,IF(AI6=C8,I3,IF(AI6=C9,K3))))))</f>
        <v>20</v>
      </c>
      <c r="AI15" s="145">
        <v>14.4</v>
      </c>
      <c r="AJ15" s="145">
        <v>750</v>
      </c>
      <c r="AK15" s="146">
        <f>(2000-AJ15)/2000</f>
        <v>0.625</v>
      </c>
      <c r="AL15" s="146">
        <v>1</v>
      </c>
      <c r="AM15" s="146">
        <v>0</v>
      </c>
      <c r="AN15" s="146">
        <v>0</v>
      </c>
      <c r="AO15" s="146">
        <v>0</v>
      </c>
    </row>
    <row r="16" spans="1:42" ht="36" customHeight="1">
      <c r="A16" s="263"/>
      <c r="B16" s="135" t="s">
        <v>398</v>
      </c>
      <c r="C16" s="135">
        <v>4</v>
      </c>
      <c r="D16" s="156">
        <f t="shared" ref="D16:O16" si="5">((0.6252*(D7^2))-(3.1062*D7)+5.4825)/1.56</f>
        <v>1.6834134615384615</v>
      </c>
      <c r="E16" s="156">
        <f t="shared" si="5"/>
        <v>9.2140384615384612</v>
      </c>
      <c r="F16" s="156">
        <f t="shared" si="5"/>
        <v>23.679807692307691</v>
      </c>
      <c r="G16" s="156">
        <f t="shared" si="5"/>
        <v>45.359423076923072</v>
      </c>
      <c r="H16" s="156">
        <f t="shared" si="5"/>
        <v>63.820192307692302</v>
      </c>
      <c r="I16" s="156">
        <f t="shared" si="5"/>
        <v>91.404807692307685</v>
      </c>
      <c r="J16" s="156">
        <f t="shared" si="5"/>
        <v>110.36019230769229</v>
      </c>
      <c r="K16" s="156">
        <f t="shared" si="5"/>
        <v>117.07942307692305</v>
      </c>
      <c r="L16" s="156">
        <f t="shared" si="5"/>
        <v>123.99903846153845</v>
      </c>
      <c r="M16" s="156">
        <f t="shared" si="5"/>
        <v>131.11903846153845</v>
      </c>
      <c r="N16" s="156">
        <f t="shared" si="5"/>
        <v>134.75418269230769</v>
      </c>
      <c r="O16" s="156">
        <f t="shared" si="5"/>
        <v>138.43942307692305</v>
      </c>
      <c r="P16" s="134"/>
      <c r="AG16" s="135" t="s">
        <v>413</v>
      </c>
      <c r="AH16" s="145">
        <f>IF(AI6=C4,H3,IF(AI6=C5,I3,IF(AI6=C6,J3,IF(AI6=C7,L3,IF(AI6=C8,O3,IF(AI6=C9,O3))))))</f>
        <v>30</v>
      </c>
      <c r="AI16" s="145">
        <v>21.7</v>
      </c>
      <c r="AJ16" s="145">
        <v>375</v>
      </c>
      <c r="AK16" s="146">
        <f>(AJ15-AJ16)/AJ15</f>
        <v>0.5</v>
      </c>
      <c r="AL16" s="146">
        <v>0</v>
      </c>
      <c r="AM16" s="146">
        <v>0.85</v>
      </c>
      <c r="AN16" s="146">
        <v>0</v>
      </c>
      <c r="AO16" s="146">
        <v>0.15</v>
      </c>
    </row>
    <row r="17" spans="1:41" ht="36" customHeight="1">
      <c r="A17" s="263"/>
      <c r="B17" s="135" t="s">
        <v>398</v>
      </c>
      <c r="C17" s="135">
        <v>5</v>
      </c>
      <c r="D17" s="156">
        <f t="shared" ref="D17:O17" si="6">((0.6252*(D8^2))-(3.1062*D8)+5.4825)/1.56</f>
        <v>1.1478846153846149</v>
      </c>
      <c r="E17" s="156">
        <f t="shared" si="6"/>
        <v>5.9951923076923057</v>
      </c>
      <c r="F17" s="156">
        <f t="shared" si="6"/>
        <v>15.545192307692304</v>
      </c>
      <c r="G17" s="156">
        <f t="shared" si="6"/>
        <v>30.104807692307688</v>
      </c>
      <c r="H17" s="156">
        <f t="shared" si="6"/>
        <v>49.674038461538473</v>
      </c>
      <c r="I17" s="156">
        <f t="shared" si="6"/>
        <v>63.820192307692302</v>
      </c>
      <c r="J17" s="156">
        <f t="shared" si="6"/>
        <v>74.252884615384616</v>
      </c>
      <c r="K17" s="156">
        <f t="shared" si="6"/>
        <v>79.769807692307694</v>
      </c>
      <c r="L17" s="156">
        <f t="shared" si="6"/>
        <v>85.487115384615365</v>
      </c>
      <c r="M17" s="156">
        <f t="shared" si="6"/>
        <v>91.404807692307685</v>
      </c>
      <c r="N17" s="156">
        <f t="shared" si="6"/>
        <v>94.43879807692305</v>
      </c>
      <c r="O17" s="156">
        <f t="shared" si="6"/>
        <v>97.522884615384598</v>
      </c>
      <c r="P17" s="134"/>
      <c r="Q17" s="134"/>
      <c r="R17" s="148"/>
      <c r="S17" s="148"/>
      <c r="T17" s="148"/>
      <c r="U17" s="148"/>
      <c r="V17" s="134"/>
      <c r="W17" s="134"/>
      <c r="X17" s="134"/>
      <c r="Y17" s="134"/>
      <c r="AG17" s="135" t="s">
        <v>414</v>
      </c>
      <c r="AH17" s="145">
        <f>IF(AI6=C4,K3,IF(OR(AI6=C5,AI6=C6,AI6=C7,AI6=C8,AI6=C9),O3))</f>
        <v>60</v>
      </c>
      <c r="AI17" s="145">
        <v>28</v>
      </c>
      <c r="AJ17" s="145">
        <v>0</v>
      </c>
      <c r="AK17" s="146">
        <f>1</f>
        <v>1</v>
      </c>
      <c r="AL17" s="146">
        <v>0</v>
      </c>
      <c r="AM17" s="146">
        <v>0.4</v>
      </c>
      <c r="AN17" s="146">
        <v>0</v>
      </c>
      <c r="AO17" s="146">
        <v>0.6</v>
      </c>
    </row>
    <row r="18" spans="1:41" ht="36" customHeight="1">
      <c r="A18" s="263"/>
      <c r="B18" s="135" t="s">
        <v>398</v>
      </c>
      <c r="C18" s="135">
        <v>6</v>
      </c>
      <c r="D18" s="156">
        <f t="shared" ref="D18:O18" si="7">((0.6252*(D9^2))-(3.1062*D9)+5.4825)/1.56</f>
        <v>1.0413461538461539</v>
      </c>
      <c r="E18" s="156">
        <f t="shared" si="7"/>
        <v>3.5778846153846153</v>
      </c>
      <c r="F18" s="156">
        <f t="shared" si="7"/>
        <v>9.2140384615384612</v>
      </c>
      <c r="G18" s="156">
        <f t="shared" si="7"/>
        <v>20.767884615384613</v>
      </c>
      <c r="H18" s="156">
        <f t="shared" si="7"/>
        <v>30.104807692307688</v>
      </c>
      <c r="I18" s="156">
        <f t="shared" si="7"/>
        <v>41.245192307692307</v>
      </c>
      <c r="J18" s="156">
        <f t="shared" si="7"/>
        <v>49.674038461538473</v>
      </c>
      <c r="K18" s="156">
        <f t="shared" si="7"/>
        <v>54.189038461538466</v>
      </c>
      <c r="L18" s="156">
        <f t="shared" si="7"/>
        <v>58.904423076923074</v>
      </c>
      <c r="M18" s="156">
        <f t="shared" si="7"/>
        <v>61.33725961538461</v>
      </c>
      <c r="N18" s="156">
        <f t="shared" si="7"/>
        <v>62.522815307692312</v>
      </c>
      <c r="O18" s="156">
        <f t="shared" si="7"/>
        <v>63.820192307692302</v>
      </c>
      <c r="P18" s="134"/>
      <c r="Q18" s="150"/>
      <c r="R18" s="148"/>
      <c r="S18" s="148"/>
      <c r="T18" s="148"/>
      <c r="U18" s="148"/>
      <c r="V18" s="134"/>
      <c r="W18" s="134"/>
      <c r="X18" s="134"/>
      <c r="Y18" s="134"/>
    </row>
    <row r="19" spans="1:41" ht="36" customHeight="1">
      <c r="A19" s="261" t="s">
        <v>415</v>
      </c>
      <c r="B19" s="262" t="s">
        <v>471</v>
      </c>
      <c r="C19" s="262"/>
      <c r="D19" s="149">
        <f>IF($AI$6=$C$13,D13,IF($AI$6=$C$14,D14,IF($AI$6=$C$15,D15,IF($AI$6=$C$16,D16,IF($AI$6=$C$17,D17,IF($AI$6=$C$18,D18))))))</f>
        <v>3.5778846153846153</v>
      </c>
      <c r="E19" s="149">
        <f t="shared" ref="E19:O19" si="8">IF($AI$6=$C$13,E13,IF($AI$6=$C$14,E14,IF($AI$6=$C$15,E15,IF($AI$6=$C$16,E16,IF($AI$6=$C$17,E17,IF($AI$6=$C$18,E18))))))</f>
        <v>18.05634615384615</v>
      </c>
      <c r="F19" s="149">
        <f t="shared" si="8"/>
        <v>41.245192307692307</v>
      </c>
      <c r="G19" s="149">
        <f t="shared" si="8"/>
        <v>79.769807692307694</v>
      </c>
      <c r="H19" s="149">
        <f t="shared" si="8"/>
        <v>117.07942307692305</v>
      </c>
      <c r="I19" s="149">
        <f t="shared" si="8"/>
        <v>161.6028846153846</v>
      </c>
      <c r="J19" s="149">
        <f t="shared" si="8"/>
        <v>186.56980769230765</v>
      </c>
      <c r="K19" s="149">
        <f t="shared" si="8"/>
        <v>204.21634615384616</v>
      </c>
      <c r="L19" s="149">
        <f t="shared" si="8"/>
        <v>213.34019230769229</v>
      </c>
      <c r="M19" s="149">
        <f t="shared" si="8"/>
        <v>222.6644230769231</v>
      </c>
      <c r="N19" s="149">
        <f t="shared" si="8"/>
        <v>232.18903846153844</v>
      </c>
      <c r="O19" s="149">
        <f t="shared" si="8"/>
        <v>241.9140384615385</v>
      </c>
      <c r="P19" s="134"/>
      <c r="Q19" s="150"/>
      <c r="R19" s="148"/>
      <c r="S19" s="148"/>
      <c r="T19" s="148"/>
      <c r="U19" s="148"/>
      <c r="V19" s="134"/>
      <c r="W19" s="134"/>
      <c r="X19" s="134"/>
      <c r="Y19" s="134"/>
    </row>
    <row r="20" spans="1:41" ht="36" customHeight="1">
      <c r="A20" s="261"/>
      <c r="B20" s="262" t="s">
        <v>451</v>
      </c>
      <c r="C20" s="262"/>
      <c r="D20" s="149">
        <f>D19*(($AI$5/$AI$4)*$AI$3)</f>
        <v>2.5221763236763239</v>
      </c>
      <c r="E20" s="149">
        <f t="shared" ref="E20:O20" si="9">(E19*(($AI$5/$AI$4)*$AI$3))-D24</f>
        <v>12.728551548451547</v>
      </c>
      <c r="F20" s="149">
        <f t="shared" si="9"/>
        <v>29.075182317682319</v>
      </c>
      <c r="G20" s="149">
        <f t="shared" si="9"/>
        <v>56.23253456543457</v>
      </c>
      <c r="H20" s="149">
        <f t="shared" si="9"/>
        <v>47.388056605894093</v>
      </c>
      <c r="I20" s="149">
        <f t="shared" si="9"/>
        <v>113.91953996003996</v>
      </c>
      <c r="J20" s="149">
        <f t="shared" si="9"/>
        <v>74.559829520479497</v>
      </c>
      <c r="K20" s="149">
        <f t="shared" si="9"/>
        <v>143.95926323676323</v>
      </c>
      <c r="L20" s="149">
        <f t="shared" si="9"/>
        <v>150.3909823176823</v>
      </c>
      <c r="M20" s="149">
        <f t="shared" si="9"/>
        <v>156.96395954045957</v>
      </c>
      <c r="N20" s="149">
        <f t="shared" si="9"/>
        <v>163.6781949050949</v>
      </c>
      <c r="O20" s="149">
        <f t="shared" si="9"/>
        <v>170.53368841158846</v>
      </c>
      <c r="P20" s="134"/>
      <c r="Q20" s="150"/>
      <c r="R20" s="148"/>
      <c r="S20" s="148"/>
      <c r="T20" s="148"/>
      <c r="U20" s="148"/>
      <c r="V20" s="134"/>
      <c r="W20" s="134"/>
      <c r="X20" s="134"/>
      <c r="Y20" s="134"/>
    </row>
    <row r="21" spans="1:41" ht="36" customHeight="1">
      <c r="A21" s="261"/>
      <c r="B21" s="262" t="s">
        <v>452</v>
      </c>
      <c r="C21" s="262"/>
      <c r="D21" s="149">
        <f>D20*COEFFICIENTS!$B$18</f>
        <v>1.3115316883116885</v>
      </c>
      <c r="E21" s="149">
        <f>E20*COEFFICIENTS!$B$18</f>
        <v>6.6188468051948046</v>
      </c>
      <c r="F21" s="149">
        <f>F20*COEFFICIENTS!$B$18</f>
        <v>15.119094805194807</v>
      </c>
      <c r="G21" s="149">
        <f>G20*COEFFICIENTS!$B$18</f>
        <v>29.240917974025976</v>
      </c>
      <c r="H21" s="149">
        <f>H20*COEFFICIENTS!$B$18</f>
        <v>24.641789435064929</v>
      </c>
      <c r="I21" s="149">
        <f>I20*COEFFICIENTS!$B$18</f>
        <v>59.238160779220777</v>
      </c>
      <c r="J21" s="149">
        <f>J20*COEFFICIENTS!$B$18</f>
        <v>38.771111350649342</v>
      </c>
      <c r="K21" s="149">
        <f>K20*COEFFICIENTS!$B$18</f>
        <v>74.858816883116887</v>
      </c>
      <c r="L21" s="149">
        <f>L20*COEFFICIENTS!$B$18</f>
        <v>78.203310805194803</v>
      </c>
      <c r="M21" s="149">
        <f>M20*COEFFICIENTS!$B$18</f>
        <v>81.621258961038976</v>
      </c>
      <c r="N21" s="149">
        <f>N20*COEFFICIENTS!$B$18</f>
        <v>85.112661350649347</v>
      </c>
      <c r="O21" s="149">
        <f>O20*COEFFICIENTS!$B$18</f>
        <v>88.677517974026003</v>
      </c>
      <c r="P21" s="134"/>
      <c r="Q21" s="150"/>
      <c r="R21" s="148"/>
      <c r="S21" s="148"/>
      <c r="T21" s="148"/>
      <c r="U21" s="148"/>
      <c r="V21" s="134"/>
      <c r="W21" s="134"/>
      <c r="X21" s="134"/>
      <c r="Y21" s="134"/>
    </row>
    <row r="22" spans="1:41" ht="36" customHeight="1">
      <c r="A22" s="261"/>
      <c r="B22" s="262" t="s">
        <v>481</v>
      </c>
      <c r="C22" s="262"/>
      <c r="D22" s="149">
        <f>(D21*0.475*(44/12)*AI3)-((AI5/AI4)*'REF BOIS.'!C24)</f>
        <v>30.997286393095241</v>
      </c>
      <c r="E22" s="149"/>
      <c r="F22" s="149"/>
      <c r="G22" s="149"/>
      <c r="H22" s="149"/>
      <c r="I22" s="149"/>
      <c r="J22" s="149"/>
      <c r="K22" s="149"/>
      <c r="L22" s="149"/>
      <c r="M22" s="149"/>
      <c r="N22" s="149"/>
      <c r="O22" s="149"/>
      <c r="P22" s="134"/>
      <c r="Q22" s="150"/>
      <c r="R22" s="148"/>
      <c r="S22" s="148"/>
      <c r="T22" s="148"/>
      <c r="U22" s="148"/>
      <c r="V22" s="134"/>
      <c r="W22" s="134"/>
      <c r="X22" s="134"/>
      <c r="Y22" s="134"/>
    </row>
    <row r="23" spans="1:41" ht="36" customHeight="1">
      <c r="A23" s="261"/>
      <c r="B23" s="262" t="s">
        <v>450</v>
      </c>
      <c r="C23" s="262"/>
      <c r="D23" s="149">
        <f t="shared" ref="D23:O23" si="10">IF($AH$15=D3,$AK$15*D21,IF(D3=$AH$16,$AK$16*D21,IF(D3=$AH$17,$AK$17*D21,0)))</f>
        <v>0</v>
      </c>
      <c r="E23" s="149">
        <f t="shared" si="10"/>
        <v>0</v>
      </c>
      <c r="F23" s="149">
        <f t="shared" si="10"/>
        <v>0</v>
      </c>
      <c r="G23" s="149">
        <f t="shared" si="10"/>
        <v>18.275573733766237</v>
      </c>
      <c r="H23" s="149">
        <f t="shared" si="10"/>
        <v>0</v>
      </c>
      <c r="I23" s="149">
        <f t="shared" si="10"/>
        <v>29.619080389610389</v>
      </c>
      <c r="J23" s="149">
        <f t="shared" si="10"/>
        <v>0</v>
      </c>
      <c r="K23" s="149">
        <f t="shared" si="10"/>
        <v>0</v>
      </c>
      <c r="L23" s="149">
        <f t="shared" si="10"/>
        <v>0</v>
      </c>
      <c r="M23" s="149">
        <f t="shared" si="10"/>
        <v>0</v>
      </c>
      <c r="N23" s="149">
        <f t="shared" si="10"/>
        <v>0</v>
      </c>
      <c r="O23" s="149">
        <f t="shared" si="10"/>
        <v>88.677517974026003</v>
      </c>
      <c r="P23" s="134"/>
      <c r="Q23" s="150"/>
      <c r="R23" s="148"/>
      <c r="S23" s="148"/>
      <c r="T23" s="148"/>
      <c r="U23" s="148"/>
      <c r="V23" s="134"/>
      <c r="W23" s="134"/>
      <c r="X23" s="134"/>
      <c r="Y23" s="134"/>
    </row>
    <row r="24" spans="1:41" ht="36" customHeight="1">
      <c r="A24" s="261"/>
      <c r="B24" s="262" t="s">
        <v>453</v>
      </c>
      <c r="C24" s="262"/>
      <c r="D24" s="149">
        <f>D23/COEFFICIENTS!$B$18</f>
        <v>0</v>
      </c>
      <c r="E24" s="149">
        <f>E23/COEFFICIENTS!$B$18</f>
        <v>0</v>
      </c>
      <c r="F24" s="149">
        <f>F23/COEFFICIENTS!$B$18</f>
        <v>0</v>
      </c>
      <c r="G24" s="149">
        <f>G23/COEFFICIENTS!$B$18</f>
        <v>35.145334103396607</v>
      </c>
      <c r="H24" s="149">
        <f>H23/COEFFICIENTS!$B$18</f>
        <v>0</v>
      </c>
      <c r="I24" s="149">
        <f>I23/COEFFICIENTS!$B$18</f>
        <v>56.959769980019978</v>
      </c>
      <c r="J24" s="149">
        <f>J23/COEFFICIENTS!$B$18</f>
        <v>0</v>
      </c>
      <c r="K24" s="149">
        <f>K23/COEFFICIENTS!$B$18</f>
        <v>0</v>
      </c>
      <c r="L24" s="149">
        <f>L23/COEFFICIENTS!$B$18</f>
        <v>0</v>
      </c>
      <c r="M24" s="149">
        <f>M23/COEFFICIENTS!$B$18</f>
        <v>0</v>
      </c>
      <c r="N24" s="149">
        <f>N23/COEFFICIENTS!$B$18</f>
        <v>0</v>
      </c>
      <c r="O24" s="149">
        <f>O23/COEFFICIENTS!$B$18</f>
        <v>170.53368841158846</v>
      </c>
      <c r="P24" s="134"/>
      <c r="Q24" s="150"/>
      <c r="R24" s="148"/>
      <c r="S24" s="148"/>
      <c r="T24" s="148"/>
      <c r="U24" s="148"/>
      <c r="V24" s="134"/>
      <c r="W24" s="134"/>
      <c r="X24" s="134"/>
      <c r="Y24" s="134"/>
    </row>
    <row r="25" spans="1:41" ht="36" customHeight="1">
      <c r="A25" s="261"/>
      <c r="B25" s="262" t="s">
        <v>458</v>
      </c>
      <c r="C25" s="262"/>
      <c r="D25" s="151">
        <f t="shared" ref="D25:O25" si="11">IF(D3=$AH$17,$AL$17,IF(D3=$AH$16,$AL$16,IF(D3=$AH$15,$AL$15,0)))</f>
        <v>0</v>
      </c>
      <c r="E25" s="151">
        <f t="shared" si="11"/>
        <v>0</v>
      </c>
      <c r="F25" s="151">
        <f t="shared" si="11"/>
        <v>0</v>
      </c>
      <c r="G25" s="151">
        <f t="shared" si="11"/>
        <v>1</v>
      </c>
      <c r="H25" s="151">
        <f t="shared" si="11"/>
        <v>0</v>
      </c>
      <c r="I25" s="151">
        <f t="shared" si="11"/>
        <v>0</v>
      </c>
      <c r="J25" s="151">
        <f t="shared" si="11"/>
        <v>0</v>
      </c>
      <c r="K25" s="151">
        <f t="shared" si="11"/>
        <v>0</v>
      </c>
      <c r="L25" s="151">
        <f t="shared" si="11"/>
        <v>0</v>
      </c>
      <c r="M25" s="151">
        <f t="shared" si="11"/>
        <v>0</v>
      </c>
      <c r="N25" s="151">
        <f t="shared" si="11"/>
        <v>0</v>
      </c>
      <c r="O25" s="151">
        <f t="shared" si="11"/>
        <v>0</v>
      </c>
      <c r="P25" s="134"/>
      <c r="Q25" s="150"/>
      <c r="R25" s="148"/>
      <c r="S25" s="148"/>
      <c r="T25" s="148"/>
      <c r="U25" s="148"/>
      <c r="V25" s="134"/>
      <c r="W25" s="134"/>
      <c r="X25" s="134"/>
      <c r="Y25" s="134"/>
    </row>
    <row r="26" spans="1:41" ht="36" customHeight="1">
      <c r="A26" s="261"/>
      <c r="B26" s="262" t="s">
        <v>454</v>
      </c>
      <c r="C26" s="262"/>
      <c r="D26" s="152">
        <f>D25*D23</f>
        <v>0</v>
      </c>
      <c r="E26" s="152">
        <f t="shared" ref="E26:O26" si="12">E25*E23</f>
        <v>0</v>
      </c>
      <c r="F26" s="152">
        <f t="shared" si="12"/>
        <v>0</v>
      </c>
      <c r="G26" s="152">
        <f t="shared" si="12"/>
        <v>18.275573733766237</v>
      </c>
      <c r="H26" s="152">
        <f t="shared" si="12"/>
        <v>0</v>
      </c>
      <c r="I26" s="152">
        <f t="shared" si="12"/>
        <v>0</v>
      </c>
      <c r="J26" s="152">
        <f t="shared" si="12"/>
        <v>0</v>
      </c>
      <c r="K26" s="152">
        <f t="shared" si="12"/>
        <v>0</v>
      </c>
      <c r="L26" s="152">
        <f t="shared" si="12"/>
        <v>0</v>
      </c>
      <c r="M26" s="152">
        <f t="shared" si="12"/>
        <v>0</v>
      </c>
      <c r="N26" s="152">
        <f t="shared" si="12"/>
        <v>0</v>
      </c>
      <c r="O26" s="152">
        <f t="shared" si="12"/>
        <v>0</v>
      </c>
      <c r="P26" s="134"/>
      <c r="Q26" s="150"/>
      <c r="R26" s="148"/>
      <c r="S26" s="148"/>
      <c r="T26" s="148"/>
      <c r="U26" s="148"/>
      <c r="V26" s="134"/>
      <c r="W26" s="134"/>
      <c r="X26" s="134"/>
      <c r="Y26" s="134"/>
    </row>
    <row r="27" spans="1:41" ht="36" customHeight="1">
      <c r="A27" s="261"/>
      <c r="B27" s="262" t="s">
        <v>459</v>
      </c>
      <c r="C27" s="262"/>
      <c r="D27" s="151">
        <f t="shared" ref="D27:O27" si="13">IF(AND(D3=$AH$17,D3=$AH$16),(0.5*$AM$17)+(0.5*$AM$16),IF(D3=$AH$17,$AM$17,IF(D3=$AH$16,$AM$16,IF(D3=$AH$15,$AM$15,0))))</f>
        <v>0</v>
      </c>
      <c r="E27" s="151">
        <f t="shared" si="13"/>
        <v>0</v>
      </c>
      <c r="F27" s="151">
        <f t="shared" si="13"/>
        <v>0</v>
      </c>
      <c r="G27" s="151">
        <f t="shared" si="13"/>
        <v>0</v>
      </c>
      <c r="H27" s="151">
        <f t="shared" si="13"/>
        <v>0</v>
      </c>
      <c r="I27" s="151">
        <f t="shared" si="13"/>
        <v>0.85</v>
      </c>
      <c r="J27" s="151">
        <f t="shared" si="13"/>
        <v>0</v>
      </c>
      <c r="K27" s="151">
        <f t="shared" si="13"/>
        <v>0</v>
      </c>
      <c r="L27" s="151">
        <f t="shared" si="13"/>
        <v>0</v>
      </c>
      <c r="M27" s="151">
        <f t="shared" si="13"/>
        <v>0</v>
      </c>
      <c r="N27" s="151">
        <f t="shared" si="13"/>
        <v>0</v>
      </c>
      <c r="O27" s="151">
        <f t="shared" si="13"/>
        <v>0.4</v>
      </c>
      <c r="P27" s="134"/>
      <c r="Q27" s="150"/>
      <c r="R27" s="148"/>
      <c r="S27" s="148"/>
      <c r="T27" s="148"/>
      <c r="U27" s="148"/>
      <c r="V27" s="134"/>
      <c r="W27" s="134"/>
      <c r="X27" s="134"/>
      <c r="Y27" s="134"/>
    </row>
    <row r="28" spans="1:41" ht="36" customHeight="1">
      <c r="A28" s="261"/>
      <c r="B28" s="262" t="s">
        <v>455</v>
      </c>
      <c r="C28" s="262"/>
      <c r="D28" s="152">
        <f>D27*D23</f>
        <v>0</v>
      </c>
      <c r="E28" s="152">
        <f t="shared" ref="E28:O28" si="14">E27*E23</f>
        <v>0</v>
      </c>
      <c r="F28" s="152">
        <f t="shared" si="14"/>
        <v>0</v>
      </c>
      <c r="G28" s="152">
        <f t="shared" si="14"/>
        <v>0</v>
      </c>
      <c r="H28" s="152">
        <f t="shared" si="14"/>
        <v>0</v>
      </c>
      <c r="I28" s="152">
        <f t="shared" si="14"/>
        <v>25.17621833116883</v>
      </c>
      <c r="J28" s="152">
        <f t="shared" si="14"/>
        <v>0</v>
      </c>
      <c r="K28" s="152">
        <f t="shared" si="14"/>
        <v>0</v>
      </c>
      <c r="L28" s="152">
        <f t="shared" si="14"/>
        <v>0</v>
      </c>
      <c r="M28" s="152">
        <f t="shared" si="14"/>
        <v>0</v>
      </c>
      <c r="N28" s="152">
        <f t="shared" si="14"/>
        <v>0</v>
      </c>
      <c r="O28" s="152">
        <f t="shared" si="14"/>
        <v>35.471007189610404</v>
      </c>
      <c r="P28" s="134"/>
      <c r="Q28" s="150"/>
      <c r="R28" s="148"/>
      <c r="S28" s="148"/>
      <c r="T28" s="148"/>
      <c r="U28" s="148"/>
      <c r="V28" s="134"/>
      <c r="W28" s="134"/>
      <c r="X28" s="134"/>
      <c r="Y28" s="134"/>
    </row>
    <row r="29" spans="1:41" ht="36" customHeight="1">
      <c r="A29" s="261"/>
      <c r="B29" s="262" t="s">
        <v>460</v>
      </c>
      <c r="C29" s="262"/>
      <c r="D29" s="151">
        <f t="shared" ref="D29:O29" si="15">IF(D3=$AH$17,$AN$17,IF(D3=$AH$16,$AN$16,IF(D3=$AH$15,$AN$15,0)))</f>
        <v>0</v>
      </c>
      <c r="E29" s="151">
        <f t="shared" si="15"/>
        <v>0</v>
      </c>
      <c r="F29" s="151">
        <f t="shared" si="15"/>
        <v>0</v>
      </c>
      <c r="G29" s="151">
        <f t="shared" si="15"/>
        <v>0</v>
      </c>
      <c r="H29" s="151">
        <f t="shared" si="15"/>
        <v>0</v>
      </c>
      <c r="I29" s="151">
        <f t="shared" si="15"/>
        <v>0</v>
      </c>
      <c r="J29" s="151">
        <f t="shared" si="15"/>
        <v>0</v>
      </c>
      <c r="K29" s="151">
        <f t="shared" si="15"/>
        <v>0</v>
      </c>
      <c r="L29" s="151">
        <f t="shared" si="15"/>
        <v>0</v>
      </c>
      <c r="M29" s="151">
        <f t="shared" si="15"/>
        <v>0</v>
      </c>
      <c r="N29" s="151">
        <f t="shared" si="15"/>
        <v>0</v>
      </c>
      <c r="O29" s="151">
        <f t="shared" si="15"/>
        <v>0</v>
      </c>
      <c r="P29" s="134"/>
      <c r="Q29" s="150"/>
      <c r="R29" s="148"/>
      <c r="S29" s="148"/>
      <c r="T29" s="148"/>
      <c r="U29" s="148"/>
      <c r="V29" s="134"/>
      <c r="W29" s="134"/>
      <c r="X29" s="134"/>
      <c r="Y29" s="134"/>
      <c r="AG29" s="134"/>
    </row>
    <row r="30" spans="1:41" ht="36" customHeight="1">
      <c r="A30" s="261"/>
      <c r="B30" s="262" t="s">
        <v>456</v>
      </c>
      <c r="C30" s="262"/>
      <c r="D30" s="153">
        <f>D29*D23</f>
        <v>0</v>
      </c>
      <c r="E30" s="153">
        <f t="shared" ref="E30:O30" si="16">E29*E23</f>
        <v>0</v>
      </c>
      <c r="F30" s="153">
        <f t="shared" si="16"/>
        <v>0</v>
      </c>
      <c r="G30" s="153">
        <f t="shared" si="16"/>
        <v>0</v>
      </c>
      <c r="H30" s="153">
        <f t="shared" si="16"/>
        <v>0</v>
      </c>
      <c r="I30" s="153">
        <f t="shared" si="16"/>
        <v>0</v>
      </c>
      <c r="J30" s="153">
        <f t="shared" si="16"/>
        <v>0</v>
      </c>
      <c r="K30" s="153">
        <f t="shared" si="16"/>
        <v>0</v>
      </c>
      <c r="L30" s="153">
        <f t="shared" si="16"/>
        <v>0</v>
      </c>
      <c r="M30" s="153">
        <f t="shared" si="16"/>
        <v>0</v>
      </c>
      <c r="N30" s="153">
        <f t="shared" si="16"/>
        <v>0</v>
      </c>
      <c r="O30" s="153">
        <f t="shared" si="16"/>
        <v>0</v>
      </c>
      <c r="Y30" s="150"/>
      <c r="Z30" s="148"/>
      <c r="AA30" s="148"/>
      <c r="AB30" s="148"/>
      <c r="AC30" s="148"/>
      <c r="AD30" s="134"/>
      <c r="AE30" s="134"/>
      <c r="AF30" s="134"/>
      <c r="AG30" s="134"/>
    </row>
    <row r="31" spans="1:41" ht="36" customHeight="1">
      <c r="A31" s="261"/>
      <c r="B31" s="262" t="s">
        <v>461</v>
      </c>
      <c r="C31" s="262"/>
      <c r="D31" s="151">
        <f t="shared" ref="D31:O31" si="17">IF(AND(D3=$AH$17,D3=$AH$16),(0.5*$AO$17)+(0.5*$AO$16),IF(D3=$AH$17,$AO$17,IF(D3=$AH$16,$AO$16,IF(D3=$AH$15,$AO$15,0))))</f>
        <v>0</v>
      </c>
      <c r="E31" s="151">
        <f t="shared" si="17"/>
        <v>0</v>
      </c>
      <c r="F31" s="151">
        <f t="shared" si="17"/>
        <v>0</v>
      </c>
      <c r="G31" s="151">
        <f t="shared" si="17"/>
        <v>0</v>
      </c>
      <c r="H31" s="151">
        <f t="shared" si="17"/>
        <v>0</v>
      </c>
      <c r="I31" s="151">
        <f t="shared" si="17"/>
        <v>0.15</v>
      </c>
      <c r="J31" s="151">
        <f t="shared" si="17"/>
        <v>0</v>
      </c>
      <c r="K31" s="151">
        <f t="shared" si="17"/>
        <v>0</v>
      </c>
      <c r="L31" s="151">
        <f t="shared" si="17"/>
        <v>0</v>
      </c>
      <c r="M31" s="151">
        <f t="shared" si="17"/>
        <v>0</v>
      </c>
      <c r="N31" s="151">
        <f t="shared" si="17"/>
        <v>0</v>
      </c>
      <c r="O31" s="151">
        <f t="shared" si="17"/>
        <v>0.6</v>
      </c>
      <c r="Y31" s="150"/>
      <c r="Z31" s="148"/>
      <c r="AA31" s="148"/>
      <c r="AB31" s="148"/>
      <c r="AC31" s="148"/>
      <c r="AD31" s="134"/>
      <c r="AE31" s="134"/>
      <c r="AF31" s="134"/>
      <c r="AG31" s="134"/>
    </row>
    <row r="32" spans="1:41" ht="36" customHeight="1">
      <c r="A32" s="261"/>
      <c r="B32" s="262" t="s">
        <v>457</v>
      </c>
      <c r="C32" s="262"/>
      <c r="D32" s="152">
        <f>D31*D23</f>
        <v>0</v>
      </c>
      <c r="E32" s="152">
        <f t="shared" ref="E32:O32" si="18">E31*E23</f>
        <v>0</v>
      </c>
      <c r="F32" s="152">
        <f t="shared" si="18"/>
        <v>0</v>
      </c>
      <c r="G32" s="152">
        <f t="shared" si="18"/>
        <v>0</v>
      </c>
      <c r="H32" s="152">
        <f t="shared" si="18"/>
        <v>0</v>
      </c>
      <c r="I32" s="152">
        <f t="shared" si="18"/>
        <v>4.4428620584415581</v>
      </c>
      <c r="J32" s="152">
        <f t="shared" si="18"/>
        <v>0</v>
      </c>
      <c r="K32" s="152">
        <f t="shared" si="18"/>
        <v>0</v>
      </c>
      <c r="L32" s="152">
        <f t="shared" si="18"/>
        <v>0</v>
      </c>
      <c r="M32" s="152">
        <f t="shared" si="18"/>
        <v>0</v>
      </c>
      <c r="N32" s="152">
        <f t="shared" si="18"/>
        <v>0</v>
      </c>
      <c r="O32" s="152">
        <f t="shared" si="18"/>
        <v>53.206510784415599</v>
      </c>
      <c r="Y32" s="150"/>
      <c r="Z32" s="148"/>
      <c r="AA32" s="148"/>
      <c r="AB32" s="148"/>
      <c r="AC32" s="148"/>
      <c r="AD32" s="134"/>
      <c r="AE32" s="134"/>
      <c r="AF32" s="134"/>
      <c r="AG32" s="134"/>
    </row>
    <row r="33" spans="1:42" ht="36" customHeight="1">
      <c r="Y33" s="150"/>
      <c r="Z33" s="148"/>
      <c r="AA33" s="148"/>
      <c r="AB33" s="148"/>
      <c r="AC33" s="148"/>
      <c r="AD33" s="134"/>
      <c r="AE33" s="134"/>
      <c r="AF33" s="134"/>
      <c r="AG33" s="134"/>
    </row>
    <row r="34" spans="1:42" ht="36" customHeight="1">
      <c r="Y34" s="150"/>
      <c r="Z34" s="148"/>
      <c r="AA34" s="148"/>
      <c r="AB34" s="148"/>
      <c r="AC34" s="148"/>
      <c r="AD34" s="134"/>
      <c r="AE34" s="134"/>
      <c r="AF34" s="134"/>
      <c r="AG34" s="134"/>
    </row>
    <row r="36" spans="1:42" ht="36" customHeight="1">
      <c r="A36" s="264" t="s">
        <v>418</v>
      </c>
      <c r="B36" s="264"/>
      <c r="C36" s="264"/>
      <c r="D36" s="264"/>
      <c r="E36" s="264"/>
      <c r="F36" s="264"/>
      <c r="G36" s="264"/>
      <c r="H36" s="264"/>
      <c r="I36" s="264"/>
      <c r="J36" s="264"/>
      <c r="K36" s="264"/>
      <c r="L36" s="264"/>
      <c r="M36" s="264"/>
      <c r="N36" s="264"/>
      <c r="O36" s="264"/>
      <c r="P36" s="264"/>
      <c r="Q36" s="264"/>
      <c r="R36" s="264"/>
      <c r="S36" s="264"/>
      <c r="T36" s="264"/>
      <c r="U36" s="264"/>
      <c r="V36" s="264"/>
      <c r="W36" s="264"/>
      <c r="X36" s="176"/>
      <c r="Y36" s="176"/>
      <c r="Z36" s="176"/>
      <c r="AA36" s="176"/>
      <c r="AB36" s="176"/>
      <c r="AC36" s="176"/>
      <c r="AD36" s="176"/>
      <c r="AE36" s="176"/>
      <c r="AF36" s="176"/>
      <c r="AG36" s="176"/>
      <c r="AH36" s="176"/>
      <c r="AI36" s="176"/>
      <c r="AJ36" s="176"/>
      <c r="AK36" s="176"/>
      <c r="AL36" s="176"/>
      <c r="AM36" s="176"/>
      <c r="AN36" s="176"/>
      <c r="AO36" s="176"/>
      <c r="AP36" s="176"/>
    </row>
    <row r="37" spans="1:42" ht="36"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row>
    <row r="38" spans="1:42" ht="36" customHeight="1">
      <c r="A38" s="134"/>
      <c r="B38" s="260" t="s">
        <v>392</v>
      </c>
      <c r="C38" s="260"/>
      <c r="D38" s="137">
        <v>5</v>
      </c>
      <c r="E38" s="137">
        <v>10</v>
      </c>
      <c r="F38" s="137">
        <v>15</v>
      </c>
      <c r="G38" s="137">
        <v>20</v>
      </c>
      <c r="H38" s="137">
        <v>25</v>
      </c>
      <c r="I38" s="137">
        <v>30</v>
      </c>
      <c r="J38" s="137">
        <v>35</v>
      </c>
      <c r="K38" s="137">
        <v>40</v>
      </c>
      <c r="L38" s="137">
        <v>45</v>
      </c>
      <c r="M38" s="137">
        <v>50</v>
      </c>
      <c r="N38" s="137">
        <v>55</v>
      </c>
      <c r="O38" s="137">
        <v>60</v>
      </c>
      <c r="P38" s="137">
        <v>65</v>
      </c>
      <c r="Q38" s="137">
        <v>70</v>
      </c>
      <c r="R38" s="137">
        <v>75</v>
      </c>
      <c r="S38" s="137">
        <v>80</v>
      </c>
      <c r="T38" s="137">
        <v>85</v>
      </c>
      <c r="U38" s="137">
        <v>90</v>
      </c>
      <c r="V38" s="137">
        <v>95</v>
      </c>
      <c r="W38" s="179">
        <v>100</v>
      </c>
      <c r="X38" s="134"/>
      <c r="AG38" s="263" t="s">
        <v>394</v>
      </c>
      <c r="AH38" s="263"/>
      <c r="AI38" s="135">
        <f>BOISEMENT!C19</f>
        <v>13.57</v>
      </c>
      <c r="AJ38" s="136"/>
      <c r="AK38" s="136"/>
      <c r="AL38" s="134"/>
      <c r="AM38" s="134"/>
      <c r="AN38" s="134"/>
      <c r="AO38" s="134"/>
    </row>
    <row r="39" spans="1:42" ht="36" customHeight="1">
      <c r="A39" s="260" t="s">
        <v>397</v>
      </c>
      <c r="B39" s="137" t="s">
        <v>398</v>
      </c>
      <c r="C39" s="137">
        <v>1</v>
      </c>
      <c r="D39" s="138">
        <v>3</v>
      </c>
      <c r="E39" s="138">
        <v>6</v>
      </c>
      <c r="F39" s="138">
        <v>9</v>
      </c>
      <c r="G39" s="138">
        <v>11.5</v>
      </c>
      <c r="H39" s="138">
        <v>13</v>
      </c>
      <c r="I39" s="138">
        <v>17</v>
      </c>
      <c r="J39" s="138">
        <v>19</v>
      </c>
      <c r="K39" s="138">
        <v>21</v>
      </c>
      <c r="L39" s="138">
        <v>23</v>
      </c>
      <c r="M39" s="138">
        <v>25</v>
      </c>
      <c r="N39" s="138">
        <v>27.5</v>
      </c>
      <c r="O39" s="138">
        <v>29</v>
      </c>
      <c r="P39" s="138">
        <v>30</v>
      </c>
      <c r="Q39" s="138">
        <v>32</v>
      </c>
      <c r="R39" s="138">
        <v>34</v>
      </c>
      <c r="S39" s="138">
        <v>35</v>
      </c>
      <c r="T39" s="138">
        <v>36</v>
      </c>
      <c r="U39" s="138">
        <v>37</v>
      </c>
      <c r="V39" s="138">
        <v>38</v>
      </c>
      <c r="W39" s="184">
        <v>38.5</v>
      </c>
      <c r="X39" s="134"/>
      <c r="AG39" s="263" t="s">
        <v>395</v>
      </c>
      <c r="AH39" s="263"/>
      <c r="AI39" s="135">
        <f>BOISEMENT!C21</f>
        <v>15400</v>
      </c>
      <c r="AJ39" s="136"/>
      <c r="AK39" s="136"/>
      <c r="AL39" s="134"/>
      <c r="AM39" s="134"/>
      <c r="AN39" s="134"/>
      <c r="AO39" s="134"/>
    </row>
    <row r="40" spans="1:42" ht="36" customHeight="1">
      <c r="A40" s="260"/>
      <c r="B40" s="137" t="s">
        <v>398</v>
      </c>
      <c r="C40" s="137">
        <v>2</v>
      </c>
      <c r="D40" s="138">
        <v>3</v>
      </c>
      <c r="E40" s="138">
        <v>6</v>
      </c>
      <c r="F40" s="138">
        <v>7.5</v>
      </c>
      <c r="G40" s="138">
        <v>10</v>
      </c>
      <c r="H40" s="138">
        <v>11.5</v>
      </c>
      <c r="I40" s="138">
        <v>15</v>
      </c>
      <c r="J40" s="138">
        <v>17</v>
      </c>
      <c r="K40" s="138">
        <v>18</v>
      </c>
      <c r="L40" s="138">
        <v>20</v>
      </c>
      <c r="M40" s="138">
        <v>22</v>
      </c>
      <c r="N40" s="138">
        <v>23</v>
      </c>
      <c r="O40" s="138">
        <v>26</v>
      </c>
      <c r="P40" s="138">
        <v>27</v>
      </c>
      <c r="Q40" s="138">
        <v>27.5</v>
      </c>
      <c r="R40" s="138">
        <v>28</v>
      </c>
      <c r="S40" s="138">
        <v>29.5</v>
      </c>
      <c r="T40" s="138">
        <v>31</v>
      </c>
      <c r="U40" s="138">
        <v>32</v>
      </c>
      <c r="V40" s="138">
        <v>33</v>
      </c>
      <c r="W40" s="184">
        <v>34</v>
      </c>
      <c r="X40" s="134"/>
      <c r="AG40" s="263" t="s">
        <v>419</v>
      </c>
      <c r="AH40" s="263"/>
      <c r="AI40" s="135">
        <f>BOISEMENT!C4</f>
        <v>3000</v>
      </c>
      <c r="AJ40" s="134"/>
      <c r="AK40" s="134"/>
      <c r="AL40" s="134"/>
      <c r="AM40" s="134"/>
      <c r="AN40" s="134"/>
      <c r="AO40" s="134"/>
    </row>
    <row r="41" spans="1:42" ht="36" customHeight="1">
      <c r="A41" s="260"/>
      <c r="B41" s="137" t="s">
        <v>398</v>
      </c>
      <c r="C41" s="137">
        <v>3</v>
      </c>
      <c r="D41" s="138">
        <v>3</v>
      </c>
      <c r="E41" s="138">
        <v>6</v>
      </c>
      <c r="F41" s="138">
        <v>9</v>
      </c>
      <c r="G41" s="138">
        <v>11.5</v>
      </c>
      <c r="H41" s="138">
        <v>13</v>
      </c>
      <c r="I41" s="138">
        <v>17</v>
      </c>
      <c r="J41" s="138">
        <v>18</v>
      </c>
      <c r="K41" s="138">
        <v>19</v>
      </c>
      <c r="L41" s="138">
        <v>21</v>
      </c>
      <c r="M41" s="138">
        <v>23</v>
      </c>
      <c r="N41" s="138">
        <v>24</v>
      </c>
      <c r="O41" s="138">
        <v>25.5</v>
      </c>
      <c r="P41" s="138">
        <v>26.5</v>
      </c>
      <c r="Q41" s="138">
        <v>27.5</v>
      </c>
      <c r="R41" s="138">
        <v>28</v>
      </c>
      <c r="S41" s="138">
        <v>29</v>
      </c>
      <c r="T41" s="138">
        <v>30</v>
      </c>
      <c r="U41" s="138">
        <v>31</v>
      </c>
      <c r="V41" s="138">
        <v>32</v>
      </c>
      <c r="W41" s="184">
        <v>33</v>
      </c>
      <c r="X41" s="134"/>
      <c r="AG41" s="263" t="s">
        <v>398</v>
      </c>
      <c r="AH41" s="263"/>
      <c r="AI41" s="163">
        <f>BOISEMENT!E4</f>
        <v>3</v>
      </c>
      <c r="AJ41" s="134"/>
      <c r="AK41" s="134"/>
      <c r="AL41" s="134"/>
      <c r="AM41" s="134"/>
      <c r="AN41" s="134"/>
      <c r="AO41" s="134"/>
    </row>
    <row r="42" spans="1:42" ht="36" customHeight="1">
      <c r="A42" s="140" t="s">
        <v>406</v>
      </c>
      <c r="B42" s="265" t="s">
        <v>404</v>
      </c>
      <c r="C42" s="265"/>
      <c r="D42" s="141">
        <v>25</v>
      </c>
      <c r="E42" s="141">
        <v>55</v>
      </c>
      <c r="F42" s="141">
        <v>85</v>
      </c>
      <c r="G42" s="141">
        <v>115</v>
      </c>
      <c r="H42" s="141">
        <v>145</v>
      </c>
      <c r="I42" s="141">
        <v>175</v>
      </c>
      <c r="J42" s="141">
        <v>205</v>
      </c>
      <c r="K42" s="141">
        <v>250</v>
      </c>
      <c r="L42" s="141">
        <v>270</v>
      </c>
      <c r="M42" s="141">
        <v>300</v>
      </c>
      <c r="N42" s="141">
        <v>330</v>
      </c>
      <c r="O42" s="141">
        <v>360</v>
      </c>
      <c r="P42" s="141">
        <v>380</v>
      </c>
      <c r="Q42" s="141">
        <v>410</v>
      </c>
      <c r="R42" s="141">
        <v>440</v>
      </c>
      <c r="S42" s="141">
        <v>460</v>
      </c>
      <c r="T42" s="141">
        <v>480</v>
      </c>
      <c r="U42" s="141">
        <v>510</v>
      </c>
      <c r="V42" s="141">
        <v>525</v>
      </c>
      <c r="W42" s="141">
        <v>545</v>
      </c>
      <c r="X42" s="134"/>
      <c r="AG42" s="134"/>
      <c r="AH42" s="134"/>
      <c r="AI42" s="134"/>
      <c r="AJ42" s="134"/>
      <c r="AK42" s="134"/>
      <c r="AL42" s="134"/>
      <c r="AM42" s="134"/>
      <c r="AN42" s="134"/>
      <c r="AO42" s="134"/>
    </row>
    <row r="43" spans="1:42" ht="36" customHeight="1">
      <c r="A43" s="140" t="s">
        <v>407</v>
      </c>
      <c r="B43" s="265" t="s">
        <v>404</v>
      </c>
      <c r="C43" s="265"/>
      <c r="D43" s="142">
        <f>(PI()*D42)/10</f>
        <v>7.8539816339744828</v>
      </c>
      <c r="E43" s="142">
        <f t="shared" ref="E43:W43" si="19">(PI()*E42)/10</f>
        <v>17.278759594743864</v>
      </c>
      <c r="F43" s="142">
        <f t="shared" si="19"/>
        <v>26.703537555513243</v>
      </c>
      <c r="G43" s="142">
        <f t="shared" si="19"/>
        <v>36.128315516282626</v>
      </c>
      <c r="H43" s="142">
        <f t="shared" si="19"/>
        <v>45.553093477052002</v>
      </c>
      <c r="I43" s="142">
        <f t="shared" si="19"/>
        <v>54.977871437821378</v>
      </c>
      <c r="J43" s="142">
        <f t="shared" si="19"/>
        <v>64.402649398590754</v>
      </c>
      <c r="K43" s="142">
        <f t="shared" si="19"/>
        <v>78.539816339744817</v>
      </c>
      <c r="L43" s="142">
        <f t="shared" si="19"/>
        <v>84.823001646924411</v>
      </c>
      <c r="M43" s="142">
        <f t="shared" si="19"/>
        <v>94.247779607693786</v>
      </c>
      <c r="N43" s="142">
        <f t="shared" si="19"/>
        <v>103.67255756846316</v>
      </c>
      <c r="O43" s="142">
        <f t="shared" si="19"/>
        <v>113.09733552923255</v>
      </c>
      <c r="P43" s="142">
        <f t="shared" si="19"/>
        <v>119.38052083641215</v>
      </c>
      <c r="Q43" s="142">
        <f t="shared" si="19"/>
        <v>128.80529879718151</v>
      </c>
      <c r="R43" s="142">
        <f t="shared" si="19"/>
        <v>138.23007675795091</v>
      </c>
      <c r="S43" s="142">
        <f t="shared" si="19"/>
        <v>144.5132620651305</v>
      </c>
      <c r="T43" s="142">
        <f t="shared" si="19"/>
        <v>150.79644737231007</v>
      </c>
      <c r="U43" s="142">
        <f t="shared" si="19"/>
        <v>160.22122533307945</v>
      </c>
      <c r="V43" s="142">
        <f t="shared" si="19"/>
        <v>164.93361431346415</v>
      </c>
      <c r="W43" s="142">
        <f t="shared" si="19"/>
        <v>171.21679962064371</v>
      </c>
      <c r="X43" s="134"/>
      <c r="AG43" s="261" t="s">
        <v>399</v>
      </c>
      <c r="AH43" s="261"/>
      <c r="AI43" s="261"/>
      <c r="AJ43" s="134"/>
      <c r="AK43" s="134"/>
      <c r="AL43" s="134"/>
      <c r="AM43" s="134"/>
      <c r="AN43" s="134"/>
      <c r="AO43" s="134"/>
    </row>
    <row r="44" spans="1:42" ht="36" customHeight="1">
      <c r="A44" s="263" t="s">
        <v>446</v>
      </c>
      <c r="B44" s="135" t="s">
        <v>398</v>
      </c>
      <c r="C44" s="135">
        <v>1</v>
      </c>
      <c r="D44" s="156">
        <v>3</v>
      </c>
      <c r="E44" s="156">
        <v>5</v>
      </c>
      <c r="F44" s="156">
        <v>7</v>
      </c>
      <c r="G44" s="156">
        <v>10</v>
      </c>
      <c r="H44" s="156">
        <f>AVERAGE(I44,G44)</f>
        <v>45</v>
      </c>
      <c r="I44" s="156">
        <v>80</v>
      </c>
      <c r="J44" s="156">
        <f>AVERAGE(K44,I44)</f>
        <v>115</v>
      </c>
      <c r="K44" s="156">
        <v>150</v>
      </c>
      <c r="L44" s="156">
        <f>AVERAGE(M44,K44)</f>
        <v>190</v>
      </c>
      <c r="M44" s="156">
        <v>230</v>
      </c>
      <c r="N44" s="156">
        <f>AVERAGE(O44,M44)</f>
        <v>275</v>
      </c>
      <c r="O44" s="156">
        <v>320</v>
      </c>
      <c r="P44" s="156">
        <f>AVERAGE(O44,Q44)</f>
        <v>360</v>
      </c>
      <c r="Q44" s="156">
        <v>400</v>
      </c>
      <c r="R44" s="156">
        <f>AVERAGE(S44,Q44)</f>
        <v>435</v>
      </c>
      <c r="S44" s="156">
        <v>470</v>
      </c>
      <c r="T44" s="156">
        <f>AVERAGE(U44,S44)</f>
        <v>505</v>
      </c>
      <c r="U44" s="156">
        <v>540</v>
      </c>
      <c r="V44" s="156">
        <f>AVERAGE(W44,U44)</f>
        <v>570</v>
      </c>
      <c r="W44" s="156">
        <v>600</v>
      </c>
      <c r="X44" s="134"/>
      <c r="AG44" s="262" t="s">
        <v>400</v>
      </c>
      <c r="AH44" s="262"/>
      <c r="AI44" s="139">
        <v>0.54200000000000004</v>
      </c>
      <c r="AJ44" s="134"/>
      <c r="AK44" s="134"/>
      <c r="AL44" s="134"/>
      <c r="AM44" s="134"/>
      <c r="AN44" s="134"/>
      <c r="AO44" s="134"/>
    </row>
    <row r="45" spans="1:42" ht="36" customHeight="1">
      <c r="A45" s="263"/>
      <c r="B45" s="135" t="s">
        <v>398</v>
      </c>
      <c r="C45" s="135">
        <v>2</v>
      </c>
      <c r="D45" s="156">
        <v>3</v>
      </c>
      <c r="E45" s="156">
        <v>5</v>
      </c>
      <c r="F45" s="156">
        <v>7</v>
      </c>
      <c r="G45" s="156">
        <v>10</v>
      </c>
      <c r="H45" s="156">
        <f>AVERAGE(I45,G45)</f>
        <v>35</v>
      </c>
      <c r="I45" s="156">
        <v>60</v>
      </c>
      <c r="J45" s="156">
        <f>AVERAGE(K45,I45)</f>
        <v>92.5</v>
      </c>
      <c r="K45" s="156">
        <v>125</v>
      </c>
      <c r="L45" s="156">
        <f>AVERAGE(M45,K45)</f>
        <v>162.5</v>
      </c>
      <c r="M45" s="156">
        <v>200</v>
      </c>
      <c r="N45" s="156">
        <f>AVERAGE(O45,M45)</f>
        <v>230</v>
      </c>
      <c r="O45" s="156">
        <v>260</v>
      </c>
      <c r="P45" s="156">
        <f>AVERAGE(O45,Q45)</f>
        <v>292.5</v>
      </c>
      <c r="Q45" s="156">
        <v>325</v>
      </c>
      <c r="R45" s="156">
        <f>AVERAGE(S45,Q45)</f>
        <v>352.5</v>
      </c>
      <c r="S45" s="156">
        <v>380</v>
      </c>
      <c r="T45" s="156">
        <f>AVERAGE(U45,S45)</f>
        <v>410</v>
      </c>
      <c r="U45" s="156">
        <v>440</v>
      </c>
      <c r="V45" s="156">
        <f>AVERAGE(W45,U45)</f>
        <v>460</v>
      </c>
      <c r="W45" s="156">
        <v>480</v>
      </c>
      <c r="X45" s="134"/>
      <c r="AG45" s="262" t="s">
        <v>401</v>
      </c>
      <c r="AH45" s="262"/>
      <c r="AI45" s="139">
        <v>0.66100000000000003</v>
      </c>
      <c r="AJ45" s="134"/>
      <c r="AK45" s="134"/>
      <c r="AL45" s="134"/>
      <c r="AM45" s="134"/>
      <c r="AN45" s="134"/>
      <c r="AO45" s="134"/>
    </row>
    <row r="46" spans="1:42" ht="36" customHeight="1">
      <c r="A46" s="263"/>
      <c r="B46" s="135" t="s">
        <v>398</v>
      </c>
      <c r="C46" s="135">
        <v>3</v>
      </c>
      <c r="D46" s="156">
        <v>3</v>
      </c>
      <c r="E46" s="156">
        <v>5</v>
      </c>
      <c r="F46" s="156">
        <v>7</v>
      </c>
      <c r="G46" s="156">
        <v>10</v>
      </c>
      <c r="H46" s="156">
        <f>AVERAGE(I46,G46)</f>
        <v>17.5</v>
      </c>
      <c r="I46" s="156">
        <v>25</v>
      </c>
      <c r="J46" s="156">
        <f>AVERAGE(K46,I46)</f>
        <v>52.5</v>
      </c>
      <c r="K46" s="156">
        <v>80</v>
      </c>
      <c r="L46" s="156">
        <f>AVERAGE(M46,K46)</f>
        <v>105</v>
      </c>
      <c r="M46" s="156">
        <v>130</v>
      </c>
      <c r="N46" s="156">
        <f>AVERAGE(O46,M46)</f>
        <v>157.5</v>
      </c>
      <c r="O46" s="156">
        <v>185</v>
      </c>
      <c r="P46" s="156">
        <f>AVERAGE(O46,Q46)</f>
        <v>217.5</v>
      </c>
      <c r="Q46" s="156">
        <v>250</v>
      </c>
      <c r="R46" s="156">
        <f>AVERAGE(S46,Q46)</f>
        <v>275</v>
      </c>
      <c r="S46" s="156">
        <v>300</v>
      </c>
      <c r="T46" s="156">
        <f>AVERAGE(U46,S46)</f>
        <v>325</v>
      </c>
      <c r="U46" s="156">
        <v>350</v>
      </c>
      <c r="V46" s="156">
        <f>AVERAGE(W46,U46)</f>
        <v>375</v>
      </c>
      <c r="W46" s="156">
        <v>400</v>
      </c>
      <c r="X46" s="134"/>
      <c r="AG46" s="262" t="s">
        <v>402</v>
      </c>
      <c r="AH46" s="262"/>
      <c r="AI46" s="139">
        <v>-2E-3</v>
      </c>
      <c r="AJ46" s="134"/>
      <c r="AK46" s="134"/>
      <c r="AL46" s="134"/>
      <c r="AM46" s="134"/>
      <c r="AN46" s="134"/>
      <c r="AO46" s="134"/>
    </row>
    <row r="47" spans="1:42" ht="36" customHeight="1">
      <c r="A47" s="261" t="s">
        <v>415</v>
      </c>
      <c r="B47" s="262" t="s">
        <v>471</v>
      </c>
      <c r="C47" s="262"/>
      <c r="D47" s="149">
        <f t="shared" ref="D47:W47" si="20">IF($AI$41=$C$44,D44,IF($AI$41=$C$45,D45,IF($AI$41=$C$46,D46)))</f>
        <v>3</v>
      </c>
      <c r="E47" s="149">
        <f t="shared" si="20"/>
        <v>5</v>
      </c>
      <c r="F47" s="149">
        <f t="shared" si="20"/>
        <v>7</v>
      </c>
      <c r="G47" s="149">
        <f t="shared" si="20"/>
        <v>10</v>
      </c>
      <c r="H47" s="149">
        <f t="shared" si="20"/>
        <v>17.5</v>
      </c>
      <c r="I47" s="149">
        <f t="shared" si="20"/>
        <v>25</v>
      </c>
      <c r="J47" s="149">
        <f t="shared" si="20"/>
        <v>52.5</v>
      </c>
      <c r="K47" s="149">
        <f t="shared" si="20"/>
        <v>80</v>
      </c>
      <c r="L47" s="149">
        <f t="shared" si="20"/>
        <v>105</v>
      </c>
      <c r="M47" s="149">
        <f t="shared" si="20"/>
        <v>130</v>
      </c>
      <c r="N47" s="149">
        <f t="shared" si="20"/>
        <v>157.5</v>
      </c>
      <c r="O47" s="149">
        <f t="shared" si="20"/>
        <v>185</v>
      </c>
      <c r="P47" s="149">
        <f t="shared" si="20"/>
        <v>217.5</v>
      </c>
      <c r="Q47" s="149">
        <f t="shared" si="20"/>
        <v>250</v>
      </c>
      <c r="R47" s="149">
        <f t="shared" si="20"/>
        <v>275</v>
      </c>
      <c r="S47" s="149">
        <f t="shared" si="20"/>
        <v>300</v>
      </c>
      <c r="T47" s="149">
        <f t="shared" si="20"/>
        <v>325</v>
      </c>
      <c r="U47" s="149">
        <f t="shared" si="20"/>
        <v>350</v>
      </c>
      <c r="V47" s="149">
        <f t="shared" si="20"/>
        <v>375</v>
      </c>
      <c r="W47" s="149">
        <f t="shared" si="20"/>
        <v>400</v>
      </c>
      <c r="X47" s="134"/>
      <c r="AG47" s="262" t="s">
        <v>405</v>
      </c>
      <c r="AH47" s="262"/>
      <c r="AI47" s="139">
        <v>0.51500000000000001</v>
      </c>
      <c r="AJ47" s="134"/>
      <c r="AK47" s="134"/>
      <c r="AL47" s="134"/>
      <c r="AM47" s="134"/>
      <c r="AN47" s="134"/>
      <c r="AO47" s="134"/>
    </row>
    <row r="48" spans="1:42" ht="36" customHeight="1">
      <c r="A48" s="261"/>
      <c r="B48" s="262" t="s">
        <v>451</v>
      </c>
      <c r="C48" s="262"/>
      <c r="D48" s="149">
        <f>D47*((AI40/AI39)*AI38)</f>
        <v>7.9305194805194814</v>
      </c>
      <c r="E48" s="149">
        <f t="shared" ref="E48:P48" si="21">(E47*(($AI$40/$AI$39)*$AI$38))-D51</f>
        <v>13.217532467532468</v>
      </c>
      <c r="F48" s="149">
        <f t="shared" si="21"/>
        <v>18.504545454545458</v>
      </c>
      <c r="G48" s="149">
        <f t="shared" si="21"/>
        <v>26.435064935064936</v>
      </c>
      <c r="H48" s="149">
        <f t="shared" si="21"/>
        <v>46.26136363636364</v>
      </c>
      <c r="I48" s="149">
        <f t="shared" si="21"/>
        <v>66.087662337662351</v>
      </c>
      <c r="J48" s="149">
        <f t="shared" si="21"/>
        <v>111.68814935064937</v>
      </c>
      <c r="K48" s="149">
        <f t="shared" si="21"/>
        <v>177.97407467532469</v>
      </c>
      <c r="L48" s="149">
        <f t="shared" si="21"/>
        <v>234.85440389610395</v>
      </c>
      <c r="M48" s="149">
        <f t="shared" si="21"/>
        <v>291.98787529870134</v>
      </c>
      <c r="N48" s="149">
        <f t="shared" si="21"/>
        <v>355.03481891454544</v>
      </c>
      <c r="O48" s="149">
        <f t="shared" si="21"/>
        <v>425.14243389408318</v>
      </c>
      <c r="P48" s="149">
        <f t="shared" si="21"/>
        <v>511.19129725354998</v>
      </c>
      <c r="Q48" s="149">
        <f t="shared" ref="Q48" si="22">(Q47*(($AI$40/$AI$39)*$AI$38))-P51</f>
        <v>660.87662337662346</v>
      </c>
      <c r="R48" s="149">
        <f t="shared" ref="R48" si="23">(R47*(($AI$40/$AI$39)*$AI$38))-Q51</f>
        <v>594.78896103896113</v>
      </c>
      <c r="S48" s="149">
        <f t="shared" ref="S48" si="24">(S47*(($AI$40/$AI$39)*$AI$38))-R51</f>
        <v>691.93782467532469</v>
      </c>
      <c r="T48" s="149">
        <f t="shared" ref="T48" si="25">(T47*(($AI$40/$AI$39)*$AI$38))-S51</f>
        <v>859.13961038961054</v>
      </c>
      <c r="U48" s="149">
        <f t="shared" ref="U48" si="26">(U47*(($AI$40/$AI$39)*$AI$38))-T51</f>
        <v>770.58214285714303</v>
      </c>
      <c r="V48" s="149">
        <f t="shared" ref="V48:W48" si="27">(V47*(($AI$40/$AI$39)*$AI$38))-U51</f>
        <v>837.19850649350656</v>
      </c>
      <c r="W48" s="149">
        <f t="shared" si="27"/>
        <v>1057.4025974025976</v>
      </c>
      <c r="X48" s="134"/>
      <c r="AG48" s="134"/>
      <c r="AH48" s="134"/>
      <c r="AI48" s="134"/>
      <c r="AJ48" s="134"/>
      <c r="AK48" s="134"/>
      <c r="AL48" s="134"/>
      <c r="AM48" s="134"/>
      <c r="AN48" s="134"/>
      <c r="AO48" s="134"/>
    </row>
    <row r="49" spans="1:41" ht="36" customHeight="1">
      <c r="A49" s="261"/>
      <c r="B49" s="262" t="s">
        <v>452</v>
      </c>
      <c r="C49" s="262"/>
      <c r="D49" s="149">
        <f>D48*COEFFICIENTS!$B$42</f>
        <v>4.3617857142857153</v>
      </c>
      <c r="E49" s="149">
        <f>E48*COEFFICIENTS!$B$42</f>
        <v>7.2696428571428582</v>
      </c>
      <c r="F49" s="149">
        <f>F48*COEFFICIENTS!$B$42</f>
        <v>10.177500000000002</v>
      </c>
      <c r="G49" s="149">
        <f>G48*COEFFICIENTS!$B$42</f>
        <v>14.539285714285716</v>
      </c>
      <c r="H49" s="149">
        <f>H48*COEFFICIENTS!$B$42</f>
        <v>25.443750000000005</v>
      </c>
      <c r="I49" s="149">
        <f>I48*COEFFICIENTS!$B$42</f>
        <v>36.348214285714299</v>
      </c>
      <c r="J49" s="149">
        <f>J48*COEFFICIENTS!$B$42</f>
        <v>61.428482142857156</v>
      </c>
      <c r="K49" s="149">
        <f>K48*COEFFICIENTS!$B$42</f>
        <v>97.885741071428583</v>
      </c>
      <c r="L49" s="149">
        <f>L48*COEFFICIENTS!$B$42</f>
        <v>129.16992214285719</v>
      </c>
      <c r="M49" s="149">
        <f>M48*COEFFICIENTS!$B$42</f>
        <v>160.59333141428576</v>
      </c>
      <c r="N49" s="149">
        <f>N48*COEFFICIENTS!$B$42</f>
        <v>195.269150403</v>
      </c>
      <c r="O49" s="149">
        <f>O48*COEFFICIENTS!$B$42</f>
        <v>233.82833864174577</v>
      </c>
      <c r="P49" s="149">
        <f>P48*COEFFICIENTS!$B$42</f>
        <v>281.15521348945254</v>
      </c>
      <c r="Q49" s="149">
        <f>Q48*COEFFICIENTS!$B$42</f>
        <v>363.48214285714295</v>
      </c>
      <c r="R49" s="149">
        <f>R48*COEFFICIENTS!$B$42</f>
        <v>327.13392857142867</v>
      </c>
      <c r="S49" s="149">
        <f>S48*COEFFICIENTS!$B$42</f>
        <v>380.5658035714286</v>
      </c>
      <c r="T49" s="149">
        <f>T48*COEFFICIENTS!$B$42</f>
        <v>472.52678571428584</v>
      </c>
      <c r="U49" s="149">
        <f>U48*COEFFICIENTS!$B$42</f>
        <v>423.8201785714287</v>
      </c>
      <c r="V49" s="149">
        <f>V48*COEFFICIENTS!$B$42</f>
        <v>460.45917857142865</v>
      </c>
      <c r="W49" s="149">
        <f>W48*COEFFICIENTS!$B$42</f>
        <v>581.57142857142878</v>
      </c>
      <c r="X49" s="134"/>
      <c r="AG49" s="143" t="s">
        <v>408</v>
      </c>
      <c r="AH49" s="135" t="s">
        <v>392</v>
      </c>
      <c r="AI49" s="135" t="s">
        <v>420</v>
      </c>
      <c r="AJ49" s="135" t="s">
        <v>409</v>
      </c>
      <c r="AK49" s="135" t="s">
        <v>410</v>
      </c>
      <c r="AL49" s="135" t="s">
        <v>232</v>
      </c>
      <c r="AM49" s="135" t="s">
        <v>411</v>
      </c>
      <c r="AN49" s="135" t="s">
        <v>258</v>
      </c>
      <c r="AO49" s="135" t="s">
        <v>259</v>
      </c>
    </row>
    <row r="50" spans="1:41" ht="36" customHeight="1">
      <c r="A50" s="261"/>
      <c r="B50" s="262" t="s">
        <v>450</v>
      </c>
      <c r="C50" s="262"/>
      <c r="D50" s="149">
        <f t="shared" ref="D50:W50" si="28">IF(D38=$AH$50,$AK$50*D49,IF(D38=$AH$51,$AK$51*D49,IF(D38=$AH$52,$AK$52*D49,IF(D38=$AH$53,$AK$53*D49,IF(D38=$AH$54,$AK$54*D49,IF(D38=$AH$55,$AK$55*D49,IF(D38=$AH$56,$AK$56*D49,IF(D38=$AH$57,$AK$57*D49,IF(D38=$AH$58,$AK$58*D49,IF(D38=$AH$59,$AK$59*D49,IF(D38=$AH$60,$AK$60*D49,IF(D38=$AH$61,$AK$61*D49,0))))))))))))</f>
        <v>0</v>
      </c>
      <c r="E50" s="149">
        <f t="shared" si="28"/>
        <v>0</v>
      </c>
      <c r="F50" s="149">
        <f t="shared" si="28"/>
        <v>0</v>
      </c>
      <c r="G50" s="149">
        <f t="shared" si="28"/>
        <v>0</v>
      </c>
      <c r="H50" s="149">
        <f t="shared" si="28"/>
        <v>0</v>
      </c>
      <c r="I50" s="149">
        <f t="shared" si="28"/>
        <v>14.902767857142862</v>
      </c>
      <c r="J50" s="149">
        <f t="shared" si="28"/>
        <v>18.428544642857148</v>
      </c>
      <c r="K50" s="149">
        <f t="shared" si="28"/>
        <v>23.492577857142859</v>
      </c>
      <c r="L50" s="149">
        <f t="shared" si="28"/>
        <v>28.417382871428583</v>
      </c>
      <c r="M50" s="149">
        <f t="shared" si="28"/>
        <v>33.724599597000008</v>
      </c>
      <c r="N50" s="149">
        <f t="shared" si="28"/>
        <v>35.148447072540002</v>
      </c>
      <c r="O50" s="149">
        <f t="shared" si="28"/>
        <v>35.074250796261865</v>
      </c>
      <c r="P50" s="149">
        <f t="shared" si="28"/>
        <v>0</v>
      </c>
      <c r="Q50" s="149">
        <f t="shared" si="28"/>
        <v>72.696428571428598</v>
      </c>
      <c r="R50" s="149">
        <f t="shared" si="28"/>
        <v>55.612767857142877</v>
      </c>
      <c r="S50" s="149">
        <f t="shared" si="28"/>
        <v>0</v>
      </c>
      <c r="T50" s="149">
        <f t="shared" si="28"/>
        <v>85.054821428571444</v>
      </c>
      <c r="U50" s="149">
        <f t="shared" si="28"/>
        <v>84.76403571428574</v>
      </c>
      <c r="V50" s="149">
        <f t="shared" si="28"/>
        <v>0</v>
      </c>
      <c r="W50" s="149">
        <f t="shared" si="28"/>
        <v>581.57142857142878</v>
      </c>
      <c r="X50" s="134"/>
      <c r="AG50" s="135" t="s">
        <v>412</v>
      </c>
      <c r="AH50" s="145">
        <v>30</v>
      </c>
      <c r="AI50" s="145">
        <f>I42</f>
        <v>175</v>
      </c>
      <c r="AJ50" s="156">
        <f>(1-AK50)*(AI39/AI38)</f>
        <v>669.56521739130449</v>
      </c>
      <c r="AK50" s="146">
        <v>0.41</v>
      </c>
      <c r="AL50" s="146">
        <v>1</v>
      </c>
      <c r="AM50" s="146">
        <v>0</v>
      </c>
      <c r="AN50" s="146">
        <v>0</v>
      </c>
      <c r="AO50" s="146">
        <v>0</v>
      </c>
    </row>
    <row r="51" spans="1:41" ht="36" customHeight="1">
      <c r="A51" s="261"/>
      <c r="B51" s="262" t="s">
        <v>453</v>
      </c>
      <c r="C51" s="262"/>
      <c r="D51" s="149">
        <f>D50/COEFFICIENTS!$B$42</f>
        <v>0</v>
      </c>
      <c r="E51" s="149">
        <f>E50/COEFFICIENTS!$B$42</f>
        <v>0</v>
      </c>
      <c r="F51" s="149">
        <f>F50/COEFFICIENTS!$B$42</f>
        <v>0</v>
      </c>
      <c r="G51" s="149">
        <f>G50/COEFFICIENTS!$B$42</f>
        <v>0</v>
      </c>
      <c r="H51" s="149">
        <f>H50/COEFFICIENTS!$B$42</f>
        <v>0</v>
      </c>
      <c r="I51" s="149">
        <f>I50/COEFFICIENTS!$B$42</f>
        <v>27.095941558441567</v>
      </c>
      <c r="J51" s="149">
        <f>J50/COEFFICIENTS!$B$42</f>
        <v>33.50644480519481</v>
      </c>
      <c r="K51" s="149">
        <f>K50/COEFFICIENTS!$B$42</f>
        <v>42.713777922077924</v>
      </c>
      <c r="L51" s="149">
        <f>L50/COEFFICIENTS!$B$42</f>
        <v>51.667968857142874</v>
      </c>
      <c r="M51" s="149">
        <f>M50/COEFFICIENTS!$B$42</f>
        <v>61.31745381272728</v>
      </c>
      <c r="N51" s="149">
        <f>N50/COEFFICIENTS!$B$42</f>
        <v>63.906267404618177</v>
      </c>
      <c r="O51" s="149">
        <f>O50/COEFFICIENTS!$B$42</f>
        <v>63.771365084112475</v>
      </c>
      <c r="P51" s="149">
        <f>P50/COEFFICIENTS!$B$42</f>
        <v>0</v>
      </c>
      <c r="Q51" s="149">
        <f>Q50/COEFFICIENTS!$B$42</f>
        <v>132.1753246753247</v>
      </c>
      <c r="R51" s="149">
        <f>R50/COEFFICIENTS!$B$42</f>
        <v>101.11412337662341</v>
      </c>
      <c r="S51" s="149">
        <f>S50/COEFFICIENTS!$B$42</f>
        <v>0</v>
      </c>
      <c r="T51" s="149">
        <f>T50/COEFFICIENTS!$B$42</f>
        <v>154.64512987012989</v>
      </c>
      <c r="U51" s="149">
        <f>U50/COEFFICIENTS!$B$42</f>
        <v>154.1164285714286</v>
      </c>
      <c r="V51" s="149">
        <f>V50/COEFFICIENTS!$B$42</f>
        <v>0</v>
      </c>
      <c r="W51" s="149">
        <f>W50/COEFFICIENTS!$B$42</f>
        <v>1057.4025974025976</v>
      </c>
      <c r="X51" s="134"/>
      <c r="AG51" s="135" t="s">
        <v>413</v>
      </c>
      <c r="AH51" s="145">
        <f>AH50+5</f>
        <v>35</v>
      </c>
      <c r="AI51" s="145">
        <f>J42</f>
        <v>205</v>
      </c>
      <c r="AJ51" s="156">
        <f>(1-AK51)*AJ50</f>
        <v>468.69565217391312</v>
      </c>
      <c r="AK51" s="146">
        <v>0.3</v>
      </c>
      <c r="AL51" s="146">
        <v>0.7</v>
      </c>
      <c r="AM51" s="146">
        <v>0.3</v>
      </c>
      <c r="AN51" s="146">
        <v>0</v>
      </c>
      <c r="AO51" s="146">
        <v>0</v>
      </c>
    </row>
    <row r="52" spans="1:41" ht="36" customHeight="1">
      <c r="A52" s="261"/>
      <c r="B52" s="262" t="s">
        <v>458</v>
      </c>
      <c r="C52" s="262"/>
      <c r="D52" s="151">
        <f>IF(D38=AH50,AL50,IF(D38=AH51,AL51,IF(D38=AH52,AL52,IF(D38=AH53,AL53,IF(D38=AH54,AL54,IF(D38=AH55,AL55,IF(D38=AH56,AL56,IF(D38=AH57,AL57,IF(D38=AH58,AL58,IF(D38=AH59,AL59,IF(D38=AH60,AL60,IF(D38=AH61,AL61,0))))))))))))</f>
        <v>0</v>
      </c>
      <c r="E52" s="151">
        <f>IF(E38=AH50,AL50,IF(E38=AH51,AL51,IF(E38=AH52,AL52,IF(E38=AH53,AL53,IF(E38=AH54,AL54,IF(E38=AH55,AL55,IF(E38=AH56,AL56,IF(E38=AH57,AL57,IF(E38=AH58,AL58,IF(E38=AH59,AL59,IF(E38=AH60,AL60,IF(E38=AH61,AL61,0))))))))))))</f>
        <v>0</v>
      </c>
      <c r="F52" s="151">
        <f>IF(F38=AH50,AL50,IF(F38=AH51,AL51,IF(F38=AH52,AL52,IF(F38=AH53,AL53,IF(F38=AH54,AL54,IF(F38=AH55,AL55,IF(F38=AH56,AL56,IF(F38=AH57,AL57,IF(F38=AH58,AL58,IF(F38=AH59,AL59,IF(F38=AH60,AL60,IF(F38=AH61,AL61,0))))))))))))</f>
        <v>0</v>
      </c>
      <c r="G52" s="151">
        <f>IF(G38=AH50,AL50,IF(G38=AH51,AL51,IF(G38=AH52,AL52,IF(G38=AH53,AL53,IF(G38=AH54,AL54,IF(G38=AH55,AL55,IF(G38=AH56,AL56,IF(G38=AH57,AL57,IF(G38=AH58,AL58,IF(G38=AH59,AL59,IF(G38=AH60,AL60,IF(G38=AH61,AL61,0))))))))))))</f>
        <v>0</v>
      </c>
      <c r="H52" s="151">
        <f>IF(H38=AH50,AL50,IF(H38=AH51,AL51,IF(H38=AH52,AL52,IF(H38=AH53,AL53,IF(H38=AH54,AL54,IF(H38=AH55,AL55,IF(H38=AH56,AL56,IF(H38=AH57,AL57,IF(H38=AH58,AL58,IF(H38=AH59,AL59,IF(H38=AH60,AL60,IF(H38=AH61,AL61,0))))))))))))</f>
        <v>0</v>
      </c>
      <c r="I52" s="151">
        <f>IF(I38=AH50,AL50,IF(I38=AH51,AL51,IF(I38=AH52,AL52,IF(I38=AH53,AL53,IF(I38=AH54,AL54,IF(I38=AH55,AL55,IF(I38=AH56,AL56,IF(I38=AH57,AL57,IF(I38=AH58,AL58,IF(I38=AH59,AL59,IF(I38=AH60,AL60,IF(I38=AH61,AL61,0))))))))))))</f>
        <v>1</v>
      </c>
      <c r="J52" s="151">
        <f>IF(J38=AH50,AL50,IF(J38=AH51,AL51,IF(J38=AH52,AL52,IF(J38=AH53,AL53,IF(J38=AH54,AL54,IF(J38=AH55,AL55,IF(J38=AH56,AL56,IF(J38=AH57,AL57,IF(J38=AH58,AL58,IF(J38=AH59,AL59,IF(J38=AH60,AL60,IF(J38=AH61,AL61,0))))))))))))</f>
        <v>0.7</v>
      </c>
      <c r="K52" s="151">
        <f>IF(K38=AH50,AL50,IF(K38=AH51,AL51,IF(K38=AH52,AL52,IF(K38=AH53,AL53,IF(K38=AH54,AL54,IF(K38=AH55,AL55,IF(K38=AH56,AL56,IF(K38=AH57,AL57,IF(K38=AH58,AL58,IF(K38=AH59,AL59,IF(K38=AH60,AL60,IF(K38=AH61,AL61,0))))))))))))</f>
        <v>0.7</v>
      </c>
      <c r="L52" s="151">
        <f>IF(L38=AH50,AL50,IF(L38=AH51,AL51,IF(L38=AH52,AL52,IF(L38=AH53,AL53,IF(L38=AH54,AL54,IF(L38=AH55,AL55,IF(L38=AH56,AL56,IF(L38=AH57,AL57,IF(L38=AH58,AL58,IF(L38=AH59,AL59,IF(L38=AH60,AL60,IF(L38=AH61,AL61,0))))))))))))</f>
        <v>0.2</v>
      </c>
      <c r="M52" s="151">
        <f>IF(M38=AH50,AL50,IF(M38=AH51,AL51,IF(M38=AH52,AL52,IF(M38=AH53,AL53,IF(M38=AH54,AL54,IF(M38=AH55,AL55,IF(M38=AH56,AL56,IF(M38=AH57,AL57,IF(M38=AH58,AL58,IF(M38=AH59,AL59,IF(M38=AH60,AL60,IF(M38=AH61,AL61,0))))))))))))</f>
        <v>0.4</v>
      </c>
      <c r="N52" s="151">
        <f>IF(N38=AH50,AL50,IF(N38=AH51,AL51,IF(N38=AH52,AL52,IF(N38=AH53,AL53,IF(N38=AH54,AL54,IF(N38=AH55,AL55,IF(N38=AH56,AL56,IF(N38=AH57,AL57,IF(N38=AH58,AL58,IF(N38=AH59,AL59,IF(N38=AH60,AL60,IF(N38=AH61,AL61,0))))))))))))</f>
        <v>0.3</v>
      </c>
      <c r="O52" s="151">
        <f>IF(O38=AH50,AL50,IF(O38=AH51,AL51,IF(O38=AH52,AL52,IF(O38=AH53,AL53,IF(O38=AH54,AL54,IF(O38=AH55,AL55,IF(O38=AH56,AL56,IF(O38=AH57,AL57,IF(O38=AH58,AL58,IF(O38=AH59,AL59,IF(O38=AH60,AL60,IF(O38=AH61,AL61,0))))))))))))</f>
        <v>0.2</v>
      </c>
      <c r="P52" s="151">
        <f>IF(P38=AH50,AL50,IF(P38=AH51,AL51,IF(P38=AH52,AL52,IF(P38=AH53,AL53,IF(P38=AH54,AL54,IF(P38=AH55,AL55,IF(P38=AH56,AL56,IF(P38=AH57,AL57,IF(P38=AH58,AL58,IF(P38=AH59,AL59,IF(P38=AH60,AL60,IF(P38=AH61,AL61,0))))))))))))</f>
        <v>0</v>
      </c>
      <c r="Q52" s="151">
        <f>IF(Q38=AH50,AL50,IF(Q38=AH51,AL51,IF(Q38=AH52,AL52,IF(Q38=AH53,AL53,IF(Q38=AH54,AL54,IF(Q38=AH55,AL55,IF(Q38=AH56,AL56,IF(Q38=AH57,AL57,IF(Q38=AH58,AL58,IF(Q38=AH59,AL59,IF(Q38=AH60,AL60,IF(Q38=AH61,AL61,0))))))))))))</f>
        <v>0.2</v>
      </c>
      <c r="R52" s="151">
        <f>IF(R38=AH50,AL50,IF(R38=AH51,AL51,IF(R38=AH52,AL52,IF(R38=AH53,AL53,IF(R38=AH54,AL54,IF(R38=AH55,AL55,IF(R38=AH56,AL56,IF(R38=AH57,AL57,IF(R38=AH58,AL58,IF(R38=AH59,AL59,IF(R38=AH60,AL60,IF(R38=AH61,AL61,0))))))))))))</f>
        <v>0.2</v>
      </c>
      <c r="S52" s="151">
        <f>IF(S38=AH50,AL50,IF(S38=AH51,AL51,IF(S38=AH52,AL52,IF(S38=AH53,AL53,IF(S38=AH54,AL54,IF(S38=AH55,AL55,IF(S38=AH56,AL56,IF(S38=AH57,AL57,IF(S38=AH58,AL58,IF(S38=AH59,AL59,IF(S38=AH60,AL60,IF(S38=AH61,AL61,0))))))))))))</f>
        <v>0</v>
      </c>
      <c r="T52" s="151">
        <f>IF(T38=AH50,AL50,IF(T38=AH51,AL51,IF(T38=AH52,AL52,IF(T38=AH53,AL53,IF(T38=AH54,AL54,IF(T38=AH55,AL55,IF(T38=AH56,AL56,IF(T38=AH57,AL57,IF(T38=AH58,AL58,IF(T38=AH59,AL59,IF(T38=AH60,AL60,IF(T38=AH61,AL61,0))))))))))))</f>
        <v>0.3</v>
      </c>
      <c r="U52" s="151">
        <f>IF(U38=AH50,AL50,IF(U38=AH51,AL51,IF(U38=AH52,AL52,IF(U38=AH53,AL53,IF(U38=AH54,AL54,IF(U38=AH55,AL55,IF(U38=AH56,AL56,IF(U38=AH57,AL57,IF(U38=AH58,AL58,IF(U38=AH59,AL59,IF(U38=AH60,AL60,IF(U38=AH61,AL61,0))))))))))))</f>
        <v>0.1</v>
      </c>
      <c r="V52" s="151">
        <f>IF(V38=AH50,AL50,IF(V38=AH51,AL51,IF(V38=AH52,AL52,IF(V38=AH53,AL53,IF(V38=AH54,AL54,IF(V38=AH55,AL55,IF(V38=AH56,AL56,IF(V38=AH57,AL57,IF(V38=AH58,AL58,IF(V38=AH59,AL59,IF(V38=AH60,AL60,IF(V38=AH61,AL61,0))))))))))))</f>
        <v>0</v>
      </c>
      <c r="W52" s="151">
        <f>IF(W38=AH50,AL50,IF(W38=AH51,AL51,IF(W38=AH52,AL52,IF(W38=AH53,AL53,IF(W38=AH54,AL54,IF(W38=AH55,AL55,IF(W38=AH56,AL56,IF(W38=AH57,AL57,IF(W38=AH58,AL58,IF(W38=AH59,AL59,IF(W38=AH60,AL60,IF(W38=AH61,AL61,0))))))))))))</f>
        <v>0.1</v>
      </c>
      <c r="X52" s="134"/>
      <c r="AG52" s="135" t="s">
        <v>421</v>
      </c>
      <c r="AH52" s="145">
        <f t="shared" ref="AH52:AH56" si="29">AH51+5</f>
        <v>40</v>
      </c>
      <c r="AI52" s="145">
        <f>K42</f>
        <v>250</v>
      </c>
      <c r="AJ52" s="156">
        <f t="shared" ref="AJ52:AJ60" si="30">(1-AK52)*AJ51</f>
        <v>356.20869565217396</v>
      </c>
      <c r="AK52" s="146">
        <v>0.24</v>
      </c>
      <c r="AL52" s="146">
        <v>0.7</v>
      </c>
      <c r="AM52" s="146">
        <v>0.3</v>
      </c>
      <c r="AN52" s="146">
        <v>0</v>
      </c>
      <c r="AO52" s="146">
        <v>0</v>
      </c>
    </row>
    <row r="53" spans="1:41" ht="36" customHeight="1">
      <c r="A53" s="261"/>
      <c r="B53" s="262" t="s">
        <v>454</v>
      </c>
      <c r="C53" s="262"/>
      <c r="D53" s="152">
        <f>D52*D50</f>
        <v>0</v>
      </c>
      <c r="E53" s="152">
        <f t="shared" ref="E53:W53" si="31">E52*E50</f>
        <v>0</v>
      </c>
      <c r="F53" s="152">
        <f t="shared" si="31"/>
        <v>0</v>
      </c>
      <c r="G53" s="152">
        <f t="shared" si="31"/>
        <v>0</v>
      </c>
      <c r="H53" s="152">
        <f t="shared" si="31"/>
        <v>0</v>
      </c>
      <c r="I53" s="152">
        <f t="shared" si="31"/>
        <v>14.902767857142862</v>
      </c>
      <c r="J53" s="152">
        <f t="shared" si="31"/>
        <v>12.899981250000003</v>
      </c>
      <c r="K53" s="152">
        <f t="shared" si="31"/>
        <v>16.4448045</v>
      </c>
      <c r="L53" s="152">
        <f t="shared" si="31"/>
        <v>5.6834765742857165</v>
      </c>
      <c r="M53" s="152">
        <f t="shared" si="31"/>
        <v>13.489839838800004</v>
      </c>
      <c r="N53" s="152">
        <f t="shared" si="31"/>
        <v>10.544534121762</v>
      </c>
      <c r="O53" s="152">
        <f t="shared" si="31"/>
        <v>7.0148501592523731</v>
      </c>
      <c r="P53" s="152">
        <f t="shared" si="31"/>
        <v>0</v>
      </c>
      <c r="Q53" s="152">
        <f t="shared" si="31"/>
        <v>14.53928571428572</v>
      </c>
      <c r="R53" s="152">
        <f t="shared" si="31"/>
        <v>11.122553571428575</v>
      </c>
      <c r="S53" s="152">
        <f t="shared" si="31"/>
        <v>0</v>
      </c>
      <c r="T53" s="152">
        <f t="shared" si="31"/>
        <v>25.516446428571431</v>
      </c>
      <c r="U53" s="152">
        <f t="shared" si="31"/>
        <v>8.476403571428575</v>
      </c>
      <c r="V53" s="152">
        <f t="shared" si="31"/>
        <v>0</v>
      </c>
      <c r="W53" s="152">
        <f t="shared" si="31"/>
        <v>58.15714285714288</v>
      </c>
      <c r="X53" s="134"/>
      <c r="AG53" s="135" t="s">
        <v>422</v>
      </c>
      <c r="AH53" s="145">
        <f t="shared" si="29"/>
        <v>45</v>
      </c>
      <c r="AI53" s="145">
        <f>L42</f>
        <v>270</v>
      </c>
      <c r="AJ53" s="156">
        <f t="shared" si="30"/>
        <v>277.8427826086957</v>
      </c>
      <c r="AK53" s="146">
        <v>0.22</v>
      </c>
      <c r="AL53" s="146">
        <v>0.2</v>
      </c>
      <c r="AM53" s="146">
        <v>0.1</v>
      </c>
      <c r="AN53" s="146">
        <v>0.3</v>
      </c>
      <c r="AO53" s="146">
        <v>0</v>
      </c>
    </row>
    <row r="54" spans="1:41" ht="36" customHeight="1">
      <c r="A54" s="261"/>
      <c r="B54" s="262" t="s">
        <v>459</v>
      </c>
      <c r="C54" s="262"/>
      <c r="D54" s="151">
        <f>IF(D38=AH50,AM50,IF(D38=AH51,AM51,IF(D38=AH52,AM52,IF(D38=AH53,AM53,IF(D38=AH54,AM54,IF(D38=AH55,AM55,IF(D38=AH56,AM56,IF(D38=AH57,AM57,IF(D38=AH58,AM58,IF(D38=AH59,AM59,IF(D38=AH60,AM60,IF(D38=AH61,AM61,0))))))))))))</f>
        <v>0</v>
      </c>
      <c r="E54" s="151">
        <f>IF(E38=AH50,AM50,IF(E38=AH51,AM51,IF(E38=AH52,AM52,IF(E38=AH53,AM53,IF(E38=AH54,AM54,IF(E38=AH55,AM55,IF(E38=AH56,AM56,IF(E38=AH57,AM57,IF(E38=AH58,AM58,IF(E38=AH59,AM59,IF(E38=AH60,AM60,IF(E38=AH61,AM61,0))))))))))))</f>
        <v>0</v>
      </c>
      <c r="F54" s="151">
        <f>IF(F38=AH50,AM50,IF(F38=AH51,AM51,IF(F38=AH52,AM52,IF(F38=AH53,AM53,IF(F38=AH54,AM54,IF(F38=AH55,AM55,IF(F38=AH56,AM56,IF(F38=AH57,AM57,IF(F38=AH58,AM58,IF(F38=AH59,AM59,IF(F38=AH60,AM60,IF(F38=AH61,AM61,0))))))))))))</f>
        <v>0</v>
      </c>
      <c r="G54" s="151">
        <f>IF(G38=AH50,AM50,IF(G38=AH51,AM51,IF(G38=AH52,AM52,IF(G38=AH53,AM53,IF(G38=AH54,AM54,IF(G38=AH55,AM55,IF(G38=AH56,AM56,IF(G38=AH57,AM57,IF(G38=AH58,AM58,IF(G38=AH59,AM59,IF(G38=AH60,AM60,IF(G38=AH61,AM61,0))))))))))))</f>
        <v>0</v>
      </c>
      <c r="H54" s="151">
        <f>IF(H38=AH50,AM50,IF(H38=AH51,AM51,IF(H38=AH52,AM52,IF(H38=AH53,AM53,IF(H38=AH54,AM54,IF(H38=AH55,AM55,IF(H38=AH56,AM56,IF(H38=AH57,AM57,IF(H38=AH58,AM58,IF(H38=AH59,AM59,IF(H38=AH60,AM60,IF(H38=AH61,AM61,0))))))))))))</f>
        <v>0</v>
      </c>
      <c r="I54" s="151">
        <f>IF(I38=AH50,AM50,IF(I38=AH51,AM51,IF(I38=AH52,AM52,IF(I38=AH53,AM53,IF(I38=AH54,AM54,IF(I38=AH55,AM55,IF(I38=AH56,AM56,IF(I38=AH57,AM57,IF(I38=AH58,AM58,IF(I38=AH59,AM59,IF(I38=AH60,AM60,IF(I38=AH61,AM61,0))))))))))))</f>
        <v>0</v>
      </c>
      <c r="J54" s="151">
        <f>IF(J38=AH50,AM50,IF(J38=AH51,AM51,IF(J38=AH52,AM52,IF(J38=AH53,AM53,IF(J38=AH54,AM54,IF(J38=AH55,AM55,IF(J38=AH56,AM56,IF(J38=AH57,AM57,IF(J38=AH58,AM58,IF(J38=AH59,AM59,IF(J38=AH60,AM60,IF(J38=AH61,AM61,0))))))))))))</f>
        <v>0.3</v>
      </c>
      <c r="K54" s="151">
        <f>IF(K38=AH50,AM50,IF(K38=AH51,AM51,IF(K38=AH52,AM52,IF(K38=AH53,AM53,IF(K38=AH54,AM54,IF(K38=AH55,AM55,IF(K38=AH56,AM56,IF(K38=AH57,AM57,IF(K38=AH58,AM58,IF(K38=AH59,AM59,IF(K38=AH60,AM60,IF(K38=AH61,AM61,0))))))))))))</f>
        <v>0.3</v>
      </c>
      <c r="L54" s="151">
        <f>IF(L38=AH50,AM50,IF(L38=AH51,AM51,IF(L38=AH52,AM52,IF(L38=AH53,AM53,IF(L38=AH54,AM54,IF(L38=AH55,AM55,IF(L38=AH56,AM56,IF(L38=AH57,AM57,IF(L38=AH58,AM58,IF(L38=AH59,AM59,IF(L38=AH60,AM60,IF(L38=AH61,AM61,0))))))))))))</f>
        <v>0.1</v>
      </c>
      <c r="M54" s="151">
        <f>IF(M38=AH50,AM50,IF(M38=AH51,AM51,IF(M38=AH52,AM52,IF(M38=AH53,AM53,IF(M38=AH54,AM54,IF(M38=AH55,AM55,IF(M38=AH56,AM56,IF(M38=AH57,AM57,IF(M38=AH58,AM58,IF(M38=AH59,AM59,IF(M38=AH60,AM60,IF(M38=AH61,AM61,0))))))))))))</f>
        <v>0.1</v>
      </c>
      <c r="N54" s="151">
        <f>IF(N38=AH50,AM50,IF(N38=AH51,AM51,IF(N38=AH52,AM52,IF(N38=AH53,AM53,IF(N38=AH54,AM54,IF(N38=AH55,AM55,IF(N38=AH56,AM56,IF(N38=AH57,AM57,IF(N38=AH58,AM58,IF(N38=AH59,AM59,IF(N38=AH60,AM60,IF(N38=AH61,AM61,0))))))))))))</f>
        <v>0.1</v>
      </c>
      <c r="O54" s="151">
        <f>IF(O38=AH50,AM50,IF(O38=AH51,AM51,IF(O38=AH52,AM52,IF(O38=AH53,AM53,IF(O38=AH54,AM54,IF(O38=AH55,AM55,IF(O38=AH56,AM56,IF(O38=AH57,AM57,IF(O38=AH58,AM58,IF(O38=AH59,AM59,IF(O38=AH60,AM60,IF(O38=AH61,AM61,0))))))))))))</f>
        <v>0.1</v>
      </c>
      <c r="P54" s="151">
        <f>IF(P38=AH50,AM50,IF(P38=AH51,AM51,IF(P38=AH52,AM52,IF(P38=AH53,AM53,IF(P38=AH54,AM54,IF(P38=AH55,AM55,IF(P38=AH56,AM56,IF(P38=AH57,AM57,IF(P38=AH58,AM58,IF(P38=AH59,AM59,IF(P38=AH60,AM60,IF(P38=AH61,AM61,0))))))))))))</f>
        <v>0</v>
      </c>
      <c r="Q54" s="151">
        <f>IF(Q38=AH50,AM50,IF(Q38=AH51,AM51,IF(Q38=AH52,AM52,IF(Q38=AH53,AM53,IF(Q38=AH54,AM54,IF(Q38=AH55,AM55,IF(Q38=AH56,AM56,IF(Q38=AH57,AM57,IF(Q38=AH58,AM58,IF(Q38=AH59,AM59,IF(Q38=AH60,AM60,IF(Q38=AH61,AM61,0))))))))))))</f>
        <v>0</v>
      </c>
      <c r="R54" s="151">
        <f>IF(R38=AH50,AM50,IF(R38=AH51,AM51,IF(R38=AH52,AM52,IF(R38=AH53,AM53,IF(R38=AH54,AM54,IF(R38=AH55,AM55,IF(R38=AH56,AM56,IF(R38=AH57,AM57,IF(R38=AH58,AM58,IF(R38=AH59,AM59,IF(R38=AH60,AM60,IF(R38=AH61,AM61,0))))))))))))</f>
        <v>0.1</v>
      </c>
      <c r="S54" s="151">
        <f>IF(S38=AH50,AM50,IF(S38=AH51,AM51,IF(S38=AH52,AM52,IF(S38=AH53,AM53,IF(S38=AH54,AM54,IF(S38=AH55,AM55,IF(S38=AH56,AM56,IF(S38=AH57,AM57,IF(S38=AH58,AM58,IF(S38=AH59,AM59,IF(S38=AH60,AM60,IF(S38=AH61,AM61,0))))))))))))</f>
        <v>0</v>
      </c>
      <c r="T54" s="151">
        <f>IF(T38=AH50,AM50,IF(T38=AH51,AM51,IF(T38=AH52,AM52,IF(T38=AH53,AM53,IF(T38=AH54,AM54,IF(T38=AH55,AM55,IF(T38=AH56,AM56,IF(T38=AH57,AM57,IF(T38=AH58,AM58,IF(T38=AH59,AM59,IF(T38=AH60,AM60,IF(T38=AH61,AM61,0))))))))))))</f>
        <v>0.1</v>
      </c>
      <c r="U54" s="151">
        <f>IF(U38=AH50,AM50,IF(U38=AH51,AM51,IF(U38=AH52,AM52,IF(U38=AH53,AM53,IF(U38=AH54,AM54,IF(U38=AH55,AM55,IF(U38=AH56,AM56,IF(U38=AH57,AM57,IF(U38=AH58,AM58,IF(U38=AH59,AM59,IF(U38=AH60,AM60,IF(U38=AH61,AM61,0))))))))))))</f>
        <v>0</v>
      </c>
      <c r="V54" s="151">
        <f>IF(V38=AH50,AM50,IF(V38=AH51,AM51,IF(V38=AH52,AM52,IF(V38=AH53,AM53,IF(V38=AH54,AM54,IF(V38=AH55,AM55,IF(V38=AH56,AM56,IF(V38=AH57,AM57,IF(V38=AH58,AM58,IF(V38=AH59,AM59,IF(V38=AH60,AM60,IF(V38=AH61,AM61,0))))))))))))</f>
        <v>0</v>
      </c>
      <c r="W54" s="151">
        <f>IF(W38=AH50,AM50,IF(W38=AH51,AM51,IF(W38=AH52,AM52,IF(W38=AH53,AM53,IF(W38=AH54,AM54,IF(W38=AH55,AM55,IF(W38=AH56,AM56,IF(W38=AH57,AM57,IF(W38=AH58,AM58,IF(W38=AH59,AM59,IF(W38=AH60,AM60,IF(W38=AH61,AM61,0))))))))))))</f>
        <v>0</v>
      </c>
      <c r="X54" s="134"/>
      <c r="AG54" s="135" t="s">
        <v>423</v>
      </c>
      <c r="AH54" s="145">
        <f t="shared" si="29"/>
        <v>50</v>
      </c>
      <c r="AI54" s="145">
        <f>M42</f>
        <v>300</v>
      </c>
      <c r="AJ54" s="156">
        <f t="shared" si="30"/>
        <v>219.49579826086961</v>
      </c>
      <c r="AK54" s="146">
        <v>0.21</v>
      </c>
      <c r="AL54" s="146">
        <v>0.4</v>
      </c>
      <c r="AM54" s="146">
        <v>0.1</v>
      </c>
      <c r="AN54" s="146">
        <v>0.5</v>
      </c>
      <c r="AO54" s="146">
        <v>0</v>
      </c>
    </row>
    <row r="55" spans="1:41" ht="36" customHeight="1">
      <c r="A55" s="261"/>
      <c r="B55" s="262" t="s">
        <v>455</v>
      </c>
      <c r="C55" s="262"/>
      <c r="D55" s="152">
        <f>D54*D50</f>
        <v>0</v>
      </c>
      <c r="E55" s="152">
        <f t="shared" ref="E55:W55" si="32">E54*E50</f>
        <v>0</v>
      </c>
      <c r="F55" s="152">
        <f t="shared" si="32"/>
        <v>0</v>
      </c>
      <c r="G55" s="152">
        <f t="shared" si="32"/>
        <v>0</v>
      </c>
      <c r="H55" s="152">
        <f t="shared" si="32"/>
        <v>0</v>
      </c>
      <c r="I55" s="152">
        <f t="shared" si="32"/>
        <v>0</v>
      </c>
      <c r="J55" s="152">
        <f t="shared" si="32"/>
        <v>5.5285633928571443</v>
      </c>
      <c r="K55" s="152">
        <f t="shared" si="32"/>
        <v>7.0477733571428578</v>
      </c>
      <c r="L55" s="152">
        <f t="shared" si="32"/>
        <v>2.8417382871428583</v>
      </c>
      <c r="M55" s="152">
        <f t="shared" si="32"/>
        <v>3.3724599597000009</v>
      </c>
      <c r="N55" s="152">
        <f t="shared" si="32"/>
        <v>3.5148447072540003</v>
      </c>
      <c r="O55" s="152">
        <f t="shared" si="32"/>
        <v>3.5074250796261865</v>
      </c>
      <c r="P55" s="152">
        <f t="shared" si="32"/>
        <v>0</v>
      </c>
      <c r="Q55" s="152">
        <f t="shared" si="32"/>
        <v>0</v>
      </c>
      <c r="R55" s="152">
        <f t="shared" si="32"/>
        <v>5.5612767857142877</v>
      </c>
      <c r="S55" s="152">
        <f t="shared" si="32"/>
        <v>0</v>
      </c>
      <c r="T55" s="152">
        <f t="shared" si="32"/>
        <v>8.5054821428571454</v>
      </c>
      <c r="U55" s="152">
        <f t="shared" si="32"/>
        <v>0</v>
      </c>
      <c r="V55" s="152">
        <f t="shared" si="32"/>
        <v>0</v>
      </c>
      <c r="W55" s="152">
        <f t="shared" si="32"/>
        <v>0</v>
      </c>
      <c r="X55" s="134"/>
      <c r="AG55" s="135" t="s">
        <v>424</v>
      </c>
      <c r="AH55" s="145">
        <f t="shared" si="29"/>
        <v>55</v>
      </c>
      <c r="AI55" s="145">
        <f>N42</f>
        <v>330</v>
      </c>
      <c r="AJ55" s="156">
        <f t="shared" si="30"/>
        <v>179.98655457391308</v>
      </c>
      <c r="AK55" s="146">
        <v>0.18</v>
      </c>
      <c r="AL55" s="146">
        <v>0.3</v>
      </c>
      <c r="AM55" s="146">
        <v>0.1</v>
      </c>
      <c r="AN55" s="146">
        <v>0.6</v>
      </c>
      <c r="AO55" s="146">
        <v>0</v>
      </c>
    </row>
    <row r="56" spans="1:41" ht="36" customHeight="1">
      <c r="A56" s="261"/>
      <c r="B56" s="262" t="s">
        <v>460</v>
      </c>
      <c r="C56" s="262"/>
      <c r="D56" s="151">
        <f>IF(D38=AH50,AN50,IF(D38=AH51,AN51,IF(D38=AH52,AN52,IF(D38=AH53,AN53,IF(D38=AH54,AN54,IF(D38=AH55,AN55,IF(D38=AH56,AN56,IF(D38=AH57,AN57,IF(D38=AH58,AN58,IF(D38=AH59,AN59,IF(D38=AH60,AN60,IF(D38=AH61,AN61,0))))))))))))</f>
        <v>0</v>
      </c>
      <c r="E56" s="151">
        <f>IF(E38=AH50,AN50,IF(E38=AH51,AN51,IF(E38=AH52,AN52,IF(E38=AH53,AN53,IF(E38=AH54,AN54,IF(E38=AH55,AN55,IF(E38=AH56,AN56,IF(E38=AH57,AN57,IF(E38=AH58,AN58,IF(E38=AH59,AN59,IF(E38=AH60,AN60,IF(E38=AH61,AN61,0))))))))))))</f>
        <v>0</v>
      </c>
      <c r="F56" s="151">
        <f>IF(F38=AH50,AN50,IF(F38=AH51,AN51,IF(F38=AH52,AN52,IF(F38=AH53,AN53,IF(F38=AH54,AN54,IF(F38=AH55,AN55,IF(F38=AH56,AN56,IF(F38=AH57,AN57,IF(F38=AH58,AN58,IF(F38=AH59,AN59,IF(F38=AH60,AN60,IF(F38=AH61,AN61,0))))))))))))</f>
        <v>0</v>
      </c>
      <c r="G56" s="151">
        <f>IF(G38=AH50,AN50,IF(G38=AH51,AN51,IF(G38=AH52,AN52,IF(G38=AH53,AN53,IF(G38=AH54,AN54,IF(G38=AH55,AN55,IF(G38=AH56,AN56,IF(G38=AH57,AN57,IF(G38=AH58,AN58,IF(G38=AH59,AN59,IF(G38=AH60,AN60,IF(G38=AH61,AN61,0))))))))))))</f>
        <v>0</v>
      </c>
      <c r="H56" s="151">
        <f>IF(H38=AH50,AN50,IF(H38=AH51,AN51,IF(H38=AH52,AN52,IF(H38=AH53,AN53,IF(H38=AH54,AN54,IF(H38=AH55,AN55,IF(H38=AH56,AN56,IF(H38=AH57,AN57,IF(H38=AH58,AN58,IF(H38=AH59,AN59,IF(H38=AH60,AN60,IF(H38=AH61,AN61,0))))))))))))</f>
        <v>0</v>
      </c>
      <c r="I56" s="151">
        <f>IF(I38=AH50,AN50,IF(I38=AH51,AN51,IF(I38=AH52,AN52,IF(I38=AH53,AN53,IF(I38=AH54,AN54,IF(I38=AH55,AN55,IF(I38=AH56,AN56,IF(I38=AH57,AN57,IF(I38=AH58,AN58,IF(I38=AH59,AN59,IF(I38=AH60,AN60,IF(I38=AH61,AN61,0))))))))))))</f>
        <v>0</v>
      </c>
      <c r="J56" s="151">
        <f>IF(J38=AH50,AN50,IF(J38=AH51,AN51,IF(J38=AH52,AN52,IF(J38=AH53,AN53,IF(J38=AH54,AN54,IF(J38=AH55,AN55,IF(J38=AH56,AN56,IF(J38=AH57,AN57,IF(J38=AH58,AN58,IF(J38=AH59,AN59,IF(J38=AH60,AN60,IF(J38=AH61,AN61,0))))))))))))</f>
        <v>0</v>
      </c>
      <c r="K56" s="151">
        <f>IF(K38=AH50,AN50,IF(K38=AH51,AN51,IF(K38=AH52,AN52,IF(K38=AH53,AN53,IF(K38=AH54,AN54,IF(K38=AH55,AN55,IF(K38=AH56,AN56,IF(K38=AH57,AN57,IF(K38=AH58,AN58,IF(K38=AH59,AN59,IF(K38=AH60,AN60,IF(K38=AH61,AN61,0))))))))))))</f>
        <v>0</v>
      </c>
      <c r="L56" s="151">
        <f>IF(L38=AH50,AN50,IF(L38=AH51,AN51,IF(L38=AH52,AN52,IF(L38=AH53,AN53,IF(L38=AH54,AN54,IF(L38=AH55,AN55,IF(L38=AH56,AN56,IF(L38=AH57,AN57,IF(L38=AH58,AN58,IF(L38=AH59,AN59,IF(L38=AH60,AN60,IF(L38=AH61,AN61,0))))))))))))</f>
        <v>0.3</v>
      </c>
      <c r="M56" s="151">
        <f>IF(M38=AH50,AN50,IF(M38=AH51,AN51,IF(M38=AH52,AN52,IF(M38=AH53,AN53,IF(M38=AH54,AN54,IF(M38=AH55,AN55,IF(M38=AH56,AN56,IF(M38=AH57,AN57,IF(M38=AH58,AN58,IF(M38=AH59,AN59,IF(M38=AH60,AN60,IF(M38=AH61,AN61,0))))))))))))</f>
        <v>0.5</v>
      </c>
      <c r="N56" s="151">
        <f>IF(N38=AH50,AN50,IF(N38=AH51,AN51,IF(N38=AH52,AN52,IF(N38=AH53,AN53,IF(N38=AH54,AN54,IF(N38=AH55,AN55,IF(N38=AH56,AN56,IF(N38=AH57,AN57,IF(N38=AH58,AN58,IF(N38=AH59,AN59,IF(N38=AH60,AN60,IF(N38=AH61,AN61,0))))))))))))</f>
        <v>0.6</v>
      </c>
      <c r="O56" s="151">
        <f>IF(O38=AH50,AN50,IF(O38=AH51,AN51,IF(O38=AH52,AN52,IF(O38=AH53,AN53,IF(O38=AH54,AN54,IF(O38=AH55,AN55,IF(O38=AH56,AN56,IF(O38=AH57,AN57,IF(O38=AH58,AN58,IF(O38=AH59,AN59,IF(O38=AH60,AN60,IF(O38=AH61,AN61,0))))))))))))</f>
        <v>0.7</v>
      </c>
      <c r="P56" s="151">
        <f>IF(P38=AH50,AN50,IF(P38=AH51,AN51,IF(P38=AH52,AN52,IF(P38=AH53,AN53,IF(P38=AH54,AN54,IF(P38=AH55,AN55,IF(P38=AH56,AN56,IF(P38=AH57,AN57,IF(P38=AH58,AN58,IF(P38=AH59,AN59,IF(P38=AH60,AN60,IF(P38=AH61,AN61,0))))))))))))</f>
        <v>0</v>
      </c>
      <c r="Q56" s="151">
        <f>IF(Q38=AH50,AN50,IF(Q38=AH51,AN51,IF(Q38=AH52,AN52,IF(Q38=AH53,AN53,IF(Q38=AH54,AN54,IF(Q38=AH55,AN55,IF(Q38=AH56,AN56,IF(Q38=AH57,AN57,IF(Q38=AH58,AN58,IF(Q38=AH59,AN59,IF(Q38=AH60,AN60,IF(Q38=AH61,AN61,0))))))))))))</f>
        <v>0.8</v>
      </c>
      <c r="R56" s="151">
        <f>IF(R38=AH50,AN50,IF(R38=AH51,AN51,IF(R38=AH52,AN52,IF(R38=AH53,AN53,IF(R38=AH54,AN54,IF(R38=AH55,AN55,IF(R38=AH56,AN56,IF(R38=AH57,AN57,IF(R38=AH58,AN58,IF(R38=AH59,AN59,IF(R38=AH60,AN60,IF(R38=AH61,AN61,0))))))))))))</f>
        <v>0.7</v>
      </c>
      <c r="S56" s="151">
        <f>IF(S38=AH50,AN50,IF(S38=AH51,AN51,IF(S38=AH52,AN52,IF(S38=AH53,AN53,IF(S38=AH54,AN54,IF(S38=AH55,AN55,IF(S38=AH56,AN56,IF(S38=AH57,AN57,IF(S38=AH58,AN58,IF(S38=AH59,AN59,IF(S38=AH60,AN60,IF(S38=AH61,AN61,0))))))))))))</f>
        <v>0</v>
      </c>
      <c r="T56" s="151">
        <f>IF(T38=AH50,AN50,IF(T38=AH51,AN51,IF(T38=AH52,AN52,IF(T38=AH53,AN53,IF(T38=AH54,AN54,IF(T38=AH55,AN55,IF(T38=AH56,AN56,IF(T38=AH57,AN57,IF(T38=AH58,AN58,IF(T38=AH59,AN59,IF(T38=AH60,AN60,IF(T38=AH61,AN61,0))))))))))))</f>
        <v>0.6</v>
      </c>
      <c r="U56" s="151">
        <f>IF(U38=AH50,AN50,IF(U38=AH51,AN51,IF(U38=AH52,AN52,IF(U38=AH53,AN53,IF(U38=AH54,AN54,IF(U38=AH55,AN55,IF(U38=AH56,AN56,IF(U38=AH57,AN57,IF(U38=AH58,AN58,IF(U38=AH59,AN59,IF(U38=AH60,AN60,IF(U38=AH61,AN61,0))))))))))))</f>
        <v>0.3</v>
      </c>
      <c r="V56" s="151">
        <f>IF(V38=AH50,AN50,IF(V38=AH51,AN51,IF(V38=AH52,AN52,IF(V38=AH53,AN53,IF(V38=AH54,AN54,IF(V38=AH55,AN55,IF(V38=AH56,AN56,IF(V38=AH57,AN57,IF(V38=AH58,AN58,IF(V38=AH59,AN59,IF(V38=AH60,AN60,IF(V38=AH61,AN61,0))))))))))))</f>
        <v>0</v>
      </c>
      <c r="W56" s="151">
        <f>IF(W38=AH50,AN50,IF(W38=AH51,AN51,IF(W38=AH52,AN52,IF(W38=AH53,AN53,IF(W38=AH54,AN54,IF(W38=AH55,AN55,IF(W38=AH56,AN56,IF(W38=AH57,AN57,IF(W38=AH58,AN58,IF(W38=AH59,AN59,IF(W38=AH60,AN60,IF(W38=AH61,AN61,0))))))))))))</f>
        <v>0.2</v>
      </c>
      <c r="X56" s="134"/>
      <c r="AG56" s="135" t="s">
        <v>425</v>
      </c>
      <c r="AH56" s="145">
        <f t="shared" si="29"/>
        <v>60</v>
      </c>
      <c r="AI56" s="145">
        <f>O42</f>
        <v>360</v>
      </c>
      <c r="AJ56" s="156">
        <f t="shared" si="30"/>
        <v>152.98857138782611</v>
      </c>
      <c r="AK56" s="146">
        <v>0.15</v>
      </c>
      <c r="AL56" s="146">
        <v>0.2</v>
      </c>
      <c r="AM56" s="146">
        <v>0.1</v>
      </c>
      <c r="AN56" s="146">
        <v>0.7</v>
      </c>
      <c r="AO56" s="146">
        <v>0</v>
      </c>
    </row>
    <row r="57" spans="1:41" ht="36" customHeight="1">
      <c r="A57" s="261"/>
      <c r="B57" s="262" t="s">
        <v>456</v>
      </c>
      <c r="C57" s="262"/>
      <c r="D57" s="152">
        <f>D56*D50</f>
        <v>0</v>
      </c>
      <c r="E57" s="152">
        <f t="shared" ref="E57:W57" si="33">E56*E50</f>
        <v>0</v>
      </c>
      <c r="F57" s="152">
        <f t="shared" si="33"/>
        <v>0</v>
      </c>
      <c r="G57" s="152">
        <f t="shared" si="33"/>
        <v>0</v>
      </c>
      <c r="H57" s="152">
        <f t="shared" si="33"/>
        <v>0</v>
      </c>
      <c r="I57" s="152">
        <f t="shared" si="33"/>
        <v>0</v>
      </c>
      <c r="J57" s="152">
        <f t="shared" si="33"/>
        <v>0</v>
      </c>
      <c r="K57" s="152">
        <f t="shared" si="33"/>
        <v>0</v>
      </c>
      <c r="L57" s="152">
        <f t="shared" si="33"/>
        <v>8.5252148614285748</v>
      </c>
      <c r="M57" s="152">
        <f t="shared" si="33"/>
        <v>16.862299798500004</v>
      </c>
      <c r="N57" s="152">
        <f t="shared" si="33"/>
        <v>21.089068243524</v>
      </c>
      <c r="O57" s="152">
        <f t="shared" si="33"/>
        <v>24.551975557383305</v>
      </c>
      <c r="P57" s="152">
        <f t="shared" si="33"/>
        <v>0</v>
      </c>
      <c r="Q57" s="152">
        <f t="shared" si="33"/>
        <v>58.15714285714288</v>
      </c>
      <c r="R57" s="152">
        <f t="shared" si="33"/>
        <v>38.928937500000011</v>
      </c>
      <c r="S57" s="152">
        <f t="shared" si="33"/>
        <v>0</v>
      </c>
      <c r="T57" s="152">
        <f t="shared" si="33"/>
        <v>51.032892857142862</v>
      </c>
      <c r="U57" s="152">
        <f t="shared" si="33"/>
        <v>25.42921071428572</v>
      </c>
      <c r="V57" s="152">
        <f t="shared" si="33"/>
        <v>0</v>
      </c>
      <c r="W57" s="152">
        <f t="shared" si="33"/>
        <v>116.31428571428576</v>
      </c>
      <c r="X57" s="134"/>
      <c r="AG57" s="135" t="s">
        <v>426</v>
      </c>
      <c r="AH57" s="145">
        <v>70</v>
      </c>
      <c r="AI57" s="145">
        <f>Q42</f>
        <v>410</v>
      </c>
      <c r="AJ57" s="156">
        <f t="shared" si="30"/>
        <v>122.3908571102609</v>
      </c>
      <c r="AK57" s="146">
        <v>0.2</v>
      </c>
      <c r="AL57" s="146">
        <v>0.2</v>
      </c>
      <c r="AM57" s="146">
        <v>0</v>
      </c>
      <c r="AN57" s="146">
        <v>0.8</v>
      </c>
      <c r="AO57" s="146">
        <v>0</v>
      </c>
    </row>
    <row r="58" spans="1:41" ht="36" customHeight="1">
      <c r="A58" s="261"/>
      <c r="B58" s="262" t="s">
        <v>461</v>
      </c>
      <c r="C58" s="262"/>
      <c r="D58" s="151">
        <f>IF(D38=AH50,AO50,IF(D38=AH51,AO51,IF(D38=AH52,AO52,IF(D38=AH53,AO53,IF(D38=AH54,AO54,IF(D38=AH55,AO55,IF(D38=AH56,AO56,IF(D38=AH57,AO57,IF(D38=AH58,AO58,IF(D38=AH59,AO59,IF(D38=AH60,AO60,IF(D38=AH61,AO61,0))))))))))))</f>
        <v>0</v>
      </c>
      <c r="E58" s="151">
        <f>IF(E38=AH50,AO50,IF(E38=AH51,AO51,IF(E38=AH52,AO52,IF(E38=AH53,AO53,IF(E38=AH54,AO54,IF(E38=AH55,AO55,IF(E38=AH56,AO56,IF(E38=AH57,AO57,IF(E38=AH58,AO58,IF(E38=AH59,AO59,IF(E38=AH60,AO60,IF(E38=AH61,AO61,0))))))))))))</f>
        <v>0</v>
      </c>
      <c r="F58" s="151">
        <f>IF(F38=AH50,AO50,IF(F38=AH51,AO51,IF(F38=AH52,AO52,IF(F38=AH53,AO53,IF(F38=AH54,AO54,IF(F38=AH55,AO55,IF(F38=AH56,AO56,IF(F38=AH57,AO57,IF(F38=AH58,AO58,IF(F38=AH59,AO59,IF(F38=AH60,AO60,IF(F38=AH61,AO61,0))))))))))))</f>
        <v>0</v>
      </c>
      <c r="G58" s="151">
        <f>IF(G38=AH50,AO50,IF(G38=AH51,AO51,IF(G38=AH52,AO52,IF(G38=AH53,AO53,IF(G38=AH54,AO54,IF(G38=AH55,AO55,IF(G38=AH56,AO56,IF(G38=AH57,AO57,IF(G38=AH58,AO58,IF(G38=AH59,AO59,IF(G38=AH60,AO60,IF(G38=AH61,AO61,0))))))))))))</f>
        <v>0</v>
      </c>
      <c r="H58" s="151">
        <f>IF(H38=AH50,AO50,IF(H38=AH51,AO51,IF(H38=AH52,AO52,IF(H38=AH53,AO53,IF(H38=AH54,AO54,IF(H38=AH55,AO55,IF(H38=AH56,AO56,IF(H38=AH57,AO57,IF(H38=AH58,AO58,IF(H38=AH59,AO59,IF(H38=AH60,AO60,IF(H38=AH61,AO61,0))))))))))))</f>
        <v>0</v>
      </c>
      <c r="I58" s="151">
        <f>IF(I38=AH50,AO50,IF(I38=AH51,AO51,IF(I38=AH52,AO52,IF(I38=AH53,AO53,IF(I38=AH54,AO54,IF(I38=AH55,AO55,IF(I38=AH56,AO56,IF(I38=AH57,AO57,IF(I38=AH58,AO58,IF(I38=AH59,AO59,IF(I38=AH60,AO60,IF(I38=AH61,AO61,0))))))))))))</f>
        <v>0</v>
      </c>
      <c r="J58" s="151">
        <f>IF(J38=AH50,AO50,IF(J38=AH51,AO51,IF(J38=AH52,AO52,IF(J38=AH53,AO53,IF(J38=AH54,AO54,IF(J38=AH55,AO55,IF(J38=AH56,AO56,IF(J38=AH57,AO57,IF(J38=AH58,AO58,IF(J38=AH59,AO59,IF(J38=AH60,AO60,IF(J38=AH61,AO61,0))))))))))))</f>
        <v>0</v>
      </c>
      <c r="K58" s="151">
        <f>IF(K38=AH50,AO50,IF(K38=AH51,AO51,IF(K38=AH52,AO52,IF(K38=AH53,AO53,IF(K38=AH54,AO54,IF(K38=AH55,AO55,IF(K38=AH56,AO56,IF(K38=AH57,AO57,IF(K38=AH58,AO58,IF(K38=AH59,AO59,IF(K38=AH60,AO60,IF(K38=AH61,AO61,0))))))))))))</f>
        <v>0</v>
      </c>
      <c r="L58" s="151">
        <f>IF(L38=AH50,AO50,IF(L38=AH51,AO51,IF(L38=AH52,AO52,IF(L38=AH53,AO53,IF(L38=AH54,AO54,IF(L38=AH55,AO55,IF(L38=AH56,AO56,IF(L38=AH57,AO57,IF(L38=AH58,AO58,IF(L38=AH59,AO59,IF(L38=AH60,AO60,IF(L38=AH61,AO61,0))))))))))))</f>
        <v>0</v>
      </c>
      <c r="M58" s="151">
        <f>IF(M38=AH50,AO50,IF(M38=AH51,AO51,IF(M38=AH52,AO52,IF(M38=AH53,AO53,IF(M38=AH54,AO54,IF(M38=AH55,AO55,IF(M38=AH56,AO56,IF(M38=AH57,AO57,IF(M38=AH58,AO58,IF(M38=AH59,AO59,IF(M38=AH60,AO60,IF(M38=AH61,AO61,0))))))))))))</f>
        <v>0</v>
      </c>
      <c r="N58" s="151">
        <f>IF(N38=AH50,AO50,IF(N38=AH51,AO51,IF(N38=AH52,AO52,IF(N38=AH53,AO53,IF(N38=AH54,AO54,IF(N38=AH55,AO55,IF(N38=AH56,AO56,IF(N38=AH57,AO57,IF(N38=AH58,AO58,IF(N38=AH59,AO59,IF(N38=AH60,AO60,IF(N38=AH61,AO61,0))))))))))))</f>
        <v>0</v>
      </c>
      <c r="O58" s="151">
        <f>IF(O38=AH50,AO50,IF(O38=AH51,AO51,IF(O38=AH52,AO52,IF(O38=AH53,AO53,IF(O38=AH54,AO54,IF(O38=AH55,AO55,IF(O38=AH56,AO56,IF(O38=AH57,AO57,IF(O38=AH58,AO58,IF(O38=AH59,AO59,IF(O38=AH60,AO60,IF(O38=AH61,AO61,0))))))))))))</f>
        <v>0</v>
      </c>
      <c r="P58" s="151">
        <f>IF(P38=AH50,AO50,IF(P38=AH51,AO51,IF(P38=AH52,AO52,IF(P38=AH53,AO53,IF(P38=AH54,AO54,IF(P38=AH55,AO55,IF(P38=AH56,AO56,IF(P38=AH57,AO57,IF(P38=AH58,AO58,IF(P38=AH59,AO59,IF(P38=AH60,AO60,IF(P38=AH61,AO61,0))))))))))))</f>
        <v>0</v>
      </c>
      <c r="Q58" s="151">
        <f>IF(Q38=AH50,AO50,IF(Q38=AH51,AO51,IF(Q38=AH52,AO52,IF(Q38=AH53,AO53,IF(Q38=AH54,AO54,IF(Q38=AH55,AO55,IF(Q38=AH56,AO56,IF(Q38=AH57,AO57,IF(Q38=AH58,AO58,IF(Q38=AH59,AO59,IF(Q38=AH60,AO60,IF(Q38=AH61,AO61,0))))))))))))</f>
        <v>0</v>
      </c>
      <c r="R58" s="151">
        <f>IF(R38=AH50,AO50,IF(R38=AH51,AO51,IF(R38=AH52,AO52,IF(R38=AH53,AO53,IF(R38=AH54,AO54,IF(R38=AH55,AO55,IF(R38=AH56,AO56,IF(R38=AH57,AO57,IF(R38=AH58,AO58,IF(R38=AH59,AO59,IF(R38=AH60,AO60,IF(R38=AH61,AO61,0))))))))))))</f>
        <v>0</v>
      </c>
      <c r="S58" s="151">
        <f>IF(S38=AH50,AO50,IF(S38=AH51,AO51,IF(S38=AH52,AO52,IF(S38=AH53,AO53,IF(S38=AH54,AO54,IF(S38=AH55,AO55,IF(S38=AH56,AO56,IF(S38=AH57,AO57,IF(S38=AH58,AO58,IF(S38=AH59,AO59,IF(S38=AH60,AO60,IF(S38=AH61,AO61,0))))))))))))</f>
        <v>0</v>
      </c>
      <c r="T58" s="151">
        <f>IF(T38=AH50,AO50,IF(T38=AH51,AO51,IF(T38=AH52,AO52,IF(T38=AH53,AO53,IF(T38=AH54,AO54,IF(T38=AH55,AO55,IF(T38=AH56,AO56,IF(T38=AH57,AO57,IF(T38=AH58,AO58,IF(T38=AH59,AO59,IF(T38=AH60,AO60,IF(T38=AH61,AO61,0))))))))))))</f>
        <v>0.2</v>
      </c>
      <c r="U58" s="151">
        <f>IF(U38=AH50,AO50,IF(U38=AH51,AO51,IF(U38=AH52,AO52,IF(U38=AH53,AO53,IF(U38=AH54,AO54,IF(U38=AH55,AO55,IF(U38=AH56,AO56,IF(U38=AH57,AO57,IF(U38=AH58,AO58,IF(U38=AH59,AO59,IF(U38=AH60,AO60,IF(U38=AH61,AO61,0))))))))))))</f>
        <v>0.6</v>
      </c>
      <c r="V58" s="151">
        <f>IF(V38=AH50,AO50,IF(V38=AH51,AO51,IF(V38=AH52,AO52,IF(V38=AH53,AO53,IF(V38=AH54,AO54,IF(V38=AH55,AO55,IF(V38=AH56,AO56,IF(V38=AH57,AO57,IF(V38=AH58,AO58,IF(V38=AH59,AO59,IF(V38=AH60,AO60,IF(V38=AH61,AO61,0))))))))))))</f>
        <v>0</v>
      </c>
      <c r="W58" s="151">
        <f>IF(W38=AH50,AO50,IF(W38=AH51,AO51,IF(W38=AH52,AO52,IF(W38=AH53,AO53,IF(W38=AH54,AO54,IF(W38=AH55,AO55,IF(W38=AH56,AO56,IF(W38=AH57,AO57,IF(W38=AH58,AO58,IF(W38=AH59,AO59,IF(W38=AH60,AO60,IF(W38=AH61,AO61,0))))))))))))</f>
        <v>0.7</v>
      </c>
      <c r="X58" s="134"/>
      <c r="AG58" s="135" t="s">
        <v>427</v>
      </c>
      <c r="AH58" s="145">
        <v>75</v>
      </c>
      <c r="AI58" s="145">
        <f>R42</f>
        <v>440</v>
      </c>
      <c r="AJ58" s="156">
        <f t="shared" si="30"/>
        <v>101.58441140151653</v>
      </c>
      <c r="AK58" s="146">
        <v>0.17</v>
      </c>
      <c r="AL58" s="146">
        <v>0.2</v>
      </c>
      <c r="AM58" s="146">
        <v>0.1</v>
      </c>
      <c r="AN58" s="146">
        <v>0.7</v>
      </c>
      <c r="AO58" s="146">
        <v>0</v>
      </c>
    </row>
    <row r="59" spans="1:41" ht="36" customHeight="1">
      <c r="A59" s="261"/>
      <c r="B59" s="262" t="s">
        <v>457</v>
      </c>
      <c r="C59" s="262"/>
      <c r="D59" s="152">
        <f>D58*D50</f>
        <v>0</v>
      </c>
      <c r="E59" s="152">
        <f t="shared" ref="E59:W59" si="34">E58*E50</f>
        <v>0</v>
      </c>
      <c r="F59" s="152">
        <f t="shared" si="34"/>
        <v>0</v>
      </c>
      <c r="G59" s="152">
        <f t="shared" si="34"/>
        <v>0</v>
      </c>
      <c r="H59" s="152">
        <f t="shared" si="34"/>
        <v>0</v>
      </c>
      <c r="I59" s="152">
        <f t="shared" si="34"/>
        <v>0</v>
      </c>
      <c r="J59" s="152">
        <f t="shared" si="34"/>
        <v>0</v>
      </c>
      <c r="K59" s="152">
        <f t="shared" si="34"/>
        <v>0</v>
      </c>
      <c r="L59" s="152">
        <f t="shared" si="34"/>
        <v>0</v>
      </c>
      <c r="M59" s="152">
        <f t="shared" si="34"/>
        <v>0</v>
      </c>
      <c r="N59" s="152">
        <f t="shared" si="34"/>
        <v>0</v>
      </c>
      <c r="O59" s="152">
        <f t="shared" si="34"/>
        <v>0</v>
      </c>
      <c r="P59" s="152">
        <f t="shared" si="34"/>
        <v>0</v>
      </c>
      <c r="Q59" s="152">
        <f t="shared" si="34"/>
        <v>0</v>
      </c>
      <c r="R59" s="152">
        <f t="shared" si="34"/>
        <v>0</v>
      </c>
      <c r="S59" s="152">
        <f t="shared" si="34"/>
        <v>0</v>
      </c>
      <c r="T59" s="152">
        <f t="shared" si="34"/>
        <v>17.010964285714291</v>
      </c>
      <c r="U59" s="152">
        <f t="shared" si="34"/>
        <v>50.85842142857144</v>
      </c>
      <c r="V59" s="152">
        <f t="shared" si="34"/>
        <v>0</v>
      </c>
      <c r="W59" s="152">
        <f t="shared" si="34"/>
        <v>407.10000000000014</v>
      </c>
      <c r="X59" s="134"/>
      <c r="AG59" s="135" t="s">
        <v>428</v>
      </c>
      <c r="AH59" s="145">
        <v>85</v>
      </c>
      <c r="AI59" s="145">
        <f>T42</f>
        <v>480</v>
      </c>
      <c r="AJ59" s="156">
        <f t="shared" si="30"/>
        <v>83.299217349243563</v>
      </c>
      <c r="AK59" s="146">
        <v>0.18</v>
      </c>
      <c r="AL59" s="146">
        <v>0.3</v>
      </c>
      <c r="AM59" s="146">
        <v>0.1</v>
      </c>
      <c r="AN59" s="146">
        <v>0.6</v>
      </c>
      <c r="AO59" s="146">
        <v>0.2</v>
      </c>
    </row>
    <row r="60" spans="1:41" ht="36" customHeight="1">
      <c r="AG60" s="135" t="s">
        <v>429</v>
      </c>
      <c r="AH60" s="145">
        <v>90</v>
      </c>
      <c r="AI60" s="145">
        <f>U42</f>
        <v>510</v>
      </c>
      <c r="AJ60" s="156">
        <f t="shared" si="30"/>
        <v>66.639373879394853</v>
      </c>
      <c r="AK60" s="146">
        <v>0.2</v>
      </c>
      <c r="AL60" s="146">
        <v>0.1</v>
      </c>
      <c r="AM60" s="146">
        <v>0</v>
      </c>
      <c r="AN60" s="146">
        <v>0.3</v>
      </c>
      <c r="AO60" s="146">
        <v>0.6</v>
      </c>
    </row>
    <row r="61" spans="1:41" ht="36" customHeight="1">
      <c r="AG61" s="135" t="s">
        <v>414</v>
      </c>
      <c r="AH61" s="145">
        <v>100</v>
      </c>
      <c r="AI61" s="145">
        <f>W42</f>
        <v>545</v>
      </c>
      <c r="AJ61" s="156">
        <f>(1-AK61)*AJ60</f>
        <v>0</v>
      </c>
      <c r="AK61" s="146">
        <v>1</v>
      </c>
      <c r="AL61" s="146">
        <v>0.1</v>
      </c>
      <c r="AM61" s="146">
        <v>0</v>
      </c>
      <c r="AN61" s="146">
        <v>0.2</v>
      </c>
      <c r="AO61" s="146">
        <v>0.7</v>
      </c>
    </row>
    <row r="62" spans="1:41" ht="36" customHeight="1">
      <c r="AG62" s="150"/>
      <c r="AH62" s="150"/>
      <c r="AI62" s="148"/>
      <c r="AJ62" s="148"/>
      <c r="AK62" s="148"/>
      <c r="AL62" s="134" t="s">
        <v>430</v>
      </c>
      <c r="AM62" s="134"/>
      <c r="AN62" s="134"/>
      <c r="AO62" s="134"/>
    </row>
    <row r="65" spans="1:42" ht="36" customHeight="1">
      <c r="A65" s="264" t="s">
        <v>431</v>
      </c>
      <c r="B65" s="264"/>
      <c r="C65" s="264"/>
      <c r="D65" s="264"/>
      <c r="E65" s="264"/>
      <c r="F65" s="264"/>
      <c r="G65" s="264"/>
      <c r="H65" s="264"/>
      <c r="I65" s="264"/>
      <c r="J65" s="264"/>
      <c r="K65" s="264"/>
      <c r="L65" s="264"/>
      <c r="M65" s="264"/>
      <c r="N65" s="264"/>
      <c r="O65" s="264"/>
      <c r="P65" s="264"/>
      <c r="Q65" s="264"/>
      <c r="R65" s="264"/>
      <c r="S65" s="264"/>
      <c r="T65" s="264"/>
      <c r="U65" s="264"/>
      <c r="V65" s="264"/>
      <c r="W65" s="264"/>
      <c r="X65" s="175"/>
      <c r="Y65" s="175"/>
      <c r="Z65" s="175"/>
      <c r="AA65" s="175"/>
      <c r="AB65" s="175"/>
      <c r="AC65" s="175"/>
      <c r="AD65" s="175"/>
      <c r="AE65" s="175"/>
      <c r="AF65" s="175"/>
      <c r="AG65" s="175"/>
      <c r="AH65" s="175"/>
      <c r="AI65" s="175"/>
      <c r="AJ65" s="175"/>
      <c r="AK65" s="175"/>
      <c r="AL65" s="175"/>
      <c r="AM65" s="175"/>
      <c r="AN65" s="175"/>
      <c r="AO65" s="175"/>
      <c r="AP65" s="175"/>
    </row>
    <row r="66" spans="1:42" ht="36" customHeight="1">
      <c r="A66" s="134"/>
      <c r="B66" s="134"/>
      <c r="C66" s="134"/>
      <c r="D66" s="157"/>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row>
    <row r="67" spans="1:42" ht="36" customHeight="1">
      <c r="A67" s="134"/>
      <c r="B67" s="260" t="s">
        <v>392</v>
      </c>
      <c r="C67" s="260"/>
      <c r="D67" s="180">
        <v>5</v>
      </c>
      <c r="E67" s="180">
        <v>10</v>
      </c>
      <c r="F67" s="180">
        <v>15</v>
      </c>
      <c r="G67" s="180">
        <v>20</v>
      </c>
      <c r="H67" s="180">
        <v>25</v>
      </c>
      <c r="I67" s="180">
        <v>30</v>
      </c>
      <c r="J67" s="180">
        <v>35</v>
      </c>
      <c r="K67" s="180">
        <v>40</v>
      </c>
      <c r="L67" s="180">
        <v>45</v>
      </c>
      <c r="M67" s="180">
        <v>50</v>
      </c>
      <c r="N67" s="180">
        <v>55</v>
      </c>
      <c r="O67" s="180">
        <v>60</v>
      </c>
      <c r="P67" s="180">
        <v>65</v>
      </c>
      <c r="Q67" s="180">
        <v>70</v>
      </c>
      <c r="R67" s="180">
        <v>75</v>
      </c>
      <c r="S67" s="180">
        <v>80</v>
      </c>
      <c r="T67" s="180">
        <v>85</v>
      </c>
      <c r="U67" s="180">
        <v>90</v>
      </c>
      <c r="V67" s="180">
        <v>95</v>
      </c>
      <c r="W67" s="181">
        <v>100</v>
      </c>
      <c r="X67" s="180">
        <v>105</v>
      </c>
      <c r="Y67" s="180">
        <v>110</v>
      </c>
      <c r="Z67" s="180">
        <v>115</v>
      </c>
      <c r="AA67" s="180">
        <v>120</v>
      </c>
      <c r="AB67" s="180">
        <v>125</v>
      </c>
      <c r="AC67" s="180">
        <v>130</v>
      </c>
      <c r="AD67" s="180">
        <v>135</v>
      </c>
      <c r="AE67" s="180">
        <v>140</v>
      </c>
      <c r="AF67" s="134"/>
      <c r="AG67" s="263" t="s">
        <v>394</v>
      </c>
      <c r="AH67" s="263"/>
      <c r="AI67" s="135">
        <f>BOISEMENT!C19</f>
        <v>13.57</v>
      </c>
      <c r="AJ67" s="136"/>
      <c r="AK67" s="136"/>
      <c r="AL67" s="134"/>
      <c r="AM67" s="134"/>
      <c r="AN67" s="134"/>
      <c r="AO67" s="134"/>
    </row>
    <row r="68" spans="1:42" ht="36" customHeight="1">
      <c r="A68" s="260" t="s">
        <v>397</v>
      </c>
      <c r="B68" s="137" t="s">
        <v>398</v>
      </c>
      <c r="C68" s="137">
        <v>1</v>
      </c>
      <c r="D68" s="177">
        <v>3</v>
      </c>
      <c r="E68" s="177">
        <v>6</v>
      </c>
      <c r="F68" s="177">
        <v>9</v>
      </c>
      <c r="G68" s="177">
        <v>10.5</v>
      </c>
      <c r="H68" s="177">
        <v>13.5</v>
      </c>
      <c r="I68" s="177">
        <v>15.5</v>
      </c>
      <c r="J68" s="177">
        <v>17.5</v>
      </c>
      <c r="K68" s="177">
        <v>19.5</v>
      </c>
      <c r="L68" s="177">
        <v>21</v>
      </c>
      <c r="M68" s="177">
        <v>23</v>
      </c>
      <c r="N68" s="177">
        <v>24.5</v>
      </c>
      <c r="O68" s="177">
        <v>26</v>
      </c>
      <c r="P68" s="177">
        <v>27.3</v>
      </c>
      <c r="Q68" s="177">
        <v>28.5</v>
      </c>
      <c r="R68" s="177">
        <v>30</v>
      </c>
      <c r="S68" s="177">
        <v>31</v>
      </c>
      <c r="T68" s="177">
        <v>32</v>
      </c>
      <c r="U68" s="177">
        <v>33</v>
      </c>
      <c r="V68" s="177">
        <v>34</v>
      </c>
      <c r="W68" s="178">
        <v>35</v>
      </c>
      <c r="X68" s="177">
        <v>35.5</v>
      </c>
      <c r="Y68" s="177">
        <v>26.5</v>
      </c>
      <c r="Z68" s="177">
        <v>37.299999999999997</v>
      </c>
      <c r="AA68" s="177">
        <v>38</v>
      </c>
      <c r="AB68" s="177">
        <v>38.799999999999997</v>
      </c>
      <c r="AC68" s="177">
        <v>39.6</v>
      </c>
      <c r="AD68" s="177">
        <v>40.200000000000003</v>
      </c>
      <c r="AE68" s="177">
        <v>41</v>
      </c>
      <c r="AF68" s="134"/>
      <c r="AG68" s="263" t="s">
        <v>395</v>
      </c>
      <c r="AH68" s="263"/>
      <c r="AI68" s="135">
        <f>BOISEMENT!C21</f>
        <v>15400</v>
      </c>
      <c r="AJ68" s="136"/>
      <c r="AK68" s="136"/>
      <c r="AL68" s="134"/>
      <c r="AM68" s="134"/>
      <c r="AN68" s="134"/>
      <c r="AO68" s="134"/>
    </row>
    <row r="69" spans="1:42" ht="36" customHeight="1">
      <c r="A69" s="260"/>
      <c r="B69" s="137" t="s">
        <v>398</v>
      </c>
      <c r="C69" s="137">
        <v>2</v>
      </c>
      <c r="D69" s="177">
        <v>2.5</v>
      </c>
      <c r="E69" s="177">
        <v>5</v>
      </c>
      <c r="F69" s="177">
        <v>7.5</v>
      </c>
      <c r="G69" s="177">
        <v>9</v>
      </c>
      <c r="H69" s="177">
        <v>11.5</v>
      </c>
      <c r="I69" s="177">
        <v>13.3</v>
      </c>
      <c r="J69" s="177">
        <v>15</v>
      </c>
      <c r="K69" s="177">
        <v>16.8</v>
      </c>
      <c r="L69" s="177">
        <v>18</v>
      </c>
      <c r="M69" s="177">
        <v>19.8</v>
      </c>
      <c r="N69" s="177">
        <v>21</v>
      </c>
      <c r="O69" s="177">
        <v>22.5</v>
      </c>
      <c r="P69" s="177">
        <v>23.5</v>
      </c>
      <c r="Q69" s="177">
        <v>24.5</v>
      </c>
      <c r="R69" s="177">
        <v>25.3</v>
      </c>
      <c r="S69" s="177">
        <v>26</v>
      </c>
      <c r="T69" s="177">
        <v>27</v>
      </c>
      <c r="U69" s="177">
        <v>28</v>
      </c>
      <c r="V69" s="177">
        <v>29</v>
      </c>
      <c r="W69" s="178">
        <v>30</v>
      </c>
      <c r="X69" s="177">
        <v>30.5</v>
      </c>
      <c r="Y69" s="177">
        <v>31.5</v>
      </c>
      <c r="Z69" s="177">
        <v>32.200000000000003</v>
      </c>
      <c r="AA69" s="177">
        <v>33</v>
      </c>
      <c r="AB69" s="177">
        <v>33.5</v>
      </c>
      <c r="AC69" s="177">
        <v>34</v>
      </c>
      <c r="AD69" s="177">
        <v>34.700000000000003</v>
      </c>
      <c r="AE69" s="177">
        <v>35.299999999999997</v>
      </c>
      <c r="AF69" s="134"/>
      <c r="AG69" s="263" t="s">
        <v>432</v>
      </c>
      <c r="AH69" s="263"/>
      <c r="AI69" s="135">
        <f>BOISEMENT!C3</f>
        <v>3000</v>
      </c>
      <c r="AJ69" s="134"/>
      <c r="AK69" s="134"/>
      <c r="AL69" s="134"/>
      <c r="AM69" s="134"/>
      <c r="AN69" s="134"/>
      <c r="AO69" s="134"/>
    </row>
    <row r="70" spans="1:42" ht="36" customHeight="1">
      <c r="A70" s="260"/>
      <c r="B70" s="137" t="s">
        <v>398</v>
      </c>
      <c r="C70" s="137">
        <v>3</v>
      </c>
      <c r="D70" s="177">
        <v>2</v>
      </c>
      <c r="E70" s="177">
        <v>4</v>
      </c>
      <c r="F70" s="177">
        <v>6</v>
      </c>
      <c r="G70" s="177">
        <v>7.5</v>
      </c>
      <c r="H70" s="177">
        <v>9.5</v>
      </c>
      <c r="I70" s="177">
        <v>11</v>
      </c>
      <c r="J70" s="177">
        <v>12.5</v>
      </c>
      <c r="K70" s="177">
        <v>13.8</v>
      </c>
      <c r="L70" s="177">
        <v>15</v>
      </c>
      <c r="M70" s="177">
        <v>16.3</v>
      </c>
      <c r="N70" s="177">
        <v>17.3</v>
      </c>
      <c r="O70" s="177">
        <v>18.5</v>
      </c>
      <c r="P70" s="177">
        <v>19.3</v>
      </c>
      <c r="Q70" s="177">
        <v>20</v>
      </c>
      <c r="R70" s="177">
        <v>21</v>
      </c>
      <c r="S70" s="177">
        <v>22</v>
      </c>
      <c r="T70" s="177">
        <v>22.5</v>
      </c>
      <c r="U70" s="177">
        <v>23.3</v>
      </c>
      <c r="V70" s="177">
        <v>24.1</v>
      </c>
      <c r="W70" s="178">
        <v>25</v>
      </c>
      <c r="X70" s="177">
        <v>25.3</v>
      </c>
      <c r="Y70" s="177">
        <v>26</v>
      </c>
      <c r="Z70" s="177">
        <v>26.8</v>
      </c>
      <c r="AA70" s="177">
        <v>27.3</v>
      </c>
      <c r="AB70" s="177">
        <v>28</v>
      </c>
      <c r="AC70" s="177">
        <v>28.5</v>
      </c>
      <c r="AD70" s="177">
        <v>29.2</v>
      </c>
      <c r="AE70" s="177">
        <v>30</v>
      </c>
      <c r="AF70" s="134"/>
      <c r="AG70" s="263" t="s">
        <v>398</v>
      </c>
      <c r="AH70" s="263"/>
      <c r="AI70" s="163">
        <f>BOISEMENT!E3</f>
        <v>2</v>
      </c>
      <c r="AJ70" s="134"/>
      <c r="AK70" s="134"/>
      <c r="AL70" s="134"/>
      <c r="AM70" s="134"/>
      <c r="AN70" s="134"/>
      <c r="AO70" s="134"/>
    </row>
    <row r="71" spans="1:42" ht="36" customHeight="1">
      <c r="A71" s="260"/>
      <c r="B71" s="137" t="s">
        <v>398</v>
      </c>
      <c r="C71" s="137">
        <v>4</v>
      </c>
      <c r="D71" s="177">
        <v>1.5</v>
      </c>
      <c r="E71" s="177">
        <v>3</v>
      </c>
      <c r="F71" s="177">
        <v>4.5</v>
      </c>
      <c r="G71" s="177">
        <v>6</v>
      </c>
      <c r="H71" s="177">
        <v>7.5</v>
      </c>
      <c r="I71" s="177">
        <v>8.6999999999999993</v>
      </c>
      <c r="J71" s="177">
        <v>9.5</v>
      </c>
      <c r="K71" s="177">
        <v>10.8</v>
      </c>
      <c r="L71" s="177">
        <v>12</v>
      </c>
      <c r="M71" s="177">
        <v>13</v>
      </c>
      <c r="N71" s="177">
        <v>13.7</v>
      </c>
      <c r="O71" s="177">
        <v>14.5</v>
      </c>
      <c r="P71" s="177">
        <v>15.3</v>
      </c>
      <c r="Q71" s="177">
        <v>16</v>
      </c>
      <c r="R71" s="177">
        <v>16.7</v>
      </c>
      <c r="S71" s="177">
        <v>17.2</v>
      </c>
      <c r="T71" s="177">
        <v>17.8</v>
      </c>
      <c r="U71" s="177">
        <v>18.5</v>
      </c>
      <c r="V71" s="177">
        <v>19.2</v>
      </c>
      <c r="W71" s="178">
        <v>20</v>
      </c>
      <c r="X71" s="177">
        <v>20.7</v>
      </c>
      <c r="Y71" s="177">
        <v>21</v>
      </c>
      <c r="Z71" s="177">
        <v>21.8</v>
      </c>
      <c r="AA71" s="177">
        <v>22.1</v>
      </c>
      <c r="AB71" s="177">
        <v>22.5</v>
      </c>
      <c r="AC71" s="177">
        <v>23</v>
      </c>
      <c r="AD71" s="177">
        <v>23.7</v>
      </c>
      <c r="AE71" s="177">
        <v>24.5</v>
      </c>
      <c r="AF71" s="134"/>
      <c r="AG71" s="134"/>
      <c r="AH71" s="134"/>
      <c r="AI71" s="134"/>
      <c r="AJ71" s="134"/>
      <c r="AK71" s="134"/>
      <c r="AL71" s="134"/>
      <c r="AM71" s="134"/>
      <c r="AN71" s="134"/>
      <c r="AO71" s="134"/>
    </row>
    <row r="72" spans="1:42" ht="36" customHeight="1">
      <c r="A72" s="140" t="s">
        <v>433</v>
      </c>
      <c r="B72" s="265" t="s">
        <v>404</v>
      </c>
      <c r="C72" s="265"/>
      <c r="D72" s="158">
        <v>3.52</v>
      </c>
      <c r="E72" s="158">
        <f>D72+3.52</f>
        <v>7.04</v>
      </c>
      <c r="F72" s="158">
        <f t="shared" ref="F72:AE72" si="35">E72+3.52</f>
        <v>10.56</v>
      </c>
      <c r="G72" s="158">
        <f t="shared" si="35"/>
        <v>14.08</v>
      </c>
      <c r="H72" s="158">
        <f t="shared" si="35"/>
        <v>17.600000000000001</v>
      </c>
      <c r="I72" s="158">
        <f t="shared" si="35"/>
        <v>21.12</v>
      </c>
      <c r="J72" s="158">
        <f t="shared" si="35"/>
        <v>24.64</v>
      </c>
      <c r="K72" s="158">
        <f t="shared" si="35"/>
        <v>28.16</v>
      </c>
      <c r="L72" s="158">
        <f t="shared" si="35"/>
        <v>31.68</v>
      </c>
      <c r="M72" s="158">
        <f t="shared" si="35"/>
        <v>35.200000000000003</v>
      </c>
      <c r="N72" s="158">
        <f t="shared" si="35"/>
        <v>38.720000000000006</v>
      </c>
      <c r="O72" s="158">
        <f t="shared" si="35"/>
        <v>42.240000000000009</v>
      </c>
      <c r="P72" s="158">
        <f>O72+3.52</f>
        <v>45.760000000000012</v>
      </c>
      <c r="Q72" s="158">
        <f t="shared" si="35"/>
        <v>49.280000000000015</v>
      </c>
      <c r="R72" s="158">
        <f t="shared" si="35"/>
        <v>52.800000000000018</v>
      </c>
      <c r="S72" s="158">
        <f t="shared" si="35"/>
        <v>56.320000000000022</v>
      </c>
      <c r="T72" s="158">
        <f t="shared" si="35"/>
        <v>59.840000000000025</v>
      </c>
      <c r="U72" s="158">
        <f t="shared" si="35"/>
        <v>63.360000000000028</v>
      </c>
      <c r="V72" s="158">
        <f t="shared" si="35"/>
        <v>66.880000000000024</v>
      </c>
      <c r="W72" s="158">
        <f t="shared" si="35"/>
        <v>70.40000000000002</v>
      </c>
      <c r="X72" s="158">
        <f t="shared" si="35"/>
        <v>73.920000000000016</v>
      </c>
      <c r="Y72" s="158">
        <f t="shared" si="35"/>
        <v>77.440000000000012</v>
      </c>
      <c r="Z72" s="158">
        <f t="shared" si="35"/>
        <v>80.960000000000008</v>
      </c>
      <c r="AA72" s="158">
        <f t="shared" si="35"/>
        <v>84.48</v>
      </c>
      <c r="AB72" s="158">
        <f t="shared" si="35"/>
        <v>88</v>
      </c>
      <c r="AC72" s="158">
        <f t="shared" si="35"/>
        <v>91.52</v>
      </c>
      <c r="AD72" s="158">
        <f t="shared" si="35"/>
        <v>95.039999999999992</v>
      </c>
      <c r="AE72" s="158">
        <f t="shared" si="35"/>
        <v>98.559999999999988</v>
      </c>
      <c r="AF72" s="134"/>
      <c r="AG72" s="261" t="s">
        <v>399</v>
      </c>
      <c r="AH72" s="261"/>
      <c r="AI72" s="261"/>
      <c r="AJ72" s="134"/>
      <c r="AK72" s="134"/>
      <c r="AL72" s="134"/>
      <c r="AM72" s="134"/>
      <c r="AN72" s="134"/>
      <c r="AO72" s="134"/>
    </row>
    <row r="73" spans="1:42" ht="36" customHeight="1">
      <c r="A73" s="140" t="s">
        <v>407</v>
      </c>
      <c r="B73" s="265" t="s">
        <v>404</v>
      </c>
      <c r="C73" s="265"/>
      <c r="D73" s="142">
        <f>(PI()*D72)</f>
        <v>11.058406140636071</v>
      </c>
      <c r="E73" s="142">
        <f t="shared" ref="E73:AE73" si="36">(PI()*E72)</f>
        <v>22.116812281272143</v>
      </c>
      <c r="F73" s="142">
        <f t="shared" si="36"/>
        <v>33.17521842190822</v>
      </c>
      <c r="G73" s="142">
        <f t="shared" si="36"/>
        <v>44.233624562544286</v>
      </c>
      <c r="H73" s="142">
        <f t="shared" si="36"/>
        <v>55.292030703180366</v>
      </c>
      <c r="I73" s="142">
        <f t="shared" si="36"/>
        <v>66.350436843816439</v>
      </c>
      <c r="J73" s="142">
        <f t="shared" si="36"/>
        <v>77.408842984452505</v>
      </c>
      <c r="K73" s="142">
        <f t="shared" si="36"/>
        <v>88.467249125088571</v>
      </c>
      <c r="L73" s="142">
        <f t="shared" si="36"/>
        <v>99.525655265724652</v>
      </c>
      <c r="M73" s="142">
        <f t="shared" si="36"/>
        <v>110.58406140636073</v>
      </c>
      <c r="N73" s="142">
        <f t="shared" si="36"/>
        <v>121.64246754699681</v>
      </c>
      <c r="O73" s="142">
        <f t="shared" si="36"/>
        <v>132.70087368763288</v>
      </c>
      <c r="P73" s="142">
        <f t="shared" si="36"/>
        <v>143.75927982826897</v>
      </c>
      <c r="Q73" s="142">
        <f t="shared" si="36"/>
        <v>154.81768596890504</v>
      </c>
      <c r="R73" s="142">
        <f t="shared" si="36"/>
        <v>165.87609210954113</v>
      </c>
      <c r="S73" s="142">
        <f t="shared" si="36"/>
        <v>176.93449825017723</v>
      </c>
      <c r="T73" s="142">
        <f t="shared" si="36"/>
        <v>187.99290439081329</v>
      </c>
      <c r="U73" s="142">
        <f t="shared" si="36"/>
        <v>199.05131053144939</v>
      </c>
      <c r="V73" s="142">
        <f t="shared" si="36"/>
        <v>210.10971667208543</v>
      </c>
      <c r="W73" s="142">
        <f t="shared" si="36"/>
        <v>221.16812281272149</v>
      </c>
      <c r="X73" s="142">
        <f t="shared" si="36"/>
        <v>232.22652895335756</v>
      </c>
      <c r="Y73" s="142">
        <f t="shared" si="36"/>
        <v>243.28493509399362</v>
      </c>
      <c r="Z73" s="142">
        <f t="shared" si="36"/>
        <v>254.34334123462966</v>
      </c>
      <c r="AA73" s="142">
        <f t="shared" si="36"/>
        <v>265.40174737526576</v>
      </c>
      <c r="AB73" s="142">
        <f t="shared" si="36"/>
        <v>276.46015351590177</v>
      </c>
      <c r="AC73" s="142">
        <f t="shared" si="36"/>
        <v>287.51855965653783</v>
      </c>
      <c r="AD73" s="142">
        <f t="shared" si="36"/>
        <v>298.5769657971739</v>
      </c>
      <c r="AE73" s="142">
        <f t="shared" si="36"/>
        <v>309.63537193780996</v>
      </c>
      <c r="AF73" s="134"/>
      <c r="AG73" s="262" t="s">
        <v>400</v>
      </c>
      <c r="AH73" s="262"/>
      <c r="AI73" s="139">
        <v>0.56100000000000005</v>
      </c>
      <c r="AJ73" s="134"/>
      <c r="AK73" s="134"/>
      <c r="AL73" s="134"/>
      <c r="AM73" s="134"/>
      <c r="AN73" s="134"/>
      <c r="AO73" s="134"/>
    </row>
    <row r="74" spans="1:42" ht="36" customHeight="1">
      <c r="A74" s="263" t="s">
        <v>446</v>
      </c>
      <c r="B74" s="135" t="s">
        <v>398</v>
      </c>
      <c r="C74" s="135">
        <v>1</v>
      </c>
      <c r="D74" s="156">
        <f>(5.37*5)/1.56</f>
        <v>17.211538461538463</v>
      </c>
      <c r="E74" s="156">
        <f>((10.75*5)/1.56)+D74</f>
        <v>51.666666666666671</v>
      </c>
      <c r="F74" s="156">
        <f>((11.63*5)/1.56)+E74</f>
        <v>88.942307692307708</v>
      </c>
      <c r="G74" s="156">
        <f>((12.5*5)/1.56)+F74</f>
        <v>129.00641025641028</v>
      </c>
      <c r="H74" s="156">
        <f>((12.625*5)/1.56)+G74</f>
        <v>169.47115384615387</v>
      </c>
      <c r="I74" s="156">
        <f>((12.75*5)/1.56)+H74</f>
        <v>210.33653846153848</v>
      </c>
      <c r="J74" s="156">
        <f>((12.375*5)/1.56)+I74</f>
        <v>250.00000000000003</v>
      </c>
      <c r="K74" s="156">
        <f>((12*5)/1.56)+J74</f>
        <v>288.46153846153851</v>
      </c>
      <c r="L74" s="156">
        <f>((11.5*5)/1.56)+K74</f>
        <v>325.32051282051287</v>
      </c>
      <c r="M74" s="156">
        <f>((11*5)/1.56)+L74</f>
        <v>360.57692307692315</v>
      </c>
      <c r="N74" s="156">
        <f>((10.5*5)/1.56)+M74</f>
        <v>394.23076923076928</v>
      </c>
      <c r="O74" s="156">
        <f>(50/1.56)+N74</f>
        <v>426.28205128205133</v>
      </c>
      <c r="P74" s="156">
        <f>((9.25*5)/1.56)+O74</f>
        <v>455.92948717948724</v>
      </c>
      <c r="Q74" s="156">
        <f>((8.5*5)/1.56)+P74</f>
        <v>483.17307692307696</v>
      </c>
      <c r="R74" s="156">
        <f>((8.1*5)/1.56)+Q74</f>
        <v>509.13461538461542</v>
      </c>
      <c r="S74" s="156">
        <f>((7.7*5)/1.56)+R74</f>
        <v>533.81410256410254</v>
      </c>
      <c r="T74" s="156">
        <f>((7.1*5)/1.56)+S74</f>
        <v>556.57051282051282</v>
      </c>
      <c r="U74" s="156">
        <f>((6.5*5)/1.56)+T74</f>
        <v>577.40384615384619</v>
      </c>
      <c r="V74" s="156">
        <f>((6*5)/1.56)+U74</f>
        <v>596.63461538461547</v>
      </c>
      <c r="W74" s="156">
        <f>((5.5*5)/1.56)+V74</f>
        <v>614.26282051282055</v>
      </c>
      <c r="X74" s="156">
        <f>((5.25*5)/1.56)+W74</f>
        <v>631.08974358974365</v>
      </c>
      <c r="Y74" s="156">
        <f>(25/1.56)+X74</f>
        <v>647.11538461538464</v>
      </c>
      <c r="Z74" s="156">
        <f>((4.75*5)/1.56)+Y74</f>
        <v>662.33974358974365</v>
      </c>
      <c r="AA74" s="156">
        <f>((4.5*5)/1.56)+Z74</f>
        <v>676.76282051282055</v>
      </c>
      <c r="AB74" s="156">
        <f>((4.25*5)/1.56)+AA74</f>
        <v>690.38461538461547</v>
      </c>
      <c r="AC74" s="156">
        <f>((5*4)/1.56)+AB74</f>
        <v>703.20512820512829</v>
      </c>
      <c r="AD74" s="156">
        <f>((3.5*5)/1.56)+AC74</f>
        <v>714.42307692307702</v>
      </c>
      <c r="AE74" s="156">
        <f>(15/1.56)+AD74</f>
        <v>724.03846153846166</v>
      </c>
      <c r="AF74" s="134"/>
      <c r="AG74" s="262" t="s">
        <v>401</v>
      </c>
      <c r="AH74" s="262"/>
      <c r="AI74" s="139">
        <v>0.66100000000000003</v>
      </c>
      <c r="AJ74" s="134"/>
      <c r="AK74" s="134"/>
      <c r="AL74" s="134"/>
      <c r="AM74" s="134"/>
      <c r="AN74" s="134"/>
      <c r="AO74" s="134"/>
    </row>
    <row r="75" spans="1:42" ht="36" customHeight="1">
      <c r="A75" s="263"/>
      <c r="B75" s="135" t="s">
        <v>398</v>
      </c>
      <c r="C75" s="135">
        <v>2</v>
      </c>
      <c r="D75" s="156">
        <f>(4.87*5)/1.56</f>
        <v>15.608974358974359</v>
      </c>
      <c r="E75" s="156">
        <f>((9.75*5)/1.56)+D75</f>
        <v>46.858974358974358</v>
      </c>
      <c r="F75" s="156">
        <f>((10.75*5)/1.56)+E75</f>
        <v>81.314102564102569</v>
      </c>
      <c r="G75" s="156">
        <f>((11.75*5)/1.56)+F75</f>
        <v>118.97435897435898</v>
      </c>
      <c r="H75" s="156">
        <f>((11.875*5)/1.56)+G75</f>
        <v>157.03525641025641</v>
      </c>
      <c r="I75" s="156">
        <f>((12*5)/1.56)+H75</f>
        <v>195.49679487179486</v>
      </c>
      <c r="J75" s="156">
        <f>((11.75*5)/1.56)+I75</f>
        <v>233.15705128205127</v>
      </c>
      <c r="K75" s="156">
        <f>((11.5*5)/1.56)+J75</f>
        <v>270.01602564102564</v>
      </c>
      <c r="L75" s="156">
        <f>(55/1.56)+K75</f>
        <v>305.27243589743591</v>
      </c>
      <c r="M75" s="156">
        <f>((10.5*5)/1.56)+L75</f>
        <v>338.92628205128204</v>
      </c>
      <c r="N75" s="156">
        <f>((10.125*5)/1.56)+M75</f>
        <v>371.37820512820514</v>
      </c>
      <c r="O75" s="156">
        <f>((9.75*5)/1.56)+N75</f>
        <v>402.62820512820514</v>
      </c>
      <c r="P75" s="156">
        <f>((9*5)/1.56)+O75</f>
        <v>431.47435897435901</v>
      </c>
      <c r="Q75" s="156">
        <f>((8.25*5)/1.56)+P75</f>
        <v>457.91666666666669</v>
      </c>
      <c r="R75" s="156">
        <f>((5*7.875)/1.56)+Q75</f>
        <v>483.15705128205127</v>
      </c>
      <c r="S75" s="156">
        <f>((7.5*5)/1.56)+R75</f>
        <v>507.19551282051282</v>
      </c>
      <c r="T75" s="156">
        <f>((6.95*5)/1.56)+S75</f>
        <v>529.47115384615381</v>
      </c>
      <c r="U75" s="156">
        <f>((6.4*5)/1.56)+T75</f>
        <v>549.98397435897436</v>
      </c>
      <c r="V75" s="156">
        <f>((5.9*5)/1.56)+U75</f>
        <v>568.89423076923072</v>
      </c>
      <c r="W75" s="156">
        <f>((5.4*5)/1.56)+V75</f>
        <v>586.20192307692298</v>
      </c>
      <c r="X75" s="156">
        <f>((5.125*5)/1.56)+W75</f>
        <v>602.62820512820508</v>
      </c>
      <c r="Y75" s="156">
        <f>((4.85*5)/1.56)+X75</f>
        <v>618.17307692307691</v>
      </c>
      <c r="Z75" s="156">
        <f>((4.6*5)/1.56)+Y75</f>
        <v>632.91666666666663</v>
      </c>
      <c r="AA75" s="156">
        <f>((4.35*5)/1.56)+Z75</f>
        <v>646.85897435897436</v>
      </c>
      <c r="AB75" s="156">
        <f>((4.1*5)/1.56)+AA75</f>
        <v>660</v>
      </c>
      <c r="AC75" s="156">
        <f>((3.85*5)/1.56)+AB75</f>
        <v>672.33974358974353</v>
      </c>
      <c r="AD75" s="156">
        <f>((3.35*5)/1.56)+AC75</f>
        <v>683.07692307692298</v>
      </c>
      <c r="AE75" s="156">
        <f>((2.85*5)/1.56)+AD75</f>
        <v>692.21153846153834</v>
      </c>
      <c r="AF75" s="134"/>
      <c r="AG75" s="262" t="s">
        <v>402</v>
      </c>
      <c r="AH75" s="262"/>
      <c r="AI75" s="139">
        <v>-2E-3</v>
      </c>
      <c r="AJ75" s="134"/>
      <c r="AK75" s="134"/>
      <c r="AL75" s="134"/>
      <c r="AM75" s="134"/>
      <c r="AN75" s="134"/>
      <c r="AO75" s="134"/>
    </row>
    <row r="76" spans="1:42" ht="36" customHeight="1">
      <c r="A76" s="263"/>
      <c r="B76" s="135" t="s">
        <v>398</v>
      </c>
      <c r="C76" s="135">
        <v>3</v>
      </c>
      <c r="D76" s="156">
        <f>(4*5)/1.56</f>
        <v>12.820512820512819</v>
      </c>
      <c r="E76" s="156">
        <f>((8*5)/1.56)+D76</f>
        <v>38.46153846153846</v>
      </c>
      <c r="F76" s="156">
        <f>((9.25*5)/1.56)+E76</f>
        <v>68.108974358974365</v>
      </c>
      <c r="G76" s="156">
        <f>((10.5*5)/1.56)+F76</f>
        <v>101.76282051282053</v>
      </c>
      <c r="H76" s="156">
        <f>((5*10.75)/1.56)+G76</f>
        <v>136.21794871794873</v>
      </c>
      <c r="I76" s="156">
        <f>((11*5)/1.56)+H76</f>
        <v>171.47435897435898</v>
      </c>
      <c r="J76" s="156">
        <f>((10.875*5)/1.56)+I76</f>
        <v>206.3301282051282</v>
      </c>
      <c r="K76" s="156">
        <f>((10.75*5)/1.56)+J76</f>
        <v>240.78525641025641</v>
      </c>
      <c r="L76" s="156">
        <f>((10.38*5)/1.56)+K76</f>
        <v>274.05448717948718</v>
      </c>
      <c r="M76" s="156">
        <f>(50/1.56)+L76</f>
        <v>306.10576923076923</v>
      </c>
      <c r="N76" s="156">
        <f>((9.5*5)/1.56)+M76</f>
        <v>336.55448717948718</v>
      </c>
      <c r="O76" s="156">
        <f>((9*5)/1.56)+N76</f>
        <v>365.40064102564105</v>
      </c>
      <c r="P76" s="156">
        <f>((8.5*5)/1.56)+O76</f>
        <v>392.64423076923077</v>
      </c>
      <c r="Q76" s="156">
        <f>((8*5)/1.56)+P76</f>
        <v>418.28525641025641</v>
      </c>
      <c r="R76" s="156">
        <f>((7.625*5)/1.56)+Q76</f>
        <v>442.72435897435895</v>
      </c>
      <c r="S76" s="156">
        <f>((7.25*5)/1.56)+R76</f>
        <v>465.96153846153845</v>
      </c>
      <c r="T76" s="156">
        <f>((6.75*5)/1.56)+S76</f>
        <v>487.59615384615381</v>
      </c>
      <c r="U76" s="156">
        <f>((6.25*5)/1.56)+T76</f>
        <v>507.62820512820508</v>
      </c>
      <c r="V76" s="156">
        <f>((5.725*5)/1.56)+U76</f>
        <v>525.97756410256409</v>
      </c>
      <c r="W76" s="156">
        <f>((5.2*5)/1.56)+V76</f>
        <v>542.64423076923072</v>
      </c>
      <c r="X76" s="156">
        <f>((4.95*5)/1.56)+W76</f>
        <v>558.50961538461536</v>
      </c>
      <c r="Y76" s="156">
        <f>((4.7*5)/1.56)+X76</f>
        <v>573.5737179487179</v>
      </c>
      <c r="Z76" s="156">
        <f>((4.45*5)/1.56)+Y76</f>
        <v>587.83653846153845</v>
      </c>
      <c r="AA76" s="156">
        <f>((4.2*5)/1.56)+Z76</f>
        <v>601.29807692307691</v>
      </c>
      <c r="AB76" s="156">
        <f>((3.95*5)/1.56)+AA76</f>
        <v>613.95833333333337</v>
      </c>
      <c r="AC76" s="156">
        <f>((3.7*5)/1.56)+AB76</f>
        <v>625.81730769230774</v>
      </c>
      <c r="AD76" s="156">
        <f>((3.2*5)/1.56)+AC76</f>
        <v>636.07371794871801</v>
      </c>
      <c r="AE76" s="156">
        <f>((2.7*5)/1.56)+AD76</f>
        <v>644.7275641025642</v>
      </c>
      <c r="AF76" s="134"/>
      <c r="AG76" s="262" t="s">
        <v>405</v>
      </c>
      <c r="AH76" s="262"/>
      <c r="AI76" s="139">
        <v>0.51200000000000001</v>
      </c>
      <c r="AJ76" s="134"/>
      <c r="AK76" s="134"/>
      <c r="AL76" s="134"/>
      <c r="AM76" s="134"/>
      <c r="AN76" s="134"/>
      <c r="AO76" s="134"/>
    </row>
    <row r="77" spans="1:42" ht="36" customHeight="1">
      <c r="A77" s="263"/>
      <c r="B77" s="135" t="s">
        <v>398</v>
      </c>
      <c r="C77" s="135">
        <v>4</v>
      </c>
      <c r="D77" s="156">
        <f>(3.5*5)/1.56</f>
        <v>11.217948717948717</v>
      </c>
      <c r="E77" s="156">
        <f>((7*5)/1.56)+D77</f>
        <v>33.653846153846153</v>
      </c>
      <c r="F77" s="156">
        <f>((8*5)/1.56)+E77</f>
        <v>59.294871794871796</v>
      </c>
      <c r="G77" s="156">
        <f>((9*5)/1.56)+F77</f>
        <v>88.141025641025635</v>
      </c>
      <c r="H77" s="156">
        <f>((9.5*5)/1.56)+G77</f>
        <v>118.58974358974359</v>
      </c>
      <c r="I77" s="156">
        <f>(50/1.56)+H77</f>
        <v>150.64102564102564</v>
      </c>
      <c r="J77" s="156">
        <f>((9.875*5)/1.56)+I77</f>
        <v>182.29166666666666</v>
      </c>
      <c r="K77" s="156">
        <f>((9.75*5)/1.56)+J77</f>
        <v>213.54166666666666</v>
      </c>
      <c r="L77" s="156">
        <f>((9.375*5)/1.56)+K77</f>
        <v>243.58974358974359</v>
      </c>
      <c r="M77" s="156">
        <f>((9*5)/1.56)+L77</f>
        <v>272.43589743589746</v>
      </c>
      <c r="N77" s="156">
        <f>((8.625*5)/1.56)+M77</f>
        <v>300.08012820512823</v>
      </c>
      <c r="O77" s="156">
        <f>((8.25*5)/1.56)+N77</f>
        <v>326.52243589743591</v>
      </c>
      <c r="P77" s="156">
        <f>((7.875*5)/1.56)+O77</f>
        <v>351.76282051282055</v>
      </c>
      <c r="Q77" s="156">
        <f>((7.5*5)/1.56)+P77</f>
        <v>375.8012820512821</v>
      </c>
      <c r="R77" s="156">
        <f>((7.25*5)/1.56)+Q77</f>
        <v>399.0384615384616</v>
      </c>
      <c r="S77" s="156">
        <f>((7*5)/1.56)+R77</f>
        <v>421.47435897435906</v>
      </c>
      <c r="T77" s="156">
        <f>((6.5*5)/1.56)+S77</f>
        <v>442.30769230769238</v>
      </c>
      <c r="U77" s="156">
        <f>((6*5)/1.56)+T77</f>
        <v>461.5384615384616</v>
      </c>
      <c r="V77" s="156">
        <f>((5.5*5)/1.56)+U77</f>
        <v>479.16666666666674</v>
      </c>
      <c r="W77" s="156">
        <f>(25/1.56)+V77</f>
        <v>495.19230769230779</v>
      </c>
      <c r="X77" s="156">
        <f>((4.775*5)/1.56)+W77</f>
        <v>510.49679487179498</v>
      </c>
      <c r="Y77" s="156">
        <f>((4.55*5)/1.56)+X77</f>
        <v>525.08012820512829</v>
      </c>
      <c r="Z77" s="156">
        <f>((4.3*5)/1.56)+Y77</f>
        <v>538.86217948717956</v>
      </c>
      <c r="AA77" s="156">
        <f>((4.05*5)/1.56)+Z77</f>
        <v>551.84294871794884</v>
      </c>
      <c r="AB77" s="156">
        <f>((3.8*5)/1.56)+AA77</f>
        <v>564.02243589743603</v>
      </c>
      <c r="AC77" s="156">
        <f>((3.55*5)/1.56)+AB77</f>
        <v>575.40064102564111</v>
      </c>
      <c r="AD77" s="156">
        <f>((3.05*5)/1.56)+AC77</f>
        <v>585.1762820512821</v>
      </c>
      <c r="AE77" s="156">
        <f>((2.55*5)/1.56)+AD77</f>
        <v>593.34935897435901</v>
      </c>
      <c r="AF77" s="134"/>
      <c r="AG77" s="134"/>
      <c r="AH77" s="134"/>
      <c r="AI77" s="134"/>
      <c r="AJ77" s="134"/>
      <c r="AK77" s="134"/>
      <c r="AL77" s="134"/>
      <c r="AM77" s="134"/>
      <c r="AN77" s="134"/>
      <c r="AO77" s="134"/>
    </row>
    <row r="78" spans="1:42" ht="36" customHeight="1">
      <c r="A78" s="261" t="s">
        <v>415</v>
      </c>
      <c r="B78" s="262" t="s">
        <v>471</v>
      </c>
      <c r="C78" s="262"/>
      <c r="D78" s="149">
        <f t="shared" ref="D78:AE78" si="37">IF($AI$70=$C$74,D74,IF($AI$70=$C$75,D75,IF($AI$70=$C$76,D76,IF($AI$70=$C$77,D77))))</f>
        <v>15.608974358974359</v>
      </c>
      <c r="E78" s="149">
        <f t="shared" si="37"/>
        <v>46.858974358974358</v>
      </c>
      <c r="F78" s="149">
        <f t="shared" si="37"/>
        <v>81.314102564102569</v>
      </c>
      <c r="G78" s="149">
        <f t="shared" si="37"/>
        <v>118.97435897435898</v>
      </c>
      <c r="H78" s="149">
        <f t="shared" si="37"/>
        <v>157.03525641025641</v>
      </c>
      <c r="I78" s="149">
        <f t="shared" si="37"/>
        <v>195.49679487179486</v>
      </c>
      <c r="J78" s="149">
        <f t="shared" si="37"/>
        <v>233.15705128205127</v>
      </c>
      <c r="K78" s="149">
        <f t="shared" si="37"/>
        <v>270.01602564102564</v>
      </c>
      <c r="L78" s="149">
        <f t="shared" si="37"/>
        <v>305.27243589743591</v>
      </c>
      <c r="M78" s="149">
        <f t="shared" si="37"/>
        <v>338.92628205128204</v>
      </c>
      <c r="N78" s="149">
        <f t="shared" si="37"/>
        <v>371.37820512820514</v>
      </c>
      <c r="O78" s="149">
        <f t="shared" si="37"/>
        <v>402.62820512820514</v>
      </c>
      <c r="P78" s="149">
        <f t="shared" si="37"/>
        <v>431.47435897435901</v>
      </c>
      <c r="Q78" s="149">
        <f t="shared" si="37"/>
        <v>457.91666666666669</v>
      </c>
      <c r="R78" s="149">
        <f t="shared" si="37"/>
        <v>483.15705128205127</v>
      </c>
      <c r="S78" s="149">
        <f t="shared" si="37"/>
        <v>507.19551282051282</v>
      </c>
      <c r="T78" s="149">
        <f t="shared" si="37"/>
        <v>529.47115384615381</v>
      </c>
      <c r="U78" s="149">
        <f t="shared" si="37"/>
        <v>549.98397435897436</v>
      </c>
      <c r="V78" s="149">
        <f t="shared" si="37"/>
        <v>568.89423076923072</v>
      </c>
      <c r="W78" s="149">
        <f t="shared" si="37"/>
        <v>586.20192307692298</v>
      </c>
      <c r="X78" s="149">
        <f t="shared" si="37"/>
        <v>602.62820512820508</v>
      </c>
      <c r="Y78" s="149">
        <f t="shared" si="37"/>
        <v>618.17307692307691</v>
      </c>
      <c r="Z78" s="149">
        <f t="shared" si="37"/>
        <v>632.91666666666663</v>
      </c>
      <c r="AA78" s="149">
        <f t="shared" si="37"/>
        <v>646.85897435897436</v>
      </c>
      <c r="AB78" s="149">
        <f t="shared" si="37"/>
        <v>660</v>
      </c>
      <c r="AC78" s="149">
        <f t="shared" si="37"/>
        <v>672.33974358974353</v>
      </c>
      <c r="AD78" s="149">
        <f t="shared" si="37"/>
        <v>683.07692307692298</v>
      </c>
      <c r="AE78" s="149">
        <f t="shared" si="37"/>
        <v>692.21153846153834</v>
      </c>
      <c r="AF78" s="134"/>
      <c r="AG78" s="143" t="s">
        <v>408</v>
      </c>
      <c r="AH78" s="135" t="s">
        <v>392</v>
      </c>
      <c r="AI78" s="135" t="s">
        <v>420</v>
      </c>
      <c r="AJ78" s="135" t="s">
        <v>409</v>
      </c>
      <c r="AK78" s="135" t="s">
        <v>410</v>
      </c>
      <c r="AL78" s="135" t="s">
        <v>232</v>
      </c>
      <c r="AM78" s="135" t="s">
        <v>411</v>
      </c>
      <c r="AN78" s="135" t="s">
        <v>258</v>
      </c>
      <c r="AO78" s="135" t="s">
        <v>259</v>
      </c>
    </row>
    <row r="79" spans="1:42" ht="36" customHeight="1">
      <c r="A79" s="261"/>
      <c r="B79" s="262" t="s">
        <v>451</v>
      </c>
      <c r="C79" s="262"/>
      <c r="D79" s="149">
        <f>D78*((AI69/AI68)*AI67)</f>
        <v>41.262425074925083</v>
      </c>
      <c r="E79" s="149">
        <f t="shared" ref="E79:AE79" si="38">(E78*(($AI$69/$AI$68)*$AI$67))-D82</f>
        <v>123.87200299700301</v>
      </c>
      <c r="F79" s="149">
        <f t="shared" si="38"/>
        <v>214.95435814185819</v>
      </c>
      <c r="G79" s="149">
        <f t="shared" si="38"/>
        <v>314.50949050949055</v>
      </c>
      <c r="H79" s="149">
        <f t="shared" si="38"/>
        <v>415.12372002997006</v>
      </c>
      <c r="I79" s="149">
        <f t="shared" si="38"/>
        <v>516.7970467032967</v>
      </c>
      <c r="J79" s="149">
        <f t="shared" si="38"/>
        <v>616.35217907092908</v>
      </c>
      <c r="K79" s="149">
        <f t="shared" si="38"/>
        <v>508.33839077589084</v>
      </c>
      <c r="L79" s="149">
        <f t="shared" si="38"/>
        <v>806.98966658341669</v>
      </c>
      <c r="M79" s="149">
        <f t="shared" si="38"/>
        <v>694.20641077672337</v>
      </c>
      <c r="N79" s="149">
        <f t="shared" si="38"/>
        <v>827.47260551948057</v>
      </c>
      <c r="O79" s="149">
        <f t="shared" si="38"/>
        <v>1064.3502747252749</v>
      </c>
      <c r="P79" s="149">
        <f t="shared" si="38"/>
        <v>927.73521478521502</v>
      </c>
      <c r="Q79" s="149">
        <f t="shared" si="38"/>
        <v>1210.505681818182</v>
      </c>
      <c r="R79" s="149">
        <f t="shared" si="38"/>
        <v>974.60238199300716</v>
      </c>
      <c r="S79" s="149">
        <f t="shared" si="38"/>
        <v>1201.545719905095</v>
      </c>
      <c r="T79" s="149">
        <f t="shared" si="38"/>
        <v>1399.6604333166833</v>
      </c>
      <c r="U79" s="149">
        <f t="shared" si="38"/>
        <v>1220.6094686563438</v>
      </c>
      <c r="V79" s="149">
        <f t="shared" si="38"/>
        <v>1503.8755931568433</v>
      </c>
      <c r="W79" s="149">
        <f t="shared" si="38"/>
        <v>1349.1118444055944</v>
      </c>
      <c r="X79" s="149">
        <f t="shared" si="38"/>
        <v>1593.0515734265734</v>
      </c>
      <c r="Y79" s="149">
        <f t="shared" si="38"/>
        <v>1450.3308998693615</v>
      </c>
      <c r="Z79" s="149">
        <f t="shared" si="38"/>
        <v>1673.1193181818182</v>
      </c>
      <c r="AA79" s="149">
        <f t="shared" si="38"/>
        <v>1491.7429445554449</v>
      </c>
      <c r="AB79" s="149">
        <f t="shared" si="38"/>
        <v>1744.714285714286</v>
      </c>
      <c r="AC79" s="149">
        <f t="shared" si="38"/>
        <v>1602.8630494505496</v>
      </c>
      <c r="AD79" s="149">
        <f t="shared" si="38"/>
        <v>1627.6223873348872</v>
      </c>
      <c r="AE79" s="149">
        <f t="shared" si="38"/>
        <v>1829.8656968031967</v>
      </c>
      <c r="AF79" s="134"/>
      <c r="AG79" s="135" t="s">
        <v>412</v>
      </c>
      <c r="AH79" s="145">
        <v>35</v>
      </c>
      <c r="AI79" s="144">
        <f>J72</f>
        <v>24.64</v>
      </c>
      <c r="AJ79" s="156">
        <v>900</v>
      </c>
      <c r="AK79" s="146">
        <f>(AJ79-AJ80)/AJ79</f>
        <v>0.33333333333333331</v>
      </c>
      <c r="AL79" s="146">
        <v>0.7</v>
      </c>
      <c r="AM79" s="146">
        <v>0.3</v>
      </c>
      <c r="AN79" s="146">
        <v>0</v>
      </c>
      <c r="AO79" s="146">
        <v>0</v>
      </c>
    </row>
    <row r="80" spans="1:42" ht="36" customHeight="1">
      <c r="A80" s="261"/>
      <c r="B80" s="262" t="s">
        <v>452</v>
      </c>
      <c r="C80" s="262"/>
      <c r="D80" s="149">
        <f>D79*COEFFICIENTS!$B$28</f>
        <v>23.932206543456548</v>
      </c>
      <c r="E80" s="149">
        <f>E79*COEFFICIENTS!$B$28</f>
        <v>71.845761738261743</v>
      </c>
      <c r="F80" s="149">
        <f>F79*COEFFICIENTS!$B$28</f>
        <v>124.67352772227774</v>
      </c>
      <c r="G80" s="149">
        <f>G79*COEFFICIENTS!$B$28</f>
        <v>182.41550449550451</v>
      </c>
      <c r="H80" s="149">
        <f>H79*COEFFICIENTS!$B$28</f>
        <v>240.7717576173826</v>
      </c>
      <c r="I80" s="149">
        <f>I79*COEFFICIENTS!$B$28</f>
        <v>299.74228708791208</v>
      </c>
      <c r="J80" s="149">
        <f>J79*COEFFICIENTS!$B$28</f>
        <v>357.48426386113886</v>
      </c>
      <c r="K80" s="149">
        <f>K79*COEFFICIENTS!$B$28</f>
        <v>294.83626665001668</v>
      </c>
      <c r="L80" s="149">
        <f>L79*COEFFICIENTS!$B$28</f>
        <v>468.05400661838166</v>
      </c>
      <c r="M80" s="149">
        <f>M79*COEFFICIENTS!$B$28</f>
        <v>402.63971825049953</v>
      </c>
      <c r="N80" s="149">
        <f>N79*COEFFICIENTS!$B$28</f>
        <v>479.93411120129872</v>
      </c>
      <c r="O80" s="149">
        <f>O79*COEFFICIENTS!$B$28</f>
        <v>617.32315934065934</v>
      </c>
      <c r="P80" s="149">
        <f>P79*COEFFICIENTS!$B$28</f>
        <v>538.08642457542464</v>
      </c>
      <c r="Q80" s="149">
        <f>Q79*COEFFICIENTS!$B$28</f>
        <v>702.09329545454545</v>
      </c>
      <c r="R80" s="149">
        <f>R79*COEFFICIENTS!$B$28</f>
        <v>565.26938155594416</v>
      </c>
      <c r="S80" s="149">
        <f>S79*COEFFICIENTS!$B$28</f>
        <v>696.89651754495503</v>
      </c>
      <c r="T80" s="149">
        <f>T79*COEFFICIENTS!$B$28</f>
        <v>811.8030513236763</v>
      </c>
      <c r="U80" s="149">
        <f>U79*COEFFICIENTS!$B$28</f>
        <v>707.95349182067935</v>
      </c>
      <c r="V80" s="149">
        <f>V79*COEFFICIENTS!$B$28</f>
        <v>872.24784403096908</v>
      </c>
      <c r="W80" s="149">
        <f>W79*COEFFICIENTS!$B$28</f>
        <v>782.48486975524474</v>
      </c>
      <c r="X80" s="149">
        <f>X79*COEFFICIENTS!$B$28</f>
        <v>923.96991258741252</v>
      </c>
      <c r="Y80" s="149">
        <f>Y79*COEFFICIENTS!$B$28</f>
        <v>841.19192192422963</v>
      </c>
      <c r="Z80" s="149">
        <f>Z79*COEFFICIENTS!$B$28</f>
        <v>970.40920454545449</v>
      </c>
      <c r="AA80" s="149">
        <f>AA79*COEFFICIENTS!$B$28</f>
        <v>865.21090784215801</v>
      </c>
      <c r="AB80" s="149">
        <f>AB79*COEFFICIENTS!$B$28</f>
        <v>1011.9342857142858</v>
      </c>
      <c r="AC80" s="149">
        <f>AC79*COEFFICIENTS!$B$28</f>
        <v>929.66056868131875</v>
      </c>
      <c r="AD80" s="149">
        <f>AD79*COEFFICIENTS!$B$28</f>
        <v>944.02098465423455</v>
      </c>
      <c r="AE80" s="149">
        <f>AE79*COEFFICIENTS!$B$28</f>
        <v>1061.3221041458539</v>
      </c>
      <c r="AF80" s="134"/>
      <c r="AG80" s="135" t="s">
        <v>413</v>
      </c>
      <c r="AH80" s="145">
        <v>45</v>
      </c>
      <c r="AI80" s="144">
        <f>L72</f>
        <v>31.68</v>
      </c>
      <c r="AJ80" s="156">
        <v>600</v>
      </c>
      <c r="AK80" s="146">
        <f t="shared" ref="AK80:AK91" si="39">(AJ80-AJ81)/AJ80</f>
        <v>0.25</v>
      </c>
      <c r="AL80" s="146">
        <v>0.7</v>
      </c>
      <c r="AM80" s="146">
        <v>0.3</v>
      </c>
      <c r="AN80" s="146">
        <v>0</v>
      </c>
      <c r="AO80" s="146">
        <v>0</v>
      </c>
    </row>
    <row r="81" spans="1:42" ht="36" customHeight="1">
      <c r="A81" s="261"/>
      <c r="B81" s="262" t="s">
        <v>450</v>
      </c>
      <c r="C81" s="262"/>
      <c r="D81" s="149">
        <f t="shared" ref="D81:AE81" si="40">IF(D67=$AH$79,$AK$79*D80,IF(D67=$AH$80,$AK$80*D80,IF(D67=$AH$81,$AK$81*D80,IF(D67=$AH$82,$AK$82*D80,IF(D67=$AH$83,$AK$83*D80,IF(D67=$AH$84,$AK$84*D80,IF(D67=$AH$85,$AK$85*D80,IF(D67=$AH$86,$AK$86*D80,IF(D67=$AH$87,$AK$87*D80,IF(D67=$AH$88,$AK$88*D80,IF(D67=$AH$89,$AK$89*D80,IF(D67=$AH$90,$AK$90*D80,IF(D67=$AH$91,$AK$91*D80,0)))))))))))))</f>
        <v>0</v>
      </c>
      <c r="E81" s="149">
        <f t="shared" si="40"/>
        <v>0</v>
      </c>
      <c r="F81" s="149">
        <f t="shared" si="40"/>
        <v>0</v>
      </c>
      <c r="G81" s="149">
        <f t="shared" si="40"/>
        <v>0</v>
      </c>
      <c r="H81" s="149">
        <f t="shared" si="40"/>
        <v>0</v>
      </c>
      <c r="I81" s="149">
        <f t="shared" si="40"/>
        <v>0</v>
      </c>
      <c r="J81" s="149">
        <f t="shared" si="40"/>
        <v>119.16142128704628</v>
      </c>
      <c r="K81" s="149">
        <f t="shared" si="40"/>
        <v>0</v>
      </c>
      <c r="L81" s="149">
        <f t="shared" si="40"/>
        <v>117.01350165459542</v>
      </c>
      <c r="M81" s="149">
        <f t="shared" si="40"/>
        <v>89.475492944555441</v>
      </c>
      <c r="N81" s="149">
        <f t="shared" si="40"/>
        <v>0</v>
      </c>
      <c r="O81" s="149">
        <f t="shared" si="40"/>
        <v>123.46463186813187</v>
      </c>
      <c r="P81" s="149">
        <f t="shared" si="40"/>
        <v>0</v>
      </c>
      <c r="Q81" s="149">
        <f t="shared" si="40"/>
        <v>175.52332386363636</v>
      </c>
      <c r="R81" s="149">
        <f t="shared" si="40"/>
        <v>80.752768793706309</v>
      </c>
      <c r="S81" s="149">
        <f t="shared" si="40"/>
        <v>0</v>
      </c>
      <c r="T81" s="149">
        <f t="shared" si="40"/>
        <v>135.30050855394603</v>
      </c>
      <c r="U81" s="149">
        <f t="shared" si="40"/>
        <v>0</v>
      </c>
      <c r="V81" s="149">
        <f t="shared" si="40"/>
        <v>116.29971253746254</v>
      </c>
      <c r="W81" s="149">
        <f t="shared" si="40"/>
        <v>0</v>
      </c>
      <c r="X81" s="149">
        <f t="shared" si="40"/>
        <v>106.6119129908553</v>
      </c>
      <c r="Y81" s="149">
        <f t="shared" si="40"/>
        <v>0</v>
      </c>
      <c r="Z81" s="149">
        <f t="shared" si="40"/>
        <v>126.57511363636362</v>
      </c>
      <c r="AA81" s="149">
        <f t="shared" si="40"/>
        <v>0</v>
      </c>
      <c r="AB81" s="149">
        <f t="shared" si="40"/>
        <v>101.19342857142858</v>
      </c>
      <c r="AC81" s="149">
        <f t="shared" si="40"/>
        <v>103.29561874236875</v>
      </c>
      <c r="AD81" s="149">
        <f t="shared" si="40"/>
        <v>0</v>
      </c>
      <c r="AE81" s="149">
        <f t="shared" si="40"/>
        <v>1061.3221041458539</v>
      </c>
      <c r="AF81" s="134"/>
      <c r="AG81" s="135" t="s">
        <v>421</v>
      </c>
      <c r="AH81" s="145">
        <f t="shared" ref="AH81:AH84" si="41">AH80+5</f>
        <v>50</v>
      </c>
      <c r="AI81" s="144">
        <f>M72</f>
        <v>35.200000000000003</v>
      </c>
      <c r="AJ81" s="156">
        <v>450</v>
      </c>
      <c r="AK81" s="146">
        <f t="shared" si="39"/>
        <v>0.22222222222222221</v>
      </c>
      <c r="AL81" s="146">
        <v>0.7</v>
      </c>
      <c r="AM81" s="146">
        <v>0.3</v>
      </c>
      <c r="AN81" s="146">
        <v>0</v>
      </c>
      <c r="AO81" s="146">
        <v>0</v>
      </c>
    </row>
    <row r="82" spans="1:42" ht="36" customHeight="1">
      <c r="A82" s="261"/>
      <c r="B82" s="262" t="s">
        <v>453</v>
      </c>
      <c r="C82" s="262"/>
      <c r="D82" s="149">
        <f>D81/COEFFICIENTS!$B$28</f>
        <v>0</v>
      </c>
      <c r="E82" s="149">
        <f>E81/COEFFICIENTS!$B$28</f>
        <v>0</v>
      </c>
      <c r="F82" s="149">
        <f>F81/COEFFICIENTS!$B$28</f>
        <v>0</v>
      </c>
      <c r="G82" s="149">
        <f>G81/COEFFICIENTS!$B$28</f>
        <v>0</v>
      </c>
      <c r="H82" s="149">
        <f>H81/COEFFICIENTS!$B$28</f>
        <v>0</v>
      </c>
      <c r="I82" s="149">
        <f>I81/COEFFICIENTS!$B$28</f>
        <v>0</v>
      </c>
      <c r="J82" s="149">
        <f>J81/COEFFICIENTS!$B$28</f>
        <v>205.45072635697636</v>
      </c>
      <c r="K82" s="149">
        <f>K81/COEFFICIENTS!$B$28</f>
        <v>0</v>
      </c>
      <c r="L82" s="149">
        <f>L81/COEFFICIENTS!$B$28</f>
        <v>201.74741664585417</v>
      </c>
      <c r="M82" s="149">
        <f>M81/COEFFICIENTS!$B$28</f>
        <v>154.2680912837163</v>
      </c>
      <c r="N82" s="149">
        <f>N81/COEFFICIENTS!$B$28</f>
        <v>0</v>
      </c>
      <c r="O82" s="149">
        <f>O81/COEFFICIENTS!$B$28</f>
        <v>212.87005494505496</v>
      </c>
      <c r="P82" s="149">
        <f>P81/COEFFICIENTS!$B$28</f>
        <v>0</v>
      </c>
      <c r="Q82" s="149">
        <f>Q81/COEFFICIENTS!$B$28</f>
        <v>302.6264204545455</v>
      </c>
      <c r="R82" s="149">
        <f>R81/COEFFICIENTS!$B$28</f>
        <v>139.22891171328675</v>
      </c>
      <c r="S82" s="149">
        <f>S81/COEFFICIENTS!$B$28</f>
        <v>0</v>
      </c>
      <c r="T82" s="149">
        <f>T81/COEFFICIENTS!$B$28</f>
        <v>233.27673888611386</v>
      </c>
      <c r="U82" s="149">
        <f>U81/COEFFICIENTS!$B$28</f>
        <v>0</v>
      </c>
      <c r="V82" s="149">
        <f>V81/COEFFICIENTS!$B$28</f>
        <v>200.51674575424576</v>
      </c>
      <c r="W82" s="149">
        <f>W81/COEFFICIENTS!$B$28</f>
        <v>0</v>
      </c>
      <c r="X82" s="149">
        <f>X81/COEFFICIENTS!$B$28</f>
        <v>183.81364308768156</v>
      </c>
      <c r="Y82" s="149">
        <f>Y81/COEFFICIENTS!$B$28</f>
        <v>0</v>
      </c>
      <c r="Z82" s="149">
        <f>Z81/COEFFICIENTS!$B$28</f>
        <v>218.23295454545453</v>
      </c>
      <c r="AA82" s="149">
        <f>AA81/COEFFICIENTS!$B$28</f>
        <v>0</v>
      </c>
      <c r="AB82" s="149">
        <f>AB81/COEFFICIENTS!$B$28</f>
        <v>174.47142857142862</v>
      </c>
      <c r="AC82" s="149">
        <f>AC81/COEFFICIENTS!$B$28</f>
        <v>178.09589438339441</v>
      </c>
      <c r="AD82" s="149">
        <f>AD81/COEFFICIENTS!$B$28</f>
        <v>0</v>
      </c>
      <c r="AE82" s="149">
        <f>AE81/COEFFICIENTS!$B$28</f>
        <v>1829.8656968031964</v>
      </c>
      <c r="AF82" s="134"/>
      <c r="AG82" s="135" t="s">
        <v>422</v>
      </c>
      <c r="AH82" s="145">
        <v>60</v>
      </c>
      <c r="AI82" s="144">
        <f>O72</f>
        <v>42.240000000000009</v>
      </c>
      <c r="AJ82" s="156">
        <v>350</v>
      </c>
      <c r="AK82" s="146">
        <f t="shared" si="39"/>
        <v>0.2</v>
      </c>
      <c r="AL82" s="146">
        <v>0.6</v>
      </c>
      <c r="AM82" s="146">
        <v>0.3</v>
      </c>
      <c r="AN82" s="146">
        <v>0.1</v>
      </c>
      <c r="AO82" s="146">
        <v>0</v>
      </c>
    </row>
    <row r="83" spans="1:42" ht="36" customHeight="1">
      <c r="A83" s="261"/>
      <c r="B83" s="262" t="s">
        <v>458</v>
      </c>
      <c r="C83" s="262"/>
      <c r="D83" s="151">
        <f>IF(D67=AH79,AL79,IF(D67=AH80,AL80,IF(D67=AH81,AL81,IF(D67=AH82,AL82,IF(D67=AH83,AL83,IF(D67=AH84,AL84,IF(D67=AH85,AL85,IF(D67=AH86,AL86,IF(D67=AH87,AL87,IF(D67=AH88,AL88,IF(D67=AH89,AL89,IF(D67=AH90,AL90,IF(D67=AH91,AL91,0)))))))))))))</f>
        <v>0</v>
      </c>
      <c r="E83" s="151">
        <f>IF(E67=AH79,AL79,IF(E67=AH80,AL80,IF(E67=AH81,AL81,IF(E67=AH82,AL82,IF(E67=AH83,AL83,IF(E67=AH84,AL84,IF(E67=AH85,AL85,IF(E67=AH86,AL86,IF(E67=AH87,AL87,IF(E67=AH88,AL88,IF(E67=AH89,AL89,IF(E67=AH90,AL90,IF(E67=AH91,AL91,0)))))))))))))</f>
        <v>0</v>
      </c>
      <c r="F83" s="151">
        <f>IF(F67=AH79,AL79,IF(F67=AH80,AL80,IF(F67=AH81,AL81,IF(F67=AH82,AL82,IF(F67=AH83,AL83,IF(F67=AH84,AL84,IF(F67=AH85,AL85,IF(F67=AH86,AL86,IF(F67=AH87,AL87,IF(F67=AH88,AL88,IF(F67=AH89,AL89,IF(F67=AH90,AL90,IF(F67=AH91,AL91,0)))))))))))))</f>
        <v>0</v>
      </c>
      <c r="G83" s="151">
        <f>IF(G67=AH79,AL79,IF(G67=AH80,AL80,IF(G67=AH81,AL81,IF(G67=AH82,AL82,IF(G67=AH83,AL83,IF(G67=AH84,AL84,IF(G67=AH85,AL85,IF(G67=AH86,AL86,IF(G67=AH87,AL87,IF(G67=AH88,AL88,IF(G67=AH89,AL89,IF(G67=AH90,AL90,IF(G67=AH91,AL91,0)))))))))))))</f>
        <v>0</v>
      </c>
      <c r="H83" s="151">
        <f>IF(H67=AH79,AL79,IF(H67=AH80,AL80,IF(H67=AH81,AL81,IF(H67=AH82,AL82,IF(H67=AH83,AL83,IF(H67=AH84,AL84,IF(H67=AH85,AL85,IF(H67=AH86,AL86,IF(H67=AH87,AL87,IF(H67=AH88,AL88,IF(H67=AH89,AL89,IF(H67=AH90,AL90,IF(H67=AH91,AL91,0)))))))))))))</f>
        <v>0</v>
      </c>
      <c r="I83" s="151">
        <f>IF(I67=AH79,AL79,IF(I67=AH80,AL80,IF(I67=AH81,AL81,IF(I67=AH82,AL82,IF(I67=AH83,AL83,IF(I67=AH84,AL84,IF(I67=AH85,AL85,IF(I67=AH86,AL86,IF(I67=AH87,AL87,IF(I67=AH88,AL88,IF(I67=AH89,AL89,IF(I67=AH90,AL90,IF(I67=AH91,AL91,0)))))))))))))</f>
        <v>0</v>
      </c>
      <c r="J83" s="151">
        <f>IF(J67=AH79,AL79,IF(J67=AH80,AL80,IF(J67=AH81,AL81,IF(J67=AH82,AL82,IF(J67=AH83,AL83,IF(J67=AH84,AL84,IF(J67=AH85,AL85,IF(J67=AH86,AL86,IF(J67=AH87,AL87,IF(J67=AH88,AL88,IF(J67=AH89,AL89,IF(J67=AH90,AL90,IF(J67=AH91,AL91,0)))))))))))))</f>
        <v>0.7</v>
      </c>
      <c r="K83" s="151">
        <f>IF(K67=AH79,AL79,IF(K67=AH80,AL80,IF(K67=AH81,AL81,IF(K67=AH82,AL82,IF(K67=AH83,AL83,IF(K67=AH84,AL84,IF(K67=AH85,AL85,IF(K67=AH86,AL86,IF(K67=AH87,AL87,IF(K67=AH88,AL88,IF(K67=AH89,AL89,IF(K67=AH90,AL90,IF(K67=AH91,AL91,0)))))))))))))</f>
        <v>0</v>
      </c>
      <c r="L83" s="151">
        <f>IF(L67=AH79,AL79,IF(L67=AH80,AL80,IF(L67=AH81,AL81,IF(L67=AH82,AL82,IF(L67=AH83,AL83,IF(L67=AH84,AL84,IF(L67=AH85,AL85,IF(L67=AH86,AL86,IF(L67=AH87,AL87,IF(L67=AH88,AL88,IF(L67=AH89,AL89,IF(L67=AH90,AL90,IF(L67=AH91,AL91,0)))))))))))))</f>
        <v>0.7</v>
      </c>
      <c r="M83" s="151">
        <f>IF(M67=AH79,AL79,IF(M67=AH80,AL80,IF(M67=AH81,AL81,IF(M67=AH82,AL82,IF(M67=AH83,AL83,IF(M67=AH84,AL84,IF(M67=AH85,AL85,IF(M67=AH86,AL86,IF(M67=AH87,AL87,IF(M67=AH88,AL88,IF(M67=AH89,AL89,IF(M67=AH90,AL90,IF(M67=AH91,AL91,0)))))))))))))</f>
        <v>0.7</v>
      </c>
      <c r="N83" s="151">
        <f>IF(N67=AH79,AL79,IF(N67=AH80,AL80,IF(N67=AH81,AL81,IF(N67=AH82,AL82,IF(N67=AH83,AL83,IF(N67=AH84,AL84,IF(N67=AH85,AL85,IF(N67=AH86,AL86,IF(N67=AH87,AL87,IF(N67=AH88,AL88,IF(N67=AH89,AL89,IF(N67=AH90,AL90,IF(N67=AH91,AL91,0)))))))))))))</f>
        <v>0</v>
      </c>
      <c r="O83" s="151">
        <f>IF(O67=AH79,AL79,IF(O67=AH80,AL80,IF(O67=AH81,AL81,IF(O67=AH82,AL82,IF(O67=AH83,AL83,IF(O67=AH84,AL84,IF(O67=AH85,AL85,IF(O67=AH86,AL86,IF(O67=AH87,AL87,IF(O67=AH88,AL88,IF(O67=AH89,AL89,IF(O67=AH90,AL90,IF(O67=AH91,AL91,0)))))))))))))</f>
        <v>0.6</v>
      </c>
      <c r="P83" s="151">
        <f>IF(P67=AH79,AL79,IF(P67=AH80,AL80,IF(P67=AH81,AL81,IF(P67=AH82,AL82,IF(P67=AH83,AL83,IF(P67=AH84,AL84,IF(P67=AH85,AL85,IF(P67=AH86,AL86,IF(P67=AH87,AL87,IF(P67=AH88,AL88,IF(P67=AH89,AL89,IF(P67=AH90,AL90,IF(P67=AH91,AL91,0)))))))))))))</f>
        <v>0</v>
      </c>
      <c r="Q83" s="151">
        <f>IF(Q67=AH79,AL79,IF(Q67=AH80,AL80,IF(Q67=AH81,AL81,IF(Q67=AH82,AL82,IF(Q67=AH83,AL83,IF(Q67=AH84,AL84,IF(Q67=AH85,AL85,IF(Q67=AH86,AL86,IF(Q67=AH87,AL87,IF(Q67=AH88,AL88,IF(Q67=AH89,AL89,IF(Q67=AH90,AL90,IF(Q67=AH91,AL91,0)))))))))))))</f>
        <v>0.3</v>
      </c>
      <c r="R83" s="151">
        <f>IF(R67=AH79,AL79,IF(R67=AH80,AL80,IF(R67=AH81,AL81,IF(R67=AH82,AL82,IF(R67=AH83,AL83,IF(R67=AH84,AL84,IF(R67=AH85,AL85,IF(R67=AH86,AL86,IF(R67=AH87,AL87,IF(R67=AH88,AL88,IF(R67=AH89,AL89,IF(R67=AH90,AL90,IF(R67=AH91,AL91,0)))))))))))))</f>
        <v>0.3</v>
      </c>
      <c r="S83" s="151">
        <f>IF(S67=AH79,AL79,IF(S67=AH80,AL80,IF(S67=AH81,AL81,IF(S67=AH82,AL82,IF(S67=AH83,AL83,IF(S67=AH84,AL84,IF(S67=AH85,AL85,IF(S67=AH86,AL86,IF(S67=AH87,AL87,IF(S67=AH88,AL88,IF(S67=AH89,AL89,IF(S67=AH90,AL90,IF(S67=AH91,AL91,0)))))))))))))</f>
        <v>0</v>
      </c>
      <c r="T83" s="151">
        <f>IF(T67=AH79,AL79,IF(T67=AH80,AL80,IF(T67=AH81,AL81,IF(T67=AH82,AL82,IF(T67=AH83,AL83,IF(T67=AH84,AL84,IF(T67=AH85,AL85,IF(T67=AH86,AL86,IF(T67=AH87,AL87,IF(T67=AH88,AL88,IF(T67=AH89,AL89,IF(T67=AH90,AL90,IF(T67=AH91,AL91,0)))))))))))))</f>
        <v>0.3</v>
      </c>
      <c r="U83" s="151">
        <f>IF(U67=AH79,AL79,IF(U67=AH80,AL80,IF(U67=AH81,AL81,IF(U67=AH82,AL82,IF(U67=AH83,AL83,IF(U67=AH84,AL84,IF(U67=AH85,AL85,IF(U67=AH86,AL86,IF(U67=AH87,AL87,IF(U67=AH88,AL88,IF(U67=AH89,AL89,IF(U67=AH90,AL90,IF(U67=AH91,AL91,0)))))))))))))</f>
        <v>0</v>
      </c>
      <c r="V83" s="151">
        <f>IF(V67=AH79,AL79,IF(V67=AH80,AL80,IF(V67=AH81,AL81,IF(V67=AH82,AL82,IF(V67=AH83,AL83,IF(V67=AH84,AL84,IF(V67=AH85,AL85,IF(V67=AH86,AL86,IF(V67=AH87,AL87,IF(V67=AH88,AL88,IF(V67=AH89,AL89,IF(V67=AH90,AL90,IF(V67=AH91,AL91,0)))))))))))))</f>
        <v>0.3</v>
      </c>
      <c r="W83" s="151">
        <f>IF(W67=AH79,AL79,IF(W67=AH80,AL80,IF(W67=AH81,AL81,IF(W67=AH82,AL82,IF(W67=AH83,AL83,IF(W67=AH84,AL84,IF(W67=AH85,AL85,IF(W67=AH86,AL86,IF(W67=AH87,AL87,IF(W67=AH88,AL88,IF(W67=AH89,AL89,IF(W67=AH90,AL90,IF(W67=AH91,AL91,0)))))))))))))</f>
        <v>0</v>
      </c>
      <c r="X83" s="151">
        <f>IF(X67=AH79,AL79,IF(X67=AH80,AL80,IF(X67=AH81,AL81,IF(X67=AH82,AL82,IF(X67=AH83,AL83,IF(X67=AH84,AL84,IF(X67=AH85,AL85,IF(X67=AH86,AL86,IF(X67=AH87,AL87,IF(X67=AH88,AL88,IF(X67=AH89,AL89,IF(X67=AH90,AL90,IF(X67=AH91,AL91,0)))))))))))))</f>
        <v>0.2</v>
      </c>
      <c r="Y83" s="151">
        <f>IF(Y67=AH79,AL79,IF(Y67=AH80,AL80,IF(Y67=AH81,AL81,IF(Y67=AH82,AL82,IF(Y67=AH83,AL83,IF(Y67=AH84,AL84,IF(Y67=AH85,AL85,IF(Y67=AH86,AL86,IF(Y67=AH87,AL87,IF(Y67=AH88,AL88,IF(Y67=AH89,AL89,IF(Y67=AH90,AL90,IF(Y67=AH91,AL91,0)))))))))))))</f>
        <v>0</v>
      </c>
      <c r="Z83" s="151">
        <f>IF(Z67=AH79,AL79,IF(Z67=AH80,AL80,IF(Z67=AH81,AL81,IF(Z67=AH82,AL82,IF(Z67=AH83,AL83,IF(Z67=AH84,AL84,IF(Z67=AH85,AL85,IF(Z67=AH86,AL86,IF(Z67=AH87,AL87,IF(Z67=AH88,AL88,IF(Z67=AH89,AL89,IF(Z67=AH90,AL90,IF(Z67=AH91,AL91,0)))))))))))))</f>
        <v>0.2</v>
      </c>
      <c r="AA83" s="151">
        <f>IF(AA67=AH79,AL79,IF(AA67=AH80,AL80,IF(AA67=AH81,AL81,IF(AA67=AH82,AL82,IF(AA67=AH83,AL83,IF(AA67=AH84,AL84,IF(AA67=AH85,AL85,IF(AA67=AH86,AL86,IF(AA67=AH87,AL87,IF(AA67=AH88,AL88,IF(AA67=AH89,AL89,IF(AA67=AH90,AL90,IF(AA67=AH91,AL91,0)))))))))))))</f>
        <v>0</v>
      </c>
      <c r="AB83" s="151">
        <f>IF(AB67=AH79,AL79,IF(AB67=AH80,AL80,IF(AB67=AH81,AL81,IF(AB67=AH82,AL82,IF(AB67=AH83,AL83,IF(AB67=AH84,AL84,IF(AB67=AH85,AL85,IF(AB67=AH86,AL86,IF(AB67=AH87,AL87,IF(AB67=AH88,AL88,IF(AB67=AH89,AL89,IF(AB67=AH90,AL90,IF(AB67=AH91,AL91,0)))))))))))))</f>
        <v>0.2</v>
      </c>
      <c r="AC83" s="151">
        <f>IF(AC67=AH79,AL79,IF(AC67=AH80,AL80,IF(AC67=AH81,AL81,IF(AC67=AH82,AL82,IF(AC67=AH83,AL83,IF(AC67=AH84,AL84,IF(AC67=AH85,AL85,IF(AC67=AH86,AL86,IF(AC67=AH87,AL87,IF(AC67=AH88,AL88,IF(AC67=AH89,AL89,IF(AC67=AH90,AL90,IF(AC67=AH91,AL91,0)))))))))))))</f>
        <v>0.2</v>
      </c>
      <c r="AD83" s="151">
        <f>IF(AD67=AH79,AL79,IF(AD67=AH80,AL80,IF(AD67=AH81,AL81,IF(AD67=AH82,AL82,IF(AD67=AH83,AL83,IF(AD67=AH84,AL84,IF(AD67=AH85,AL85,IF(AD67=AH86,AL86,IF(AD67=AH87,AL87,IF(AD67=AH88,AL88,IF(AD67=AH89,AL89,IF(AD67=AH90,AL90,IF(AD67=AH91,AL91,0)))))))))))))</f>
        <v>0</v>
      </c>
      <c r="AE83" s="151">
        <f>IF(AE67=AH79,AL79,IF(AE67=AH80,AL80,IF(AE67=AH81,AL81,IF(AE67=AH82,AL82,IF(AE67=AH83,AL83,IF(AE67=AH84,AL84,IF(AE67=AH85,AL85,IF(AE67=AH86,AL86,IF(AE67=AH87,AL87,IF(AE67=AH88,AL88,IF(AE67=AH89,AL89,IF(AE67=AH90,AL90,IF(AE67=AH91,AL91,0)))))))))))))</f>
        <v>0.2</v>
      </c>
      <c r="AF83" s="134"/>
      <c r="AG83" s="135" t="s">
        <v>423</v>
      </c>
      <c r="AH83" s="145">
        <v>70</v>
      </c>
      <c r="AI83" s="144">
        <f>Q72</f>
        <v>49.280000000000015</v>
      </c>
      <c r="AJ83" s="156">
        <v>280</v>
      </c>
      <c r="AK83" s="146">
        <f t="shared" si="39"/>
        <v>0.25</v>
      </c>
      <c r="AL83" s="146">
        <v>0.3</v>
      </c>
      <c r="AM83" s="146">
        <v>0</v>
      </c>
      <c r="AN83" s="146">
        <v>0.3</v>
      </c>
      <c r="AO83" s="146">
        <v>0.4</v>
      </c>
    </row>
    <row r="84" spans="1:42" ht="36" customHeight="1">
      <c r="A84" s="261"/>
      <c r="B84" s="262" t="s">
        <v>454</v>
      </c>
      <c r="C84" s="262"/>
      <c r="D84" s="152">
        <f>D83*D81</f>
        <v>0</v>
      </c>
      <c r="E84" s="152">
        <f t="shared" ref="E84:AE84" si="42">E83*E81</f>
        <v>0</v>
      </c>
      <c r="F84" s="152">
        <f t="shared" si="42"/>
        <v>0</v>
      </c>
      <c r="G84" s="152">
        <f t="shared" si="42"/>
        <v>0</v>
      </c>
      <c r="H84" s="152">
        <f t="shared" si="42"/>
        <v>0</v>
      </c>
      <c r="I84" s="152">
        <f t="shared" si="42"/>
        <v>0</v>
      </c>
      <c r="J84" s="152">
        <f t="shared" si="42"/>
        <v>83.412994900932389</v>
      </c>
      <c r="K84" s="152">
        <f t="shared" si="42"/>
        <v>0</v>
      </c>
      <c r="L84" s="152">
        <f t="shared" si="42"/>
        <v>81.909451158216783</v>
      </c>
      <c r="M84" s="152">
        <f t="shared" si="42"/>
        <v>62.632845061188803</v>
      </c>
      <c r="N84" s="152">
        <f t="shared" si="42"/>
        <v>0</v>
      </c>
      <c r="O84" s="152">
        <f t="shared" si="42"/>
        <v>74.078779120879119</v>
      </c>
      <c r="P84" s="152">
        <f t="shared" si="42"/>
        <v>0</v>
      </c>
      <c r="Q84" s="152">
        <f t="shared" si="42"/>
        <v>52.656997159090906</v>
      </c>
      <c r="R84" s="152">
        <f t="shared" si="42"/>
        <v>24.225830638111891</v>
      </c>
      <c r="S84" s="152">
        <f t="shared" si="42"/>
        <v>0</v>
      </c>
      <c r="T84" s="152">
        <f t="shared" si="42"/>
        <v>40.590152566183811</v>
      </c>
      <c r="U84" s="152">
        <f t="shared" si="42"/>
        <v>0</v>
      </c>
      <c r="V84" s="152">
        <f t="shared" si="42"/>
        <v>34.889913761238759</v>
      </c>
      <c r="W84" s="152">
        <f t="shared" si="42"/>
        <v>0</v>
      </c>
      <c r="X84" s="152">
        <f t="shared" si="42"/>
        <v>21.32238259817106</v>
      </c>
      <c r="Y84" s="152">
        <f t="shared" si="42"/>
        <v>0</v>
      </c>
      <c r="Z84" s="152">
        <f t="shared" si="42"/>
        <v>25.315022727272726</v>
      </c>
      <c r="AA84" s="152">
        <f t="shared" si="42"/>
        <v>0</v>
      </c>
      <c r="AB84" s="152">
        <f t="shared" si="42"/>
        <v>20.238685714285719</v>
      </c>
      <c r="AC84" s="152">
        <f t="shared" si="42"/>
        <v>20.65912374847375</v>
      </c>
      <c r="AD84" s="152">
        <f t="shared" si="42"/>
        <v>0</v>
      </c>
      <c r="AE84" s="152">
        <f t="shared" si="42"/>
        <v>212.2644208291708</v>
      </c>
      <c r="AF84" s="134"/>
      <c r="AG84" s="135" t="s">
        <v>424</v>
      </c>
      <c r="AH84" s="145">
        <f t="shared" si="41"/>
        <v>75</v>
      </c>
      <c r="AI84" s="144">
        <f>R72</f>
        <v>52.800000000000018</v>
      </c>
      <c r="AJ84" s="156">
        <v>210</v>
      </c>
      <c r="AK84" s="146">
        <f t="shared" si="39"/>
        <v>0.14285714285714285</v>
      </c>
      <c r="AL84" s="146">
        <v>0.3</v>
      </c>
      <c r="AM84" s="146">
        <v>0</v>
      </c>
      <c r="AN84" s="146">
        <v>0.3</v>
      </c>
      <c r="AO84" s="146">
        <v>0.4</v>
      </c>
    </row>
    <row r="85" spans="1:42" ht="36" customHeight="1">
      <c r="A85" s="261"/>
      <c r="B85" s="262" t="s">
        <v>459</v>
      </c>
      <c r="C85" s="262"/>
      <c r="D85" s="151">
        <f>IF(D67=AH79,AM79,IF(D67=AH80,AM80,IF(D67=AH81,AM81,IF(D67=AH82,AM82,IF(D67=AH83,AM83,IF(D67=AH84,AM84,IF(D67=AH85,AM85,IF(D67=AH86,AM86,IF(D67=AH87,AM87,IF(D67=AH88,AM88,IF(D67=AH89,AM89,IF(D67=AH90,AM90,IF(D67=AH91,AM91,0)))))))))))))</f>
        <v>0</v>
      </c>
      <c r="E85" s="151">
        <f>IF(E67=AH79,AM79,IF(E67=AH80,AM80,IF(E67=AH81,AM81,IF(E67=AH82,AM82,IF(E67=AH83,AM83,IF(E67=AH84,AM84,IF(E67=AH85,AM85,IF(E67=AH86,AM86,IF(E67=AH87,AM87,IF(E67=AH88,AM88,IF(E67=AH89,AM89,IF(E67=AH90,AM90,IF(E67=AH91,AM91,0)))))))))))))</f>
        <v>0</v>
      </c>
      <c r="F85" s="151">
        <f>IF(F67=AH79,AM79,IF(F67=AH80,AM80,IF(F67=AH81,AM81,IF(F67=AH82,AM82,IF(F67=AH83,AM83,IF(F67=AH84,AM84,IF(F67=AH85,AM85,IF(F67=AH86,AM86,IF(F67=AH87,AM87,IF(F67=AH88,AM88,IF(F67=AH89,AM89,IF(F67=AH90,AM90,IF(F67=AH91,AM91,0)))))))))))))</f>
        <v>0</v>
      </c>
      <c r="G85" s="151">
        <f>IF(G67=AH79,AM79,IF(G67=AH80,AM80,IF(G67=AH81,AM81,IF(G67=AH82,AM82,IF(G67=AH83,AM83,IF(G67=AH84,AM84,IF(G67=AH85,AM85,IF(G67=AH86,AM86,IF(G67=AH87,AM87,IF(G67=AH88,AM88,IF(G67=AH89,AM89,IF(G67=AH90,AM90,IF(G67=AH91,AM91,0)))))))))))))</f>
        <v>0</v>
      </c>
      <c r="H85" s="151">
        <f>IF(H67=AH79,AM79,IF(H67=AH80,AM80,IF(H67=AH81,AM81,IF(H67=AH82,AM82,IF(H67=AH83,AM83,IF(H67=AH84,AM84,IF(H67=AH85,AM85,IF(H67=AH86,AM86,IF(H67=AH87,AM87,IF(H67=AH88,AM88,IF(H67=AH89,AM89,IF(H67=AH90,AM90,IF(H67=AH91,AM91,0)))))))))))))</f>
        <v>0</v>
      </c>
      <c r="I85" s="151">
        <f>IF(I67=AH79,AM79,IF(I67=AH80,AM80,IF(I67=AH81,AM81,IF(I67=AH82,AM82,IF(I67=AH83,AM83,IF(I67=AH84,AM84,IF(I67=AH85,AM85,IF(I67=AH86,AM86,IF(I67=AH87,AM87,IF(I67=AH88,AM88,IF(I67=AH89,AM89,IF(I67=AH90,AM90,IF(I67=AH91,AM91,0)))))))))))))</f>
        <v>0</v>
      </c>
      <c r="J85" s="151">
        <f>IF(J67=AH79,AM79,IF(J67=AH80,AM80,IF(J67=AH81,AM81,IF(J67=AH82,AM82,IF(J67=AH83,AM83,IF(J67=AH84,AM84,IF(J67=AH85,AM85,IF(J67=AH86,AM86,IF(J67=AH87,AM87,IF(J67=AH88,AM88,IF(J67=AH89,AM89,IF(J67=AH90,AM90,IF(J67=AH91,AM91,0)))))))))))))</f>
        <v>0.3</v>
      </c>
      <c r="K85" s="151">
        <f>IF(K67=AH79,AM79,IF(K67=AH80,AM80,IF(K67=AH81,AM81,IF(K67=AH82,AM82,IF(K67=AH83,AM83,IF(K67=AH84,AM84,IF(K67=AH85,AM85,IF(K67=AH86,AM86,IF(K67=AH87,AM87,IF(K67=AH88,AM88,IF(K67=AH89,AM89,IF(K67=AH90,AM90,IF(K67=AH91,AM91,0)))))))))))))</f>
        <v>0</v>
      </c>
      <c r="L85" s="151">
        <f>IF(L67=AH79,AM79,IF(L67=AH80,AM80,IF(L67=AH81,AM81,IF(L67=AH82,AM82,IF(L67=AH83,AM83,IF(L67=AH84,AM84,IF(L67=AH85,AM85,IF(L67=AH86,AM86,IF(L67=AH87,AM87,IF(L67=AH88,AM88,IF(L67=AH89,AM89,IF(L67=AH90,AM90,IF(L67=AH91,AM91,0)))))))))))))</f>
        <v>0.3</v>
      </c>
      <c r="M85" s="151">
        <f>IF(M67=AH79,AM79,IF(M67=AH80,AM80,IF(M67=AH81,AM81,IF(M67=AH82,AM82,IF(M67=AH83,AM83,IF(M67=AH84,AM84,IF(M67=AH85,AM85,IF(M67=AH86,AM86,IF(M67=AH87,AM87,IF(M67=AH88,AM88,IF(M67=AH89,AM89,IF(M67=AH90,AM90,IF(M67=AH91,AM91,0)))))))))))))</f>
        <v>0.3</v>
      </c>
      <c r="N85" s="151">
        <f>IF(N67=AH79,AM79,IF(N67=AH80,AM80,IF(N67=AH81,AM81,IF(N67=AH82,AM82,IF(N67=AH83,AM83,IF(N67=AH84,AM84,IF(N67=AH85,AM85,IF(N67=AH86,AM86,IF(N67=AH87,AM87,IF(N67=AH88,AM88,IF(N67=AH89,AM89,IF(N67=AH90,AM90,IF(N67=AH91,AM91,0)))))))))))))</f>
        <v>0</v>
      </c>
      <c r="O85" s="151">
        <f>IF(O67=AH79,AM79,IF(O67=AH80,AM80,IF(O67=AH81,AM81,IF(O67=AH82,AM82,IF(O67=AH83,AM83,IF(O67=AH84,AM84,IF(O67=AH85,AM85,IF(O67=AH86,AM86,IF(O67=AH87,AM87,IF(O67=AH88,AM88,IF(O67=AH89,AM89,IF(O67=AH90,AM90,IF(O67=AH91,AM91,0)))))))))))))</f>
        <v>0.3</v>
      </c>
      <c r="P85" s="151">
        <f>IF(P67=AH79,AM79,IF(P67=AH80,AM80,IF(P67=AH81,AM81,IF(P67=AH82,AM82,IF(P67=AH83,AM83,IF(P67=AH84,AM84,IF(P67=AH85,AM85,IF(P67=AH86,AM86,IF(P67=AH87,AM87,IF(P67=AH88,AM88,IF(P67=AH89,AM89,IF(P67=AH90,AM90,IF(P67=AH91,AM91,0)))))))))))))</f>
        <v>0</v>
      </c>
      <c r="Q85" s="151">
        <f>IF(Q67=AH79,AM79,IF(Q67=AH80,AM80,IF(Q67=AH81,AM81,IF(Q67=AH82,AM82,IF(Q67=AH83,AM83,IF(Q67=AH84,AM84,IF(Q67=AH85,AM85,IF(Q67=AH86,AM86,IF(Q67=AH87,AM87,IF(Q67=AH88,AM88,IF(Q67=AH89,AM89,IF(Q67=AH90,AM90,IF(Q67=AH91,AM91,0)))))))))))))</f>
        <v>0</v>
      </c>
      <c r="R85" s="151">
        <f>IF(R67=AH79,AM79,IF(R67=AH80,AM80,IF(R67=AH81,AM81,IF(R67=AH82,AM82,IF(R67=AH83,AM83,IF(R67=AH84,AM84,IF(R67=AH85,AM85,IF(R67=AH86,AM86,IF(R67=AH87,AM87,IF(R67=AH88,AM88,IF(R67=AH89,AM89,IF(R67=AH90,AM90,IF(R67=AH91,AM91,0)))))))))))))</f>
        <v>0</v>
      </c>
      <c r="S85" s="151">
        <f>IF(S67=AH79,AM79,IF(S67=AH80,AM80,IF(S67=AH81,AM81,IF(S67=AH82,AM82,IF(S67=AH83,AM83,IF(S67=AH84,AM84,IF(S67=AH85,AM85,IF(S67=AH86,AM86,IF(S67=AH87,AM87,IF(S67=AH88,AM88,IF(S67=AH89,AM89,IF(S67=AH90,AM90,IF(S67=AH91,AM91,0)))))))))))))</f>
        <v>0</v>
      </c>
      <c r="T85" s="151">
        <f>IF(T67=AH79,AM79,IF(T67=AH80,AM80,IF(T67=AH81,AM81,IF(T67=AH82,AM82,IF(T67=AH83,AM83,IF(T67=AH84,AM84,IF(T67=AH85,AM85,IF(T67=AH86,AM86,IF(T67=AH87,AM87,IF(T67=AH88,AM88,IF(T67=AH89,AM89,IF(T67=AH90,AM90,IF(T67=AH91,AM91,0)))))))))))))</f>
        <v>0</v>
      </c>
      <c r="U85" s="151">
        <f>IF(U67=AH79,AM79,IF(U67=AH80,AM80,IF(U67=AH81,AM81,IF(U67=AH82,AM82,IF(U67=AH83,AM83,IF(U67=AH84,AM84,IF(U67=AH85,AM85,IF(U67=AH86,AM86,IF(U67=AH87,AM87,IF(U67=AH88,AM88,IF(U67=AH89,AM89,IF(U67=AH90,AM90,IF(U67=AH91,AM91,0)))))))))))))</f>
        <v>0</v>
      </c>
      <c r="V85" s="151">
        <f>IF(V67=AH79,AM79,IF(V67=AH80,AM80,IF(V67=AH81,AM81,IF(V67=AH82,AM82,IF(V67=AH83,AM83,IF(V67=AH84,AM84,IF(V67=AH85,AM85,IF(V67=AH86,AM86,IF(V67=AH87,AM87,IF(V67=AH88,AM88,IF(V67=AH89,AM89,IF(V67=AH90,AM90,IF(V67=AH91,AM91,0)))))))))))))</f>
        <v>0</v>
      </c>
      <c r="W85" s="151">
        <f>IF(W67=AH79,AM79,IF(W67=AH80,AM80,IF(W67=AH81,AM81,IF(W67=AH82,AM82,IF(W67=AH83,AM83,IF(W67=AH84,AM84,IF(W67=AH85,AM85,IF(W67=AH86,AM86,IF(W67=AH87,AM87,IF(W67=AH88,AM88,IF(W67=AH89,AM89,IF(W67=AH90,AM90,IF(W67=AH91,AM91,0)))))))))))))</f>
        <v>0</v>
      </c>
      <c r="X85" s="151">
        <f>IF(X67=AH79,AM79,IF(X67=AH80,AM80,IF(X67=AH81,AM81,IF(X67=AH82,AM82,IF(X67=AH83,AM83,IF(X67=AH84,AM84,IF(X67=AH85,AM85,IF(X67=AH86,AM86,IF(X67=AH87,AM87,IF(X67=AH88,AM88,IF(X67=AH89,AM89,IF(X67=AH90,AM90,IF(X67=AH91,AM91,0)))))))))))))</f>
        <v>0</v>
      </c>
      <c r="Y85" s="151">
        <f>IF(Y67=AH79,AM79,IF(Y67=AH80,AM80,IF(Y67=AH81,AM81,IF(Y67=AH82,AM82,IF(Y67=AH83,AM83,IF(Y67=AH84,AM84,IF(Y67=AH85,AM85,IF(Y67=AH86,AM86,IF(Y67=AH87,AM87,IF(Y67=AH88,AM88,IF(Y67=AH89,AM89,IF(Y67=AH90,AM90,IF(Y67=AH91,AM91,0)))))))))))))</f>
        <v>0</v>
      </c>
      <c r="Z85" s="151">
        <f>IF(Z67=AH79,AM79,IF(Z67=AH80,AM80,IF(Z67=AH81,AM81,IF(Z67=AH82,AM82,IF(Z67=AH83,AM83,IF(Z67=AH84,AM84,IF(Z67=AH85,AM85,IF(Z67=AH86,AM86,IF(Z67=AH87,AM87,IF(Z67=AH88,AM88,IF(Z67=AH89,AM89,IF(Z67=AH90,AM90,IF(Z67=AH91,AM91,0)))))))))))))</f>
        <v>0</v>
      </c>
      <c r="AA85" s="151">
        <f>IF(AA67=AH79,AM79,IF(AA67=AH80,AM80,IF(AA67=AH81,AM81,IF(AA67=AH82,AM82,IF(AA67=AH83,AM83,IF(AA67=AH84,AM84,IF(AA67=AH85,AM85,IF(AA67=AH86,AM86,IF(AA67=AH87,AM87,IF(AA67=AH88,AM88,IF(AA67=AH89,AM89,IF(AA67=AH90,AM90,IF(AA67=AH91,AM91,0)))))))))))))</f>
        <v>0</v>
      </c>
      <c r="AB85" s="151">
        <f>IF(AB67=AH79,AM79,IF(AB67=AH80,AM80,IF(AB67=AH81,AM81,IF(AB67=AH82,AM82,IF(AB67=AH83,AM83,IF(AB67=AH84,AM84,IF(AB67=AH85,AM85,IF(AB67=AH86,AM86,IF(AB67=AH87,AM87,IF(AB67=AH88,AM88,IF(AB67=AH89,AM89,IF(AB67=AH90,AM90,IF(AB67=AH91,AM91,0)))))))))))))</f>
        <v>0</v>
      </c>
      <c r="AC85" s="151">
        <f>IF(AC67=AH79,AM79,IF(AC67=AH80,AM80,IF(AC67=AH81,AM81,IF(AC67=AH82,AM82,IF(AC67=AH83,AM83,IF(AC67=AH84,AM84,IF(AC67=AH85,AM85,IF(AC67=AH86,AM86,IF(AC67=AH87,AM87,IF(AC67=AH88,AM88,IF(AC67=AH89,AM89,IF(AC67=AH90,AM90,IF(AC67=AH91,AM91,0)))))))))))))</f>
        <v>0</v>
      </c>
      <c r="AD85" s="151">
        <f>IF(AD67=AH79,AM79,IF(AD67=AH80,AM80,IF(AD67=AH81,AM81,IF(AD67=AH82,AM82,IF(AD67=AH83,AM83,IF(AD67=AH84,AM84,IF(AD67=AH85,AM85,IF(AD67=AH86,AM86,IF(AD67=AH87,AM87,IF(AD67=AH88,AM88,IF(AD67=AH89,AM89,IF(AD67=AH90,AM90,IF(AD67=AH91,AM91,0)))))))))))))</f>
        <v>0</v>
      </c>
      <c r="AE85" s="151">
        <f>IF(AE67=AH79,AM79,IF(AE67=AH80,AM80,IF(AE67=AH81,AM81,IF(AE67=AH82,AM82,IF(AE67=AH83,AM83,IF(AE67=AH84,AM84,IF(AE67=AH85,AM85,IF(AE67=AH86,AM86,IF(AE67=AH87,AM87,IF(AE67=AH88,AM88,IF(AE67=AH89,AM89,IF(AE67=AH90,AM90,IF(AE67=AH91,AM91,0)))))))))))))</f>
        <v>0</v>
      </c>
      <c r="AF85" s="134"/>
      <c r="AG85" s="135" t="s">
        <v>425</v>
      </c>
      <c r="AH85" s="145">
        <v>85</v>
      </c>
      <c r="AI85" s="144">
        <f>T72</f>
        <v>59.840000000000025</v>
      </c>
      <c r="AJ85" s="156">
        <v>180</v>
      </c>
      <c r="AK85" s="146">
        <f t="shared" si="39"/>
        <v>0.16666666666666666</v>
      </c>
      <c r="AL85" s="146">
        <v>0.3</v>
      </c>
      <c r="AM85" s="146">
        <v>0</v>
      </c>
      <c r="AN85" s="146">
        <v>0.3</v>
      </c>
      <c r="AO85" s="146">
        <v>0.4</v>
      </c>
    </row>
    <row r="86" spans="1:42" ht="36" customHeight="1">
      <c r="A86" s="261"/>
      <c r="B86" s="262" t="s">
        <v>455</v>
      </c>
      <c r="C86" s="262"/>
      <c r="D86" s="152">
        <f>D85*D81</f>
        <v>0</v>
      </c>
      <c r="E86" s="152">
        <f t="shared" ref="E86:AE86" si="43">E85*E81</f>
        <v>0</v>
      </c>
      <c r="F86" s="152">
        <f t="shared" si="43"/>
        <v>0</v>
      </c>
      <c r="G86" s="152">
        <f t="shared" si="43"/>
        <v>0</v>
      </c>
      <c r="H86" s="152">
        <f t="shared" si="43"/>
        <v>0</v>
      </c>
      <c r="I86" s="152">
        <f t="shared" si="43"/>
        <v>0</v>
      </c>
      <c r="J86" s="152">
        <f t="shared" si="43"/>
        <v>35.748426386113884</v>
      </c>
      <c r="K86" s="152">
        <f t="shared" si="43"/>
        <v>0</v>
      </c>
      <c r="L86" s="152">
        <f t="shared" si="43"/>
        <v>35.104050496378626</v>
      </c>
      <c r="M86" s="152">
        <f t="shared" si="43"/>
        <v>26.842647883366631</v>
      </c>
      <c r="N86" s="152">
        <f t="shared" si="43"/>
        <v>0</v>
      </c>
      <c r="O86" s="152">
        <f t="shared" si="43"/>
        <v>37.03938956043956</v>
      </c>
      <c r="P86" s="152">
        <f t="shared" si="43"/>
        <v>0</v>
      </c>
      <c r="Q86" s="152">
        <f t="shared" si="43"/>
        <v>0</v>
      </c>
      <c r="R86" s="152">
        <f t="shared" si="43"/>
        <v>0</v>
      </c>
      <c r="S86" s="152">
        <f t="shared" si="43"/>
        <v>0</v>
      </c>
      <c r="T86" s="152">
        <f t="shared" si="43"/>
        <v>0</v>
      </c>
      <c r="U86" s="152">
        <f t="shared" si="43"/>
        <v>0</v>
      </c>
      <c r="V86" s="152">
        <f t="shared" si="43"/>
        <v>0</v>
      </c>
      <c r="W86" s="152">
        <f t="shared" si="43"/>
        <v>0</v>
      </c>
      <c r="X86" s="152">
        <f t="shared" si="43"/>
        <v>0</v>
      </c>
      <c r="Y86" s="152">
        <f t="shared" si="43"/>
        <v>0</v>
      </c>
      <c r="Z86" s="152">
        <f t="shared" si="43"/>
        <v>0</v>
      </c>
      <c r="AA86" s="152">
        <f t="shared" si="43"/>
        <v>0</v>
      </c>
      <c r="AB86" s="152">
        <f t="shared" si="43"/>
        <v>0</v>
      </c>
      <c r="AC86" s="152">
        <f t="shared" si="43"/>
        <v>0</v>
      </c>
      <c r="AD86" s="152">
        <f t="shared" si="43"/>
        <v>0</v>
      </c>
      <c r="AE86" s="152">
        <f t="shared" si="43"/>
        <v>0</v>
      </c>
      <c r="AF86" s="134"/>
      <c r="AG86" s="135" t="s">
        <v>426</v>
      </c>
      <c r="AH86" s="145">
        <v>95</v>
      </c>
      <c r="AI86" s="144">
        <f>V72</f>
        <v>66.880000000000024</v>
      </c>
      <c r="AJ86" s="156">
        <v>150</v>
      </c>
      <c r="AK86" s="146">
        <f t="shared" si="39"/>
        <v>0.13333333333333333</v>
      </c>
      <c r="AL86" s="146">
        <v>0.3</v>
      </c>
      <c r="AM86" s="146">
        <v>0</v>
      </c>
      <c r="AN86" s="146">
        <v>0.1</v>
      </c>
      <c r="AO86" s="146">
        <v>0.6</v>
      </c>
    </row>
    <row r="87" spans="1:42" ht="36" customHeight="1">
      <c r="A87" s="261"/>
      <c r="B87" s="262" t="s">
        <v>460</v>
      </c>
      <c r="C87" s="262"/>
      <c r="D87" s="151">
        <f>IF(D67=AH79,AN79,IF(D67=AH80,AN80,IF(D67=AH81,AN81,IF(D67=AH82,AN82,IF(D67=AH83,AN83,IF(D67=AH84,AN84,IF(D67=AH85,AN85,IF(D67=AH86,AN86,IF(D67=AH87,AN87,IF(D67=AH88,AN88,IF(D67=AH89,AN89,IF(D67=AH90,AN90,IF(D67=AH91,AN91,0)))))))))))))</f>
        <v>0</v>
      </c>
      <c r="E87" s="151">
        <f>IF(E67=AH79,AN79,IF(E67=AH80,AN80,IF(E67=AH81,AN81,IF(E67=AH82,AN82,IF(E67=AH83,AN83,IF(E67=AH84,AN84,IF(E67=AH85,AN85,IF(E67=AH86,AN86,IF(E67=AH87,AN87,IF(E67=AH88,AN88,IF(E67=AH89,AN89,IF(E67=AH90,AN90,IF(E67=AH91,AN91,0)))))))))))))</f>
        <v>0</v>
      </c>
      <c r="F87" s="151">
        <f>IF(F67=AH79,AN79,IF(F67=AH80,AN80,IF(F67=AH81,AN81,IF(F67=AH82,AN82,IF(F67=AH83,AN83,IF(F67=AH84,AN84,IF(F67=AH85,AN85,IF(F67=AH86,AN86,IF(F67=AH87,AN87,IF(F67=AH88,AN88,IF(F67=AH89,AN89,IF(F67=AH90,AN90,IF(F67=AH91,AN91,0)))))))))))))</f>
        <v>0</v>
      </c>
      <c r="G87" s="151">
        <f>IF(G67=AH79,AN79,IF(G67=AH80,AN80,IF(G67=AH81,AN81,IF(G67=AH82,AN82,IF(G67=AH83,AN83,IF(G67=AH84,AN84,IF(G67=AH85,AN85,IF(G67=AH86,AN86,IF(G67=AH87,AN87,IF(G67=AH88,AN88,IF(G67=AH89,AN89,IF(G67=AH90,AN90,IF(G67=AH91,AN91,0)))))))))))))</f>
        <v>0</v>
      </c>
      <c r="H87" s="151">
        <f>IF(H67=AH79,AN79,IF(H67=AH80,AN80,IF(H67=AH81,AN81,IF(H67=AH82,AN82,IF(H67=AH83,AN83,IF(H67=AH84,AN84,IF(H67=AH85,AN85,IF(H67=AH86,AN86,IF(H67=AH87,AN87,IF(H67=AH88,AN88,IF(H67=AH89,AN89,IF(H67=AH90,AN90,IF(H67=AH91,AN91,0)))))))))))))</f>
        <v>0</v>
      </c>
      <c r="I87" s="151">
        <f>IF(I67=AH79,AN79,IF(I67=AH80,AN80,IF(I67=AH81,AN81,IF(I67=AH82,AN82,IF(I67=AH83,AN83,IF(I67=AH84,AN84,IF(I67=AH85,AN85,IF(I67=AH86,AN86,IF(I67=AH87,AN87,IF(I67=AH88,AN88,IF(I67=AH89,AN89,IF(I67=AH90,AN90,IF(I67=AH91,AN91,0)))))))))))))</f>
        <v>0</v>
      </c>
      <c r="J87" s="151">
        <f>IF(J67=AH79,AN79,IF(J67=AH80,AN80,IF(J67=AH81,AN81,IF(J67=AH82,AN82,IF(J67=AH83,AN83,IF(J67=AH84,AN84,IF(J67=AH85,AN85,IF(J67=AH86,AN86,IF(J67=AH87,AN87,IF(J67=AH88,AN88,IF(J67=AH89,AN89,IF(J67=AH90,AN90,IF(J67=AH91,AN91,0)))))))))))))</f>
        <v>0</v>
      </c>
      <c r="K87" s="151">
        <f>IF(K67=AH79,AN79,IF(K67=AH80,AN80,IF(K67=AH81,AN81,IF(K67=AH82,AN82,IF(K67=AH83,AN83,IF(K67=AH84,AN84,IF(K67=AH85,AN85,IF(K67=AH86,AN86,IF(K67=AH87,AN87,IF(K67=AH88,AN88,IF(K67=AH89,AN89,IF(K67=AH90,AN90,IF(K67=AH91,AN91,0)))))))))))))</f>
        <v>0</v>
      </c>
      <c r="L87" s="151">
        <f>IF(L67=AH79,AN79,IF(L67=AH80,AN80,IF(L67=AH81,AN81,IF(L67=AH82,AN82,IF(L67=AH83,AN83,IF(L67=AH84,AN84,IF(L67=AH85,AN85,IF(L67=AH86,AN86,IF(L67=AH87,AN87,IF(L67=AH88,AN88,IF(L67=AH89,AN89,IF(L67=AH90,AN90,IF(L67=AH91,AN91,0)))))))))))))</f>
        <v>0</v>
      </c>
      <c r="M87" s="151">
        <f>IF(M67=AH79,AN79,IF(M67=AH80,AN80,IF(M67=AH81,AN81,IF(M67=AH82,AN82,IF(M67=AH83,AN83,IF(M67=AH84,AN84,IF(M67=AH85,AN85,IF(M67=AH86,AN86,IF(M67=AH87,AN87,IF(M67=AH88,AN88,IF(M67=AH89,AN89,IF(M67=AH90,AN90,IF(M67=AH91,AN91,0)))))))))))))</f>
        <v>0</v>
      </c>
      <c r="N87" s="151">
        <f>IF(N67=AH79,AN79,IF(N67=AH80,AN80,IF(N67=AH81,AN81,IF(N67=AH82,AN82,IF(N67=AH83,AN83,IF(N67=AH84,AN84,IF(N67=AH85,AN85,IF(N67=AH86,AN86,IF(N67=AH87,AN87,IF(N67=AH88,AN88,IF(N67=AH89,AN89,IF(N67=AH90,AN90,IF(N67=AH91,AN91,0)))))))))))))</f>
        <v>0</v>
      </c>
      <c r="O87" s="151">
        <f>IF(O67=AH79,AN79,IF(O67=AH80,AN80,IF(O67=AH81,AN81,IF(O67=AH82,AN82,IF(O67=AH83,AN83,IF(O67=AH84,AN84,IF(O67=AH85,AN85,IF(O67=AH86,AN86,IF(O67=AH87,AN87,IF(O67=AH88,AN88,IF(O67=AH89,AN89,IF(O67=AH90,AN90,IF(O67=AH91,AN91,0)))))))))))))</f>
        <v>0.1</v>
      </c>
      <c r="P87" s="151">
        <f>IF(P67=AH79,AN79,IF(P67=AH80,AN80,IF(P67=AH81,AN81,IF(P67=AH82,AN82,IF(P67=AH83,AN83,IF(P67=AH84,AN84,IF(P67=AH85,AN85,IF(P67=AH86,AN86,IF(P67=AH87,AN87,IF(P67=AH88,AN88,IF(P67=AH89,AN89,IF(P67=AH90,AN90,IF(P67=AH91,AN91,0)))))))))))))</f>
        <v>0</v>
      </c>
      <c r="Q87" s="151">
        <f>IF(Q67=AH79,AN79,IF(Q67=AH80,AN80,IF(Q67=AH81,AN81,IF(Q67=AH82,AN82,IF(Q67=AH83,AN83,IF(Q67=AH84,AN84,IF(Q67=AH85,AN85,IF(Q67=AH86,AN86,IF(Q67=AH87,AN87,IF(Q67=AH88,AN88,IF(Q67=AH89,AN89,IF(Q67=AH90,AN90,IF(Q67=AH91,AN91,0)))))))))))))</f>
        <v>0.3</v>
      </c>
      <c r="R87" s="151">
        <f>IF(R67=AH79,AN79,IF(R67=AH80,AN80,IF(R67=AH81,AN81,IF(R67=AH82,AN82,IF(R67=AH83,AN83,IF(R67=AH84,AN84,IF(R67=AH85,AN85,IF(R67=AH86,AN86,IF(R67=AH87,AN87,IF(R67=AH88,AN88,IF(R67=AH89,AN89,IF(R67=AH90,AN90,IF(R67=AH91,AN91,0)))))))))))))</f>
        <v>0.3</v>
      </c>
      <c r="S87" s="151">
        <f>IF(S67=AH79,AN79,IF(S67=AH80,AN80,IF(S67=AH81,AN81,IF(S67=AH82,AN82,IF(S67=AH83,AN83,IF(S67=AH84,AN84,IF(S67=AH85,AN85,IF(S67=AH86,AN86,IF(S67=AH87,AN87,IF(S67=AH88,AN88,IF(S67=AH89,AN89,IF(S67=AH90,AN90,IF(S67=AH91,AN91,0)))))))))))))</f>
        <v>0</v>
      </c>
      <c r="T87" s="151">
        <f>IF(T67=AH79,AN79,IF(T67=AH80,AN80,IF(T67=AH81,AN81,IF(T67=AH82,AN82,IF(T67=AH83,AN83,IF(T67=AH84,AN84,IF(T67=AH85,AN85,IF(T67=AH86,AN86,IF(T67=AH87,AN87,IF(T67=AH88,AN88,IF(T67=AH89,AN89,IF(T67=AH90,AN90,IF(T67=AH91,AN91,0)))))))))))))</f>
        <v>0.3</v>
      </c>
      <c r="U87" s="151">
        <f>IF(U67=AH79,AN79,IF(U67=AH80,AN80,IF(U67=AH81,AN81,IF(U67=AH82,AN82,IF(U67=AH83,AN83,IF(U67=AH84,AN84,IF(U67=AH85,AN85,IF(U67=AH86,AN86,IF(U67=AH87,AN87,IF(U67=AH88,AN88,IF(U67=AH89,AN89,IF(U67=AH90,AN90,IF(U67=AH91,AN91,0)))))))))))))</f>
        <v>0</v>
      </c>
      <c r="V87" s="151">
        <f>IF(V67=AH79,AN79,IF(V67=AH80,AN80,IF(V67=AH81,AN81,IF(V67=AH82,AN82,IF(V67=AH83,AN83,IF(V67=AH84,AN84,IF(V67=AH85,AN85,IF(V67=AH86,AN86,IF(V67=AH87,AN87,IF(V67=AH88,AN88,IF(V67=AH89,AN89,IF(V67=AH90,AN90,IF(V67=AH91,AN91,0)))))))))))))</f>
        <v>0.1</v>
      </c>
      <c r="W87" s="151">
        <f>IF(W67=AH79,AN79,IF(W67=AH80,AN80,IF(W67=AH81,AN81,IF(W67=AH82,AN82,IF(W67=AH83,AN83,IF(W67=AH84,AN84,IF(W67=AH85,AN85,IF(W67=AH86,AN86,IF(W67=AH87,AN87,IF(W67=AH88,AN88,IF(W67=AH89,AN89,IF(W67=AH90,AN90,IF(W67=AH91,AN91,0)))))))))))))</f>
        <v>0</v>
      </c>
      <c r="X87" s="151">
        <f>IF(X67=AH79,AN79,IF(X67=AH80,AN80,IF(X67=AH81,AN81,IF(X67=AH82,AN82,IF(X67=AH83,AN83,IF(X67=AH84,AN84,IF(X67=AH85,AN85,IF(X67=AH86,AN86,IF(X67=AH87,AN87,IF(X67=AH88,AN88,IF(X67=AH89,AN89,IF(X67=AH90,AN90,IF(X67=AH91,AN91,0)))))))))))))</f>
        <v>0.2</v>
      </c>
      <c r="Y87" s="151">
        <f>IF(Y67=AH79,AN79,IF(Y67=AH80,AN80,IF(Y67=AH81,AN81,IF(Y67=AH82,AN82,IF(Y67=AH83,AN83,IF(Y67=AH84,AN84,IF(Y67=AH85,AN85,IF(Y67=AH86,AN86,IF(Y67=AH87,AN87,IF(Y67=AH88,AN88,IF(Y67=AH89,AN89,IF(Y67=AH90,AN90,IF(Y67=AH91,AN91,0)))))))))))))</f>
        <v>0</v>
      </c>
      <c r="Z87" s="151">
        <f>IF(Z67=AH79,AN79,IF(Z67=AH80,AN80,IF(Z67=AH81,AN81,IF(Z67=AH82,AN82,IF(Z67=AH83,AN83,IF(Z67=AH84,AN84,IF(Z67=AH85,AN85,IF(Z67=AH86,AN86,IF(Z67=AH87,AN87,IF(Z67=AH88,AN88,IF(Z67=AH89,AN89,IF(Z67=AH90,AN90,IF(Z67=AH91,AN91,0)))))))))))))</f>
        <v>0.2</v>
      </c>
      <c r="AA87" s="151">
        <f>IF(AA67=AH79,AN79,IF(AA67=AH80,AN80,IF(AA67=AH81,AN81,IF(AA67=AH82,AN82,IF(AA67=AH83,AN83,IF(AA67=AH84,AN84,IF(AA67=AH85,AN85,IF(AA67=AH86,AN86,IF(AA67=AH87,AN87,IF(AA67=AH88,AN88,IF(AA67=AH89,AN89,IF(AA67=AH90,AN90,IF(AA67=AH91,AN91,0)))))))))))))</f>
        <v>0</v>
      </c>
      <c r="AB87" s="151">
        <f>IF(AB67=AH79,AN79,IF(AB67=AH80,AN80,IF(AB67=AH81,AN81,IF(AB67=AH82,AN82,IF(AB67=AH83,AN83,IF(AB67=AH84,AN84,IF(AB67=AH85,AN85,IF(AB67=AH86,AN86,IF(AB67=AH87,AN87,IF(AB67=AH88,AN88,IF(AB67=AH89,AN89,IF(AB67=AH90,AN90,IF(AB67=AH91,AN91,0)))))))))))))</f>
        <v>0.2</v>
      </c>
      <c r="AC87" s="151">
        <f>IF(AC67=AH79,AN79,IF(AC67=AH80,AN80,IF(AC67=AH81,AN81,IF(AC67=AH82,AN82,IF(AC67=AH83,AN83,IF(AC67=AH84,AN84,IF(AC67=AH85,AN85,IF(AC67=AH86,AN86,IF(AC67=AH87,AN87,IF(AC67=AH88,AN88,IF(AC67=AH89,AN89,IF(AC67=AH90,AN90,IF(AC67=AH91,AN91,0)))))))))))))</f>
        <v>0</v>
      </c>
      <c r="AD87" s="151">
        <f>IF(AD67=AH79,AN79,IF(AD67=AH80,AN80,IF(AD67=AH81,AN81,IF(AD67=AH82,AN82,IF(AD67=AH83,AN83,IF(AD67=AH84,AN84,IF(AD67=AH85,AN85,IF(AD67=AH86,AN86,IF(AD67=AH87,AN87,IF(AD67=AH88,AN88,IF(AD67=AH89,AN89,IF(AD67=AH90,AN90,IF(AD67=AH91,AN91,0)))))))))))))</f>
        <v>0</v>
      </c>
      <c r="AE87" s="151">
        <f>IF(AE67=AH79,AN79,IF(AE67=AH80,AN80,IF(AE67=AH81,AN81,IF(AE67=AH82,AN82,IF(AE67=AH83,AN83,IF(AE67=AH84,AN84,IF(AE67=AH85,AN85,IF(AE67=AH86,AN86,IF(AE67=AH87,AN87,IF(AE67=AH88,AN88,IF(AE67=AH89,AN89,IF(AE67=AH90,AN90,IF(AE67=AH91,AN91,0)))))))))))))</f>
        <v>0</v>
      </c>
      <c r="AF87" s="134"/>
      <c r="AG87" s="135" t="s">
        <v>427</v>
      </c>
      <c r="AH87" s="145">
        <v>105</v>
      </c>
      <c r="AI87" s="144">
        <f>X72</f>
        <v>73.920000000000016</v>
      </c>
      <c r="AJ87" s="156">
        <v>130</v>
      </c>
      <c r="AK87" s="146">
        <f t="shared" si="39"/>
        <v>0.11538461538461539</v>
      </c>
      <c r="AL87" s="146">
        <v>0.2</v>
      </c>
      <c r="AM87" s="146">
        <v>0</v>
      </c>
      <c r="AN87" s="146">
        <v>0.2</v>
      </c>
      <c r="AO87" s="146">
        <v>0.6</v>
      </c>
    </row>
    <row r="88" spans="1:42" ht="36" customHeight="1">
      <c r="A88" s="261"/>
      <c r="B88" s="262" t="s">
        <v>456</v>
      </c>
      <c r="C88" s="262"/>
      <c r="D88" s="152">
        <f>D87*D81</f>
        <v>0</v>
      </c>
      <c r="E88" s="152">
        <f t="shared" ref="E88:AE88" si="44">E87*E81</f>
        <v>0</v>
      </c>
      <c r="F88" s="152">
        <f t="shared" si="44"/>
        <v>0</v>
      </c>
      <c r="G88" s="152">
        <f t="shared" si="44"/>
        <v>0</v>
      </c>
      <c r="H88" s="152">
        <f t="shared" si="44"/>
        <v>0</v>
      </c>
      <c r="I88" s="152">
        <f t="shared" si="44"/>
        <v>0</v>
      </c>
      <c r="J88" s="152">
        <f t="shared" si="44"/>
        <v>0</v>
      </c>
      <c r="K88" s="152">
        <f t="shared" si="44"/>
        <v>0</v>
      </c>
      <c r="L88" s="152">
        <f t="shared" si="44"/>
        <v>0</v>
      </c>
      <c r="M88" s="152">
        <f t="shared" si="44"/>
        <v>0</v>
      </c>
      <c r="N88" s="152">
        <f t="shared" si="44"/>
        <v>0</v>
      </c>
      <c r="O88" s="152">
        <f t="shared" si="44"/>
        <v>12.346463186813189</v>
      </c>
      <c r="P88" s="152">
        <f t="shared" si="44"/>
        <v>0</v>
      </c>
      <c r="Q88" s="152">
        <f t="shared" si="44"/>
        <v>52.656997159090906</v>
      </c>
      <c r="R88" s="152">
        <f t="shared" si="44"/>
        <v>24.225830638111891</v>
      </c>
      <c r="S88" s="152">
        <f t="shared" si="44"/>
        <v>0</v>
      </c>
      <c r="T88" s="152">
        <f t="shared" si="44"/>
        <v>40.590152566183811</v>
      </c>
      <c r="U88" s="152">
        <f t="shared" si="44"/>
        <v>0</v>
      </c>
      <c r="V88" s="152">
        <f t="shared" si="44"/>
        <v>11.629971253746255</v>
      </c>
      <c r="W88" s="152">
        <f t="shared" si="44"/>
        <v>0</v>
      </c>
      <c r="X88" s="152">
        <f t="shared" si="44"/>
        <v>21.32238259817106</v>
      </c>
      <c r="Y88" s="152">
        <f t="shared" si="44"/>
        <v>0</v>
      </c>
      <c r="Z88" s="152">
        <f t="shared" si="44"/>
        <v>25.315022727272726</v>
      </c>
      <c r="AA88" s="152">
        <f t="shared" si="44"/>
        <v>0</v>
      </c>
      <c r="AB88" s="152">
        <f t="shared" si="44"/>
        <v>20.238685714285719</v>
      </c>
      <c r="AC88" s="152">
        <f t="shared" si="44"/>
        <v>0</v>
      </c>
      <c r="AD88" s="152">
        <f t="shared" si="44"/>
        <v>0</v>
      </c>
      <c r="AE88" s="152">
        <f t="shared" si="44"/>
        <v>0</v>
      </c>
      <c r="AF88" s="134"/>
      <c r="AG88" s="135" t="s">
        <v>428</v>
      </c>
      <c r="AH88" s="145">
        <v>115</v>
      </c>
      <c r="AI88" s="144">
        <f>Z72</f>
        <v>80.960000000000008</v>
      </c>
      <c r="AJ88" s="156">
        <v>115</v>
      </c>
      <c r="AK88" s="146">
        <f t="shared" si="39"/>
        <v>0.13043478260869565</v>
      </c>
      <c r="AL88" s="146">
        <v>0.2</v>
      </c>
      <c r="AM88" s="146">
        <v>0</v>
      </c>
      <c r="AN88" s="146">
        <v>0.2</v>
      </c>
      <c r="AO88" s="146">
        <v>0.6</v>
      </c>
    </row>
    <row r="89" spans="1:42" ht="36" customHeight="1">
      <c r="A89" s="261"/>
      <c r="B89" s="262" t="s">
        <v>461</v>
      </c>
      <c r="C89" s="262"/>
      <c r="D89" s="151">
        <f>IF(D67=AH79,AO79,IF(D67=AH80,AO80,IF(D67=AH81,AO81,IF(D67=AH82,AO82,IF(D67=AH83,AO83,IF(D67=AH84,AO84,IF(D67=AH85,AO85,IF(D67=AH86,AO86,IF(D67=AH87,AO87,IF(D67=AH88,AO88,IF(D67=AH89,AO89,IF(D67=AH90,AO90,IF(D67=AH91,AO91,0)))))))))))))</f>
        <v>0</v>
      </c>
      <c r="E89" s="151">
        <f>IF(E67=AH79,AO79,IF(E67=AH80,AO80,IF(E67=AH81,AO81,IF(E67=AH82,AO82,IF(E67=AH83,AO83,IF(E67=AH84,AO84,IF(E67=AH85,AO85,IF(E67=AH86,AO86,IF(E67=AH87,AO87,IF(E67=AH88,AO88,IF(E67=AH89,AO89,IF(E67=AH90,AO90,IF(E67=AH91,AO91,0)))))))))))))</f>
        <v>0</v>
      </c>
      <c r="F89" s="151">
        <f>IF(F67=AH79,AO79,IF(F67=AH80,AO80,IF(F67=AH81,AO81,IF(F67=AH82,AO82,IF(F67=AH83,AO83,IF(F67=AH84,AO84,IF(F67=AH85,AO85,IF(F67=AH86,AO86,IF(F67=AH87,AO87,IF(F67=AH88,AO88,IF(F67=AH89,AO89,IF(F67=AH90,AO90,IF(F67=AH91,AO91,0)))))))))))))</f>
        <v>0</v>
      </c>
      <c r="G89" s="151">
        <f>IF(G67=AH79,AO79,IF(G67=AH80,AO80,IF(G67=AH81,AO81,IF(G67=AH82,AO82,IF(G67=AH83,AO83,IF(G67=AH84,AO84,IF(G67=AH85,AO85,IF(G67=AH86,AO86,IF(G67=AH87,AO87,IF(G67=AH88,AO88,IF(G67=AH89,AO89,IF(G67=AH90,AO90,IF(G67=AH91,AO91,0)))))))))))))</f>
        <v>0</v>
      </c>
      <c r="H89" s="151">
        <f>IF(H67=AH79,AO79,IF(H67=AH80,AO80,IF(H67=AH81,AO81,IF(H67=AH82,AO82,IF(H67=AH83,AO83,IF(H67=AH84,AO84,IF(H67=AH85,AO85,IF(H67=AH86,AO86,IF(H67=AH87,AO87,IF(H67=AH88,AO88,IF(H67=AH89,AO89,IF(H67=AH90,AO90,IF(H67=AH91,AO91,0)))))))))))))</f>
        <v>0</v>
      </c>
      <c r="I89" s="151">
        <f>IF(I67=AH79,AO79,IF(I67=AH80,AO80,IF(I67=AH81,AO81,IF(I67=AH82,AO82,IF(I67=AH83,AO83,IF(I67=AH84,AO84,IF(I67=AH85,AO85,IF(I67=AH86,AO86,IF(I67=AH87,AO87,IF(I67=AH88,AO88,IF(I67=AH89,AO89,IF(I67=AH90,AO90,IF(I67=AH91,AO91,0)))))))))))))</f>
        <v>0</v>
      </c>
      <c r="J89" s="151">
        <f>IF(J67=AH79,AO79,IF(J67=AH80,AO80,IF(J67=AH81,AO81,IF(J67=AH82,AO82,IF(J67=AH83,AO83,IF(J67=AH84,AO84,IF(J67=AH85,AO85,IF(J67=AH86,AO86,IF(J67=AH87,AO87,IF(J67=AH88,AO88,IF(J67=AH89,AO89,IF(J67=AH90,AO90,IF(J67=AH91,AO91,0)))))))))))))</f>
        <v>0</v>
      </c>
      <c r="K89" s="151">
        <f>IF(K67=AH79,AO79,IF(K67=AH80,AO80,IF(K67=AH81,AO81,IF(K67=AH82,AO82,IF(K67=AH83,AO83,IF(K67=AH84,AO84,IF(K67=AH85,AO85,IF(K67=AH86,AO86,IF(K67=AH87,AO87,IF(K67=AH88,AO88,IF(K67=AH89,AO89,IF(K67=AH90,AO90,IF(K67=AH91,AO91,0)))))))))))))</f>
        <v>0</v>
      </c>
      <c r="L89" s="151">
        <f>IF(L67=AH79,AO79,IF(L67=AH80,AO80,IF(L67=AH81,AO81,IF(L67=AH82,AO82,IF(L67=AH83,AO83,IF(L67=AH84,AO84,IF(L67=AH85,AO85,IF(L67=AH86,AO86,IF(L67=AH87,AO87,IF(L67=AH88,AO88,IF(L67=AH89,AO89,IF(L67=AH90,AO90,IF(L67=AH91,AO91,0)))))))))))))</f>
        <v>0</v>
      </c>
      <c r="M89" s="151">
        <f>IF(M67=AH79,AO79,IF(M67=AH80,AO80,IF(M67=AH81,AO81,IF(M67=AH82,AO82,IF(M67=AH83,AO83,IF(M67=AH84,AO84,IF(M67=AH85,AO85,IF(M67=AH86,AO86,IF(M67=AH87,AO87,IF(M67=AH88,AO88,IF(M67=AH89,AO89,IF(M67=AH90,AO90,IF(M67=AH91,AO91,0)))))))))))))</f>
        <v>0</v>
      </c>
      <c r="N89" s="151">
        <f>IF(N67=AH79,AO79,IF(N67=AH80,AO80,IF(N67=AH81,AO81,IF(N67=AH82,AO82,IF(N67=AH83,AO83,IF(N67=AH84,AO84,IF(N67=AH85,AO85,IF(N67=AH86,AO86,IF(N67=AH87,AO87,IF(N67=AH88,AO88,IF(N67=AH89,AO89,IF(N67=AH90,AO90,IF(N67=AH91,AO91,0)))))))))))))</f>
        <v>0</v>
      </c>
      <c r="O89" s="151">
        <f>IF(O67=AH79,AO79,IF(O67=AH80,AO80,IF(O67=AH81,AO81,IF(O67=AH82,AO82,IF(O67=AH83,AO83,IF(O67=AH84,AO84,IF(O67=AH85,AO85,IF(O67=AH86,AO86,IF(O67=AH87,AO87,IF(O67=AH88,AO88,IF(O67=AH89,AO89,IF(O67=AH90,AO90,IF(O67=AH91,AO91,0)))))))))))))</f>
        <v>0</v>
      </c>
      <c r="P89" s="151">
        <f>IF(P67=AH79,AO79,IF(P67=AH80,AO80,IF(P67=AH81,AO81,IF(P67=AH82,AO82,IF(P67=AH83,AO83,IF(P67=AH84,AO84,IF(P67=AH85,AO85,IF(P67=AH86,AO86,IF(P67=AH87,AO87,IF(P67=AH88,AO88,IF(P67=AH89,AO89,IF(P67=AH90,AO90,IF(P67=AH91,AO91,0)))))))))))))</f>
        <v>0</v>
      </c>
      <c r="Q89" s="151">
        <f>IF(Q67=AH79,AO79,IF(Q67=AH80,AO80,IF(Q67=AH81,AO81,IF(Q67=AH82,AO82,IF(Q67=AH83,AO83,IF(Q67=AH84,AO84,IF(Q67=AH85,AO85,IF(Q67=AH86,AO86,IF(Q67=AH87,AO87,IF(Q67=AH88,AO88,IF(Q67=AH89,AO89,IF(Q67=AH90,AO90,IF(Q67=AH91,AO91,0)))))))))))))</f>
        <v>0.4</v>
      </c>
      <c r="R89" s="151">
        <f>IF(R67=AH79,AO79,IF(R67=AH80,AO80,IF(R67=AH81,AO81,IF(R67=AH82,AO82,IF(R67=AH83,AO83,IF(R67=AH84,AO84,IF(R67=AH85,AO85,IF(R67=AH86,AO86,IF(R67=AH87,AO87,IF(R67=AH88,AO88,IF(R67=AH89,AO89,IF(R67=AH90,AO90,IF(R67=AH91,AO91,0)))))))))))))</f>
        <v>0.4</v>
      </c>
      <c r="S89" s="151">
        <f>IF(S67=AH79,AO79,IF(S67=AH80,AO80,IF(S67=AH81,AO81,IF(S67=AH82,AO82,IF(S67=AH83,AO83,IF(S67=AH84,AO84,IF(S67=AH85,AO85,IF(S67=AH86,AO86,IF(S67=AH87,AO87,IF(S67=AH88,AO88,IF(S67=AH89,AO89,IF(S67=AH90,AO90,IF(S67=AH91,AO91,0)))))))))))))</f>
        <v>0</v>
      </c>
      <c r="T89" s="151">
        <f>IF(T67=AH79,AO79,IF(T67=AH80,AO80,IF(T67=AH81,AO81,IF(T67=AH82,AO82,IF(T67=AH83,AO83,IF(T67=AH84,AO84,IF(T67=AH85,AO85,IF(T67=AH86,AO86,IF(T67=AH87,AO87,IF(T67=AH88,AO88,IF(T67=AH89,AO89,IF(T67=AH90,AO90,IF(T67=AH91,AO91,0)))))))))))))</f>
        <v>0.4</v>
      </c>
      <c r="U89" s="151">
        <f>IF(U67=AH79,AO79,IF(U67=AH80,AO80,IF(U67=AH81,AO81,IF(U67=AH82,AO82,IF(U67=AH83,AO83,IF(U67=AH84,AO84,IF(U67=AH85,AO85,IF(U67=AH86,AO86,IF(U67=AH87,AO87,IF(U67=AH88,AO88,IF(U67=AH89,AO89,IF(U67=AH90,AO90,IF(U67=AH91,AO91,0)))))))))))))</f>
        <v>0</v>
      </c>
      <c r="V89" s="151">
        <f>IF(V67=AH79,AO79,IF(V67=AH80,AO80,IF(V67=AH81,AO81,IF(V67=AH82,AO82,IF(V67=AH83,AO83,IF(V67=AH84,AO84,IF(V67=AH85,AO85,IF(V67=AH86,AO86,IF(V67=AH87,AO87,IF(V67=AH88,AO88,IF(V67=AH89,AO89,IF(V67=AH90,AO90,IF(V67=AH91,AO91,0)))))))))))))</f>
        <v>0.6</v>
      </c>
      <c r="W89" s="151">
        <f>IF(W67=AH79,AO79,IF(W67=AH80,AO80,IF(W67=AH81,AO81,IF(W67=AH82,AO82,IF(W67=AH83,AO83,IF(W67=AH84,AO84,IF(W67=AH85,AO85,IF(W67=AH86,AO86,IF(W67=AH87,AO87,IF(W67=AH88,AO88,IF(W67=AH89,AO89,IF(W67=AH90,AO90,IF(W67=AH91,AO91,0)))))))))))))</f>
        <v>0</v>
      </c>
      <c r="X89" s="151">
        <f>IF(X67=AH79,AO79,IF(X67=AH80,AO80,IF(X67=AH81,AO81,IF(X67=AH82,AO82,IF(X67=AH83,AO83,IF(X67=AH84,AO84,IF(X67=AH85,AO85,IF(X67=AH86,AO86,IF(X67=AH87,AO87,IF(X67=AH88,AO88,IF(X67=AH89,AO89,IF(X67=AH90,AO90,IF(X67=AH91,AO91,0)))))))))))))</f>
        <v>0.6</v>
      </c>
      <c r="Y89" s="151">
        <f>IF(Y67=AH79,AO79,IF(Y67=AH80,AO80,IF(Y67=AH81,AO81,IF(Y67=AH82,AO82,IF(Y67=AH83,AO83,IF(Y67=AH84,AO84,IF(Y67=AH85,AO85,IF(Y67=AH86,AO86,IF(Y67=AH87,AO87,IF(Y67=AH88,AO88,IF(Y67=AH89,AO89,IF(Y67=AH90,AO90,IF(Y67=AH91,AO91,0)))))))))))))</f>
        <v>0</v>
      </c>
      <c r="Z89" s="151">
        <f>IF(Z67=AH79,AO79,IF(Z67=AH80,AO80,IF(Z67=AH81,AO81,IF(Z67=AH82,AO82,IF(Z67=AH83,AO83,IF(Z67=AH84,AO84,IF(Z67=AH85,AO85,IF(Z67=AH86,AO86,IF(Z67=AH87,AO87,IF(Z67=AH88,AO88,IF(Z67=AH89,AO89,IF(Z67=AH90,AO90,IF(Z67=AH91,AO91,0)))))))))))))</f>
        <v>0.6</v>
      </c>
      <c r="AA89" s="151">
        <f>IF(AA67=AH79,AO79,IF(AA67=AH80,AO80,IF(AA67=AH81,AO81,IF(AA67=AH82,AO82,IF(AA67=AH83,AO83,IF(AA67=AH84,AO84,IF(AA67=AH85,AO85,IF(AA67=AH86,AO86,IF(AA67=AH87,AO87,IF(AA67=AH88,AO88,IF(AA67=AH89,AO89,IF(AA67=AH90,AO90,IF(AA67=AH91,AO91,0)))))))))))))</f>
        <v>0</v>
      </c>
      <c r="AB89" s="151">
        <f>IF(AB67=AH79,AO79,IF(AB67=AH80,AO80,IF(AB67=AH81,AO81,IF(AB67=AH82,AO82,IF(AB67=AH83,AO83,IF(AB67=AH84,AO84,IF(AB67=AH85,AO85,IF(AB67=AH86,AO86,IF(AB67=AH87,AO87,IF(AB67=AH88,AO88,IF(AB67=AH89,AO89,IF(AB67=AH90,AO90,IF(AB67=AH91,AO91,0)))))))))))))</f>
        <v>0.6</v>
      </c>
      <c r="AC89" s="151">
        <f>IF(AC67=AH79,AO79,IF(AC67=AH80,AO80,IF(AC67=AH81,AO81,IF(AC67=AH82,AO82,IF(AC67=AH83,AO83,IF(AC67=AH84,AO84,IF(AC67=AH85,AO85,IF(AC67=AH86,AO86,IF(AC67=AH87,AO87,IF(AC67=AH88,AO88,IF(AC67=AH89,AO89,IF(AC67=AH90,AO90,IF(AC67=AH91,AO91,0)))))))))))))</f>
        <v>0.8</v>
      </c>
      <c r="AD89" s="151">
        <f>IF(AD67=AH79,AO79,IF(AD67=AH80,AO80,IF(AD67=AH81,AO81,IF(AD67=AH82,AO82,IF(AD67=AH83,AO83,IF(AD67=AH84,AO84,IF(AD67=AH85,AO85,IF(AD67=AH86,AO86,IF(AD67=AH87,AO87,IF(AD67=AH88,AO88,IF(AD67=AH89,AO89,IF(AD67=AH90,AO90,IF(AD67=AH91,AO91,0)))))))))))))</f>
        <v>0</v>
      </c>
      <c r="AE89" s="151">
        <f>IF(AE67=AH79,AO79,IF(AE67=AH80,AO80,IF(AE67=AH81,AO81,IF(AE67=AH82,AO82,IF(AE67=AH83,AO83,IF(AE67=AH84,AO84,IF(AE67=AH85,AO85,IF(AE67=AH86,AO86,IF(AE67=AH87,AO87,IF(AE67=AH88,AO88,IF(AE67=AH89,AO89,IF(AE67=AH90,AO90,IF(AE67=AH91,AO91,0)))))))))))))</f>
        <v>0.8</v>
      </c>
      <c r="AF89" s="134"/>
      <c r="AG89" s="135" t="s">
        <v>429</v>
      </c>
      <c r="AH89" s="145">
        <v>125</v>
      </c>
      <c r="AI89" s="144">
        <f>AB72</f>
        <v>88</v>
      </c>
      <c r="AJ89" s="156">
        <v>100</v>
      </c>
      <c r="AK89" s="146">
        <f t="shared" si="39"/>
        <v>0.1</v>
      </c>
      <c r="AL89" s="146">
        <v>0.2</v>
      </c>
      <c r="AM89" s="146">
        <v>0</v>
      </c>
      <c r="AN89" s="146">
        <v>0.2</v>
      </c>
      <c r="AO89" s="146">
        <v>0.6</v>
      </c>
    </row>
    <row r="90" spans="1:42" ht="36" customHeight="1">
      <c r="A90" s="261"/>
      <c r="B90" s="262" t="s">
        <v>457</v>
      </c>
      <c r="C90" s="262"/>
      <c r="D90" s="152">
        <f>D89*D81</f>
        <v>0</v>
      </c>
      <c r="E90" s="152">
        <f t="shared" ref="E90:AE90" si="45">E89*E81</f>
        <v>0</v>
      </c>
      <c r="F90" s="152">
        <f t="shared" si="45"/>
        <v>0</v>
      </c>
      <c r="G90" s="152">
        <f t="shared" si="45"/>
        <v>0</v>
      </c>
      <c r="H90" s="152">
        <f t="shared" si="45"/>
        <v>0</v>
      </c>
      <c r="I90" s="152">
        <f t="shared" si="45"/>
        <v>0</v>
      </c>
      <c r="J90" s="152">
        <f t="shared" si="45"/>
        <v>0</v>
      </c>
      <c r="K90" s="152">
        <f t="shared" si="45"/>
        <v>0</v>
      </c>
      <c r="L90" s="152">
        <f t="shared" si="45"/>
        <v>0</v>
      </c>
      <c r="M90" s="152">
        <f t="shared" si="45"/>
        <v>0</v>
      </c>
      <c r="N90" s="152">
        <f t="shared" si="45"/>
        <v>0</v>
      </c>
      <c r="O90" s="152">
        <f t="shared" si="45"/>
        <v>0</v>
      </c>
      <c r="P90" s="152">
        <f t="shared" si="45"/>
        <v>0</v>
      </c>
      <c r="Q90" s="152">
        <f t="shared" si="45"/>
        <v>70.209329545454551</v>
      </c>
      <c r="R90" s="152">
        <f t="shared" si="45"/>
        <v>32.301107517482528</v>
      </c>
      <c r="S90" s="152">
        <f t="shared" si="45"/>
        <v>0</v>
      </c>
      <c r="T90" s="152">
        <f t="shared" si="45"/>
        <v>54.120203421578417</v>
      </c>
      <c r="U90" s="152">
        <f t="shared" si="45"/>
        <v>0</v>
      </c>
      <c r="V90" s="152">
        <f t="shared" si="45"/>
        <v>69.779827522477518</v>
      </c>
      <c r="W90" s="152">
        <f t="shared" si="45"/>
        <v>0</v>
      </c>
      <c r="X90" s="152">
        <f t="shared" si="45"/>
        <v>63.967147794513181</v>
      </c>
      <c r="Y90" s="152">
        <f t="shared" si="45"/>
        <v>0</v>
      </c>
      <c r="Z90" s="152">
        <f t="shared" si="45"/>
        <v>75.945068181818172</v>
      </c>
      <c r="AA90" s="152">
        <f t="shared" si="45"/>
        <v>0</v>
      </c>
      <c r="AB90" s="152">
        <f t="shared" si="45"/>
        <v>60.716057142857146</v>
      </c>
      <c r="AC90" s="152">
        <f t="shared" si="45"/>
        <v>82.636494993894999</v>
      </c>
      <c r="AD90" s="152">
        <f t="shared" si="45"/>
        <v>0</v>
      </c>
      <c r="AE90" s="152">
        <f t="shared" si="45"/>
        <v>849.05768331668321</v>
      </c>
      <c r="AF90" s="134"/>
      <c r="AG90" s="135" t="s">
        <v>434</v>
      </c>
      <c r="AH90" s="145">
        <v>130</v>
      </c>
      <c r="AI90" s="144">
        <f>AC72</f>
        <v>91.52</v>
      </c>
      <c r="AJ90" s="156">
        <v>90</v>
      </c>
      <c r="AK90" s="146">
        <f t="shared" si="39"/>
        <v>0.1111111111111111</v>
      </c>
      <c r="AL90" s="146">
        <v>0.2</v>
      </c>
      <c r="AM90" s="146">
        <v>0</v>
      </c>
      <c r="AN90" s="146">
        <v>0</v>
      </c>
      <c r="AO90" s="146">
        <v>0.8</v>
      </c>
    </row>
    <row r="91" spans="1:42" ht="36" customHeight="1">
      <c r="AG91" s="135" t="s">
        <v>414</v>
      </c>
      <c r="AH91" s="145">
        <v>140</v>
      </c>
      <c r="AI91" s="144">
        <f>AE72</f>
        <v>98.559999999999988</v>
      </c>
      <c r="AJ91" s="156">
        <v>80</v>
      </c>
      <c r="AK91" s="146">
        <f t="shared" si="39"/>
        <v>1</v>
      </c>
      <c r="AL91" s="146">
        <v>0.2</v>
      </c>
      <c r="AM91" s="146">
        <v>0</v>
      </c>
      <c r="AN91" s="146">
        <v>0</v>
      </c>
      <c r="AO91" s="146">
        <v>0.8</v>
      </c>
    </row>
    <row r="92" spans="1:42" ht="36" customHeight="1">
      <c r="AG92" s="150"/>
      <c r="AH92" s="148"/>
      <c r="AI92" s="148"/>
      <c r="AJ92" s="148"/>
      <c r="AK92" s="148"/>
      <c r="AL92" s="266" t="s">
        <v>435</v>
      </c>
      <c r="AM92" s="266"/>
      <c r="AN92" s="266"/>
      <c r="AO92" s="266"/>
    </row>
    <row r="94" spans="1:42" ht="36" customHeight="1">
      <c r="A94" s="264" t="s">
        <v>436</v>
      </c>
      <c r="B94" s="264"/>
      <c r="C94" s="264"/>
      <c r="D94" s="264"/>
      <c r="E94" s="264"/>
      <c r="F94" s="264"/>
      <c r="G94" s="264"/>
      <c r="H94" s="264"/>
      <c r="I94" s="264"/>
      <c r="J94" s="264"/>
      <c r="K94" s="264"/>
      <c r="L94" s="264"/>
      <c r="M94" s="264"/>
      <c r="N94" s="264"/>
      <c r="O94" s="264"/>
      <c r="P94" s="264"/>
      <c r="Q94" s="264"/>
      <c r="R94" s="264"/>
      <c r="S94" s="264"/>
      <c r="T94" s="264"/>
      <c r="U94" s="264"/>
      <c r="V94" s="264"/>
      <c r="W94" s="264"/>
      <c r="X94" s="175"/>
      <c r="Y94" s="175"/>
      <c r="Z94" s="175"/>
      <c r="AA94" s="175"/>
      <c r="AB94" s="175"/>
      <c r="AC94" s="175"/>
      <c r="AD94" s="175"/>
      <c r="AE94" s="175"/>
      <c r="AF94" s="175"/>
      <c r="AG94" s="175"/>
      <c r="AH94" s="175"/>
      <c r="AI94" s="175"/>
      <c r="AJ94" s="175"/>
      <c r="AK94" s="175"/>
      <c r="AL94" s="175"/>
      <c r="AM94" s="175"/>
      <c r="AN94" s="175"/>
      <c r="AO94" s="175"/>
      <c r="AP94" s="175"/>
    </row>
    <row r="95" spans="1:42" ht="36" customHeight="1">
      <c r="A95" s="134"/>
      <c r="B95" s="134"/>
      <c r="C95" s="134"/>
      <c r="D95" s="157"/>
      <c r="E95" s="134"/>
      <c r="F95" s="134"/>
      <c r="G95" s="134"/>
      <c r="H95" s="134"/>
      <c r="I95" s="134"/>
      <c r="J95" s="134"/>
      <c r="K95" s="164"/>
      <c r="L95" s="134"/>
      <c r="M95" s="134"/>
      <c r="N95" s="134"/>
      <c r="O95" s="134"/>
      <c r="P95" s="134"/>
      <c r="Q95" s="134"/>
      <c r="R95" s="134"/>
    </row>
    <row r="96" spans="1:42" ht="36" customHeight="1">
      <c r="A96" s="134"/>
      <c r="B96" s="260" t="s">
        <v>392</v>
      </c>
      <c r="C96" s="260"/>
      <c r="D96" s="137">
        <v>5</v>
      </c>
      <c r="E96" s="137">
        <v>10</v>
      </c>
      <c r="F96" s="137">
        <v>15</v>
      </c>
      <c r="G96" s="137">
        <v>20</v>
      </c>
      <c r="H96" s="137">
        <v>25</v>
      </c>
      <c r="I96" s="137">
        <v>30</v>
      </c>
      <c r="J96" s="137">
        <v>35</v>
      </c>
      <c r="K96" s="137">
        <v>40</v>
      </c>
      <c r="L96" s="137">
        <v>45</v>
      </c>
      <c r="M96" s="137">
        <v>50</v>
      </c>
      <c r="N96" s="137">
        <v>55</v>
      </c>
      <c r="O96" s="179">
        <v>60</v>
      </c>
      <c r="P96" s="150"/>
      <c r="Q96" s="150"/>
      <c r="R96" s="134"/>
      <c r="AG96" s="263" t="s">
        <v>394</v>
      </c>
      <c r="AH96" s="263"/>
      <c r="AI96" s="135">
        <f>BOISEMENT!C19</f>
        <v>13.57</v>
      </c>
      <c r="AJ96" s="136"/>
      <c r="AK96" s="136"/>
      <c r="AL96" s="134"/>
      <c r="AM96" s="134"/>
      <c r="AN96" s="134"/>
      <c r="AO96" s="134"/>
    </row>
    <row r="97" spans="1:41" ht="36" customHeight="1">
      <c r="A97" s="260" t="s">
        <v>397</v>
      </c>
      <c r="B97" s="137" t="s">
        <v>398</v>
      </c>
      <c r="C97" s="137">
        <v>1</v>
      </c>
      <c r="D97" s="138">
        <v>4</v>
      </c>
      <c r="E97" s="138">
        <v>7.5</v>
      </c>
      <c r="F97" s="138">
        <v>11</v>
      </c>
      <c r="G97" s="138">
        <v>13</v>
      </c>
      <c r="H97" s="138">
        <v>16</v>
      </c>
      <c r="I97" s="138">
        <v>18</v>
      </c>
      <c r="J97" s="138">
        <v>20</v>
      </c>
      <c r="K97" s="138">
        <v>21</v>
      </c>
      <c r="L97" s="138">
        <v>22.5</v>
      </c>
      <c r="M97" s="138">
        <v>23.5</v>
      </c>
      <c r="N97" s="138">
        <v>24.5</v>
      </c>
      <c r="O97" s="184">
        <v>25</v>
      </c>
      <c r="P97" s="150"/>
      <c r="Q97" s="150"/>
      <c r="R97" s="134"/>
      <c r="AG97" s="263" t="s">
        <v>395</v>
      </c>
      <c r="AH97" s="263"/>
      <c r="AI97" s="135">
        <f>BOISEMENT!C21</f>
        <v>15400</v>
      </c>
      <c r="AJ97" s="136"/>
      <c r="AK97" s="136"/>
      <c r="AL97" s="134"/>
      <c r="AM97" s="134"/>
      <c r="AN97" s="134"/>
      <c r="AO97" s="134"/>
    </row>
    <row r="98" spans="1:41" ht="36" customHeight="1">
      <c r="A98" s="260"/>
      <c r="B98" s="137" t="s">
        <v>398</v>
      </c>
      <c r="C98" s="137">
        <v>2</v>
      </c>
      <c r="D98" s="138">
        <v>3.8</v>
      </c>
      <c r="E98" s="138">
        <v>6</v>
      </c>
      <c r="F98" s="138">
        <v>8.1999999999999993</v>
      </c>
      <c r="G98" s="138">
        <v>9.6</v>
      </c>
      <c r="H98" s="138">
        <v>11</v>
      </c>
      <c r="I98" s="138">
        <v>12.2</v>
      </c>
      <c r="J98" s="138">
        <v>13</v>
      </c>
      <c r="K98" s="138">
        <v>14</v>
      </c>
      <c r="L98" s="138">
        <v>15</v>
      </c>
      <c r="M98" s="138">
        <v>15.7</v>
      </c>
      <c r="N98" s="138">
        <v>16.350000000000001</v>
      </c>
      <c r="O98" s="184">
        <v>17</v>
      </c>
      <c r="P98" s="150"/>
      <c r="Q98" s="150"/>
      <c r="R98" s="134"/>
      <c r="AG98" s="263" t="s">
        <v>437</v>
      </c>
      <c r="AH98" s="263"/>
      <c r="AI98" s="135">
        <f>BOISEMENT!C6</f>
        <v>3000</v>
      </c>
      <c r="AJ98" s="134"/>
      <c r="AK98" s="134"/>
      <c r="AL98" s="134"/>
      <c r="AM98" s="134"/>
      <c r="AN98" s="134"/>
      <c r="AO98" s="134"/>
    </row>
    <row r="99" spans="1:41" ht="36" customHeight="1">
      <c r="A99" s="260"/>
      <c r="B99" s="137" t="s">
        <v>398</v>
      </c>
      <c r="C99" s="137">
        <v>3</v>
      </c>
      <c r="D99" s="138">
        <v>2.9</v>
      </c>
      <c r="E99" s="138">
        <v>4.5999999999999996</v>
      </c>
      <c r="F99" s="138">
        <v>6.1</v>
      </c>
      <c r="G99" s="138">
        <v>7.3</v>
      </c>
      <c r="H99" s="138">
        <v>8.5</v>
      </c>
      <c r="I99" s="138">
        <v>9.3000000000000007</v>
      </c>
      <c r="J99" s="138">
        <v>10.4</v>
      </c>
      <c r="K99" s="138">
        <v>11.2</v>
      </c>
      <c r="L99" s="138">
        <v>11.9</v>
      </c>
      <c r="M99" s="138">
        <v>12.4</v>
      </c>
      <c r="N99" s="138">
        <v>12.85</v>
      </c>
      <c r="O99" s="184">
        <v>13.5</v>
      </c>
      <c r="P99" s="150"/>
      <c r="Q99" s="150"/>
      <c r="R99" s="134"/>
      <c r="AG99" s="263" t="s">
        <v>398</v>
      </c>
      <c r="AH99" s="263"/>
      <c r="AI99" s="163">
        <f>BOISEMENT!E6</f>
        <v>1</v>
      </c>
      <c r="AJ99" s="134"/>
      <c r="AK99" s="134"/>
      <c r="AL99" s="134"/>
      <c r="AM99" s="134"/>
      <c r="AN99" s="134"/>
      <c r="AO99" s="134"/>
    </row>
    <row r="100" spans="1:41" ht="36" customHeight="1">
      <c r="A100" s="140" t="s">
        <v>406</v>
      </c>
      <c r="B100" s="265" t="s">
        <v>404</v>
      </c>
      <c r="C100" s="265"/>
      <c r="D100" s="142">
        <v>10</v>
      </c>
      <c r="E100" s="142">
        <v>20</v>
      </c>
      <c r="F100" s="142">
        <v>40</v>
      </c>
      <c r="G100" s="142">
        <v>75</v>
      </c>
      <c r="H100" s="142">
        <v>110</v>
      </c>
      <c r="I100" s="142">
        <v>150</v>
      </c>
      <c r="J100" s="142">
        <v>190</v>
      </c>
      <c r="K100" s="142">
        <v>220</v>
      </c>
      <c r="L100" s="142">
        <v>240</v>
      </c>
      <c r="M100" s="142">
        <v>255</v>
      </c>
      <c r="N100" s="142">
        <v>260</v>
      </c>
      <c r="O100" s="142">
        <v>265</v>
      </c>
      <c r="P100" s="159"/>
      <c r="Q100" s="159"/>
      <c r="R100" s="159"/>
      <c r="AG100" s="134"/>
      <c r="AH100" s="134"/>
      <c r="AI100" s="134"/>
      <c r="AJ100" s="134"/>
      <c r="AK100" s="134"/>
      <c r="AL100" s="134"/>
      <c r="AM100" s="134"/>
      <c r="AN100" s="134"/>
      <c r="AO100" s="134"/>
    </row>
    <row r="101" spans="1:41" ht="36" customHeight="1">
      <c r="A101" s="140" t="s">
        <v>407</v>
      </c>
      <c r="B101" s="265" t="s">
        <v>404</v>
      </c>
      <c r="C101" s="265"/>
      <c r="D101" s="142">
        <f>(PI()*D100)/10</f>
        <v>3.1415926535897931</v>
      </c>
      <c r="E101" s="142">
        <f t="shared" ref="E101:O101" si="46">(PI()*E100)/10</f>
        <v>6.2831853071795862</v>
      </c>
      <c r="F101" s="142">
        <f t="shared" si="46"/>
        <v>12.566370614359172</v>
      </c>
      <c r="G101" s="142">
        <f t="shared" si="46"/>
        <v>23.561944901923447</v>
      </c>
      <c r="H101" s="142">
        <f t="shared" si="46"/>
        <v>34.557519189487728</v>
      </c>
      <c r="I101" s="142">
        <f t="shared" si="46"/>
        <v>47.123889803846893</v>
      </c>
      <c r="J101" s="142">
        <f t="shared" si="46"/>
        <v>59.690260418206073</v>
      </c>
      <c r="K101" s="142">
        <f t="shared" si="46"/>
        <v>69.115038378975456</v>
      </c>
      <c r="L101" s="142">
        <f t="shared" si="46"/>
        <v>75.398223686155035</v>
      </c>
      <c r="M101" s="142">
        <f t="shared" si="46"/>
        <v>80.110612666539723</v>
      </c>
      <c r="N101" s="142">
        <f t="shared" si="46"/>
        <v>81.681408993334614</v>
      </c>
      <c r="O101" s="142">
        <f t="shared" si="46"/>
        <v>83.252205320129519</v>
      </c>
      <c r="P101" s="159"/>
      <c r="Q101" s="159"/>
      <c r="R101" s="134"/>
      <c r="AG101" s="261" t="s">
        <v>438</v>
      </c>
      <c r="AH101" s="261"/>
      <c r="AI101" s="261"/>
      <c r="AJ101" s="134"/>
      <c r="AK101" s="134"/>
      <c r="AL101" s="134"/>
      <c r="AM101" s="134"/>
      <c r="AN101" s="134"/>
      <c r="AO101" s="134"/>
    </row>
    <row r="102" spans="1:41" ht="36" customHeight="1">
      <c r="A102" s="263" t="s">
        <v>448</v>
      </c>
      <c r="B102" s="135" t="s">
        <v>398</v>
      </c>
      <c r="C102" s="135">
        <v>1</v>
      </c>
      <c r="D102" s="144">
        <f>(((D97*(D$101^2))/(40000*PI()*(1-(1.3/D97))^2))*($AI$102+($AI$103*(SQRT(D$101)/D97)+($AI$104*(D97/D$101)))))/1.56</f>
        <v>3.5905561769199981E-4</v>
      </c>
      <c r="E102" s="144">
        <f t="shared" ref="E102:O102" si="47">(((E97*(E$101^2))/(40000*PI()*(1-(1.3/E97))^2))*($AI$102+($AI$103*(SQRT(E$101)/E97)+($AI$104*(E97/E$101)))))/1.56</f>
        <v>1.6366976124628512E-3</v>
      </c>
      <c r="F102" s="144">
        <f t="shared" si="47"/>
        <v>8.3556725831939876E-3</v>
      </c>
      <c r="G102" s="144">
        <f t="shared" si="47"/>
        <v>3.4893270103992437E-2</v>
      </c>
      <c r="H102" s="144">
        <f t="shared" si="47"/>
        <v>8.8212625251303037E-2</v>
      </c>
      <c r="I102" s="144">
        <f t="shared" si="47"/>
        <v>0.18318631640779914</v>
      </c>
      <c r="J102" s="144">
        <f t="shared" si="47"/>
        <v>0.32293651004306612</v>
      </c>
      <c r="K102" s="144">
        <f t="shared" si="47"/>
        <v>0.45534151656463162</v>
      </c>
      <c r="L102" s="144">
        <f t="shared" si="47"/>
        <v>0.57069390032771961</v>
      </c>
      <c r="M102" s="144">
        <f t="shared" si="47"/>
        <v>0.66652661629788024</v>
      </c>
      <c r="N102" s="144">
        <f t="shared" si="47"/>
        <v>0.71158936544400975</v>
      </c>
      <c r="O102" s="144">
        <f t="shared" si="47"/>
        <v>0.75007169412061203</v>
      </c>
      <c r="P102" s="189"/>
      <c r="Q102" s="189"/>
      <c r="R102" s="134"/>
      <c r="AG102" s="262" t="s">
        <v>400</v>
      </c>
      <c r="AH102" s="262"/>
      <c r="AI102" s="139">
        <v>0.52200000000000002</v>
      </c>
      <c r="AJ102" s="134"/>
      <c r="AK102" s="134"/>
      <c r="AL102" s="134"/>
      <c r="AM102" s="134"/>
      <c r="AN102" s="134"/>
      <c r="AO102" s="134"/>
    </row>
    <row r="103" spans="1:41" ht="36" customHeight="1">
      <c r="A103" s="263"/>
      <c r="B103" s="135" t="s">
        <v>398</v>
      </c>
      <c r="C103" s="135">
        <v>2</v>
      </c>
      <c r="D103" s="144">
        <f t="shared" ref="D103:O103" si="48">(((D98*(D$101^2))/(40000*PI()*(1-(1.3/D98))^2))*($AI$102+($AI$103*(SQRT(D$101)/D98)+($AI$104*(D98/D$101)))))/1.56</f>
        <v>3.6594099750538416E-4</v>
      </c>
      <c r="E103" s="144">
        <f t="shared" si="48"/>
        <v>1.5679264141210251E-3</v>
      </c>
      <c r="F103" s="144">
        <f t="shared" si="48"/>
        <v>7.5232516541525636E-3</v>
      </c>
      <c r="G103" s="144">
        <f t="shared" si="48"/>
        <v>3.111132341915928E-2</v>
      </c>
      <c r="H103" s="144">
        <f t="shared" si="48"/>
        <v>7.5370344826370006E-2</v>
      </c>
      <c r="I103" s="144">
        <f t="shared" si="48"/>
        <v>0.1546773039248584</v>
      </c>
      <c r="J103" s="144">
        <f t="shared" si="48"/>
        <v>0.26672677704438419</v>
      </c>
      <c r="K103" s="144">
        <f t="shared" si="48"/>
        <v>0.37895460609737791</v>
      </c>
      <c r="L103" s="144">
        <f t="shared" si="48"/>
        <v>0.47152562944816317</v>
      </c>
      <c r="M103" s="144">
        <f t="shared" si="48"/>
        <v>0.54891907320091293</v>
      </c>
      <c r="N103" s="144">
        <f t="shared" si="48"/>
        <v>0.58251368930411729</v>
      </c>
      <c r="O103" s="144">
        <f t="shared" si="48"/>
        <v>0.61757436053880332</v>
      </c>
      <c r="P103" s="189"/>
      <c r="Q103" s="189"/>
      <c r="R103" s="134"/>
      <c r="AG103" s="262" t="s">
        <v>401</v>
      </c>
      <c r="AH103" s="262"/>
      <c r="AI103" s="139">
        <v>0.66100000000000003</v>
      </c>
      <c r="AJ103" s="134"/>
      <c r="AK103" s="134"/>
      <c r="AL103" s="134"/>
      <c r="AM103" s="134"/>
      <c r="AN103" s="134"/>
      <c r="AO103" s="134"/>
    </row>
    <row r="104" spans="1:41" ht="36" customHeight="1">
      <c r="A104" s="263"/>
      <c r="B104" s="135" t="s">
        <v>398</v>
      </c>
      <c r="C104" s="135">
        <v>3</v>
      </c>
      <c r="D104" s="144">
        <f t="shared" ref="D104:O104" si="49">(((D99*(D$101^2))/(40000*PI()*(1-(1.3/D99))^2))*($AI$102+($AI$103*(SQRT(D$101)/D99)+($AI$104*(D99/D$101)))))/1.56</f>
        <v>4.4326380397944845E-4</v>
      </c>
      <c r="E104" s="144">
        <f t="shared" si="49"/>
        <v>1.5853033495960788E-3</v>
      </c>
      <c r="F104" s="144">
        <f t="shared" si="49"/>
        <v>7.1831764643878783E-3</v>
      </c>
      <c r="G104" s="144">
        <f t="shared" si="49"/>
        <v>2.940591999669448E-2</v>
      </c>
      <c r="H104" s="144">
        <f t="shared" si="49"/>
        <v>7.0627059235757544E-2</v>
      </c>
      <c r="I104" s="144">
        <f t="shared" si="49"/>
        <v>0.14372399014990431</v>
      </c>
      <c r="J104" s="144">
        <f t="shared" si="49"/>
        <v>0.25001631253959522</v>
      </c>
      <c r="K104" s="144">
        <f t="shared" si="49"/>
        <v>0.35360114292892614</v>
      </c>
      <c r="L104" s="144">
        <f t="shared" si="49"/>
        <v>0.43666904649346261</v>
      </c>
      <c r="M104" s="144">
        <f t="shared" si="49"/>
        <v>0.50599527595781968</v>
      </c>
      <c r="N104" s="144">
        <f t="shared" si="49"/>
        <v>0.53406270121224197</v>
      </c>
      <c r="O104" s="144">
        <f t="shared" si="49"/>
        <v>0.56598567175345493</v>
      </c>
      <c r="P104" s="189"/>
      <c r="Q104" s="189"/>
      <c r="R104" s="134"/>
      <c r="AG104" s="262" t="s">
        <v>402</v>
      </c>
      <c r="AH104" s="262"/>
      <c r="AI104" s="139">
        <v>-2E-3</v>
      </c>
      <c r="AJ104" s="134"/>
      <c r="AK104" s="134"/>
      <c r="AL104" s="134"/>
      <c r="AM104" s="134"/>
      <c r="AN104" s="134"/>
      <c r="AO104" s="134"/>
    </row>
    <row r="105" spans="1:41" ht="36" customHeight="1">
      <c r="A105" s="261" t="s">
        <v>415</v>
      </c>
      <c r="B105" s="262" t="s">
        <v>449</v>
      </c>
      <c r="C105" s="262"/>
      <c r="D105" s="147">
        <f>IF($AI$99=$C$102,D102,IF($AI$99=$C$103,D103,IF($AI$99=$C$104,D104)))</f>
        <v>3.5905561769199981E-4</v>
      </c>
      <c r="E105" s="147">
        <f t="shared" ref="E105:O105" si="50">IF($AI$99=$C$102,E102,IF($AI$99=$C$103,E103,IF($AI$99=$C$104,E104)))</f>
        <v>1.6366976124628512E-3</v>
      </c>
      <c r="F105" s="147">
        <f t="shared" si="50"/>
        <v>8.3556725831939876E-3</v>
      </c>
      <c r="G105" s="147">
        <f t="shared" si="50"/>
        <v>3.4893270103992437E-2</v>
      </c>
      <c r="H105" s="147">
        <f t="shared" si="50"/>
        <v>8.8212625251303037E-2</v>
      </c>
      <c r="I105" s="147">
        <f t="shared" si="50"/>
        <v>0.18318631640779914</v>
      </c>
      <c r="J105" s="147">
        <f t="shared" si="50"/>
        <v>0.32293651004306612</v>
      </c>
      <c r="K105" s="147">
        <f t="shared" si="50"/>
        <v>0.45534151656463162</v>
      </c>
      <c r="L105" s="147">
        <f t="shared" si="50"/>
        <v>0.57069390032771961</v>
      </c>
      <c r="M105" s="147">
        <f t="shared" si="50"/>
        <v>0.66652661629788024</v>
      </c>
      <c r="N105" s="147">
        <f t="shared" si="50"/>
        <v>0.71158936544400975</v>
      </c>
      <c r="O105" s="147">
        <f t="shared" si="50"/>
        <v>0.75007169412061203</v>
      </c>
      <c r="P105" s="189"/>
      <c r="Q105" s="189"/>
      <c r="R105" s="134"/>
      <c r="AG105" s="262" t="s">
        <v>405</v>
      </c>
      <c r="AH105" s="262"/>
      <c r="AI105" s="139">
        <v>0.496</v>
      </c>
      <c r="AJ105" s="134"/>
      <c r="AK105" s="134"/>
      <c r="AL105" s="134"/>
      <c r="AM105" s="134"/>
      <c r="AN105" s="134"/>
      <c r="AO105" s="134"/>
    </row>
    <row r="106" spans="1:41" ht="36" customHeight="1">
      <c r="A106" s="261"/>
      <c r="B106" s="262" t="s">
        <v>417</v>
      </c>
      <c r="C106" s="262"/>
      <c r="D106" s="149">
        <f>AI97/AI96</f>
        <v>1134.8563006632278</v>
      </c>
      <c r="E106" s="149">
        <f>IF(D96=AH110,AJ110,IF(D96=AH109,AJ109,IF(D96=AH108,AJ108,D106)))</f>
        <v>1134.8563006632278</v>
      </c>
      <c r="F106" s="149">
        <f>IF(E96=AH110,AJ110,IF(E96=AH109,AJ109,IF(E96=AH108,AJ108,E106)))</f>
        <v>1134.8563006632278</v>
      </c>
      <c r="G106" s="149">
        <f>IF(F96=AH110,AJ110,IF(F96=AH109,AJ109,IF(F96=AH108,AJ108,F106)))</f>
        <v>1134.8563006632278</v>
      </c>
      <c r="H106" s="149">
        <f>IF(G96=AH110,AJ110,IF(G96=AH109,AJ109,IF(G96=AH108,AJ108,G106)))</f>
        <v>700</v>
      </c>
      <c r="I106" s="149">
        <f>IF(H96=AH110,AJ110,IF(H96=AH109,AJ109,IF(H96=AH108,AJ108,H106)))</f>
        <v>700</v>
      </c>
      <c r="J106" s="149">
        <f>IF(I96=AH110,AJ110,IF(I96=AH109,AJ109,IF(I96=AH108,AJ108,I106)))</f>
        <v>700</v>
      </c>
      <c r="K106" s="149">
        <f>IF(J96=AH110,AJ110,IF(J96=AH109,AJ109,IF(J96=AH108,AJ108,J106)))</f>
        <v>400</v>
      </c>
      <c r="L106" s="149">
        <f>IF(K96=AH110,AJ110,IF(K96=AH109,AJ109,IF(K96=AH108,AJ108,K106)))</f>
        <v>400</v>
      </c>
      <c r="M106" s="149">
        <f>IF(L96=AH110,AJ110,IF(L96=AH109,AJ109,IF(L96=AH108,AJ108,L106)))</f>
        <v>400</v>
      </c>
      <c r="N106" s="149">
        <f>IF(M96=AH110,AJ110,IF(M96=AH109,AJ109,IF(M96=AH108,AJ108,M106)))</f>
        <v>400</v>
      </c>
      <c r="O106" s="149">
        <f>IF(N96=AH110,AJ110,IF(N96=AH109,AJ109,IF(N96=AH108,AJ108,N106)))</f>
        <v>400</v>
      </c>
      <c r="P106" s="159"/>
      <c r="Q106" s="159"/>
      <c r="R106" s="134"/>
      <c r="AG106" s="159"/>
      <c r="AH106" s="159"/>
      <c r="AI106" s="159"/>
      <c r="AJ106" s="159"/>
      <c r="AK106" s="159"/>
      <c r="AL106" s="159"/>
      <c r="AM106" s="159"/>
      <c r="AN106" s="134"/>
      <c r="AO106" s="134"/>
    </row>
    <row r="107" spans="1:41" ht="36" customHeight="1">
      <c r="A107" s="261"/>
      <c r="B107" s="262" t="s">
        <v>472</v>
      </c>
      <c r="C107" s="262"/>
      <c r="D107" s="149">
        <f>D106*D105</f>
        <v>0.40747653002629314</v>
      </c>
      <c r="E107" s="149">
        <f t="shared" ref="E107:O107" si="51">E106*E105</f>
        <v>1.8574165977839285</v>
      </c>
      <c r="F107" s="149">
        <f t="shared" si="51"/>
        <v>9.4824876773166853</v>
      </c>
      <c r="G107" s="149">
        <f t="shared" si="51"/>
        <v>39.59884742825966</v>
      </c>
      <c r="H107" s="149">
        <f t="shared" si="51"/>
        <v>61.748837675912128</v>
      </c>
      <c r="I107" s="149">
        <f t="shared" si="51"/>
        <v>128.2304214854594</v>
      </c>
      <c r="J107" s="149">
        <f t="shared" si="51"/>
        <v>226.05555703014628</v>
      </c>
      <c r="K107" s="149">
        <f t="shared" si="51"/>
        <v>182.13660662585264</v>
      </c>
      <c r="L107" s="149">
        <f t="shared" si="51"/>
        <v>228.27756013108785</v>
      </c>
      <c r="M107" s="149">
        <f t="shared" si="51"/>
        <v>266.61064651915211</v>
      </c>
      <c r="N107" s="149">
        <f t="shared" si="51"/>
        <v>284.63574617760389</v>
      </c>
      <c r="O107" s="149">
        <f t="shared" si="51"/>
        <v>300.02867764824481</v>
      </c>
      <c r="P107" s="159"/>
      <c r="Q107" s="159"/>
      <c r="R107" s="134"/>
      <c r="AG107" s="143" t="s">
        <v>408</v>
      </c>
      <c r="AH107" s="135" t="s">
        <v>392</v>
      </c>
      <c r="AI107" s="135" t="s">
        <v>397</v>
      </c>
      <c r="AJ107" s="135" t="s">
        <v>409</v>
      </c>
      <c r="AK107" s="135" t="s">
        <v>410</v>
      </c>
      <c r="AL107" s="135" t="s">
        <v>232</v>
      </c>
      <c r="AM107" s="135" t="s">
        <v>411</v>
      </c>
      <c r="AN107" s="135" t="s">
        <v>258</v>
      </c>
      <c r="AO107" s="135" t="s">
        <v>259</v>
      </c>
    </row>
    <row r="108" spans="1:41" ht="36" customHeight="1">
      <c r="A108" s="261"/>
      <c r="B108" s="262" t="s">
        <v>451</v>
      </c>
      <c r="C108" s="262"/>
      <c r="D108" s="149">
        <f>D107*((AI98/AI97)*AI96)</f>
        <v>1.0771668530759997</v>
      </c>
      <c r="E108" s="149">
        <f>E107*((AI98/AI97)*AI96)</f>
        <v>4.9100928373885546</v>
      </c>
      <c r="F108" s="149">
        <f>F107*((AI98/AI97)*AI96)</f>
        <v>25.067017749581968</v>
      </c>
      <c r="G108" s="149">
        <f>G107*((AI98/AI97)*AI96)</f>
        <v>104.67981031197733</v>
      </c>
      <c r="H108" s="149">
        <f>H107*((AI98/AI97)*AI96)</f>
        <v>163.23345336275216</v>
      </c>
      <c r="I108" s="149">
        <f>I107*((AI98/AI97)*AI96)</f>
        <v>338.97795186188654</v>
      </c>
      <c r="J108" s="149">
        <f>J107*((AI98/AI97)*AI96)</f>
        <v>597.5793329024192</v>
      </c>
      <c r="K108" s="149">
        <f>K107*((AI98/AI97)*AI96)</f>
        <v>481.47930232067932</v>
      </c>
      <c r="L108" s="149">
        <f>L107*((AI98/AI97)*AI96)</f>
        <v>603.45321252834981</v>
      </c>
      <c r="M108" s="149">
        <f>M107*((AI98/AI97)*AI96)</f>
        <v>704.7869753113431</v>
      </c>
      <c r="N108" s="149">
        <f>N107*((AI98/AI97)*AI96)</f>
        <v>752.43644330456209</v>
      </c>
      <c r="O108" s="149">
        <f>O107*((AI98/AI97)*AI96)</f>
        <v>793.12775760130182</v>
      </c>
      <c r="P108" s="159"/>
      <c r="Q108" s="159"/>
      <c r="R108" s="134"/>
      <c r="S108" s="150"/>
      <c r="T108" s="148"/>
      <c r="U108" s="148"/>
      <c r="V108" s="148"/>
      <c r="W108" s="148"/>
      <c r="X108" s="134"/>
      <c r="Y108" s="134"/>
      <c r="Z108" s="134"/>
      <c r="AA108" s="134"/>
      <c r="AG108" s="135" t="s">
        <v>412</v>
      </c>
      <c r="AH108" s="145">
        <v>20</v>
      </c>
      <c r="AI108" s="145">
        <v>11</v>
      </c>
      <c r="AJ108" s="145">
        <v>700</v>
      </c>
      <c r="AK108" s="146">
        <f>(2000-AJ108)/2000</f>
        <v>0.65</v>
      </c>
      <c r="AL108" s="146">
        <v>0</v>
      </c>
      <c r="AM108" s="146">
        <v>0</v>
      </c>
      <c r="AN108" s="146">
        <v>0</v>
      </c>
      <c r="AO108" s="146">
        <v>0</v>
      </c>
    </row>
    <row r="109" spans="1:41" ht="36" customHeight="1">
      <c r="A109" s="261"/>
      <c r="B109" s="262" t="s">
        <v>452</v>
      </c>
      <c r="C109" s="262"/>
      <c r="D109" s="149">
        <f>D108*COEFFICIENTS!$B$22</f>
        <v>0.50626842094571978</v>
      </c>
      <c r="E109" s="149">
        <f>E108*COEFFICIENTS!$B$22</f>
        <v>2.3077436335726205</v>
      </c>
      <c r="F109" s="149">
        <f>F108*COEFFICIENTS!$B$22</f>
        <v>11.781498342303525</v>
      </c>
      <c r="G109" s="149">
        <f>G108*COEFFICIENTS!$B$22</f>
        <v>49.199510846629344</v>
      </c>
      <c r="H109" s="149">
        <f>H108*COEFFICIENTS!$B$22</f>
        <v>76.719723080493509</v>
      </c>
      <c r="I109" s="149">
        <f>I108*COEFFICIENTS!$B$22</f>
        <v>159.31963737508667</v>
      </c>
      <c r="J109" s="149">
        <f>J108*COEFFICIENTS!$B$22</f>
        <v>280.86228646413701</v>
      </c>
      <c r="K109" s="149">
        <f>K108*COEFFICIENTS!$B$22</f>
        <v>226.29527209071927</v>
      </c>
      <c r="L109" s="149">
        <f>L108*COEFFICIENTS!$B$22</f>
        <v>283.62300988832442</v>
      </c>
      <c r="M109" s="149">
        <f>M108*COEFFICIENTS!$B$22</f>
        <v>331.24987839633121</v>
      </c>
      <c r="N109" s="149">
        <f>N108*COEFFICIENTS!$B$22</f>
        <v>353.64512835314417</v>
      </c>
      <c r="O109" s="149">
        <f>O108*COEFFICIENTS!$B$22</f>
        <v>372.77004607261182</v>
      </c>
      <c r="P109" s="159"/>
      <c r="Q109" s="159"/>
      <c r="R109" s="134"/>
      <c r="S109" s="150"/>
      <c r="T109" s="148"/>
      <c r="U109" s="148"/>
      <c r="V109" s="148"/>
      <c r="W109" s="148"/>
      <c r="X109" s="134"/>
      <c r="Y109" s="134"/>
      <c r="Z109" s="134"/>
      <c r="AA109" s="134"/>
      <c r="AG109" s="135" t="s">
        <v>413</v>
      </c>
      <c r="AH109" s="145">
        <v>35</v>
      </c>
      <c r="AI109" s="145">
        <v>13</v>
      </c>
      <c r="AJ109" s="145">
        <v>400</v>
      </c>
      <c r="AK109" s="146">
        <f>(AJ108-AJ109)/AJ108</f>
        <v>0.42857142857142855</v>
      </c>
      <c r="AL109" s="146">
        <v>0.9</v>
      </c>
      <c r="AM109" s="146">
        <v>0</v>
      </c>
      <c r="AN109" s="146">
        <v>0.1</v>
      </c>
      <c r="AO109" s="146">
        <v>0</v>
      </c>
    </row>
    <row r="110" spans="1:41" ht="36" customHeight="1">
      <c r="A110" s="261"/>
      <c r="B110" s="262" t="s">
        <v>450</v>
      </c>
      <c r="C110" s="262"/>
      <c r="D110" s="149">
        <f t="shared" ref="D110:O110" si="52">IF($AH$108=D96,D109*$AK$108,IF($AH$109=D96,D109*$AK$109,IF($AH$110=D96,D109*$AK$110,0)))</f>
        <v>0</v>
      </c>
      <c r="E110" s="149">
        <f t="shared" si="52"/>
        <v>0</v>
      </c>
      <c r="F110" s="149">
        <f t="shared" si="52"/>
        <v>0</v>
      </c>
      <c r="G110" s="149">
        <f t="shared" si="52"/>
        <v>31.979682050309076</v>
      </c>
      <c r="H110" s="149">
        <f t="shared" si="52"/>
        <v>0</v>
      </c>
      <c r="I110" s="149">
        <f t="shared" si="52"/>
        <v>0</v>
      </c>
      <c r="J110" s="149">
        <f t="shared" si="52"/>
        <v>120.369551341773</v>
      </c>
      <c r="K110" s="149">
        <f t="shared" si="52"/>
        <v>0</v>
      </c>
      <c r="L110" s="149">
        <f t="shared" si="52"/>
        <v>0</v>
      </c>
      <c r="M110" s="149">
        <f t="shared" si="52"/>
        <v>0</v>
      </c>
      <c r="N110" s="149">
        <f t="shared" si="52"/>
        <v>0</v>
      </c>
      <c r="O110" s="149">
        <f t="shared" si="52"/>
        <v>372.77004607261182</v>
      </c>
      <c r="P110" s="159"/>
      <c r="Q110" s="159"/>
      <c r="R110" s="134"/>
      <c r="S110" s="150"/>
      <c r="T110" s="148"/>
      <c r="U110" s="148"/>
      <c r="V110" s="148"/>
      <c r="W110" s="148"/>
      <c r="X110" s="134"/>
      <c r="Y110" s="134"/>
      <c r="Z110" s="134"/>
      <c r="AA110" s="134"/>
      <c r="AG110" s="135" t="s">
        <v>414</v>
      </c>
      <c r="AH110" s="145">
        <v>60</v>
      </c>
      <c r="AI110" s="145">
        <v>20</v>
      </c>
      <c r="AJ110" s="145">
        <v>0</v>
      </c>
      <c r="AK110" s="146">
        <f>1</f>
        <v>1</v>
      </c>
      <c r="AL110" s="146">
        <v>0.1</v>
      </c>
      <c r="AM110" s="146">
        <v>0</v>
      </c>
      <c r="AN110" s="146">
        <v>0.2</v>
      </c>
      <c r="AO110" s="146">
        <v>0.7</v>
      </c>
    </row>
    <row r="111" spans="1:41" ht="36" customHeight="1">
      <c r="A111" s="261"/>
      <c r="B111" s="262" t="s">
        <v>453</v>
      </c>
      <c r="C111" s="262"/>
      <c r="D111" s="149">
        <f>D110/COEFFICIENTS!$B$22</f>
        <v>0</v>
      </c>
      <c r="E111" s="149">
        <f>E110/COEFFICIENTS!$B$22</f>
        <v>0</v>
      </c>
      <c r="F111" s="149">
        <f>F110/COEFFICIENTS!$B$22</f>
        <v>0</v>
      </c>
      <c r="G111" s="149">
        <f>G110/COEFFICIENTS!$B$22</f>
        <v>68.041876702785274</v>
      </c>
      <c r="H111" s="149">
        <f>H110/COEFFICIENTS!$B$22</f>
        <v>0</v>
      </c>
      <c r="I111" s="149">
        <f>I110/COEFFICIENTS!$B$22</f>
        <v>0</v>
      </c>
      <c r="J111" s="149">
        <f>J110/COEFFICIENTS!$B$22</f>
        <v>256.1054283867511</v>
      </c>
      <c r="K111" s="149">
        <f>K110/COEFFICIENTS!$B$22</f>
        <v>0</v>
      </c>
      <c r="L111" s="149">
        <f>L110/COEFFICIENTS!$B$22</f>
        <v>0</v>
      </c>
      <c r="M111" s="149">
        <f>M110/COEFFICIENTS!$B$22</f>
        <v>0</v>
      </c>
      <c r="N111" s="149">
        <f>N110/COEFFICIENTS!$B$22</f>
        <v>0</v>
      </c>
      <c r="O111" s="149">
        <f>O110/COEFFICIENTS!$B$22</f>
        <v>793.12775760130182</v>
      </c>
      <c r="P111" s="159"/>
      <c r="Q111" s="159"/>
      <c r="R111" s="134"/>
      <c r="S111" s="150"/>
      <c r="T111" s="148"/>
      <c r="U111" s="148"/>
      <c r="V111" s="148"/>
      <c r="W111" s="148"/>
      <c r="X111" s="134"/>
      <c r="Y111" s="134"/>
      <c r="Z111" s="134"/>
      <c r="AA111" s="134"/>
    </row>
    <row r="112" spans="1:41" ht="36" customHeight="1">
      <c r="A112" s="261"/>
      <c r="B112" s="262" t="s">
        <v>458</v>
      </c>
      <c r="C112" s="262"/>
      <c r="D112" s="151">
        <f>IF(D96=AH110,AL110,IF(D96=AH109,AL109,IF(D96=AH108,AL108,0)))</f>
        <v>0</v>
      </c>
      <c r="E112" s="151">
        <f>IF(E96=AH110,AL110,IF(E96=AH109,AL109,IF(E96=AH108,AL108,0)))</f>
        <v>0</v>
      </c>
      <c r="F112" s="151">
        <f>IF(F96=AH110,AL110,IF(F96=AH109,AL109,IF(F96=AH108,AL108,0)))</f>
        <v>0</v>
      </c>
      <c r="G112" s="151">
        <f>IF(G96=AH110,AL110,IF(G96=AH109,AL109,IF(G96=AH108,AL108,0)))</f>
        <v>0</v>
      </c>
      <c r="H112" s="151">
        <f>IF(H96=AH110,AL110,IF(H96=AH109,AL109,IF(H96=AH108,AL108,0)))</f>
        <v>0</v>
      </c>
      <c r="I112" s="151">
        <f>IF(I96=AH110,AL110,IF(I96=AH109,AL109,IF(I96=AH108,AL108,0)))</f>
        <v>0</v>
      </c>
      <c r="J112" s="151">
        <f>IF(J96=AH110,AL110,IF(J96=AH109,AL109,IF(J96=AH108,AL108,0)))</f>
        <v>0.9</v>
      </c>
      <c r="K112" s="151">
        <f>IF(K96=AH110,AL110,IF(K96=AH109,AL109,IF(K96=AH108,AL108,0)))</f>
        <v>0</v>
      </c>
      <c r="L112" s="151">
        <f>IF(L96=AH110,AL110,IF(L96=AH109,AL109,IF(L96=AH108,AL108,0)))</f>
        <v>0</v>
      </c>
      <c r="M112" s="151">
        <f>IF(M96=AH110,AL110,IF(M96=AH109,AL109,IF(M96=AH108,AL108,0)))</f>
        <v>0</v>
      </c>
      <c r="N112" s="151">
        <f>IF(N96=AH110,AL110,IF(N96=AH109,AL109,IF(N96=AH108,AL108,0)))</f>
        <v>0</v>
      </c>
      <c r="O112" s="151">
        <f>IF(O96=AH110,AL110,IF(O96=AH109,AL109,IF(O96=AH108,AL108,0)))</f>
        <v>0.1</v>
      </c>
      <c r="P112" s="190"/>
      <c r="Q112" s="190"/>
      <c r="R112" s="134"/>
      <c r="S112" s="150"/>
      <c r="T112" s="148"/>
      <c r="U112" s="148"/>
      <c r="V112" s="148"/>
      <c r="W112" s="148"/>
      <c r="X112" s="134"/>
      <c r="Y112" s="134"/>
      <c r="Z112" s="134"/>
      <c r="AA112" s="134"/>
    </row>
    <row r="113" spans="1:42" ht="36" customHeight="1">
      <c r="A113" s="261"/>
      <c r="B113" s="262" t="s">
        <v>454</v>
      </c>
      <c r="C113" s="262"/>
      <c r="D113" s="152">
        <f>D112*D110</f>
        <v>0</v>
      </c>
      <c r="E113" s="152">
        <f t="shared" ref="E113:O113" si="53">E112*E110</f>
        <v>0</v>
      </c>
      <c r="F113" s="152">
        <f t="shared" si="53"/>
        <v>0</v>
      </c>
      <c r="G113" s="152">
        <f t="shared" si="53"/>
        <v>0</v>
      </c>
      <c r="H113" s="152">
        <f t="shared" si="53"/>
        <v>0</v>
      </c>
      <c r="I113" s="152">
        <f t="shared" si="53"/>
        <v>0</v>
      </c>
      <c r="J113" s="152">
        <f t="shared" si="53"/>
        <v>108.3325962075957</v>
      </c>
      <c r="K113" s="152">
        <f t="shared" si="53"/>
        <v>0</v>
      </c>
      <c r="L113" s="152">
        <f t="shared" si="53"/>
        <v>0</v>
      </c>
      <c r="M113" s="152">
        <f t="shared" si="53"/>
        <v>0</v>
      </c>
      <c r="N113" s="152">
        <f t="shared" si="53"/>
        <v>0</v>
      </c>
      <c r="O113" s="152">
        <f t="shared" si="53"/>
        <v>37.277004607261183</v>
      </c>
      <c r="P113" s="191"/>
      <c r="Q113" s="191"/>
      <c r="R113" s="134"/>
      <c r="S113" s="150"/>
      <c r="T113" s="148"/>
      <c r="U113" s="148"/>
      <c r="V113" s="148"/>
      <c r="W113" s="148"/>
      <c r="X113" s="134"/>
      <c r="Y113" s="134"/>
      <c r="Z113" s="134"/>
      <c r="AA113" s="134"/>
    </row>
    <row r="114" spans="1:42" ht="36" customHeight="1">
      <c r="A114" s="261"/>
      <c r="B114" s="262" t="s">
        <v>459</v>
      </c>
      <c r="C114" s="262"/>
      <c r="D114" s="151">
        <f>IF(D96=AH110,AM110,IF(D96=AH109,AM109,IF(D96=AH108,AM108,0)))</f>
        <v>0</v>
      </c>
      <c r="E114" s="151">
        <f>IF(E96=AH110,AM110,IF(E96=AH109,AM109,IF(E96=AH108,AM108,0)))</f>
        <v>0</v>
      </c>
      <c r="F114" s="151">
        <f>IF(F96=AH110,AM110,IF(F96=AH109,AM109,IF(F96=AH108,AM108,0)))</f>
        <v>0</v>
      </c>
      <c r="G114" s="151">
        <f>IF(G96=AH110,AM110,IF(G96=AH109,AM109,IF(G96=AH108,AM108,0)))</f>
        <v>0</v>
      </c>
      <c r="H114" s="151">
        <f>IF(H96=AH110,AM110,IF(H96=AH109,AM109,IF(H96=AH108,AM108,0)))</f>
        <v>0</v>
      </c>
      <c r="I114" s="151">
        <f>IF(I96=AH110,AM110,IF(I96=AH109,AM109,IF(I96=AH108,AM108,0)))</f>
        <v>0</v>
      </c>
      <c r="J114" s="151">
        <f>IF(J96=AH110,AM110,IF(J96=AH109,AM109,IF(J96=AH108,AM108,0)))</f>
        <v>0</v>
      </c>
      <c r="K114" s="151">
        <f>IF(K96=AH110,AM110,IF(K96=AH109,AM109,IF(K96=AH108,AM108,0)))</f>
        <v>0</v>
      </c>
      <c r="L114" s="151">
        <f>IF(L96=AH110,AM110,IF(L96=AH109,AM109,IF(L96=AH108,AM108,0)))</f>
        <v>0</v>
      </c>
      <c r="M114" s="151">
        <f>IF(M96=AH110,AM110,IF(M96=AH109,AM109,IF(M96=AH108,AM108,0)))</f>
        <v>0</v>
      </c>
      <c r="N114" s="151">
        <f>IF(N96=AH110,AM110,IF(N96=AH109,AM109,IF(N96=AH108,AM108,0)))</f>
        <v>0</v>
      </c>
      <c r="O114" s="151">
        <f>IF(O96=AH110,AM110,IF(O96=AH109,AM109,IF(O96=AH108,AM108,0)))</f>
        <v>0</v>
      </c>
      <c r="P114" s="190"/>
      <c r="Q114" s="190"/>
      <c r="R114" s="134"/>
      <c r="S114" s="150"/>
      <c r="T114" s="148"/>
      <c r="U114" s="148"/>
      <c r="V114" s="148"/>
      <c r="W114" s="148"/>
      <c r="X114" s="134"/>
      <c r="Y114" s="134"/>
      <c r="Z114" s="134"/>
      <c r="AA114" s="134"/>
    </row>
    <row r="115" spans="1:42" ht="36" customHeight="1">
      <c r="A115" s="261"/>
      <c r="B115" s="262" t="s">
        <v>455</v>
      </c>
      <c r="C115" s="262"/>
      <c r="D115" s="152">
        <f>D114*D110</f>
        <v>0</v>
      </c>
      <c r="E115" s="152">
        <f t="shared" ref="E115:O115" si="54">E114*E110</f>
        <v>0</v>
      </c>
      <c r="F115" s="152">
        <f t="shared" si="54"/>
        <v>0</v>
      </c>
      <c r="G115" s="152">
        <f t="shared" si="54"/>
        <v>0</v>
      </c>
      <c r="H115" s="152">
        <f t="shared" si="54"/>
        <v>0</v>
      </c>
      <c r="I115" s="152">
        <f t="shared" si="54"/>
        <v>0</v>
      </c>
      <c r="J115" s="152">
        <f t="shared" si="54"/>
        <v>0</v>
      </c>
      <c r="K115" s="152">
        <f t="shared" si="54"/>
        <v>0</v>
      </c>
      <c r="L115" s="152">
        <f t="shared" si="54"/>
        <v>0</v>
      </c>
      <c r="M115" s="152">
        <f t="shared" si="54"/>
        <v>0</v>
      </c>
      <c r="N115" s="152">
        <f t="shared" si="54"/>
        <v>0</v>
      </c>
      <c r="O115" s="152">
        <f t="shared" si="54"/>
        <v>0</v>
      </c>
      <c r="P115" s="191"/>
      <c r="Q115" s="191"/>
      <c r="R115" s="134"/>
      <c r="S115" s="150"/>
      <c r="T115" s="148"/>
      <c r="U115" s="148"/>
      <c r="V115" s="148"/>
      <c r="W115" s="148"/>
      <c r="X115" s="134"/>
      <c r="Y115" s="134"/>
      <c r="Z115" s="134"/>
      <c r="AA115" s="134"/>
    </row>
    <row r="116" spans="1:42" ht="36" customHeight="1">
      <c r="A116" s="261"/>
      <c r="B116" s="262" t="s">
        <v>460</v>
      </c>
      <c r="C116" s="262"/>
      <c r="D116" s="151">
        <f>IF(D96=AH110,AN110,IF(D96=AH109,AN109,IF(D96=AH108,AN108,0)))</f>
        <v>0</v>
      </c>
      <c r="E116" s="151">
        <f>IF(E96=AH110,AN110,IF(E96=AH109,AN109,IF(E96=AH108,AN108,0)))</f>
        <v>0</v>
      </c>
      <c r="F116" s="151">
        <f>IF(F96=AH110,AN110,IF(F96=AH109,AN109,IF(F96=AH108,AN108,0)))</f>
        <v>0</v>
      </c>
      <c r="G116" s="151">
        <f>IF(G96=AH110,AN110,IF(G96=AH109,AN109,IF(G96=AH108,AN108,0)))</f>
        <v>0</v>
      </c>
      <c r="H116" s="151">
        <f>IF(H96=AH110,AN110,IF(H96=AH109,AN109,IF(H96=AH108,AN108,0)))</f>
        <v>0</v>
      </c>
      <c r="I116" s="151">
        <f>IF(I96=AH110,AN110,IF(I96=AH109,AN109,IF(I96=AH108,AN108,0)))</f>
        <v>0</v>
      </c>
      <c r="J116" s="151">
        <f>IF(J96=AH110,AN110,IF(J96=AH109,AN109,IF(J96=AH108,AN108,0)))</f>
        <v>0.1</v>
      </c>
      <c r="K116" s="151">
        <f>IF(K96=AH110,AN110,IF(K96=AH109,AN109,IF(K96=AH108,AN108,0)))</f>
        <v>0</v>
      </c>
      <c r="L116" s="151">
        <f>IF(L96=AH110,AN110,IF(L96=AH109,AN109,IF(L96=AH108,AN108,0)))</f>
        <v>0</v>
      </c>
      <c r="M116" s="151">
        <f>IF(M96=AH110,AN110,IF(M96=AH109,AN109,IF(M96=AH108,AN108,0)))</f>
        <v>0</v>
      </c>
      <c r="N116" s="151">
        <f>IF(N96=AH110,AN110,IF(N96=AH109,AN109,IF(N96=AH108,AN108,0)))</f>
        <v>0</v>
      </c>
      <c r="O116" s="151">
        <f>IF(O96=AH110,AN110,IF(O96=AH109,AN109,IF(O96=AH108,AN108,0)))</f>
        <v>0.2</v>
      </c>
      <c r="P116" s="190"/>
      <c r="Q116" s="190"/>
      <c r="R116" s="134"/>
      <c r="S116" s="150"/>
      <c r="T116" s="148"/>
      <c r="U116" s="148"/>
      <c r="V116" s="148"/>
      <c r="W116" s="148"/>
      <c r="X116" s="134"/>
      <c r="Y116" s="134"/>
      <c r="Z116" s="134"/>
      <c r="AA116" s="134"/>
    </row>
    <row r="117" spans="1:42" ht="36" customHeight="1">
      <c r="A117" s="261"/>
      <c r="B117" s="262" t="s">
        <v>456</v>
      </c>
      <c r="C117" s="262"/>
      <c r="D117" s="152">
        <f>D116*D110</f>
        <v>0</v>
      </c>
      <c r="E117" s="152">
        <f t="shared" ref="E117:O117" si="55">E116*E110</f>
        <v>0</v>
      </c>
      <c r="F117" s="152">
        <f t="shared" si="55"/>
        <v>0</v>
      </c>
      <c r="G117" s="152">
        <f t="shared" si="55"/>
        <v>0</v>
      </c>
      <c r="H117" s="152">
        <f t="shared" si="55"/>
        <v>0</v>
      </c>
      <c r="I117" s="152">
        <f t="shared" si="55"/>
        <v>0</v>
      </c>
      <c r="J117" s="152">
        <f t="shared" si="55"/>
        <v>12.036955134177301</v>
      </c>
      <c r="K117" s="152">
        <f t="shared" si="55"/>
        <v>0</v>
      </c>
      <c r="L117" s="152">
        <f t="shared" si="55"/>
        <v>0</v>
      </c>
      <c r="M117" s="152">
        <f t="shared" si="55"/>
        <v>0</v>
      </c>
      <c r="N117" s="152">
        <f t="shared" si="55"/>
        <v>0</v>
      </c>
      <c r="O117" s="152">
        <f t="shared" si="55"/>
        <v>74.554009214522367</v>
      </c>
      <c r="P117" s="191"/>
      <c r="Q117" s="191"/>
      <c r="R117" s="134"/>
      <c r="S117" s="150"/>
      <c r="T117" s="148"/>
      <c r="U117" s="148"/>
      <c r="V117" s="148"/>
      <c r="W117" s="148"/>
      <c r="X117" s="134"/>
      <c r="Y117" s="134"/>
      <c r="Z117" s="134"/>
      <c r="AA117" s="134"/>
    </row>
    <row r="118" spans="1:42" ht="36" customHeight="1">
      <c r="A118" s="261"/>
      <c r="B118" s="262" t="s">
        <v>461</v>
      </c>
      <c r="C118" s="262"/>
      <c r="D118" s="151">
        <f>IF(D96=AH110,AO110,IF(D96=AH109,AO109,IF(D96=AH108,AO108,0)))</f>
        <v>0</v>
      </c>
      <c r="E118" s="151">
        <f>IF(E96=AH110,AO110,IF(E96=AH109,AO109,IF(E96=AH108,AO108,0)))</f>
        <v>0</v>
      </c>
      <c r="F118" s="151">
        <f>IF(F96=AH110,AO110,IF(F96=AH109,AO109,IF(F96=AH108,AO108,0)))</f>
        <v>0</v>
      </c>
      <c r="G118" s="151">
        <f>IF(G96=AH110,AO110,IF(G96=AH109,AO109,IF(G96=AH108,AO108,0)))</f>
        <v>0</v>
      </c>
      <c r="H118" s="151">
        <f>IF(H96=AH110,AO110,IF(H96=AH109,AO109,IF(H96=AH108,AO108,0)))</f>
        <v>0</v>
      </c>
      <c r="I118" s="151">
        <f>IF(I96=AH110,AO110,IF(I96=AH109,AO109,IF(I96=AH108,AO108,0)))</f>
        <v>0</v>
      </c>
      <c r="J118" s="151">
        <f>IF(J96=AH110,AO110,IF(J96=AH109,AO109,IF(J96=AH108,AO108,0)))</f>
        <v>0</v>
      </c>
      <c r="K118" s="151">
        <f>IF(K96=AH110,AO110,IF(K96=AH109,AO109,IF(K96=AH108,AO108,0)))</f>
        <v>0</v>
      </c>
      <c r="L118" s="151">
        <f>IF(L96=AH110,AO110,IF(L96=AH109,AO109,IF(L96=AH108,AO108,0)))</f>
        <v>0</v>
      </c>
      <c r="M118" s="151">
        <f>IF(M96=AH110,AO110,IF(M96=AH109,AO109,IF(M96=AH108,AO108,0)))</f>
        <v>0</v>
      </c>
      <c r="N118" s="151">
        <f>IF(N96=AH110,AO110,IF(N96=AH109,AO109,IF(N96=AH108,AO108,0)))</f>
        <v>0</v>
      </c>
      <c r="O118" s="151">
        <f>IF(O96=AH110,AO110,IF(O96=AH109,AO109,IF(O96=AH108,AO108,0)))</f>
        <v>0.7</v>
      </c>
      <c r="P118" s="190"/>
      <c r="Q118" s="190"/>
      <c r="R118" s="134"/>
      <c r="S118" s="150"/>
      <c r="T118" s="148"/>
      <c r="U118" s="148"/>
      <c r="V118" s="148"/>
      <c r="W118" s="148"/>
      <c r="X118" s="134"/>
      <c r="Y118" s="134"/>
      <c r="Z118" s="134"/>
      <c r="AA118" s="134"/>
    </row>
    <row r="119" spans="1:42" ht="36" customHeight="1">
      <c r="A119" s="261"/>
      <c r="B119" s="262" t="s">
        <v>457</v>
      </c>
      <c r="C119" s="262"/>
      <c r="D119" s="152">
        <f>D118*D110</f>
        <v>0</v>
      </c>
      <c r="E119" s="152">
        <f t="shared" ref="E119:O119" si="56">E118*E110</f>
        <v>0</v>
      </c>
      <c r="F119" s="152">
        <f t="shared" si="56"/>
        <v>0</v>
      </c>
      <c r="G119" s="152">
        <f t="shared" si="56"/>
        <v>0</v>
      </c>
      <c r="H119" s="152">
        <f t="shared" si="56"/>
        <v>0</v>
      </c>
      <c r="I119" s="152">
        <f t="shared" si="56"/>
        <v>0</v>
      </c>
      <c r="J119" s="152">
        <f t="shared" si="56"/>
        <v>0</v>
      </c>
      <c r="K119" s="152">
        <f t="shared" si="56"/>
        <v>0</v>
      </c>
      <c r="L119" s="152">
        <f t="shared" si="56"/>
        <v>0</v>
      </c>
      <c r="M119" s="152">
        <f t="shared" si="56"/>
        <v>0</v>
      </c>
      <c r="N119" s="152">
        <f t="shared" si="56"/>
        <v>0</v>
      </c>
      <c r="O119" s="152">
        <f t="shared" si="56"/>
        <v>260.93903225082823</v>
      </c>
      <c r="P119" s="191"/>
      <c r="Q119" s="191"/>
      <c r="R119" s="134"/>
      <c r="S119" s="150"/>
      <c r="T119" s="148"/>
      <c r="U119" s="148"/>
      <c r="V119" s="148"/>
      <c r="W119" s="148"/>
      <c r="X119" s="134"/>
      <c r="Y119" s="134"/>
      <c r="Z119" s="134"/>
      <c r="AA119" s="134"/>
    </row>
    <row r="120" spans="1:42" ht="36" customHeight="1">
      <c r="A120" s="136"/>
      <c r="B120" s="136"/>
      <c r="C120" s="136"/>
      <c r="D120" s="136"/>
      <c r="E120" s="136"/>
      <c r="F120" s="136"/>
      <c r="G120" s="136"/>
      <c r="H120" s="136"/>
      <c r="I120" s="136"/>
      <c r="J120" s="136"/>
      <c r="K120" s="136"/>
      <c r="L120" s="136"/>
      <c r="M120" s="136"/>
      <c r="N120" s="136"/>
      <c r="O120" s="136"/>
      <c r="P120" s="136"/>
      <c r="Q120" s="136"/>
      <c r="R120" s="136"/>
      <c r="S120" s="150"/>
      <c r="T120" s="148"/>
      <c r="U120" s="148"/>
      <c r="V120" s="148"/>
      <c r="W120" s="148"/>
      <c r="X120" s="134"/>
      <c r="Y120" s="134"/>
      <c r="Z120" s="134"/>
      <c r="AA120" s="134"/>
    </row>
    <row r="121" spans="1:42" ht="36" customHeight="1">
      <c r="A121" s="136"/>
      <c r="B121" s="136"/>
      <c r="C121" s="136"/>
      <c r="D121" s="136"/>
      <c r="E121" s="136"/>
      <c r="F121" s="136"/>
      <c r="G121" s="136" t="s">
        <v>447</v>
      </c>
      <c r="H121" s="136"/>
      <c r="I121" s="136"/>
      <c r="J121" s="136"/>
      <c r="K121" s="136"/>
      <c r="L121" s="136"/>
      <c r="M121" s="136"/>
      <c r="N121" s="136"/>
      <c r="O121" s="136"/>
      <c r="P121" s="136"/>
      <c r="Q121" s="136"/>
      <c r="R121" s="136"/>
      <c r="S121" s="150"/>
      <c r="T121" s="148"/>
      <c r="U121" s="148"/>
      <c r="V121" s="148"/>
      <c r="W121" s="148"/>
      <c r="X121" s="134"/>
      <c r="Y121" s="134"/>
      <c r="Z121" s="134"/>
      <c r="AA121" s="134"/>
    </row>
    <row r="122" spans="1:42" ht="36" customHeight="1">
      <c r="A122" s="136"/>
      <c r="B122" s="136"/>
      <c r="C122" s="136"/>
      <c r="D122" s="136"/>
      <c r="E122" s="136"/>
      <c r="F122" s="136"/>
      <c r="G122" s="136"/>
      <c r="H122" s="136"/>
      <c r="I122" s="136"/>
      <c r="J122" s="136"/>
      <c r="K122" s="136"/>
      <c r="L122" s="136"/>
      <c r="M122" s="136"/>
      <c r="N122" s="136"/>
      <c r="O122" s="136"/>
      <c r="P122" s="136"/>
      <c r="Q122" s="136"/>
      <c r="R122" s="136"/>
      <c r="S122" s="150"/>
      <c r="T122" s="148"/>
      <c r="U122" s="148"/>
      <c r="V122" s="148"/>
      <c r="W122" s="148"/>
      <c r="X122" s="134"/>
      <c r="Y122" s="134"/>
      <c r="Z122" s="134"/>
      <c r="AA122" s="134"/>
    </row>
    <row r="123" spans="1:42" ht="36" customHeight="1">
      <c r="A123" s="264" t="s">
        <v>439</v>
      </c>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175"/>
      <c r="Y123" s="175"/>
      <c r="Z123" s="175"/>
      <c r="AA123" s="175"/>
      <c r="AB123" s="175"/>
      <c r="AC123" s="175"/>
      <c r="AD123" s="175"/>
      <c r="AE123" s="175"/>
      <c r="AF123" s="175"/>
      <c r="AG123" s="175"/>
      <c r="AH123" s="175"/>
      <c r="AI123" s="175"/>
      <c r="AJ123" s="175"/>
      <c r="AK123" s="175"/>
      <c r="AL123" s="175"/>
      <c r="AM123" s="175"/>
      <c r="AN123" s="175"/>
      <c r="AO123" s="175"/>
      <c r="AP123" s="175"/>
    </row>
    <row r="124" spans="1:42" ht="36" customHeight="1">
      <c r="A124" s="134"/>
      <c r="B124" s="134"/>
      <c r="C124" s="134"/>
      <c r="D124" s="157"/>
      <c r="E124" s="134"/>
      <c r="F124" s="134"/>
      <c r="G124" s="134"/>
      <c r="H124" s="134"/>
      <c r="I124" s="134"/>
      <c r="J124" s="134"/>
      <c r="K124" s="134"/>
      <c r="L124" s="134"/>
      <c r="M124" s="134"/>
      <c r="N124" s="134"/>
      <c r="O124" s="134"/>
      <c r="P124" s="134"/>
      <c r="Q124" s="134"/>
      <c r="R124" s="134"/>
      <c r="S124" s="134"/>
      <c r="T124" s="134"/>
      <c r="U124" s="148"/>
      <c r="V124" s="148"/>
      <c r="W124" s="148"/>
      <c r="X124" s="134"/>
      <c r="Y124" s="134"/>
      <c r="Z124" s="134"/>
      <c r="AA124" s="134"/>
    </row>
    <row r="125" spans="1:42" ht="36" customHeight="1">
      <c r="A125" s="134"/>
      <c r="B125" s="260" t="s">
        <v>392</v>
      </c>
      <c r="C125" s="260"/>
      <c r="D125" s="137">
        <v>5</v>
      </c>
      <c r="E125" s="137">
        <v>10</v>
      </c>
      <c r="F125" s="137">
        <v>15</v>
      </c>
      <c r="G125" s="137">
        <v>20</v>
      </c>
      <c r="H125" s="137">
        <v>25</v>
      </c>
      <c r="I125" s="137">
        <v>30</v>
      </c>
      <c r="J125" s="137">
        <v>35</v>
      </c>
      <c r="K125" s="137">
        <v>40</v>
      </c>
      <c r="L125" s="137">
        <v>45</v>
      </c>
      <c r="M125" s="137">
        <v>50</v>
      </c>
      <c r="N125" s="137">
        <v>55</v>
      </c>
      <c r="O125" s="137">
        <v>60</v>
      </c>
      <c r="P125" s="137">
        <v>65</v>
      </c>
      <c r="Q125" s="137">
        <v>70</v>
      </c>
      <c r="R125" s="137">
        <v>75</v>
      </c>
      <c r="S125" s="179">
        <v>80</v>
      </c>
      <c r="T125" s="134"/>
      <c r="AG125" s="263" t="s">
        <v>394</v>
      </c>
      <c r="AH125" s="263"/>
      <c r="AI125" s="135">
        <f>BOISEMENT!C19</f>
        <v>13.57</v>
      </c>
      <c r="AJ125" s="136"/>
      <c r="AK125" s="136"/>
      <c r="AL125" s="134"/>
      <c r="AM125" s="134"/>
      <c r="AN125" s="134"/>
      <c r="AO125" s="134"/>
    </row>
    <row r="126" spans="1:42" ht="36" customHeight="1">
      <c r="A126" s="260" t="s">
        <v>397</v>
      </c>
      <c r="B126" s="137" t="s">
        <v>398</v>
      </c>
      <c r="C126" s="137">
        <v>1</v>
      </c>
      <c r="D126" s="138">
        <v>7</v>
      </c>
      <c r="E126" s="138">
        <v>11</v>
      </c>
      <c r="F126" s="138">
        <v>15</v>
      </c>
      <c r="G126" s="138">
        <v>19</v>
      </c>
      <c r="H126" s="138">
        <v>22</v>
      </c>
      <c r="I126" s="138">
        <v>24</v>
      </c>
      <c r="J126" s="138">
        <v>25.5</v>
      </c>
      <c r="K126" s="138">
        <v>27</v>
      </c>
      <c r="L126" s="138">
        <v>28</v>
      </c>
      <c r="M126" s="138">
        <v>29</v>
      </c>
      <c r="N126" s="138">
        <v>30</v>
      </c>
      <c r="O126" s="138">
        <v>31</v>
      </c>
      <c r="P126" s="138">
        <v>32</v>
      </c>
      <c r="Q126" s="138">
        <v>33</v>
      </c>
      <c r="R126" s="138">
        <v>33.5</v>
      </c>
      <c r="S126" s="184">
        <v>34</v>
      </c>
      <c r="T126" s="134"/>
      <c r="AG126" s="263" t="s">
        <v>395</v>
      </c>
      <c r="AH126" s="263"/>
      <c r="AI126" s="135">
        <f>BOISEMENT!C21</f>
        <v>15400</v>
      </c>
      <c r="AJ126" s="136"/>
      <c r="AK126" s="136"/>
      <c r="AL126" s="134"/>
      <c r="AM126" s="134"/>
      <c r="AN126" s="134"/>
      <c r="AO126" s="134"/>
    </row>
    <row r="127" spans="1:42" ht="36" customHeight="1">
      <c r="A127" s="260"/>
      <c r="B127" s="137" t="s">
        <v>398</v>
      </c>
      <c r="C127" s="137">
        <v>2</v>
      </c>
      <c r="D127" s="138">
        <v>5.5</v>
      </c>
      <c r="E127" s="138">
        <v>9</v>
      </c>
      <c r="F127" s="138">
        <v>13</v>
      </c>
      <c r="G127" s="138">
        <v>16.5</v>
      </c>
      <c r="H127" s="138">
        <v>19</v>
      </c>
      <c r="I127" s="138">
        <v>21</v>
      </c>
      <c r="J127" s="138">
        <v>22.5</v>
      </c>
      <c r="K127" s="138">
        <v>24</v>
      </c>
      <c r="L127" s="138">
        <v>25</v>
      </c>
      <c r="M127" s="138">
        <v>26</v>
      </c>
      <c r="N127" s="138">
        <v>27</v>
      </c>
      <c r="O127" s="138">
        <v>28</v>
      </c>
      <c r="P127" s="138">
        <v>29</v>
      </c>
      <c r="Q127" s="138">
        <v>30</v>
      </c>
      <c r="R127" s="138">
        <v>30.5</v>
      </c>
      <c r="S127" s="184">
        <v>31</v>
      </c>
      <c r="T127" s="134"/>
      <c r="AG127" s="263" t="s">
        <v>440</v>
      </c>
      <c r="AH127" s="263"/>
      <c r="AI127" s="135">
        <f>BOISEMENT!C7</f>
        <v>3000</v>
      </c>
      <c r="AJ127" s="134"/>
      <c r="AK127" s="134"/>
      <c r="AL127" s="134"/>
      <c r="AM127" s="134"/>
      <c r="AN127" s="134"/>
      <c r="AO127" s="134"/>
    </row>
    <row r="128" spans="1:42" ht="36" customHeight="1">
      <c r="A128" s="260"/>
      <c r="B128" s="137" t="s">
        <v>398</v>
      </c>
      <c r="C128" s="137">
        <v>3</v>
      </c>
      <c r="D128" s="138">
        <v>4</v>
      </c>
      <c r="E128" s="138">
        <v>7</v>
      </c>
      <c r="F128" s="138">
        <v>11</v>
      </c>
      <c r="G128" s="138">
        <v>14</v>
      </c>
      <c r="H128" s="138">
        <v>16</v>
      </c>
      <c r="I128" s="138">
        <v>18</v>
      </c>
      <c r="J128" s="138">
        <v>19.5</v>
      </c>
      <c r="K128" s="138">
        <v>21</v>
      </c>
      <c r="L128" s="138">
        <v>22</v>
      </c>
      <c r="M128" s="138">
        <v>23</v>
      </c>
      <c r="N128" s="138">
        <v>24</v>
      </c>
      <c r="O128" s="138">
        <v>25</v>
      </c>
      <c r="P128" s="138">
        <v>26</v>
      </c>
      <c r="Q128" s="138">
        <v>27</v>
      </c>
      <c r="R128" s="138">
        <v>27.5</v>
      </c>
      <c r="S128" s="184">
        <v>28</v>
      </c>
      <c r="T128" s="134"/>
      <c r="AG128" s="263" t="s">
        <v>398</v>
      </c>
      <c r="AH128" s="263"/>
      <c r="AI128" s="163">
        <f>BOISEMENT!E7</f>
        <v>3</v>
      </c>
      <c r="AJ128" s="134"/>
      <c r="AK128" s="134"/>
      <c r="AL128" s="134"/>
      <c r="AM128" s="134"/>
      <c r="AN128" s="134"/>
      <c r="AO128" s="134"/>
    </row>
    <row r="129" spans="1:41" ht="36" customHeight="1">
      <c r="A129" s="260"/>
      <c r="B129" s="137" t="s">
        <v>398</v>
      </c>
      <c r="C129" s="137">
        <v>4</v>
      </c>
      <c r="D129" s="138">
        <v>3.25</v>
      </c>
      <c r="E129" s="138">
        <v>6</v>
      </c>
      <c r="F129" s="138">
        <v>8.5</v>
      </c>
      <c r="G129" s="138">
        <v>11.5</v>
      </c>
      <c r="H129" s="138">
        <v>13</v>
      </c>
      <c r="I129" s="138">
        <v>15</v>
      </c>
      <c r="J129" s="138">
        <v>17</v>
      </c>
      <c r="K129" s="138">
        <v>18</v>
      </c>
      <c r="L129" s="138">
        <v>19</v>
      </c>
      <c r="M129" s="138">
        <v>20</v>
      </c>
      <c r="N129" s="138">
        <v>21</v>
      </c>
      <c r="O129" s="138">
        <v>22</v>
      </c>
      <c r="P129" s="138">
        <v>23</v>
      </c>
      <c r="Q129" s="138">
        <v>24</v>
      </c>
      <c r="R129" s="138">
        <v>24.5</v>
      </c>
      <c r="S129" s="184">
        <v>25</v>
      </c>
      <c r="T129" s="134"/>
      <c r="AG129" s="134"/>
      <c r="AH129" s="134"/>
      <c r="AI129" s="134"/>
      <c r="AJ129" s="134"/>
      <c r="AK129" s="134"/>
      <c r="AL129" s="134"/>
      <c r="AM129" s="134"/>
      <c r="AN129" s="134"/>
      <c r="AO129" s="134"/>
    </row>
    <row r="130" spans="1:41" ht="36" customHeight="1">
      <c r="A130" s="260"/>
      <c r="B130" s="137" t="s">
        <v>398</v>
      </c>
      <c r="C130" s="137">
        <v>5</v>
      </c>
      <c r="D130" s="138">
        <v>2.5</v>
      </c>
      <c r="E130" s="138">
        <v>5</v>
      </c>
      <c r="F130" s="138">
        <v>7</v>
      </c>
      <c r="G130" s="138">
        <v>9</v>
      </c>
      <c r="H130" s="138">
        <v>11</v>
      </c>
      <c r="I130" s="138">
        <v>12.5</v>
      </c>
      <c r="J130" s="138">
        <v>14</v>
      </c>
      <c r="K130" s="138">
        <v>15</v>
      </c>
      <c r="L130" s="138">
        <v>16</v>
      </c>
      <c r="M130" s="138">
        <v>17</v>
      </c>
      <c r="N130" s="138">
        <v>18</v>
      </c>
      <c r="O130" s="138">
        <v>19</v>
      </c>
      <c r="P130" s="138">
        <v>20</v>
      </c>
      <c r="Q130" s="138">
        <v>21</v>
      </c>
      <c r="R130" s="138">
        <v>21.5</v>
      </c>
      <c r="S130" s="184">
        <v>22</v>
      </c>
      <c r="T130" s="134"/>
      <c r="AG130" s="261" t="s">
        <v>399</v>
      </c>
      <c r="AH130" s="261"/>
      <c r="AI130" s="261"/>
      <c r="AJ130" s="134"/>
      <c r="AK130" s="134"/>
      <c r="AL130" s="134"/>
      <c r="AM130" s="134"/>
      <c r="AN130" s="134"/>
      <c r="AO130" s="134"/>
    </row>
    <row r="131" spans="1:41" ht="36" customHeight="1">
      <c r="A131" s="140" t="s">
        <v>406</v>
      </c>
      <c r="B131" s="265" t="s">
        <v>404</v>
      </c>
      <c r="C131" s="265"/>
      <c r="D131" s="142">
        <f>(D132/PI())*10</f>
        <v>39.788735772973837</v>
      </c>
      <c r="E131" s="142">
        <f t="shared" ref="E131:S131" si="57">(E132/PI())*10</f>
        <v>87.53521870054243</v>
      </c>
      <c r="F131" s="142">
        <f t="shared" si="57"/>
        <v>135.28170162811105</v>
      </c>
      <c r="G131" s="142">
        <f t="shared" si="57"/>
        <v>183.02818455567967</v>
      </c>
      <c r="H131" s="142">
        <f t="shared" si="57"/>
        <v>230.77466748324824</v>
      </c>
      <c r="I131" s="142">
        <f t="shared" si="57"/>
        <v>278.52115041081686</v>
      </c>
      <c r="J131" s="142">
        <f t="shared" si="57"/>
        <v>326.26763333838545</v>
      </c>
      <c r="K131" s="142">
        <f t="shared" si="57"/>
        <v>374.01411626595404</v>
      </c>
      <c r="L131" s="142">
        <f t="shared" si="57"/>
        <v>421.76059919352264</v>
      </c>
      <c r="M131" s="142">
        <f t="shared" si="57"/>
        <v>469.50708212109129</v>
      </c>
      <c r="N131" s="142">
        <f t="shared" si="57"/>
        <v>517.25356504865988</v>
      </c>
      <c r="O131" s="142">
        <f t="shared" si="57"/>
        <v>565.00004797622842</v>
      </c>
      <c r="P131" s="142">
        <f t="shared" si="57"/>
        <v>612.74653090379707</v>
      </c>
      <c r="Q131" s="142">
        <f t="shared" si="57"/>
        <v>660.49301383136572</v>
      </c>
      <c r="R131" s="142">
        <f t="shared" si="57"/>
        <v>708.23949675893437</v>
      </c>
      <c r="S131" s="142">
        <f t="shared" si="57"/>
        <v>755.98597968650279</v>
      </c>
      <c r="T131" s="134"/>
      <c r="AG131" s="262" t="s">
        <v>400</v>
      </c>
      <c r="AH131" s="262"/>
      <c r="AI131" s="139">
        <v>0.502</v>
      </c>
      <c r="AJ131" s="134"/>
      <c r="AK131" s="134"/>
      <c r="AL131" s="134"/>
      <c r="AM131" s="134"/>
      <c r="AN131" s="134"/>
      <c r="AO131" s="134"/>
    </row>
    <row r="132" spans="1:41" ht="36" customHeight="1">
      <c r="A132" s="140" t="s">
        <v>407</v>
      </c>
      <c r="B132" s="265" t="s">
        <v>404</v>
      </c>
      <c r="C132" s="265"/>
      <c r="D132" s="142">
        <f>2.5*5</f>
        <v>12.5</v>
      </c>
      <c r="E132" s="142">
        <f>D132+(3*5)</f>
        <v>27.5</v>
      </c>
      <c r="F132" s="142">
        <f t="shared" ref="F132:S132" si="58">E132+(3*5)</f>
        <v>42.5</v>
      </c>
      <c r="G132" s="142">
        <f t="shared" si="58"/>
        <v>57.5</v>
      </c>
      <c r="H132" s="142">
        <f t="shared" si="58"/>
        <v>72.5</v>
      </c>
      <c r="I132" s="142">
        <f t="shared" si="58"/>
        <v>87.5</v>
      </c>
      <c r="J132" s="142">
        <f t="shared" si="58"/>
        <v>102.5</v>
      </c>
      <c r="K132" s="142">
        <f t="shared" si="58"/>
        <v>117.5</v>
      </c>
      <c r="L132" s="142">
        <f t="shared" si="58"/>
        <v>132.5</v>
      </c>
      <c r="M132" s="142">
        <f t="shared" si="58"/>
        <v>147.5</v>
      </c>
      <c r="N132" s="142">
        <f t="shared" si="58"/>
        <v>162.5</v>
      </c>
      <c r="O132" s="142">
        <f t="shared" si="58"/>
        <v>177.5</v>
      </c>
      <c r="P132" s="142">
        <f>O132+(3*5)</f>
        <v>192.5</v>
      </c>
      <c r="Q132" s="142">
        <f t="shared" si="58"/>
        <v>207.5</v>
      </c>
      <c r="R132" s="142">
        <f>Q132+(3*5)</f>
        <v>222.5</v>
      </c>
      <c r="S132" s="142">
        <f t="shared" si="58"/>
        <v>237.5</v>
      </c>
      <c r="T132" s="134"/>
      <c r="AG132" s="262" t="s">
        <v>401</v>
      </c>
      <c r="AH132" s="262"/>
      <c r="AI132" s="139">
        <v>0.66100000000000003</v>
      </c>
      <c r="AJ132" s="134"/>
      <c r="AK132" s="134"/>
      <c r="AL132" s="134"/>
      <c r="AM132" s="134"/>
      <c r="AN132" s="134"/>
      <c r="AO132" s="134"/>
    </row>
    <row r="133" spans="1:41" ht="36" customHeight="1">
      <c r="A133" s="263" t="s">
        <v>448</v>
      </c>
      <c r="B133" s="135" t="s">
        <v>398</v>
      </c>
      <c r="C133" s="135">
        <v>1</v>
      </c>
      <c r="D133" s="144">
        <f>10^(-1.189+(2.3156*LOG(D$132/100))+(0.8057*LOG(D126)))</f>
        <v>2.515940214899533E-3</v>
      </c>
      <c r="E133" s="144">
        <f t="shared" ref="E133" si="59">10^(-1.189+(2.3156*LOG(E132/100))+(0.8057*LOG(E126)))</f>
        <v>2.2478579970350094E-2</v>
      </c>
      <c r="F133" s="144">
        <f>10^(-1.189+(2.3156*LOG(F132/100))+(0.8057*LOG(F126)))</f>
        <v>7.9081360795690475E-2</v>
      </c>
      <c r="G133" s="144">
        <f t="shared" ref="G133:S133" si="60">10^(-1.189+(2.3156*LOG(G132/100))+(0.8057*LOG(G126)))</f>
        <v>0.19265426923174919</v>
      </c>
      <c r="H133" s="144">
        <f t="shared" si="60"/>
        <v>0.37084176717350575</v>
      </c>
      <c r="I133" s="144">
        <f t="shared" si="60"/>
        <v>0.61482291408311163</v>
      </c>
      <c r="J133" s="144">
        <f t="shared" si="60"/>
        <v>0.93128285167251068</v>
      </c>
      <c r="K133" s="144">
        <f t="shared" si="60"/>
        <v>1.3379179138596129</v>
      </c>
      <c r="L133" s="144">
        <f t="shared" si="60"/>
        <v>1.8196099944344495</v>
      </c>
      <c r="M133" s="144">
        <f t="shared" si="60"/>
        <v>2.3994343349718594</v>
      </c>
      <c r="N133" s="144">
        <f t="shared" si="60"/>
        <v>3.0858062025648185</v>
      </c>
      <c r="O133" s="144">
        <f t="shared" si="60"/>
        <v>3.8871726742650377</v>
      </c>
      <c r="P133" s="144">
        <f t="shared" si="60"/>
        <v>4.8120169098863528</v>
      </c>
      <c r="Q133" s="144">
        <f t="shared" si="60"/>
        <v>5.8688606281349029</v>
      </c>
      <c r="R133" s="144">
        <f t="shared" si="60"/>
        <v>6.9824202565665789</v>
      </c>
      <c r="S133" s="144">
        <f t="shared" si="60"/>
        <v>8.2186261935120939</v>
      </c>
      <c r="T133" s="159"/>
      <c r="AG133" s="262" t="s">
        <v>402</v>
      </c>
      <c r="AH133" s="262"/>
      <c r="AI133" s="139">
        <v>-2E-3</v>
      </c>
      <c r="AJ133" s="134"/>
      <c r="AK133" s="134"/>
      <c r="AL133" s="134"/>
      <c r="AM133" s="134"/>
      <c r="AN133" s="134"/>
      <c r="AO133" s="134"/>
    </row>
    <row r="134" spans="1:41" ht="36" customHeight="1">
      <c r="A134" s="263"/>
      <c r="B134" s="135" t="s">
        <v>398</v>
      </c>
      <c r="C134" s="135">
        <v>2</v>
      </c>
      <c r="D134" s="144">
        <f>10^(-1.189+(2.3156*LOG(D$132/100))+(0.8057*LOG(D127)))</f>
        <v>2.0716436114658907E-3</v>
      </c>
      <c r="E134" s="144">
        <f t="shared" ref="E134:S134" si="61">10^(-1.189+(2.3156*LOG(E$132/100))+(0.8057*LOG(E127)))</f>
        <v>1.9122821698683862E-2</v>
      </c>
      <c r="F134" s="144">
        <f t="shared" si="61"/>
        <v>7.0469560897892539E-2</v>
      </c>
      <c r="G134" s="144">
        <f t="shared" si="61"/>
        <v>0.17195455121385458</v>
      </c>
      <c r="H134" s="144">
        <f t="shared" si="61"/>
        <v>0.32952659006033647</v>
      </c>
      <c r="I134" s="144">
        <f t="shared" si="61"/>
        <v>0.55211040687094348</v>
      </c>
      <c r="J134" s="144">
        <f t="shared" si="61"/>
        <v>0.84194871324960752</v>
      </c>
      <c r="K134" s="144">
        <f t="shared" si="61"/>
        <v>1.2167906990013664</v>
      </c>
      <c r="L134" s="144">
        <f t="shared" si="61"/>
        <v>1.6608230082382145</v>
      </c>
      <c r="M134" s="144">
        <f t="shared" si="61"/>
        <v>2.1973479288098252</v>
      </c>
      <c r="N134" s="144">
        <f t="shared" si="61"/>
        <v>2.8346656269744406</v>
      </c>
      <c r="O134" s="144">
        <f t="shared" si="61"/>
        <v>3.5811205620974929</v>
      </c>
      <c r="P134" s="144">
        <f t="shared" si="61"/>
        <v>4.4451034656132506</v>
      </c>
      <c r="Q134" s="144">
        <f t="shared" si="61"/>
        <v>5.4350520769502859</v>
      </c>
      <c r="R134" s="144">
        <f t="shared" si="61"/>
        <v>6.4740755631486699</v>
      </c>
      <c r="S134" s="144">
        <f t="shared" si="61"/>
        <v>7.6291610210489837</v>
      </c>
      <c r="T134" s="134"/>
      <c r="AG134" s="262" t="s">
        <v>405</v>
      </c>
      <c r="AH134" s="262"/>
      <c r="AI134" s="139">
        <v>0.48599999999999999</v>
      </c>
      <c r="AJ134" s="134"/>
      <c r="AK134" s="134"/>
      <c r="AL134" s="134"/>
      <c r="AM134" s="134"/>
      <c r="AN134" s="134"/>
      <c r="AO134" s="134"/>
    </row>
    <row r="135" spans="1:41" ht="36" customHeight="1">
      <c r="A135" s="263"/>
      <c r="B135" s="135" t="s">
        <v>398</v>
      </c>
      <c r="C135" s="135">
        <v>3</v>
      </c>
      <c r="D135" s="144">
        <f>10^(-1.189+(2.3156*LOG(D$132/100))+(0.8057*LOG(D128)))</f>
        <v>1.6028192921747595E-3</v>
      </c>
      <c r="E135" s="144">
        <f t="shared" ref="E135:S135" si="62">10^(-1.189+(2.3156*LOG(E$132/100))+(0.8057*LOG(E128)))</f>
        <v>1.5617599325525758E-2</v>
      </c>
      <c r="F135" s="144">
        <f t="shared" si="62"/>
        <v>6.1595288378749669E-2</v>
      </c>
      <c r="G135" s="144">
        <f t="shared" si="62"/>
        <v>0.15063372627496704</v>
      </c>
      <c r="H135" s="144">
        <f t="shared" si="62"/>
        <v>0.28691823993282539</v>
      </c>
      <c r="I135" s="144">
        <f t="shared" si="62"/>
        <v>0.48762605725064934</v>
      </c>
      <c r="J135" s="144">
        <f t="shared" si="62"/>
        <v>0.75026220495283635</v>
      </c>
      <c r="K135" s="144">
        <f t="shared" si="62"/>
        <v>1.0926769196692789</v>
      </c>
      <c r="L135" s="144">
        <f t="shared" si="62"/>
        <v>1.4982802047544446</v>
      </c>
      <c r="M135" s="144">
        <f t="shared" si="62"/>
        <v>1.9906683873145055</v>
      </c>
      <c r="N135" s="144">
        <f t="shared" si="62"/>
        <v>2.5780316818773819</v>
      </c>
      <c r="O135" s="144">
        <f t="shared" si="62"/>
        <v>3.2686165953133552</v>
      </c>
      <c r="P135" s="144">
        <f t="shared" si="62"/>
        <v>4.0707256502709024</v>
      </c>
      <c r="Q135" s="144">
        <f t="shared" si="62"/>
        <v>4.9927164222243157</v>
      </c>
      <c r="R135" s="144">
        <f t="shared" si="62"/>
        <v>5.9559046295898108</v>
      </c>
      <c r="S135" s="144">
        <f t="shared" si="62"/>
        <v>7.0284877193413831</v>
      </c>
      <c r="T135" s="134"/>
      <c r="AG135" s="159"/>
      <c r="AH135" s="159"/>
      <c r="AI135" s="159"/>
      <c r="AJ135" s="159"/>
      <c r="AK135" s="159"/>
      <c r="AL135" s="134"/>
      <c r="AM135" s="134"/>
      <c r="AN135" s="134"/>
      <c r="AO135" s="134"/>
    </row>
    <row r="136" spans="1:41" ht="36" customHeight="1">
      <c r="A136" s="263"/>
      <c r="B136" s="135" t="s">
        <v>398</v>
      </c>
      <c r="C136" s="135">
        <v>4</v>
      </c>
      <c r="D136" s="144">
        <f>10^(-1.189+(2.3156*LOG(D$132/100))+(0.8057*LOG(D129)))</f>
        <v>1.3559049620128912E-3</v>
      </c>
      <c r="E136" s="144">
        <f t="shared" ref="E136:S136" si="63">10^(-1.189+(2.3156*LOG(E$132/100))+(0.8057*LOG(E129)))</f>
        <v>1.379352442564386E-2</v>
      </c>
      <c r="F136" s="144">
        <f t="shared" si="63"/>
        <v>5.004149027808253E-2</v>
      </c>
      <c r="G136" s="144">
        <f t="shared" si="63"/>
        <v>0.12855563299886413</v>
      </c>
      <c r="H136" s="144">
        <f t="shared" si="63"/>
        <v>0.24271848181279937</v>
      </c>
      <c r="I136" s="144">
        <f t="shared" si="63"/>
        <v>0.42100821968278401</v>
      </c>
      <c r="J136" s="144">
        <f t="shared" si="63"/>
        <v>0.67174567457333745</v>
      </c>
      <c r="K136" s="144">
        <f t="shared" si="63"/>
        <v>0.96505650238841079</v>
      </c>
      <c r="L136" s="144">
        <f t="shared" si="63"/>
        <v>1.3313580360451589</v>
      </c>
      <c r="M136" s="144">
        <f t="shared" si="63"/>
        <v>1.7786670907883089</v>
      </c>
      <c r="N136" s="144">
        <f t="shared" si="63"/>
        <v>2.3150700603443921</v>
      </c>
      <c r="O136" s="144">
        <f t="shared" si="63"/>
        <v>2.9487209157132783</v>
      </c>
      <c r="P136" s="144">
        <f t="shared" si="63"/>
        <v>3.6878387619814683</v>
      </c>
      <c r="Q136" s="144">
        <f t="shared" si="63"/>
        <v>4.5407052573117594</v>
      </c>
      <c r="R136" s="144">
        <f t="shared" si="63"/>
        <v>5.4266085861232884</v>
      </c>
      <c r="S136" s="144">
        <f t="shared" si="63"/>
        <v>6.415151682561512</v>
      </c>
      <c r="T136" s="134"/>
      <c r="AG136" s="143" t="s">
        <v>408</v>
      </c>
      <c r="AH136" s="135" t="s">
        <v>392</v>
      </c>
      <c r="AI136" s="135" t="s">
        <v>397</v>
      </c>
      <c r="AJ136" s="135" t="s">
        <v>409</v>
      </c>
      <c r="AK136" s="135" t="s">
        <v>410</v>
      </c>
      <c r="AL136" s="135" t="s">
        <v>232</v>
      </c>
      <c r="AM136" s="135" t="s">
        <v>411</v>
      </c>
      <c r="AN136" s="135" t="s">
        <v>258</v>
      </c>
      <c r="AO136" s="135" t="s">
        <v>259</v>
      </c>
    </row>
    <row r="137" spans="1:41" ht="36" customHeight="1">
      <c r="A137" s="263"/>
      <c r="B137" s="135" t="s">
        <v>398</v>
      </c>
      <c r="C137" s="135">
        <v>5</v>
      </c>
      <c r="D137" s="144">
        <f>10^(-1.189+(2.3156*LOG(D$132/100))+(0.8057*LOG(D130)))</f>
        <v>1.0975519636870527E-3</v>
      </c>
      <c r="E137" s="144">
        <f t="shared" ref="E137:S137" si="64">10^(-1.189+(2.3156*LOG(E$132/100))+(0.8057*LOG(E130)))</f>
        <v>1.1909099350296427E-2</v>
      </c>
      <c r="F137" s="144">
        <f t="shared" si="64"/>
        <v>4.2794986850076502E-2</v>
      </c>
      <c r="G137" s="144">
        <f t="shared" si="64"/>
        <v>0.10551642076134186</v>
      </c>
      <c r="H137" s="144">
        <f t="shared" si="64"/>
        <v>0.21215280316240473</v>
      </c>
      <c r="I137" s="144">
        <f t="shared" si="64"/>
        <v>0.36349148780078089</v>
      </c>
      <c r="J137" s="144">
        <f t="shared" si="64"/>
        <v>0.57447024759277954</v>
      </c>
      <c r="K137" s="144">
        <f t="shared" si="64"/>
        <v>0.83321371760696272</v>
      </c>
      <c r="L137" s="144">
        <f t="shared" si="64"/>
        <v>1.1592111712519388</v>
      </c>
      <c r="M137" s="144">
        <f t="shared" si="64"/>
        <v>1.5603696633845507</v>
      </c>
      <c r="N137" s="144">
        <f t="shared" si="64"/>
        <v>2.0446788753406673</v>
      </c>
      <c r="O137" s="144">
        <f t="shared" si="64"/>
        <v>2.6202063370601087</v>
      </c>
      <c r="P137" s="144">
        <f t="shared" si="64"/>
        <v>3.2950929867926875</v>
      </c>
      <c r="Q137" s="144">
        <f t="shared" si="64"/>
        <v>4.0775491115748093</v>
      </c>
      <c r="R137" s="144">
        <f t="shared" si="64"/>
        <v>4.8845330289145057</v>
      </c>
      <c r="S137" s="144">
        <f t="shared" si="64"/>
        <v>5.7873082976343628</v>
      </c>
      <c r="T137" s="134"/>
      <c r="AG137" s="135" t="s">
        <v>412</v>
      </c>
      <c r="AH137" s="145">
        <v>15</v>
      </c>
      <c r="AI137" s="160">
        <f>IF(AI128=C126,F126,IF(AI128=C127,F127,IF(AI128=C128,F128,IF(AI128=C129,F129,IF(AI128=C130,F130)))))</f>
        <v>11</v>
      </c>
      <c r="AJ137" s="156">
        <v>550</v>
      </c>
      <c r="AK137" s="146">
        <f>(D139-AJ137)/D139</f>
        <v>0.51535714285714285</v>
      </c>
      <c r="AL137" s="146">
        <v>1</v>
      </c>
      <c r="AM137" s="146">
        <v>0</v>
      </c>
      <c r="AN137" s="146">
        <v>0</v>
      </c>
      <c r="AO137" s="146">
        <v>0</v>
      </c>
    </row>
    <row r="138" spans="1:41" ht="36" customHeight="1">
      <c r="A138" s="261" t="s">
        <v>415</v>
      </c>
      <c r="B138" s="262" t="s">
        <v>416</v>
      </c>
      <c r="C138" s="262"/>
      <c r="D138" s="147">
        <f>IF(AI128=C133,D133,IF(AI128=C134,D134,IF(AI128=C135,D135,IF(AI128=C136,D136,IF(AI128=C137,D137,IF(AI128=#REF!,#REF!))))))</f>
        <v>1.6028192921747595E-3</v>
      </c>
      <c r="E138" s="147">
        <f>IF(AI128=C133,E133,IF(AI128=C134,E134,IF(AI128=C135,E135,IF(AI128=C136,E136,IF(AI128=C137,E137,IF(AI128=#REF!,#REF!))))))</f>
        <v>1.5617599325525758E-2</v>
      </c>
      <c r="F138" s="147">
        <f>IF(AI128=C133,F133,IF(AI128=C134,F134,IF(AI128=C135,F135,IF(AI128=C136,F136,IF(AI128=C137,F137,IF(AI128=#REF!,#REF!))))))</f>
        <v>6.1595288378749669E-2</v>
      </c>
      <c r="G138" s="147">
        <f>IF(AI128=C133,G133,IF(AI128=C134,G134,IF(AI128=C135,G135,IF(AI128=C136,G136,IF(AI128=C137,G137,IF(AI128=#REF!,#REF!))))))</f>
        <v>0.15063372627496704</v>
      </c>
      <c r="H138" s="147">
        <f>IF(AI128=C133,H133,IF(AI128=C134,H134,IF(AI128=C135,H135,IF(AI128=C136,H136,IF(AI128=C137,H137,IF(AI128=#REF!,#REF!))))))</f>
        <v>0.28691823993282539</v>
      </c>
      <c r="I138" s="147">
        <f>IF(AI128=C133,I133,IF(AI128=C134,I134,IF(AI128=C135,I135,IF(AI128=C136,I136,IF(AI128=C137,I137,IF(AI128=#REF!,#REF!))))))</f>
        <v>0.48762605725064934</v>
      </c>
      <c r="J138" s="147">
        <f>IF(AI128=C133,J133,IF(AI128=C134,J134,IF(AI128=C135,J135,IF(AI128=C136,J136,IF(AI128=C137,J137,IF(AI128=#REF!,#REF!))))))</f>
        <v>0.75026220495283635</v>
      </c>
      <c r="K138" s="147">
        <f>IF(AI128=C133,K133,IF(AI128=C134,K134,IF(AI128=C135,K135,IF(AI128=C136,K136,IF(AI128=C137,K137,IF(AI128=#REF!,#REF!))))))</f>
        <v>1.0926769196692789</v>
      </c>
      <c r="L138" s="147">
        <f>IF(AI128=C133,L133,IF(AI128=C134,L134,IF(AI128=C135,L135,IF(AI128=C136,L136,IF(AI128=C137,L137,IF(AI128=#REF!,#REF!))))))</f>
        <v>1.4982802047544446</v>
      </c>
      <c r="M138" s="147">
        <f>IF(AI128=C133,M133,IF(AI128=C134,M134,IF(AI128=C135,M135,IF(AI128=C136,M136,IF(AI128=C137,M137,IF(AI128=#REF!,#REF!))))))</f>
        <v>1.9906683873145055</v>
      </c>
      <c r="N138" s="147">
        <f>IF(AI128=C133,N133,IF(AI128=C134,N134,IF(AI128=C135,N135,IF(AI128=C136,N136,IF(AI128=C137,N137,IF(AI128=#REF!,#REF!))))))</f>
        <v>2.5780316818773819</v>
      </c>
      <c r="O138" s="147">
        <f>IF(AI128=C133,O133,IF(AI128=C134,O134,IF(AI128=C135,O135,IF(AI128=C136,O136,IF(AI128=C137,O137,IF(AI128=#REF!,#REF!))))))</f>
        <v>3.2686165953133552</v>
      </c>
      <c r="P138" s="147">
        <f>IF(AI128=C133,P133,IF(AI128=C134,P134,IF(AI128=C135,P135,IF(AI128=C136,P136,IF(AI128=C137,P137,IF(AI128=#REF!,#REF!))))))</f>
        <v>4.0707256502709024</v>
      </c>
      <c r="Q138" s="147">
        <f>IF(AI128=C133,Q133,IF(AI128=C134,Q134,IF(AI128=C135,Q135,IF(AI128=C136,Q136,IF(AI128=C137,Q137,IF(AI128=#REF!,#REF!))))))</f>
        <v>4.9927164222243157</v>
      </c>
      <c r="R138" s="147">
        <f>IF(AI128=C133,R133,IF(AI128=C134,R134,IF(AI128=C135,R135,IF(AI128=C136,R136,IF(AI128=C137,R137,IF(AI128=#REF!,#REF!))))))</f>
        <v>5.9559046295898108</v>
      </c>
      <c r="S138" s="147">
        <f>IF(AI128=C133,S133,IF(AI128=C134,S134,IF(AI128=C135,S135,IF(AI128=C136,S136,IF(AI128=C137,S137,IF(AI128=#REF!,#REF!))))))</f>
        <v>7.0284877193413831</v>
      </c>
      <c r="T138" s="134"/>
      <c r="AG138" s="135" t="s">
        <v>413</v>
      </c>
      <c r="AH138" s="145">
        <v>25</v>
      </c>
      <c r="AI138" s="160">
        <f>IF(AI128=C126,H126,IF(AI128=C127,H127,IF(AI128=C128,H128,IF(AI128=C129,H129,IF(AI128=C130,H130)))))</f>
        <v>16</v>
      </c>
      <c r="AJ138" s="156">
        <v>240</v>
      </c>
      <c r="AK138" s="146">
        <f t="shared" ref="AK138:AK143" si="65">(AJ137-AJ138)/AJ137</f>
        <v>0.5636363636363636</v>
      </c>
      <c r="AL138" s="146">
        <v>1</v>
      </c>
      <c r="AM138" s="146">
        <v>0</v>
      </c>
      <c r="AN138" s="146">
        <v>0</v>
      </c>
      <c r="AO138" s="146">
        <v>0</v>
      </c>
    </row>
    <row r="139" spans="1:41" ht="36" customHeight="1">
      <c r="A139" s="261"/>
      <c r="B139" s="262" t="s">
        <v>417</v>
      </c>
      <c r="C139" s="262"/>
      <c r="D139" s="149">
        <f>AI126/AI125</f>
        <v>1134.8563006632278</v>
      </c>
      <c r="E139" s="149">
        <f>IF(D125=AH139,AJ139,IF(D125=AH138,AJ138,IF(D125=AH137,AJ137,IF(D125=AH140,AJ140,IF(D125=AH141,AJ141,IF(D125=AH142,AJ142,IF(D125=AH143,AJ143,D139)))))))</f>
        <v>1134.8563006632278</v>
      </c>
      <c r="F139" s="149">
        <f>IF(E125=AH139,AJ139,IF(E125=AH138,AJ138,IF(E125=AH137,AJ137,IF(E125=AH140,AJ140,IF(E125=AH141,AJ141,IF(E125=AH142,AJ142,IF(E125=AH143,AJ143,E139)))))))</f>
        <v>1134.8563006632278</v>
      </c>
      <c r="G139" s="149">
        <f>IF(F125=AH139,AJ139,IF(F125=AH138,AJ138,IF(F125=AH137,AJ137,IF(F125=AH140,AJ140,IF(F125=AH141,AJ141,IF(F125=AH142,AJ142,IF(F125=AH143,AJ143,F139)))))))</f>
        <v>550</v>
      </c>
      <c r="H139" s="149">
        <f>IF(G125=AH139,AJ139,IF(G125=AH138,AJ138,IF(G125=AH137,AJ137,IF(G125=AH140,AJ140,IF(G125=AH141,AJ141,IF(G125=AH142,AJ142,IF(G125=AH143,AJ143,G139)))))))</f>
        <v>550</v>
      </c>
      <c r="I139" s="149">
        <f>IF(H125=AH139,AJ139,IF(H125=AH138,AJ138,IF(H125=AH137,AJ137,IF(H125=AH140,AJ140,IF(H125=AH141,AJ141,IF(H125=AH142,AJ142,IF(H125=AH143,AJ143,H139)))))))</f>
        <v>240</v>
      </c>
      <c r="J139" s="149">
        <f>IF(I125=AH139,AJ139,IF(I125=AH138,AJ138,IF(I125=AH137,AJ137,IF(I125=AH140,AJ140,IF(I125=AH141,AJ141,IF(I125=AH142,AJ142,IF(I125=AH143,AJ143,I139)))))))</f>
        <v>240</v>
      </c>
      <c r="K139" s="149">
        <f>IF(J125=AH139,AJ139,IF(J125=AH138,AJ138,IF(J125=AH137,AJ137,IF(J125=AH140,AJ140,IF(J125=AH141,AJ141,IF(J125=AH142,AJ142,IF(J125=AH143,AJ143,J139)))))))</f>
        <v>170</v>
      </c>
      <c r="L139" s="149">
        <f>IF(K125=AH139,AJ139,IF(K125=AH138,AJ138,IF(K125=AH137,AJ137,IF(K125=AH140,AJ140,IF(K125=AH141,AJ141,IF(K125=AH142,AJ142,IF(K125=AH143,AJ143,K139)))))))</f>
        <v>170</v>
      </c>
      <c r="M139" s="149">
        <f>IF(L125=AH139,AJ139,IF(L125=AH138,AJ138,IF(L125=AH137,AJ137,IF(L125=AH140,AJ140,IF(L125=AH141,AJ141,IF(L125=AH142,AJ142,IF(L125=AH143,AJ143,L139)))))))</f>
        <v>120</v>
      </c>
      <c r="N139" s="149">
        <f>IF(M125=AH139,AJ139,IF(M125=AH138,AJ138,IF(M125=AH137,AJ137,IF(M125=AH140,AJ140,IF(M125=AH141,AJ141,IF(M125=AH142,AJ142,IF(M125=AH143,AJ143,M139)))))))</f>
        <v>120</v>
      </c>
      <c r="O139" s="149">
        <f>IF(N125=AH139,AJ139,IF(N125=AH138,AJ138,IF(N125=AH137,AJ137,IF(N125=AH140,AJ140,IF(N125=AH141,AJ141,IF(N125=AH142,AJ142,IF(N125=AH143,AJ143,N139)))))))</f>
        <v>90</v>
      </c>
      <c r="P139" s="149">
        <f>IF(O125=AH139,AJ139,IF(O125=AH138,AJ138,IF(O125=AH137,AJ137,IF(O125=AH140,AJ140,IF(O125=AH141,AJ141,IF(O125=AH142,AJ142,IF(O125=AH143,AJ143,O139)))))))</f>
        <v>90</v>
      </c>
      <c r="Q139" s="149">
        <f>IF(P125=AH139,AJ139,IF(P125=AH138,AJ138,IF(P125=AH137,AJ137,IF(P125=AH140,AJ140,IF(P125=AH141,AJ141,IF(P125=AH142,AJ142,IF(P125=AH143,AJ143,P139)))))))</f>
        <v>70</v>
      </c>
      <c r="R139" s="149">
        <f>IF(Q125=AH139,AJ139,IF(Q125=AH138,AJ138,IF(Q125=AH137,AJ137,IF(Q125=AH140,AJ140,IF(Q125=AH141,AJ141,IF(Q125=AH142,AJ142,IF(Q125=AH143,AJ143,Q139)))))))</f>
        <v>70</v>
      </c>
      <c r="S139" s="149">
        <f>IF(R125=AH139,AJ139,IF(R125=AH138,AJ138,IF(R125=AH137,AJ137,IF(R125=AH140,AJ140,IF(R125=AH141,AJ141,IF(R125=AH142,AJ142,IF(R125=AH143,AJ143,R139)))))))</f>
        <v>70</v>
      </c>
      <c r="T139" s="134"/>
      <c r="AG139" s="135" t="s">
        <v>421</v>
      </c>
      <c r="AH139" s="145">
        <v>35</v>
      </c>
      <c r="AI139" s="160">
        <f>IF(AI128=C126,J126,IF(AI128=C127,J127,IF(AI128=C128,J128,IF(AI128=C129,J129,IF(AI128=C130,J130)))))</f>
        <v>19.5</v>
      </c>
      <c r="AJ139" s="156">
        <v>170</v>
      </c>
      <c r="AK139" s="146">
        <f t="shared" si="65"/>
        <v>0.29166666666666669</v>
      </c>
      <c r="AL139" s="146">
        <v>0.7</v>
      </c>
      <c r="AM139" s="146">
        <v>0.2</v>
      </c>
      <c r="AN139" s="146">
        <v>0.1</v>
      </c>
      <c r="AO139" s="146">
        <v>0</v>
      </c>
    </row>
    <row r="140" spans="1:41" ht="36" customHeight="1">
      <c r="A140" s="261"/>
      <c r="B140" s="262" t="s">
        <v>470</v>
      </c>
      <c r="C140" s="262"/>
      <c r="D140" s="149">
        <f>D139*D138</f>
        <v>1.8189695725491009</v>
      </c>
      <c r="E140" s="149">
        <f t="shared" ref="E140:S140" si="66">E139*E138</f>
        <v>17.723730995806683</v>
      </c>
      <c r="F140" s="149">
        <f t="shared" si="66"/>
        <v>69.901801107792551</v>
      </c>
      <c r="G140" s="149">
        <f t="shared" si="66"/>
        <v>82.848549451231875</v>
      </c>
      <c r="H140" s="149">
        <f t="shared" si="66"/>
        <v>157.80503196305398</v>
      </c>
      <c r="I140" s="149">
        <f t="shared" si="66"/>
        <v>117.03025374015584</v>
      </c>
      <c r="J140" s="149">
        <f t="shared" si="66"/>
        <v>180.06292918868073</v>
      </c>
      <c r="K140" s="149">
        <f t="shared" si="66"/>
        <v>185.75507634377743</v>
      </c>
      <c r="L140" s="149">
        <f>L139*L138</f>
        <v>254.70763480825556</v>
      </c>
      <c r="M140" s="149">
        <f t="shared" si="66"/>
        <v>238.88020647774064</v>
      </c>
      <c r="N140" s="149">
        <f t="shared" si="66"/>
        <v>309.3638018252858</v>
      </c>
      <c r="O140" s="149">
        <f t="shared" si="66"/>
        <v>294.17549357820195</v>
      </c>
      <c r="P140" s="149">
        <f t="shared" si="66"/>
        <v>366.36530852438119</v>
      </c>
      <c r="Q140" s="149">
        <f t="shared" si="66"/>
        <v>349.49014955570209</v>
      </c>
      <c r="R140" s="149">
        <f t="shared" si="66"/>
        <v>416.91332407128675</v>
      </c>
      <c r="S140" s="149">
        <f t="shared" si="66"/>
        <v>491.9941403538968</v>
      </c>
      <c r="T140" s="134"/>
      <c r="AG140" s="135" t="s">
        <v>422</v>
      </c>
      <c r="AH140" s="145">
        <v>45</v>
      </c>
      <c r="AI140" s="160">
        <f>IF(AI128=C126,L126,IF(AI128=C127,L127,IF(AI128=C128,L128,IF(AI128=C129,L129,IF(AI128=C130,L130)))))</f>
        <v>22</v>
      </c>
      <c r="AJ140" s="156">
        <v>120</v>
      </c>
      <c r="AK140" s="146">
        <f t="shared" si="65"/>
        <v>0.29411764705882354</v>
      </c>
      <c r="AL140" s="146">
        <v>0.6</v>
      </c>
      <c r="AM140" s="146">
        <v>0.1</v>
      </c>
      <c r="AN140" s="146">
        <v>0.3</v>
      </c>
      <c r="AO140" s="146">
        <v>0</v>
      </c>
    </row>
    <row r="141" spans="1:41" ht="36" customHeight="1">
      <c r="A141" s="261"/>
      <c r="B141" s="262" t="s">
        <v>451</v>
      </c>
      <c r="C141" s="262"/>
      <c r="D141" s="149">
        <f>D140*((AI127/AI126)*AI125)</f>
        <v>4.8084578765242796</v>
      </c>
      <c r="E141" s="149">
        <f>E140*((AI127/AI126)*AI125)</f>
        <v>46.852797976577286</v>
      </c>
      <c r="F141" s="149">
        <f>F140*((AI127/AI126)*AI125)</f>
        <v>184.78586513624904</v>
      </c>
      <c r="G141" s="149">
        <f>G140*((AI127/AI126)*AI125)</f>
        <v>219.01067845192532</v>
      </c>
      <c r="H141" s="149">
        <f>H140*((AI127/AI126)*AI125)</f>
        <v>417.15862670233298</v>
      </c>
      <c r="I141" s="149">
        <f>I140*((AI127/AI126)*AI125)</f>
        <v>309.37023569881461</v>
      </c>
      <c r="J141" s="149">
        <f>J140*((AI127/AI126)*AI125)</f>
        <v>475.99752255007746</v>
      </c>
      <c r="K141" s="149">
        <f>K140*((AI127/AI126)*AI125)</f>
        <v>491.04475051657016</v>
      </c>
      <c r="L141" s="149">
        <f>L140*((AI127/AI126)*AI125)</f>
        <v>673.32128656130419</v>
      </c>
      <c r="M141" s="149">
        <f>M140*((AI127/AI126)*AI125)</f>
        <v>631.48137699407937</v>
      </c>
      <c r="N141" s="149">
        <f>N140*((AI127/AI126)*AI125)</f>
        <v>817.80521898099914</v>
      </c>
      <c r="O141" s="149">
        <f>O140*((AI127/AI126)*AI125)</f>
        <v>777.65482750445472</v>
      </c>
      <c r="P141" s="149">
        <f>P140*((AI127/AI126)*AI125)</f>
        <v>968.48907207971172</v>
      </c>
      <c r="Q141" s="149">
        <f>Q140*((AI127/AI126)*AI125)</f>
        <v>923.87947976705414</v>
      </c>
      <c r="R141" s="149">
        <f>R140*((AI127/AI126)*AI125)</f>
        <v>1102.1130794118237</v>
      </c>
      <c r="S141" s="149">
        <f>S140*((AI127/AI126)*AI125)</f>
        <v>1300.5897047926715</v>
      </c>
      <c r="T141" s="134"/>
      <c r="AG141" s="135" t="s">
        <v>423</v>
      </c>
      <c r="AH141" s="145">
        <v>55</v>
      </c>
      <c r="AI141" s="160">
        <f>IF(AI128=C126,N126,IF(AI128=C127,N127,IF(AI128=C128,N128,IF(AI128=C129,N129,IF(AI128=C130,N130)))))</f>
        <v>24</v>
      </c>
      <c r="AJ141" s="156">
        <v>90</v>
      </c>
      <c r="AK141" s="146">
        <f t="shared" si="65"/>
        <v>0.25</v>
      </c>
      <c r="AL141" s="146">
        <v>0</v>
      </c>
      <c r="AM141" s="146">
        <v>0</v>
      </c>
      <c r="AN141" s="146">
        <v>0.4</v>
      </c>
      <c r="AO141" s="146">
        <v>0.6</v>
      </c>
    </row>
    <row r="142" spans="1:41" ht="36" customHeight="1">
      <c r="A142" s="261"/>
      <c r="B142" s="262" t="s">
        <v>452</v>
      </c>
      <c r="C142" s="262"/>
      <c r="D142" s="149">
        <f>D141*COEFFICIENTS!$B$38</f>
        <v>2.4523135170273824</v>
      </c>
      <c r="E142" s="149">
        <f>E141*COEFFICIENTS!$B$38</f>
        <v>23.894926968054417</v>
      </c>
      <c r="F142" s="149">
        <f>F141*COEFFICIENTS!$B$38</f>
        <v>94.240791219487008</v>
      </c>
      <c r="G142" s="149">
        <f>G141*COEFFICIENTS!$B$38</f>
        <v>111.69544601048192</v>
      </c>
      <c r="H142" s="149">
        <f>H141*COEFFICIENTS!$B$38</f>
        <v>212.75089961818983</v>
      </c>
      <c r="I142" s="149">
        <f>I141*COEFFICIENTS!$B$38</f>
        <v>157.77882020639547</v>
      </c>
      <c r="J142" s="149">
        <f>J141*COEFFICIENTS!$B$38</f>
        <v>242.7587365005395</v>
      </c>
      <c r="K142" s="149">
        <f>K141*COEFFICIENTS!$B$38</f>
        <v>250.43282276345079</v>
      </c>
      <c r="L142" s="149">
        <f>L141*COEFFICIENTS!$B$38</f>
        <v>343.39385614626514</v>
      </c>
      <c r="M142" s="149">
        <f>M141*COEFFICIENTS!$B$38</f>
        <v>322.05550226698051</v>
      </c>
      <c r="N142" s="149">
        <f>N141*COEFFICIENTS!$B$38</f>
        <v>417.08066168030956</v>
      </c>
      <c r="O142" s="149">
        <f>O141*COEFFICIENTS!$B$38</f>
        <v>396.6039620272719</v>
      </c>
      <c r="P142" s="149">
        <f>P141*COEFFICIENTS!$B$38</f>
        <v>493.92942676065297</v>
      </c>
      <c r="Q142" s="149">
        <f>Q141*COEFFICIENTS!$B$38</f>
        <v>471.17853468119762</v>
      </c>
      <c r="R142" s="149">
        <f>R141*COEFFICIENTS!$B$38</f>
        <v>562.07767050003008</v>
      </c>
      <c r="S142" s="149">
        <f>S141*COEFFICIENTS!$B$38</f>
        <v>663.30074944426246</v>
      </c>
      <c r="T142" s="134"/>
      <c r="AG142" s="135" t="s">
        <v>424</v>
      </c>
      <c r="AH142" s="145">
        <v>65</v>
      </c>
      <c r="AI142" s="160">
        <f>IF(AI128=C126,P126,IF(AI128=C127,P127,IF(AI128=C128,P128,IF(AI128=C129,P129,IF(AI128=C130,P130)))))</f>
        <v>26</v>
      </c>
      <c r="AJ142" s="156">
        <v>70</v>
      </c>
      <c r="AK142" s="146">
        <f t="shared" si="65"/>
        <v>0.22222222222222221</v>
      </c>
      <c r="AL142" s="146">
        <v>0</v>
      </c>
      <c r="AM142" s="146">
        <v>0</v>
      </c>
      <c r="AN142" s="146">
        <v>0.2</v>
      </c>
      <c r="AO142" s="146">
        <v>0.8</v>
      </c>
    </row>
    <row r="143" spans="1:41" ht="36" customHeight="1">
      <c r="A143" s="261"/>
      <c r="B143" s="262" t="s">
        <v>450</v>
      </c>
      <c r="C143" s="262"/>
      <c r="D143" s="149">
        <f t="shared" ref="D143:S143" si="67">IF($AH$137=D125,$AK$137*D142,IF($AH$138=D125,$AK$138*D142,IF($AH$139=D125,$AK$139*D142,IF($AH$140=D125,$AK$140*D142,IF($AH$141=D125,$AK$141*D142,IF($AH$142=D125,$AK$142*D142,IF($AH$143=D125,$AK$143*D142,0)))))))</f>
        <v>0</v>
      </c>
      <c r="E143" s="149">
        <f t="shared" si="67"/>
        <v>0</v>
      </c>
      <c r="F143" s="149">
        <f t="shared" si="67"/>
        <v>48.567664903471339</v>
      </c>
      <c r="G143" s="149">
        <f t="shared" si="67"/>
        <v>0</v>
      </c>
      <c r="H143" s="149">
        <f t="shared" si="67"/>
        <v>119.91414342116154</v>
      </c>
      <c r="I143" s="149">
        <f t="shared" si="67"/>
        <v>0</v>
      </c>
      <c r="J143" s="149">
        <f t="shared" si="67"/>
        <v>70.80463147932403</v>
      </c>
      <c r="K143" s="149">
        <f t="shared" si="67"/>
        <v>0</v>
      </c>
      <c r="L143" s="149">
        <f t="shared" si="67"/>
        <v>100.99819298419563</v>
      </c>
      <c r="M143" s="149">
        <f t="shared" si="67"/>
        <v>0</v>
      </c>
      <c r="N143" s="149">
        <f t="shared" si="67"/>
        <v>104.27016542007739</v>
      </c>
      <c r="O143" s="149">
        <f t="shared" si="67"/>
        <v>0</v>
      </c>
      <c r="P143" s="149">
        <f t="shared" si="67"/>
        <v>109.76209483570065</v>
      </c>
      <c r="Q143" s="149">
        <f t="shared" si="67"/>
        <v>0</v>
      </c>
      <c r="R143" s="149">
        <f t="shared" si="67"/>
        <v>0</v>
      </c>
      <c r="S143" s="149">
        <f t="shared" si="67"/>
        <v>663.30074944426246</v>
      </c>
      <c r="T143" s="134"/>
      <c r="AG143" s="135" t="s">
        <v>414</v>
      </c>
      <c r="AH143" s="145">
        <v>80</v>
      </c>
      <c r="AI143" s="160">
        <f>IF(AI128=C126,S126,IF(AI128=C127,S127,IF(AI128=C128,S128,IF(AI128=C129,S129,IF(AI128=C130,S130)))))</f>
        <v>28</v>
      </c>
      <c r="AJ143" s="156">
        <v>0</v>
      </c>
      <c r="AK143" s="146">
        <f t="shared" si="65"/>
        <v>1</v>
      </c>
      <c r="AL143" s="146">
        <v>0</v>
      </c>
      <c r="AM143" s="146">
        <v>0</v>
      </c>
      <c r="AN143" s="146">
        <v>0.2</v>
      </c>
      <c r="AO143" s="146">
        <v>0.8</v>
      </c>
    </row>
    <row r="144" spans="1:41" ht="36" customHeight="1">
      <c r="A144" s="261"/>
      <c r="B144" s="262" t="s">
        <v>453</v>
      </c>
      <c r="C144" s="262"/>
      <c r="D144" s="149">
        <f>D143/COEFFICIENTS!$B$38</f>
        <v>0</v>
      </c>
      <c r="E144" s="149">
        <f>E143/COEFFICIENTS!$B$38</f>
        <v>0</v>
      </c>
      <c r="F144" s="149">
        <f>F143/COEFFICIENTS!$B$38</f>
        <v>95.23071549700262</v>
      </c>
      <c r="G144" s="149">
        <f>G143/COEFFICIENTS!$B$38</f>
        <v>0</v>
      </c>
      <c r="H144" s="149">
        <f>H143/COEFFICIENTS!$B$38</f>
        <v>235.12577141404222</v>
      </c>
      <c r="I144" s="149">
        <f>I143/COEFFICIENTS!$B$38</f>
        <v>0</v>
      </c>
      <c r="J144" s="149">
        <f>J143/COEFFICIENTS!$B$38</f>
        <v>138.83261074377262</v>
      </c>
      <c r="K144" s="149">
        <f>K143/COEFFICIENTS!$B$38</f>
        <v>0</v>
      </c>
      <c r="L144" s="149">
        <f>L143/COEFFICIENTS!$B$38</f>
        <v>198.03567251803062</v>
      </c>
      <c r="M144" s="149">
        <f>M143/COEFFICIENTS!$B$38</f>
        <v>0</v>
      </c>
      <c r="N144" s="149">
        <f>N143/COEFFICIENTS!$B$38</f>
        <v>204.45130474524979</v>
      </c>
      <c r="O144" s="149">
        <f>O143/COEFFICIENTS!$B$38</f>
        <v>0</v>
      </c>
      <c r="P144" s="149">
        <f>P143/COEFFICIENTS!$B$38</f>
        <v>215.21979379549146</v>
      </c>
      <c r="Q144" s="149">
        <f>Q143/COEFFICIENTS!$B$38</f>
        <v>0</v>
      </c>
      <c r="R144" s="149">
        <f>R143/COEFFICIENTS!$B$38</f>
        <v>0</v>
      </c>
      <c r="S144" s="149">
        <f>S143/COEFFICIENTS!$B$38</f>
        <v>1300.5897047926715</v>
      </c>
      <c r="T144" s="134"/>
    </row>
    <row r="145" spans="1:29" ht="36" customHeight="1">
      <c r="A145" s="261"/>
      <c r="B145" s="262" t="s">
        <v>458</v>
      </c>
      <c r="C145" s="262"/>
      <c r="D145" s="151">
        <f>IF(D125=AH139,AL139,IF(D125=AH138,AL138,IF(D125=AH137,AL137,IF(D125=AH140,AL140,IF(D125=AH141,AL141,IF(D125=AH142,AL142,IF(D125=AH143,AL143,0)))))))</f>
        <v>0</v>
      </c>
      <c r="E145" s="151">
        <f>IF(E125=AH139,AL139,IF(E125=AH138,AL138,IF(E125=AH137,AL137,IF(E125=AH140,AL140,IF(E125=AH141,AL141,IF(E125=AH142,AL142,IF(E125=AH143,AL143,0)))))))</f>
        <v>0</v>
      </c>
      <c r="F145" s="151">
        <f>IF(F125=AH139,AL139,IF(F125=AH138,AL138,IF(F125=AH137,AL137,IF(F125=AH140,AL140,IF(F125=AH141,AL141,IF(F125=AH142,AL142,IF(F125=AH143,AL143,0)))))))</f>
        <v>1</v>
      </c>
      <c r="G145" s="151">
        <f>IF(G125=AH139,AL139,IF(G125=AH138,AL138,IF(G125=AH137,AL137,IF(G125=AH140,AL140,IF(G125=AH141,AL141,IF(G125=AH142,AL142,IF(G125=AH143,AL143,0)))))))</f>
        <v>0</v>
      </c>
      <c r="H145" s="151">
        <f>IF(H125=AH139,AL139,IF(H125=AH138,AL138,IF(H125=AH137,AL137,IF(H125=AH140,AL140,IF(H125=AH141,AL141,IF(H125=AH142,AL142,IF(H125=AH143,AL143,0)))))))</f>
        <v>1</v>
      </c>
      <c r="I145" s="151">
        <f>IF(I125=AH139,AL139,IF(I125=AH138,AL138,IF(I125=AH137,AL137,IF(I125=AH140,AL140,IF(I125=AH141,AL141,IF(I125=AH142,AL142,IF(I125=AH143,AL143,0)))))))</f>
        <v>0</v>
      </c>
      <c r="J145" s="151">
        <f>IF(J125=AH139,AL139,IF(J125=AH138,AL138,IF(J125=AH137,AL137,IF(J125=AH140,AL140,IF(J125=AH141,AL141,IF(J125=AH142,AL142,IF(J125=AH143,AL143,0)))))))</f>
        <v>0.7</v>
      </c>
      <c r="K145" s="151">
        <f>IF(K125=AH139,AL139,IF(K125=AH138,AL138,IF(K125=AH137,AL137,IF(K125=AH140,AL140,IF(K125=AH141,AL141,IF(K125=AH142,AL142,IF(K125=AH143,AL143,0)))))))</f>
        <v>0</v>
      </c>
      <c r="L145" s="151">
        <f>IF(L125=AH139,AL139,IF(L125=AH138,AL138,IF(L125=AH137,AL137,IF(L125=AH140,AL140,IF(L125=AH141,AL141,IF(L125=AH142,AL142,IF(L125=AH143,AL143,0)))))))</f>
        <v>0.6</v>
      </c>
      <c r="M145" s="151">
        <f>IF(M125=AH139,AL139,IF(M125=AH138,AL138,IF(M125=AH137,AL137,IF(M125=AH140,AL140,IF(M125=AH141,AL141,IF(M125=AH142,AL142,IF(M125=AH143,AL143,0)))))))</f>
        <v>0</v>
      </c>
      <c r="N145" s="151">
        <f>IF(N125=AH139,AL139,IF(N125=AH138,AL138,IF(N125=AH137,AL137,IF(N125=AH140,AL140,IF(N125=AH141,AL141,IF(N125=AH142,AL142,IF(N125=AH143,AL143,0)))))))</f>
        <v>0</v>
      </c>
      <c r="O145" s="151">
        <f>IF(O125=AH139,AL139,IF(O125=AH138,AL138,IF(O125=AH137,AL137,IF(O125=AH140,AL140,IF(O125=AH141,AL141,IF(O125=AH142,AL142,IF(O125=AH143,AL143,0)))))))</f>
        <v>0</v>
      </c>
      <c r="P145" s="151">
        <f>IF(P125=AH139,AL139,IF(P125=AH138,AL138,IF(P125=AH137,AL137,IF(P125=AH140,AL140,IF(P125=AH141,AL141,IF(P125=AH142,AL142,IF(P125=AH143,AL143,0)))))))</f>
        <v>0</v>
      </c>
      <c r="Q145" s="151">
        <f>IF(Q125=AH139,AL139,IF(Q125=AH138,AL138,IF(Q125=AH137,AL137,IF(Q125=AH140,AL140,IF(Q125=AH141,AL141,IF(Q125=AH142,AL142,IF(Q125=AH143,AL143,0)))))))</f>
        <v>0</v>
      </c>
      <c r="R145" s="151">
        <f>IF(R125=AH139,AL139,IF(R125=AH138,AL138,IF(R125=AH137,AL137,IF(R125=AH140,AL140,IF(R125=AH141,AL141,IF(R125=AH142,AL142,IF(R125=AH143,AL143,0)))))))</f>
        <v>0</v>
      </c>
      <c r="S145" s="151">
        <f>IF(S125=AH139,AL139,IF(S125=AH138,AL138,IF(S125=AH137,AL137,IF(S125=AH140,AL140,IF(S125=AH141,AL141,IF(S125=AH142,AL142,IF(S125=AH143,AL143,0)))))))</f>
        <v>0</v>
      </c>
      <c r="T145" s="134"/>
      <c r="U145" s="150"/>
      <c r="V145" s="148"/>
      <c r="W145" s="148"/>
      <c r="X145" s="148"/>
      <c r="Y145" s="148"/>
      <c r="Z145" s="134"/>
      <c r="AA145" s="134"/>
      <c r="AB145" s="134"/>
      <c r="AC145" s="134"/>
    </row>
    <row r="146" spans="1:29" ht="36" customHeight="1">
      <c r="A146" s="261"/>
      <c r="B146" s="262" t="s">
        <v>454</v>
      </c>
      <c r="C146" s="262"/>
      <c r="D146" s="152">
        <f>D145*D143</f>
        <v>0</v>
      </c>
      <c r="E146" s="152">
        <f t="shared" ref="E146:S146" si="68">E145*E143</f>
        <v>0</v>
      </c>
      <c r="F146" s="152">
        <f t="shared" si="68"/>
        <v>48.567664903471339</v>
      </c>
      <c r="G146" s="152">
        <f t="shared" si="68"/>
        <v>0</v>
      </c>
      <c r="H146" s="152">
        <f t="shared" si="68"/>
        <v>119.91414342116154</v>
      </c>
      <c r="I146" s="152">
        <f t="shared" si="68"/>
        <v>0</v>
      </c>
      <c r="J146" s="152">
        <f t="shared" si="68"/>
        <v>49.56324203552682</v>
      </c>
      <c r="K146" s="152">
        <f t="shared" si="68"/>
        <v>0</v>
      </c>
      <c r="L146" s="152">
        <f t="shared" si="68"/>
        <v>60.598915790517374</v>
      </c>
      <c r="M146" s="152">
        <f t="shared" si="68"/>
        <v>0</v>
      </c>
      <c r="N146" s="152">
        <f t="shared" si="68"/>
        <v>0</v>
      </c>
      <c r="O146" s="152">
        <f t="shared" si="68"/>
        <v>0</v>
      </c>
      <c r="P146" s="152">
        <f t="shared" si="68"/>
        <v>0</v>
      </c>
      <c r="Q146" s="152">
        <f t="shared" si="68"/>
        <v>0</v>
      </c>
      <c r="R146" s="152">
        <f t="shared" si="68"/>
        <v>0</v>
      </c>
      <c r="S146" s="152">
        <f t="shared" si="68"/>
        <v>0</v>
      </c>
      <c r="T146" s="134"/>
      <c r="U146" s="150"/>
      <c r="V146" s="148"/>
      <c r="W146" s="148"/>
      <c r="X146" s="148"/>
      <c r="Y146" s="148"/>
      <c r="Z146" s="134"/>
      <c r="AA146" s="134"/>
      <c r="AB146" s="134"/>
      <c r="AC146" s="134"/>
    </row>
    <row r="147" spans="1:29" ht="36" customHeight="1">
      <c r="A147" s="261"/>
      <c r="B147" s="262" t="s">
        <v>459</v>
      </c>
      <c r="C147" s="262"/>
      <c r="D147" s="151">
        <f>IF(D125=AH139,AM139,IF(D125=AH138,AM138,IF(D125=AH137,AM137,IF(D125=AH140,AM140,IF(D125=AH141,AM141,IF(D125=AH142,AM142,IF(D125=AH143,AM143,0)))))))</f>
        <v>0</v>
      </c>
      <c r="E147" s="151">
        <f>IF(E125=AH139,AM139,IF(E125=AH138,AM138,IF(E125=AH137,AM137,IF(E125=AH140,AM140,IF(E125=AH141,AM141,IF(E125=AH142,AM142,IF(E125=AH143,AM143,0)))))))</f>
        <v>0</v>
      </c>
      <c r="F147" s="151">
        <f>IF(F125=AH139,AM139,IF(F125=AH138,AM138,IF(F125=AH137,AM137,IF(F125=AH140,AM140,IF(F125=AH141,AM141,IF(F125=AH142,AM142,IF(F125=AH143,AM143,0)))))))</f>
        <v>0</v>
      </c>
      <c r="G147" s="151">
        <f>IF(G125=AH139,AM139,IF(G125=AH138,AM138,IF(G125=AH137,AM137,IF(G125=AH140,AM140,IF(G125=AH141,AM141,IF(G125=AH142,AM142,IF(G125=AH143,AM143,0)))))))</f>
        <v>0</v>
      </c>
      <c r="H147" s="151">
        <f>IF(H125=AH139,AM139,IF(H125=AH138,AM138,IF(H125=AH137,AM137,IF(H125=AH140,AM140,IF(H125=AH141,AM141,IF(H125=AH142,AM142,IF(H125=AH143,AM143,0)))))))</f>
        <v>0</v>
      </c>
      <c r="I147" s="151">
        <f>IF(I125=AH139,AM139,IF(I125=AH138,AM138,IF(I125=AH137,AM137,IF(I125=AH140,AM140,IF(I125=AH141,AM141,IF(I125=AH142,AM142,IF(I125=AH143,AM143,0)))))))</f>
        <v>0</v>
      </c>
      <c r="J147" s="151">
        <f>IF(J125=AH139,AM139,IF(J125=AH138,AM138,IF(J125=AH137,AM137,IF(J125=AH140,AM140,IF(J125=AH141,AM141,IF(J125=AH142,AM142,IF(J125=AH143,AM143,0)))))))</f>
        <v>0.2</v>
      </c>
      <c r="K147" s="151">
        <f>IF(K125=AH139,AM139,IF(K125=AH138,AM138,IF(K125=AH137,AM137,IF(K125=AH140,AM140,IF(K125=AH141,AM141,IF(K125=AH142,AM142,IF(K125=AH143,AM143,0)))))))</f>
        <v>0</v>
      </c>
      <c r="L147" s="151">
        <f>IF(L125=AH139,AM139,IF(L125=AH138,AM138,IF(L125=AH137,AM137,IF(L125=AH140,AM140,IF(L125=AH141,AM141,IF(L125=AH142,AM142,IF(L125=AH143,AM143,0)))))))</f>
        <v>0.1</v>
      </c>
      <c r="M147" s="151">
        <f>IF(M125=AH139,AM139,IF(M125=AH138,AM138,IF(M125=AH137,AM137,IF(M125=AH140,AM140,IF(M125=AH141,AM141,IF(M125=AH142,AM142,IF(M125=AH143,AM143,0)))))))</f>
        <v>0</v>
      </c>
      <c r="N147" s="151">
        <f>IF(N125=AH139,AM139,IF(N125=AH138,AM138,IF(N125=AH137,AM137,IF(N125=AH140,AM140,IF(N125=AH141,AM141,IF(N125=AH142,AM142,IF(N125=AH143,AM143,0)))))))</f>
        <v>0</v>
      </c>
      <c r="O147" s="151">
        <f>IF(O125=AH139,AM139,IF(O125=AH138,AM138,IF(O125=AH137,AM137,IF(O125=AH140,AM140,IF(O125=AH141,AM141,IF(O125=AH142,AM142,IF(O125=AH143,AM143,0)))))))</f>
        <v>0</v>
      </c>
      <c r="P147" s="151">
        <f>IF(P125=AH139,AM139,IF(P125=AH138,AM138,IF(P125=AH137,AM137,IF(P125=AH140,AM140,IF(P125=AH141,AM141,IF(P125=AH142,AM142,IF(P125=AH143,AM143,0)))))))</f>
        <v>0</v>
      </c>
      <c r="Q147" s="151">
        <f>IF(Q125=AH139,AM139,IF(Q125=AH138,AM138,IF(Q125=AH137,AM137,IF(Q125=AH140,AM140,IF(Q125=AH141,AM141,IF(Q125=AH142,AM142,IF(Q125=AH143,AM143,0)))))))</f>
        <v>0</v>
      </c>
      <c r="R147" s="151">
        <f>IF(R125=AH139,AM139,IF(R125=AH138,AM138,IF(R125=AH137,AM137,IF(R125=AH140,AM140,IF(R125=AH141,AM141,IF(R125=AH142,AM142,IF(R125=AH143,AM143,0)))))))</f>
        <v>0</v>
      </c>
      <c r="S147" s="151">
        <f>IF(S125=AH139,AM139,IF(S125=AH138,AM138,IF(S125=AH137,AM137,IF(S125=AH140,AM140,IF(S125=AH141,AM141,IF(S125=AH142,AM142,IF(S125=AH143,AM143,0)))))))</f>
        <v>0</v>
      </c>
      <c r="T147" s="134"/>
      <c r="U147" s="150"/>
      <c r="V147" s="148"/>
      <c r="W147" s="148"/>
      <c r="X147" s="148"/>
      <c r="Y147" s="148"/>
      <c r="Z147" s="134"/>
      <c r="AA147" s="134"/>
      <c r="AB147" s="134"/>
      <c r="AC147" s="134"/>
    </row>
    <row r="148" spans="1:29" ht="36" customHeight="1">
      <c r="A148" s="261"/>
      <c r="B148" s="262" t="s">
        <v>455</v>
      </c>
      <c r="C148" s="262"/>
      <c r="D148" s="152">
        <f>D147*D143</f>
        <v>0</v>
      </c>
      <c r="E148" s="152">
        <f t="shared" ref="E148:S148" si="69">E147*E143</f>
        <v>0</v>
      </c>
      <c r="F148" s="152">
        <f t="shared" si="69"/>
        <v>0</v>
      </c>
      <c r="G148" s="152">
        <f t="shared" si="69"/>
        <v>0</v>
      </c>
      <c r="H148" s="152">
        <f t="shared" si="69"/>
        <v>0</v>
      </c>
      <c r="I148" s="152">
        <f t="shared" si="69"/>
        <v>0</v>
      </c>
      <c r="J148" s="152">
        <f t="shared" si="69"/>
        <v>14.160926295864806</v>
      </c>
      <c r="K148" s="152">
        <f t="shared" si="69"/>
        <v>0</v>
      </c>
      <c r="L148" s="152">
        <f t="shared" si="69"/>
        <v>10.099819298419563</v>
      </c>
      <c r="M148" s="152">
        <f t="shared" si="69"/>
        <v>0</v>
      </c>
      <c r="N148" s="152">
        <f t="shared" si="69"/>
        <v>0</v>
      </c>
      <c r="O148" s="152">
        <f t="shared" si="69"/>
        <v>0</v>
      </c>
      <c r="P148" s="152">
        <f t="shared" si="69"/>
        <v>0</v>
      </c>
      <c r="Q148" s="152">
        <f t="shared" si="69"/>
        <v>0</v>
      </c>
      <c r="R148" s="152">
        <f t="shared" si="69"/>
        <v>0</v>
      </c>
      <c r="S148" s="152">
        <f t="shared" si="69"/>
        <v>0</v>
      </c>
      <c r="T148" s="134"/>
      <c r="U148" s="150"/>
      <c r="V148" s="148"/>
      <c r="W148" s="148"/>
      <c r="X148" s="148"/>
      <c r="Y148" s="148"/>
      <c r="Z148" s="134"/>
      <c r="AA148" s="134"/>
      <c r="AB148" s="134"/>
      <c r="AC148" s="134"/>
    </row>
    <row r="149" spans="1:29" ht="36" customHeight="1">
      <c r="A149" s="261"/>
      <c r="B149" s="262" t="s">
        <v>460</v>
      </c>
      <c r="C149" s="262"/>
      <c r="D149" s="151">
        <f>IF(D125=AH139,AN139,IF(D125=AH138,AN138,IF(D125=AH137,AN137,IF(D125=AH140,AN140,IF(D125=AH141,AN141,IF(D125=AH142,AN142,IF(D125=AH143,AN143,0)))))))</f>
        <v>0</v>
      </c>
      <c r="E149" s="151">
        <f>IF(E125=AH139,AN139,IF(E125=AH138,AN138,IF(E125=AH137,AN137,IF(E125=AH140,AN140,IF(E125=AH141,AN141,IF(E125=AH142,AN142,IF(E125=AH143,AN143,0)))))))</f>
        <v>0</v>
      </c>
      <c r="F149" s="151">
        <f>IF(F125=AH139,AN139,IF(F125=AH138,AN138,IF(F125=AH137,AN137,IF(F125=AH140,AN140,IF(F125=AH141,AN141,IF(F125=AH142,AN142,IF(F125=AH143,AN143,0)))))))</f>
        <v>0</v>
      </c>
      <c r="G149" s="151">
        <f>IF(G125=AH139,AN139,IF(G125=AH138,AN138,IF(G125=AH137,AN137,IF(G125=AH140,AN140,IF(G125=AH141,AN141,IF(G125=AH142,AN142,IF(G125=AH143,AN143,0)))))))</f>
        <v>0</v>
      </c>
      <c r="H149" s="151">
        <f>IF(H125=AH139,AN139,IF(H125=AH138,AN138,IF(H125=AH137,AN137,IF(H125=AH140,AN140,IF(H125=AH141,AN141,IF(H125=AH142,AN142,IF(H125=AH143,AN143,0)))))))</f>
        <v>0</v>
      </c>
      <c r="I149" s="151">
        <f>IF(I125=AH139,AN139,IF(I125=AH138,AN138,IF(I125=AH137,AN137,IF(I125=AH140,AN140,IF(I125=AH141,AN141,IF(I125=AH142,AN142,IF(I125=AH143,AN143,0)))))))</f>
        <v>0</v>
      </c>
      <c r="J149" s="151">
        <f>IF(J125=AH139,AN139,IF(J125=AH138,AN138,IF(J125=AH137,AN137,IF(J125=AH140,AN140,IF(J125=AH141,AN141,IF(J125=AH142,AN142,IF(J125=AH143,AN143,0)))))))</f>
        <v>0.1</v>
      </c>
      <c r="K149" s="151">
        <f>IF(K125=AH139,AN139,IF(K125=AH138,AN138,IF(K125=AH137,AN137,IF(K125=AH140,AN140,IF(K125=AH141,AN141,IF(K125=AH142,AN142,IF(K125=AH143,AN143,0)))))))</f>
        <v>0</v>
      </c>
      <c r="L149" s="151">
        <f>IF(L125=AH139,AN139,IF(L125=AH138,AN138,IF(L125=AH137,AN137,IF(L125=AH140,AN140,IF(L125=AH141,AN141,IF(L125=AH142,AN142,IF(L125=AH143,AN143,0)))))))</f>
        <v>0.3</v>
      </c>
      <c r="M149" s="151">
        <f>IF(M125=AH139,AN139,IF(M125=AH138,AN138,IF(M125=AH137,AN137,IF(M125=AH140,AN140,IF(M125=AH141,AN141,IF(M125=AH142,AN142,IF(M125=AH143,AN143,0)))))))</f>
        <v>0</v>
      </c>
      <c r="N149" s="151">
        <f>IF(N125=AH139,AN139,IF(N125=AH138,AN138,IF(N125=AH137,AN137,IF(N125=AH140,AN140,IF(N125=AH141,AN141,IF(N125=AH142,AN142,IF(N125=AH143,AN143,0)))))))</f>
        <v>0.4</v>
      </c>
      <c r="O149" s="151">
        <f>IF(O125=AH139,AN139,IF(O125=AH138,AN138,IF(O125=AH137,AN137,IF(O125=AH140,AN140,IF(O125=AH141,AN141,IF(O125=AH142,AN142,IF(O125=AH143,AN143,0)))))))</f>
        <v>0</v>
      </c>
      <c r="P149" s="151">
        <f>IF(P125=AH139,AN139,IF(P125=AH138,AN138,IF(P125=AH137,AN137,IF(P125=AH140,AN140,IF(P125=AH141,AN141,IF(P125=AH142,AN142,IF(P125=AH143,AN143,0)))))))</f>
        <v>0.2</v>
      </c>
      <c r="Q149" s="151">
        <f>IF(Q125=AH139,AN139,IF(Q125=AH138,AN138,IF(Q125=AH137,AN137,IF(Q125=AH140,AN140,IF(Q125=AH141,AN141,IF(Q125=AH142,AN142,IF(Q125=AH143,AN143,0)))))))</f>
        <v>0</v>
      </c>
      <c r="R149" s="151">
        <f>IF(R125=AH139,AN139,IF(R125=AH138,AN138,IF(R125=AH137,AN137,IF(R125=AH140,AN140,IF(R125=AH141,AN141,IF(R125=AH142,AN142,IF(R125=AH143,AN143,0)))))))</f>
        <v>0</v>
      </c>
      <c r="S149" s="151">
        <f>IF(S125=AH139,AN139,IF(S125=AH138,AN138,IF(S125=AH137,AN137,IF(S125=AH140,AN140,IF(S125=AH141,AN141,IF(S125=AH142,AN142,IF(S125=AH143,AN143,0)))))))</f>
        <v>0.2</v>
      </c>
      <c r="T149" s="134"/>
      <c r="U149" s="150"/>
      <c r="V149" s="148"/>
      <c r="W149" s="148"/>
      <c r="X149" s="148"/>
      <c r="Y149" s="148"/>
      <c r="Z149" s="134"/>
      <c r="AA149" s="134"/>
      <c r="AB149" s="134"/>
      <c r="AC149" s="134"/>
    </row>
    <row r="150" spans="1:29" ht="36" customHeight="1">
      <c r="A150" s="261"/>
      <c r="B150" s="262" t="s">
        <v>456</v>
      </c>
      <c r="C150" s="262"/>
      <c r="D150" s="152">
        <f>D149*D143</f>
        <v>0</v>
      </c>
      <c r="E150" s="152">
        <f t="shared" ref="E150:S150" si="70">E149*E143</f>
        <v>0</v>
      </c>
      <c r="F150" s="152">
        <f t="shared" si="70"/>
        <v>0</v>
      </c>
      <c r="G150" s="152">
        <f t="shared" si="70"/>
        <v>0</v>
      </c>
      <c r="H150" s="152">
        <f t="shared" si="70"/>
        <v>0</v>
      </c>
      <c r="I150" s="152">
        <f t="shared" si="70"/>
        <v>0</v>
      </c>
      <c r="J150" s="152">
        <f t="shared" si="70"/>
        <v>7.0804631479324032</v>
      </c>
      <c r="K150" s="152">
        <f t="shared" si="70"/>
        <v>0</v>
      </c>
      <c r="L150" s="152">
        <f t="shared" si="70"/>
        <v>30.299457895258687</v>
      </c>
      <c r="M150" s="152">
        <f t="shared" si="70"/>
        <v>0</v>
      </c>
      <c r="N150" s="152">
        <f t="shared" si="70"/>
        <v>41.70806616803096</v>
      </c>
      <c r="O150" s="152">
        <f t="shared" si="70"/>
        <v>0</v>
      </c>
      <c r="P150" s="152">
        <f t="shared" si="70"/>
        <v>21.952418967140133</v>
      </c>
      <c r="Q150" s="152">
        <f t="shared" si="70"/>
        <v>0</v>
      </c>
      <c r="R150" s="152">
        <f t="shared" si="70"/>
        <v>0</v>
      </c>
      <c r="S150" s="152">
        <f t="shared" si="70"/>
        <v>132.66014988885249</v>
      </c>
      <c r="T150" s="134"/>
      <c r="U150" s="150"/>
      <c r="V150" s="148"/>
      <c r="W150" s="148"/>
      <c r="X150" s="148"/>
      <c r="Y150" s="148"/>
      <c r="Z150" s="134"/>
      <c r="AA150" s="134"/>
      <c r="AB150" s="134"/>
      <c r="AC150" s="134"/>
    </row>
    <row r="151" spans="1:29" ht="36" customHeight="1">
      <c r="A151" s="261"/>
      <c r="B151" s="262" t="s">
        <v>461</v>
      </c>
      <c r="C151" s="262"/>
      <c r="D151" s="151">
        <f>IF(D125=AH139,AO139,IF(D125=AH138,AO138,IF(D125=AH137,AO137,IF(D125=AH140,AO140,IF(D125=AH141,AO141,IF(D125=AH142,AO142,IF(D125=AH143,AO143,0)))))))</f>
        <v>0</v>
      </c>
      <c r="E151" s="151">
        <f>IF(E125=AH139,AO139,IF(E125=AH138,AO138,IF(E125=AH137,AO137,IF(E125=AH140,AO140,IF(E125=AH141,AO141,IF(E125=AH142,AO142,IF(E125=AH143,AO143,0)))))))</f>
        <v>0</v>
      </c>
      <c r="F151" s="151">
        <f>IF(F125=AH139,AO139,IF(F125=AH138,AO138,IF(F125=AH137,AO137,IF(F125=AH140,AO140,IF(F125=AH141,AO141,IF(F125=AH142,AO142,IF(F125=AH143,AO143,0)))))))</f>
        <v>0</v>
      </c>
      <c r="G151" s="151">
        <f>IF(G125=AH139,AO139,IF(G125=AH138,AO138,IF(G125=AH137,AO137,IF(G125=AH140,AO140,IF(G125=AH141,AO141,IF(G125=AH142,AO142,IF(G125=AH143,AO143,0)))))))</f>
        <v>0</v>
      </c>
      <c r="H151" s="151">
        <f>IF(H125=AH139,AO139,IF(H125=AH138,AO138,IF(H125=AH137,AO137,IF(H125=AH140,AO140,IF(H125=AH141,AO141,IF(H125=AH142,AO142,IF(H125=AH143,AO143,0)))))))</f>
        <v>0</v>
      </c>
      <c r="I151" s="151">
        <f>IF(I125=AH139,AO139,IF(I125=AH138,AO138,IF(I125=AH137,AO137,IF(I125=AH140,AO140,IF(I125=AH141,AO141,IF(I125=AH142,AO142,IF(I125=AH143,AO143,0)))))))</f>
        <v>0</v>
      </c>
      <c r="J151" s="151">
        <f>IF(J125=AH139,AO139,IF(J125=AH138,AO138,IF(J125=AH137,AO137,IF(J125=AH140,AO140,IF(J125=AH141,AO141,IF(J125=AH142,AO142,IF(J125=AH143,AO143,0)))))))</f>
        <v>0</v>
      </c>
      <c r="K151" s="151">
        <f>IF(K125=AH139,AO139,IF(K125=AH138,AO138,IF(K125=AH137,AO137,IF(K125=AH140,AO140,IF(K125=AH141,AO141,IF(K125=AH142,AO142,IF(K125=AH143,AO143,0)))))))</f>
        <v>0</v>
      </c>
      <c r="L151" s="151">
        <f>IF(L125=AH139,AO139,IF(L125=AH138,AO138,IF(L125=AH137,AO137,IF(L125=AH140,AO140,IF(L125=AH141,AO141,IF(L125=AH142,AO142,IF(L125=AH143,AO143,0)))))))</f>
        <v>0</v>
      </c>
      <c r="M151" s="151">
        <f>IF(M125=AH139,AO139,IF(M125=AH138,AO138,IF(M125=AH137,AO137,IF(M125=AH140,AO140,IF(M125=AH141,AO141,IF(M125=AH142,AO142,IF(M125=AH143,AO143,0)))))))</f>
        <v>0</v>
      </c>
      <c r="N151" s="151">
        <f>IF(N125=AH139,AO139,IF(N125=AH138,AO138,IF(N125=AH137,AO137,IF(N125=AH140,AO140,IF(N125=AH141,AO141,IF(N125=AH142,AO142,IF(N125=AH143,AO143,0)))))))</f>
        <v>0.6</v>
      </c>
      <c r="O151" s="151">
        <f>IF(O125=AH139,AO139,IF(O125=AH138,AO138,IF(O125=AH137,AO137,IF(O125=AH140,AO140,IF(O125=AH141,AO141,IF(O125=AH142,AO142,IF(O125=AH143,AO143,0)))))))</f>
        <v>0</v>
      </c>
      <c r="P151" s="151">
        <f>IF(P125=AH139,AO139,IF(P125=AH138,AO138,IF(P125=AH137,AO137,IF(P125=AH140,AO140,IF(P125=AH141,AO141,IF(P125=AH142,AO142,IF(P125=AH143,AO143,0)))))))</f>
        <v>0.8</v>
      </c>
      <c r="Q151" s="151">
        <f>IF(Q125=AH139,AO139,IF(Q125=AH138,AO138,IF(Q125=AH137,AO137,IF(Q125=AH140,AO140,IF(Q125=AH141,AO141,IF(Q125=AH142,AO142,IF(Q125=AH143,AO143,0)))))))</f>
        <v>0</v>
      </c>
      <c r="R151" s="151">
        <f>IF(R125=AH139,AO139,IF(R125=AH138,AO138,IF(R125=AH137,AO137,IF(R125=AH140,AO140,IF(R125=AH141,AO141,IF(R125=AH142,AO142,IF(R125=AH143,AO143,0)))))))</f>
        <v>0</v>
      </c>
      <c r="S151" s="151">
        <f>IF(S125=AH139,AO139,IF(S125=AH138,AO138,IF(S125=AH137,AO137,IF(S125=AH140,AO140,IF(S125=AH141,AO141,IF(S125=AH142,AO142,IF(S125=AH143,AO143,0)))))))</f>
        <v>0.8</v>
      </c>
      <c r="T151" s="134"/>
      <c r="U151" s="150"/>
      <c r="V151" s="148"/>
      <c r="W151" s="148"/>
      <c r="X151" s="148"/>
      <c r="Y151" s="148"/>
      <c r="Z151" s="134"/>
      <c r="AA151" s="134"/>
      <c r="AB151" s="134"/>
      <c r="AC151" s="134"/>
    </row>
    <row r="152" spans="1:29" ht="36" customHeight="1">
      <c r="A152" s="261"/>
      <c r="B152" s="262" t="s">
        <v>457</v>
      </c>
      <c r="C152" s="262"/>
      <c r="D152" s="152">
        <f>D151*D143</f>
        <v>0</v>
      </c>
      <c r="E152" s="152">
        <f t="shared" ref="E152:S152" si="71">E151*E143</f>
        <v>0</v>
      </c>
      <c r="F152" s="152">
        <f t="shared" si="71"/>
        <v>0</v>
      </c>
      <c r="G152" s="152">
        <f t="shared" si="71"/>
        <v>0</v>
      </c>
      <c r="H152" s="152">
        <f t="shared" si="71"/>
        <v>0</v>
      </c>
      <c r="I152" s="152">
        <f t="shared" si="71"/>
        <v>0</v>
      </c>
      <c r="J152" s="152">
        <f t="shared" si="71"/>
        <v>0</v>
      </c>
      <c r="K152" s="152">
        <f t="shared" si="71"/>
        <v>0</v>
      </c>
      <c r="L152" s="152">
        <f t="shared" si="71"/>
        <v>0</v>
      </c>
      <c r="M152" s="152">
        <f t="shared" si="71"/>
        <v>0</v>
      </c>
      <c r="N152" s="152">
        <f t="shared" si="71"/>
        <v>62.56209925204643</v>
      </c>
      <c r="O152" s="152">
        <f t="shared" si="71"/>
        <v>0</v>
      </c>
      <c r="P152" s="152">
        <f t="shared" si="71"/>
        <v>87.809675868560532</v>
      </c>
      <c r="Q152" s="152">
        <f t="shared" si="71"/>
        <v>0</v>
      </c>
      <c r="R152" s="152">
        <f t="shared" si="71"/>
        <v>0</v>
      </c>
      <c r="S152" s="152">
        <f t="shared" si="71"/>
        <v>530.64059955540995</v>
      </c>
      <c r="T152" s="134"/>
      <c r="U152" s="150"/>
      <c r="V152" s="148"/>
      <c r="W152" s="148"/>
      <c r="X152" s="148"/>
      <c r="Y152" s="148"/>
      <c r="Z152" s="134"/>
      <c r="AA152" s="134"/>
      <c r="AB152" s="134"/>
      <c r="AC152" s="134"/>
    </row>
    <row r="153" spans="1:29" ht="36" customHeight="1">
      <c r="U153" s="150"/>
      <c r="V153" s="148"/>
      <c r="W153" s="148"/>
      <c r="X153" s="148"/>
      <c r="Y153" s="148"/>
      <c r="Z153" s="134"/>
      <c r="AA153" s="134"/>
      <c r="AB153" s="134"/>
      <c r="AC153" s="134"/>
    </row>
    <row r="154" spans="1:29" ht="36" customHeight="1">
      <c r="U154" s="136"/>
      <c r="V154" s="136"/>
      <c r="W154" s="136"/>
      <c r="X154" s="136"/>
      <c r="Y154" s="136"/>
      <c r="Z154" s="136"/>
      <c r="AA154" s="136"/>
      <c r="AB154" s="148"/>
      <c r="AC154" s="148"/>
    </row>
  </sheetData>
  <mergeCells count="152">
    <mergeCell ref="AG133:AH133"/>
    <mergeCell ref="B132:C132"/>
    <mergeCell ref="AG134:AH134"/>
    <mergeCell ref="A133:A137"/>
    <mergeCell ref="B138:C138"/>
    <mergeCell ref="A105:A119"/>
    <mergeCell ref="A138:A152"/>
    <mergeCell ref="A44:A46"/>
    <mergeCell ref="A47:A59"/>
    <mergeCell ref="B109:C109"/>
    <mergeCell ref="B142:C142"/>
    <mergeCell ref="B152:C152"/>
    <mergeCell ref="B139:C139"/>
    <mergeCell ref="B140:C140"/>
    <mergeCell ref="B141:C141"/>
    <mergeCell ref="B110:C110"/>
    <mergeCell ref="B111:C111"/>
    <mergeCell ref="B112:C112"/>
    <mergeCell ref="B113:C113"/>
    <mergeCell ref="B114:C114"/>
    <mergeCell ref="B115:C115"/>
    <mergeCell ref="B84:C84"/>
    <mergeCell ref="B85:C85"/>
    <mergeCell ref="B86:C86"/>
    <mergeCell ref="B149:C149"/>
    <mergeCell ref="B150:C150"/>
    <mergeCell ref="B151:C151"/>
    <mergeCell ref="B21:C21"/>
    <mergeCell ref="B49:C49"/>
    <mergeCell ref="B80:C80"/>
    <mergeCell ref="B143:C143"/>
    <mergeCell ref="B144:C144"/>
    <mergeCell ref="B145:C145"/>
    <mergeCell ref="B146:C146"/>
    <mergeCell ref="B147:C147"/>
    <mergeCell ref="B148:C148"/>
    <mergeCell ref="B131:C131"/>
    <mergeCell ref="B72:C72"/>
    <mergeCell ref="B57:C57"/>
    <mergeCell ref="B87:C87"/>
    <mergeCell ref="B55:C55"/>
    <mergeCell ref="B56:C56"/>
    <mergeCell ref="B43:C43"/>
    <mergeCell ref="B96:C96"/>
    <mergeCell ref="B38:C38"/>
    <mergeCell ref="AG127:AH127"/>
    <mergeCell ref="A126:A130"/>
    <mergeCell ref="AG128:AH128"/>
    <mergeCell ref="AG130:AI130"/>
    <mergeCell ref="AG131:AH131"/>
    <mergeCell ref="AG132:AH132"/>
    <mergeCell ref="B116:C116"/>
    <mergeCell ref="B117:C117"/>
    <mergeCell ref="B118:C118"/>
    <mergeCell ref="B119:C119"/>
    <mergeCell ref="AG125:AH125"/>
    <mergeCell ref="AL92:AO92"/>
    <mergeCell ref="B88:C88"/>
    <mergeCell ref="B89:C89"/>
    <mergeCell ref="B90:C90"/>
    <mergeCell ref="B81:C81"/>
    <mergeCell ref="B82:C82"/>
    <mergeCell ref="B83:C83"/>
    <mergeCell ref="AG126:AH126"/>
    <mergeCell ref="AG104:AH104"/>
    <mergeCell ref="B100:C100"/>
    <mergeCell ref="AG105:AH105"/>
    <mergeCell ref="B101:C101"/>
    <mergeCell ref="B105:C105"/>
    <mergeCell ref="B106:C106"/>
    <mergeCell ref="B107:C107"/>
    <mergeCell ref="B108:C108"/>
    <mergeCell ref="AG96:AH96"/>
    <mergeCell ref="AG97:AH97"/>
    <mergeCell ref="AG98:AH98"/>
    <mergeCell ref="AG99:AH99"/>
    <mergeCell ref="AG101:AI101"/>
    <mergeCell ref="AG102:AH102"/>
    <mergeCell ref="AG103:AH103"/>
    <mergeCell ref="B125:C125"/>
    <mergeCell ref="AG75:AH75"/>
    <mergeCell ref="B73:C73"/>
    <mergeCell ref="AG76:AH76"/>
    <mergeCell ref="B78:C78"/>
    <mergeCell ref="B79:C79"/>
    <mergeCell ref="AG67:AH67"/>
    <mergeCell ref="AG68:AH68"/>
    <mergeCell ref="AG69:AH69"/>
    <mergeCell ref="AG70:AH70"/>
    <mergeCell ref="AG72:AI72"/>
    <mergeCell ref="AG73:AH73"/>
    <mergeCell ref="AG74:AH74"/>
    <mergeCell ref="B67:C67"/>
    <mergeCell ref="AG45:AH45"/>
    <mergeCell ref="AG46:AH46"/>
    <mergeCell ref="AG47:AH47"/>
    <mergeCell ref="B47:C47"/>
    <mergeCell ref="B48:C48"/>
    <mergeCell ref="B50:C50"/>
    <mergeCell ref="AG39:AH39"/>
    <mergeCell ref="AG40:AH40"/>
    <mergeCell ref="A39:A41"/>
    <mergeCell ref="AG41:AH41"/>
    <mergeCell ref="AG43:AI43"/>
    <mergeCell ref="B42:C42"/>
    <mergeCell ref="AG44:AH44"/>
    <mergeCell ref="A1:W1"/>
    <mergeCell ref="A68:A71"/>
    <mergeCell ref="A4:A9"/>
    <mergeCell ref="AG6:AH6"/>
    <mergeCell ref="AG8:AI8"/>
    <mergeCell ref="AG9:AH9"/>
    <mergeCell ref="AG10:AH10"/>
    <mergeCell ref="AG11:AH11"/>
    <mergeCell ref="B10:C10"/>
    <mergeCell ref="AG12:AH12"/>
    <mergeCell ref="B11:C11"/>
    <mergeCell ref="B12:C12"/>
    <mergeCell ref="B19:C19"/>
    <mergeCell ref="B20:C20"/>
    <mergeCell ref="AG3:AH3"/>
    <mergeCell ref="AG4:AH4"/>
    <mergeCell ref="AG5:AH5"/>
    <mergeCell ref="B29:C29"/>
    <mergeCell ref="B30:C30"/>
    <mergeCell ref="B31:C31"/>
    <mergeCell ref="B32:C32"/>
    <mergeCell ref="AG38:AH38"/>
    <mergeCell ref="B23:C23"/>
    <mergeCell ref="B24:C24"/>
    <mergeCell ref="B3:C3"/>
    <mergeCell ref="A19:A32"/>
    <mergeCell ref="B22:C22"/>
    <mergeCell ref="A97:A99"/>
    <mergeCell ref="A102:A104"/>
    <mergeCell ref="A94:W94"/>
    <mergeCell ref="A65:W65"/>
    <mergeCell ref="A36:W36"/>
    <mergeCell ref="A123:W123"/>
    <mergeCell ref="A13:A18"/>
    <mergeCell ref="B25:C25"/>
    <mergeCell ref="B26:C26"/>
    <mergeCell ref="B27:C27"/>
    <mergeCell ref="B28:C28"/>
    <mergeCell ref="B58:C58"/>
    <mergeCell ref="B59:C59"/>
    <mergeCell ref="B51:C51"/>
    <mergeCell ref="B52:C52"/>
    <mergeCell ref="B53:C53"/>
    <mergeCell ref="B54:C54"/>
    <mergeCell ref="A74:A77"/>
    <mergeCell ref="A78:A90"/>
  </mergeCells>
  <conditionalFormatting sqref="D25:O32 D83:AE90 D112:Q119 D52:W59 D145:S152">
    <cfRule type="cellIs" dxfId="1" priority="6" operator="greaterThan">
      <formula>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BEB82-477E-B545-BAAB-F67A7370ED74}">
  <dimension ref="A1:XFD51"/>
  <sheetViews>
    <sheetView zoomScale="93" workbookViewId="0">
      <selection activeCell="K16" sqref="K16"/>
    </sheetView>
  </sheetViews>
  <sheetFormatPr baseColWidth="10" defaultRowHeight="37" customHeight="1"/>
  <cols>
    <col min="1" max="1" width="21.33203125" style="136" customWidth="1"/>
    <col min="2" max="2" width="19.33203125" style="136" customWidth="1"/>
    <col min="3" max="3" width="8" style="136" customWidth="1"/>
    <col min="4" max="4" width="13.33203125" style="136" customWidth="1"/>
    <col min="5" max="10" width="11.1640625" style="136" bestFit="1" customWidth="1"/>
    <col min="11" max="11" width="13.1640625" style="136" bestFit="1" customWidth="1"/>
    <col min="12" max="14" width="11.1640625" style="136" bestFit="1" customWidth="1"/>
    <col min="15" max="15" width="12.83203125" style="136" bestFit="1" customWidth="1"/>
    <col min="16" max="17" width="11.1640625" style="136" bestFit="1" customWidth="1"/>
    <col min="18" max="19" width="11.1640625" style="136" customWidth="1"/>
    <col min="20" max="20" width="11.1640625" style="136" bestFit="1" customWidth="1"/>
    <col min="21" max="21" width="13.83203125" style="136" customWidth="1"/>
    <col min="22" max="24" width="11.1640625" style="136" bestFit="1" customWidth="1"/>
    <col min="25" max="25" width="12.6640625" style="136" customWidth="1"/>
    <col min="26" max="26" width="10.83203125" style="136"/>
    <col min="27" max="27" width="15.83203125" style="136" customWidth="1"/>
    <col min="28" max="30" width="10.83203125" style="136"/>
    <col min="31" max="31" width="16.6640625" style="136" customWidth="1"/>
    <col min="32" max="32" width="12" style="136" customWidth="1"/>
    <col min="33" max="33" width="14" style="136" bestFit="1" customWidth="1"/>
    <col min="34" max="35" width="10.83203125" style="136"/>
    <col min="36" max="36" width="14.1640625" style="136" bestFit="1" customWidth="1"/>
    <col min="37" max="37" width="17.1640625" style="136" bestFit="1" customWidth="1"/>
    <col min="38" max="16384" width="10.83203125" style="136"/>
  </cols>
  <sheetData>
    <row r="1" spans="1:41" s="134" customFormat="1" ht="37" customHeight="1">
      <c r="A1" s="264" t="s">
        <v>441</v>
      </c>
      <c r="B1" s="264"/>
      <c r="C1" s="264"/>
      <c r="D1" s="264"/>
      <c r="E1" s="264"/>
      <c r="F1" s="264"/>
      <c r="G1" s="264"/>
      <c r="H1" s="264"/>
      <c r="I1" s="264"/>
      <c r="J1" s="264"/>
      <c r="K1" s="264"/>
      <c r="L1" s="264"/>
      <c r="M1" s="264"/>
      <c r="N1" s="264"/>
      <c r="O1" s="264"/>
      <c r="P1" s="264"/>
      <c r="Q1" s="264"/>
      <c r="R1" s="264"/>
      <c r="S1" s="264"/>
      <c r="T1" s="264"/>
      <c r="U1" s="264"/>
      <c r="V1" s="264"/>
      <c r="W1" s="264"/>
      <c r="X1" s="176"/>
      <c r="Y1" s="176"/>
      <c r="Z1" s="176"/>
      <c r="AA1" s="176"/>
      <c r="AB1" s="176"/>
      <c r="AC1" s="176"/>
      <c r="AD1" s="176"/>
      <c r="AE1" s="176"/>
      <c r="AF1" s="176"/>
      <c r="AG1" s="176"/>
      <c r="AH1" s="176"/>
    </row>
    <row r="2" spans="1:41" s="134" customFormat="1" ht="37" customHeight="1">
      <c r="D2" s="162"/>
      <c r="Q2" s="136"/>
      <c r="R2" s="136"/>
      <c r="S2" s="136"/>
      <c r="T2" s="136"/>
      <c r="U2" s="136"/>
      <c r="V2" s="136"/>
      <c r="W2" s="136"/>
      <c r="X2" s="136"/>
      <c r="Y2" s="136"/>
    </row>
    <row r="3" spans="1:41" s="134" customFormat="1" ht="37" customHeight="1">
      <c r="B3" s="260" t="s">
        <v>392</v>
      </c>
      <c r="C3" s="260"/>
      <c r="D3" s="137">
        <v>5</v>
      </c>
      <c r="E3" s="137">
        <v>10</v>
      </c>
      <c r="F3" s="137">
        <v>15</v>
      </c>
      <c r="G3" s="137">
        <v>20</v>
      </c>
      <c r="H3" s="137">
        <v>25</v>
      </c>
      <c r="I3" s="137">
        <v>30</v>
      </c>
      <c r="J3" s="137">
        <v>35</v>
      </c>
      <c r="K3" s="137">
        <v>40</v>
      </c>
      <c r="L3" s="137">
        <v>45</v>
      </c>
      <c r="M3" s="137">
        <v>50</v>
      </c>
      <c r="N3" s="137">
        <v>55</v>
      </c>
      <c r="O3" s="179">
        <v>60</v>
      </c>
      <c r="AG3" s="263" t="s">
        <v>394</v>
      </c>
      <c r="AH3" s="263"/>
      <c r="AI3" s="135">
        <f>BOISEMENT!C19</f>
        <v>13.57</v>
      </c>
      <c r="AJ3" s="136"/>
      <c r="AK3" s="136"/>
    </row>
    <row r="4" spans="1:41" s="134" customFormat="1" ht="37" customHeight="1">
      <c r="A4" s="260" t="s">
        <v>397</v>
      </c>
      <c r="B4" s="137" t="s">
        <v>398</v>
      </c>
      <c r="C4" s="137">
        <v>1</v>
      </c>
      <c r="D4" s="138">
        <v>3.5</v>
      </c>
      <c r="E4" s="138">
        <v>7</v>
      </c>
      <c r="F4" s="138">
        <v>13.5</v>
      </c>
      <c r="G4" s="138">
        <v>17.5</v>
      </c>
      <c r="H4" s="138">
        <v>22</v>
      </c>
      <c r="I4" s="138">
        <v>25</v>
      </c>
      <c r="J4" s="138">
        <v>28</v>
      </c>
      <c r="K4" s="138">
        <v>31</v>
      </c>
      <c r="L4" s="138">
        <v>34</v>
      </c>
      <c r="M4" s="138">
        <v>36.5</v>
      </c>
      <c r="N4" s="138">
        <v>38</v>
      </c>
      <c r="O4" s="184">
        <v>40</v>
      </c>
      <c r="AG4" s="263" t="s">
        <v>395</v>
      </c>
      <c r="AH4" s="263"/>
      <c r="AI4" s="135">
        <f>BOISEMENT!C21</f>
        <v>15400</v>
      </c>
      <c r="AJ4" s="136"/>
      <c r="AK4" s="136"/>
    </row>
    <row r="5" spans="1:41" s="134" customFormat="1" ht="37" customHeight="1">
      <c r="A5" s="260"/>
      <c r="B5" s="137" t="s">
        <v>398</v>
      </c>
      <c r="C5" s="137">
        <v>2</v>
      </c>
      <c r="D5" s="138">
        <v>3</v>
      </c>
      <c r="E5" s="138">
        <v>6</v>
      </c>
      <c r="F5" s="138">
        <v>11</v>
      </c>
      <c r="G5" s="138">
        <v>14</v>
      </c>
      <c r="H5" s="138">
        <v>19</v>
      </c>
      <c r="I5" s="138">
        <v>22.5</v>
      </c>
      <c r="J5" s="138">
        <v>26.5</v>
      </c>
      <c r="K5" s="138">
        <v>29</v>
      </c>
      <c r="L5" s="138">
        <v>32</v>
      </c>
      <c r="M5" s="138">
        <v>33.5</v>
      </c>
      <c r="N5" s="138">
        <v>35.5</v>
      </c>
      <c r="O5" s="184">
        <v>37</v>
      </c>
      <c r="AG5" s="263" t="s">
        <v>442</v>
      </c>
      <c r="AH5" s="263"/>
      <c r="AI5" s="135">
        <f>BOISEMENT!C8</f>
        <v>2600</v>
      </c>
    </row>
    <row r="6" spans="1:41" s="134" customFormat="1" ht="37" customHeight="1">
      <c r="A6" s="260"/>
      <c r="B6" s="137" t="s">
        <v>398</v>
      </c>
      <c r="C6" s="137">
        <v>3</v>
      </c>
      <c r="D6" s="138">
        <v>2</v>
      </c>
      <c r="E6" s="138">
        <v>4</v>
      </c>
      <c r="F6" s="138">
        <v>9.75</v>
      </c>
      <c r="G6" s="138">
        <v>13</v>
      </c>
      <c r="H6" s="138">
        <v>17.5</v>
      </c>
      <c r="I6" s="138">
        <v>21</v>
      </c>
      <c r="J6" s="138">
        <v>24</v>
      </c>
      <c r="K6" s="138">
        <v>27</v>
      </c>
      <c r="L6" s="138">
        <v>29.5</v>
      </c>
      <c r="M6" s="138">
        <v>32</v>
      </c>
      <c r="N6" s="138">
        <v>34</v>
      </c>
      <c r="O6" s="184">
        <v>36</v>
      </c>
      <c r="AG6" s="263" t="s">
        <v>398</v>
      </c>
      <c r="AH6" s="263"/>
      <c r="AI6" s="163">
        <f>BOISEMENT!E8</f>
        <v>4</v>
      </c>
    </row>
    <row r="7" spans="1:41" s="134" customFormat="1" ht="37" customHeight="1">
      <c r="A7" s="260"/>
      <c r="B7" s="137" t="s">
        <v>398</v>
      </c>
      <c r="C7" s="137">
        <v>4</v>
      </c>
      <c r="D7" s="138">
        <v>2.5</v>
      </c>
      <c r="E7" s="138">
        <v>5</v>
      </c>
      <c r="F7" s="138">
        <v>8.5</v>
      </c>
      <c r="G7" s="138">
        <v>12.5</v>
      </c>
      <c r="H7" s="138">
        <v>16</v>
      </c>
      <c r="I7" s="138">
        <v>18.5</v>
      </c>
      <c r="J7" s="138">
        <v>22</v>
      </c>
      <c r="K7" s="138">
        <v>24</v>
      </c>
      <c r="L7" s="138">
        <v>26.5</v>
      </c>
      <c r="M7" s="138">
        <v>28</v>
      </c>
      <c r="N7" s="138">
        <v>30.5</v>
      </c>
      <c r="O7" s="184">
        <v>32</v>
      </c>
    </row>
    <row r="8" spans="1:41" s="134" customFormat="1" ht="37" customHeight="1">
      <c r="A8" s="140" t="s">
        <v>406</v>
      </c>
      <c r="B8" s="265" t="s">
        <v>404</v>
      </c>
      <c r="C8" s="265"/>
      <c r="D8" s="142">
        <f>10*IF($AI$6=$C$4,0.0623*(D4^2)-(0.4512*D4)+8.9297,IF($AI$6=$C$5,0.0623*(D5^2)-(0.4512*D5)+8.9297,IF($AI$6=$C$6,0.0623*(D6^2)-(0.4512*D6)+8.9297,IF($AI$6=$C$7,0.0623*(D7^2)-(0.4512*D7)+8.9297,IF($AI$6=#REF!,0.0623*(#REF!^2)-(0.4512*#REF!)+8.9297)))))</f>
        <v>81.910750000000007</v>
      </c>
      <c r="E8" s="142">
        <f>10*IF($AI$6=$C$4,0.0623*(E4^2)-(0.4512*E4)+8.9297,IF($AI$6=$C$5,0.0623*(E5^2)-(0.4512*E5)+8.9297,IF($AI$6=$C$6,0.0623*(E6^2)-(0.4512*E6)+8.9297,IF($AI$6=$C$7,0.0623*(E7^2)-(0.4512*E7)+8.9297,IF($AI$6=#REF!,0.0623*(#REF!^2)-(0.4512*#REF!)+8.9297)))))</f>
        <v>82.312000000000012</v>
      </c>
      <c r="F8" s="142">
        <f>10*IF($AI$6=$C$4,0.0623*(F4^2)-(0.4512*F4)+8.9297,IF($AI$6=$C$5,0.0623*(F5^2)-(0.4512*F5)+8.9297,IF($AI$6=$C$6,0.0623*(F6^2)-(0.4512*F6)+8.9297,IF($AI$6=$C$7,0.0623*(F7^2)-(0.4512*F7)+8.9297,IF($AI$6=#REF!,0.0623*(#REF!^2)-(0.4512*#REF!)+8.9297)))))</f>
        <v>95.95675</v>
      </c>
      <c r="G8" s="142">
        <f>10*IF($AI$6=$C$4,0.0623*(G4^2)-(0.4512*G4)+8.9297,IF($AI$6=$C$5,0.0623*(G5^2)-(0.4512*G5)+8.9297,IF($AI$6=$C$6,0.0623*(G6^2)-(0.4512*G6)+8.9297,IF($AI$6=$C$7,0.0623*(G7^2)-(0.4512*G7)+8.9297,IF($AI$6=#REF!,0.0623*(#REF!^2)-(0.4512*#REF!)+8.9297)))))</f>
        <v>130.24074999999999</v>
      </c>
      <c r="H8" s="142">
        <f>10*IF($AI$6=$C$4,0.0623*(H4^2)-(0.4512*H4)+8.9297,IF($AI$6=$C$5,0.0623*(H5^2)-(0.4512*H5)+8.9297,IF($AI$6=$C$6,0.0623*(H6^2)-(0.4512*H6)+8.9297,IF($AI$6=$C$7,0.0623*(H7^2)-(0.4512*H7)+8.9297,IF($AI$6=#REF!,0.0623*(#REF!^2)-(0.4512*#REF!)+8.9297)))))</f>
        <v>176.59300000000002</v>
      </c>
      <c r="I8" s="142">
        <f>10*IF($AI$6=$C$4,0.0623*(I4^2)-(0.4512*I4)+8.9297,IF($AI$6=$C$5,0.0623*(I5^2)-(0.4512*I5)+8.9297,IF($AI$6=$C$6,0.0623*(I6^2)-(0.4512*I6)+8.9297,IF($AI$6=$C$7,0.0623*(I7^2)-(0.4512*I7)+8.9297,IF($AI$6=#REF!,0.0623*(#REF!^2)-(0.4512*#REF!)+8.9297)))))</f>
        <v>219.04675000000003</v>
      </c>
      <c r="J8" s="142">
        <f>10*IF($AI$6=$C$4,0.0623*(J4^2)-(0.4512*J4)+8.9297,IF($AI$6=$C$5,0.0623*(J5^2)-(0.4512*J5)+8.9297,IF($AI$6=$C$6,0.0623*(J6^2)-(0.4512*J6)+8.9297,IF($AI$6=$C$7,0.0623*(J7^2)-(0.4512*J7)+8.9297,IF($AI$6=#REF!,0.0623*(#REF!^2)-(0.4512*#REF!)+8.9297)))))</f>
        <v>291.56500000000005</v>
      </c>
      <c r="K8" s="142">
        <f>10*IF($AI$6=$C$4,0.0623*(K4^2)-(0.4512*K4)+8.9297,IF($AI$6=$C$5,0.0623*(K5^2)-(0.4512*K5)+8.9297,IF($AI$6=$C$6,0.0623*(K6^2)-(0.4512*K6)+8.9297,IF($AI$6=$C$7,0.0623*(K7^2)-(0.4512*K7)+8.9297,IF($AI$6=#REF!,0.0623*(#REF!^2)-(0.4512*#REF!)+8.9297)))))</f>
        <v>339.85699999999997</v>
      </c>
      <c r="L8" s="142">
        <f>10*IF($AI$6=$C$4,0.0623*(L4^2)-(0.4512*L4)+8.9297,IF($AI$6=$C$5,0.0623*(L5^2)-(0.4512*L5)+8.9297,IF($AI$6=$C$6,0.0623*(L6^2)-(0.4512*L6)+8.9297,IF($AI$6=$C$7,0.0623*(L7^2)-(0.4512*L7)+8.9297,IF($AI$6=#REF!,0.0623*(#REF!^2)-(0.4512*#REF!)+8.9297)))))</f>
        <v>407.23074999999994</v>
      </c>
      <c r="M8" s="142">
        <f>10*IF($AI$6=$C$4,0.0623*(M4^2)-(0.4512*M4)+8.9297,IF($AI$6=$C$5,0.0623*(M5^2)-(0.4512*M5)+8.9297,IF($AI$6=$C$6,0.0623*(M6^2)-(0.4512*M6)+8.9297,IF($AI$6=$C$7,0.0623*(M7^2)-(0.4512*M7)+8.9297,IF($AI$6=#REF!,0.0623*(#REF!^2)-(0.4512*#REF!)+8.9297)))))</f>
        <v>451.39300000000003</v>
      </c>
      <c r="N8" s="142">
        <f>10*IF($AI$6=$C$4,0.0623*(N4^2)-(0.4512*N4)+8.9297,IF($AI$6=$C$5,0.0623*(N5^2)-(0.4512*N5)+8.9297,IF($AI$6=$C$6,0.0623*(N6^2)-(0.4512*N6)+8.9297,IF($AI$6=$C$7,0.0623*(N7^2)-(0.4512*N7)+8.9297,IF($AI$6=#REF!,0.0623*(#REF!^2)-(0.4512*#REF!)+8.9297)))))</f>
        <v>531.22675000000004</v>
      </c>
      <c r="O8" s="142">
        <f>10*IF($AI$6=$C$4,0.0623*(O4^2)-(0.4512*O4)+8.9297,IF($AI$6=$C$5,0.0623*(O5^2)-(0.4512*O5)+8.9297,IF($AI$6=$C$6,0.0623*(O6^2)-(0.4512*O6)+8.9297,IF($AI$6=$C$7,0.0623*(O7^2)-(0.4512*O7)+8.9297,IF($AI$6=#REF!,0.0623*(#REF!^2)-(0.4512*#REF!)+8.9297)))))</f>
        <v>582.86500000000001</v>
      </c>
      <c r="AG8" s="261" t="s">
        <v>399</v>
      </c>
      <c r="AH8" s="261"/>
      <c r="AI8" s="261"/>
    </row>
    <row r="9" spans="1:41" s="134" customFormat="1" ht="37" customHeight="1">
      <c r="A9" s="140" t="s">
        <v>407</v>
      </c>
      <c r="B9" s="265" t="s">
        <v>404</v>
      </c>
      <c r="C9" s="265"/>
      <c r="D9" s="142">
        <f>(D8*PI())/10</f>
        <v>25.733021045003017</v>
      </c>
      <c r="E9" s="142">
        <f t="shared" ref="E9:O9" si="0">(E8*PI())/10</f>
        <v>25.859077450228305</v>
      </c>
      <c r="F9" s="142">
        <f t="shared" si="0"/>
        <v>30.145702086235236</v>
      </c>
      <c r="G9" s="142">
        <f t="shared" si="0"/>
        <v>40.916338339802486</v>
      </c>
      <c r="H9" s="142">
        <f t="shared" si="0"/>
        <v>55.478327147538245</v>
      </c>
      <c r="I9" s="142">
        <f t="shared" si="0"/>
        <v>68.815566059272015</v>
      </c>
      <c r="J9" s="142">
        <f t="shared" si="0"/>
        <v>91.597846204390819</v>
      </c>
      <c r="K9" s="142">
        <f t="shared" si="0"/>
        <v>106.76922544710662</v>
      </c>
      <c r="L9" s="142">
        <f t="shared" si="0"/>
        <v>127.93531325158615</v>
      </c>
      <c r="M9" s="142">
        <f t="shared" si="0"/>
        <v>141.80929326818574</v>
      </c>
      <c r="N9" s="142">
        <f t="shared" si="0"/>
        <v>166.88980551903816</v>
      </c>
      <c r="O9" s="142">
        <f t="shared" si="0"/>
        <v>183.11244020346149</v>
      </c>
      <c r="AG9" s="262" t="s">
        <v>400</v>
      </c>
      <c r="AH9" s="262"/>
      <c r="AI9" s="139">
        <v>0.23499999999999999</v>
      </c>
    </row>
    <row r="10" spans="1:41" s="134" customFormat="1" ht="37" customHeight="1">
      <c r="A10" s="263" t="s">
        <v>446</v>
      </c>
      <c r="B10" s="135" t="s">
        <v>398</v>
      </c>
      <c r="C10" s="135">
        <v>1</v>
      </c>
      <c r="D10" s="156">
        <v>25</v>
      </c>
      <c r="E10" s="156">
        <v>50</v>
      </c>
      <c r="F10" s="156">
        <v>160</v>
      </c>
      <c r="G10" s="156">
        <v>295</v>
      </c>
      <c r="H10" s="156">
        <v>420</v>
      </c>
      <c r="I10" s="156">
        <v>555</v>
      </c>
      <c r="J10" s="156">
        <v>700</v>
      </c>
      <c r="K10" s="156">
        <v>860</v>
      </c>
      <c r="L10" s="156">
        <v>1010</v>
      </c>
      <c r="M10" s="156">
        <v>1180</v>
      </c>
      <c r="N10" s="156">
        <v>1320</v>
      </c>
      <c r="O10" s="156">
        <v>1420</v>
      </c>
      <c r="P10" s="159"/>
      <c r="Z10" s="159"/>
      <c r="AB10" s="150"/>
      <c r="AC10" s="150"/>
      <c r="AD10" s="150"/>
      <c r="AG10" s="262" t="s">
        <v>401</v>
      </c>
      <c r="AH10" s="262"/>
      <c r="AI10" s="139">
        <v>1.756</v>
      </c>
    </row>
    <row r="11" spans="1:41" s="134" customFormat="1" ht="37" customHeight="1">
      <c r="A11" s="263"/>
      <c r="B11" s="135" t="s">
        <v>398</v>
      </c>
      <c r="C11" s="135">
        <v>2</v>
      </c>
      <c r="D11" s="156">
        <v>12</v>
      </c>
      <c r="E11" s="156">
        <v>25</v>
      </c>
      <c r="F11" s="156">
        <v>150</v>
      </c>
      <c r="G11" s="156">
        <v>220</v>
      </c>
      <c r="H11" s="156">
        <v>340</v>
      </c>
      <c r="I11" s="156">
        <v>490</v>
      </c>
      <c r="J11" s="156">
        <v>680</v>
      </c>
      <c r="K11" s="156">
        <v>840</v>
      </c>
      <c r="L11" s="156">
        <v>1050</v>
      </c>
      <c r="M11" s="156">
        <v>1160</v>
      </c>
      <c r="N11" s="156">
        <v>1340</v>
      </c>
      <c r="O11" s="156">
        <v>1500</v>
      </c>
      <c r="AG11" s="262" t="s">
        <v>402</v>
      </c>
      <c r="AH11" s="262"/>
      <c r="AI11" s="139">
        <v>4.0000000000000001E-3</v>
      </c>
    </row>
    <row r="12" spans="1:41" s="134" customFormat="1" ht="37" customHeight="1">
      <c r="A12" s="263"/>
      <c r="B12" s="135" t="s">
        <v>398</v>
      </c>
      <c r="C12" s="135">
        <v>3</v>
      </c>
      <c r="D12" s="156">
        <v>5</v>
      </c>
      <c r="E12" s="156">
        <v>10</v>
      </c>
      <c r="F12" s="156">
        <v>80</v>
      </c>
      <c r="G12" s="156">
        <v>120</v>
      </c>
      <c r="H12" s="156">
        <v>260</v>
      </c>
      <c r="I12" s="156">
        <v>360</v>
      </c>
      <c r="J12" s="156">
        <v>510</v>
      </c>
      <c r="K12" s="156">
        <v>600</v>
      </c>
      <c r="L12" s="156">
        <v>720</v>
      </c>
      <c r="M12" s="156">
        <v>850</v>
      </c>
      <c r="N12" s="156">
        <v>980</v>
      </c>
      <c r="O12" s="156">
        <v>1100</v>
      </c>
      <c r="AG12" s="262" t="s">
        <v>405</v>
      </c>
      <c r="AH12" s="262"/>
      <c r="AI12" s="139">
        <v>0.44700000000000001</v>
      </c>
    </row>
    <row r="13" spans="1:41" s="134" customFormat="1" ht="37" customHeight="1">
      <c r="A13" s="263"/>
      <c r="B13" s="135" t="s">
        <v>398</v>
      </c>
      <c r="C13" s="135">
        <v>4</v>
      </c>
      <c r="D13" s="156">
        <v>7</v>
      </c>
      <c r="E13" s="156">
        <v>15</v>
      </c>
      <c r="F13" s="156">
        <v>85</v>
      </c>
      <c r="G13" s="156">
        <v>130</v>
      </c>
      <c r="H13" s="156">
        <v>270</v>
      </c>
      <c r="I13" s="156">
        <v>360</v>
      </c>
      <c r="J13" s="156">
        <v>500</v>
      </c>
      <c r="K13" s="156">
        <v>590</v>
      </c>
      <c r="L13" s="156">
        <v>695</v>
      </c>
      <c r="M13" s="156">
        <v>795</v>
      </c>
      <c r="N13" s="156">
        <v>900</v>
      </c>
      <c r="O13" s="156">
        <v>990</v>
      </c>
      <c r="AG13" s="159"/>
      <c r="AH13" s="159"/>
      <c r="AI13" s="159"/>
      <c r="AJ13" s="159"/>
      <c r="AK13" s="159"/>
      <c r="AL13" s="159"/>
      <c r="AM13" s="159"/>
      <c r="AN13" s="159"/>
      <c r="AO13" s="159"/>
    </row>
    <row r="14" spans="1:41" s="134" customFormat="1" ht="37" customHeight="1">
      <c r="A14" s="261" t="s">
        <v>415</v>
      </c>
      <c r="B14" s="262" t="s">
        <v>473</v>
      </c>
      <c r="C14" s="262"/>
      <c r="D14" s="149">
        <f>IF($AI$6=$C$10,D10,IF($AI$6=$C$11,D11,IF($AI$6=$C$12,D12,IF($AI$6=$C$13,D13))))</f>
        <v>7</v>
      </c>
      <c r="E14" s="149">
        <f t="shared" ref="E14:O14" si="1">IF($AI$6=$C$10,E10,IF($AI$6=$C$11,E11,IF($AI$6=$C$12,E12,IF($AI$6=$C$13,E13))))</f>
        <v>15</v>
      </c>
      <c r="F14" s="149">
        <f t="shared" si="1"/>
        <v>85</v>
      </c>
      <c r="G14" s="149">
        <f t="shared" si="1"/>
        <v>130</v>
      </c>
      <c r="H14" s="149">
        <f t="shared" si="1"/>
        <v>270</v>
      </c>
      <c r="I14" s="149">
        <f t="shared" si="1"/>
        <v>360</v>
      </c>
      <c r="J14" s="149">
        <f t="shared" si="1"/>
        <v>500</v>
      </c>
      <c r="K14" s="149">
        <f t="shared" si="1"/>
        <v>590</v>
      </c>
      <c r="L14" s="149">
        <f t="shared" si="1"/>
        <v>695</v>
      </c>
      <c r="M14" s="149">
        <f t="shared" si="1"/>
        <v>795</v>
      </c>
      <c r="N14" s="149">
        <f t="shared" si="1"/>
        <v>900</v>
      </c>
      <c r="O14" s="149">
        <f t="shared" si="1"/>
        <v>990</v>
      </c>
      <c r="AG14" s="143" t="s">
        <v>408</v>
      </c>
      <c r="AH14" s="135" t="s">
        <v>392</v>
      </c>
      <c r="AI14" s="135" t="s">
        <v>397</v>
      </c>
      <c r="AJ14" s="135" t="s">
        <v>409</v>
      </c>
      <c r="AK14" s="135" t="s">
        <v>410</v>
      </c>
      <c r="AL14" s="135" t="s">
        <v>232</v>
      </c>
      <c r="AM14" s="135" t="s">
        <v>411</v>
      </c>
      <c r="AN14" s="135" t="s">
        <v>258</v>
      </c>
      <c r="AO14" s="135" t="s">
        <v>259</v>
      </c>
    </row>
    <row r="15" spans="1:41" s="134" customFormat="1" ht="37" customHeight="1">
      <c r="A15" s="261"/>
      <c r="B15" s="262" t="s">
        <v>451</v>
      </c>
      <c r="C15" s="262"/>
      <c r="D15" s="149">
        <f t="shared" ref="D15" si="2">D14*(($AI$5/$AI$4)*$AI$3)</f>
        <v>16.037272727272729</v>
      </c>
      <c r="E15" s="149">
        <f>(E14*(($AI$5/$AI$4)*$AI$3))-D18</f>
        <v>34.365584415584415</v>
      </c>
      <c r="F15" s="149">
        <f t="shared" ref="F15:O15" si="3">(F14*(($AI$5/$AI$4)*$AI$3))-E18</f>
        <v>194.73831168831171</v>
      </c>
      <c r="G15" s="149">
        <f t="shared" si="3"/>
        <v>297.83506493506496</v>
      </c>
      <c r="H15" s="149">
        <f t="shared" si="3"/>
        <v>543.82198418789017</v>
      </c>
      <c r="I15" s="149">
        <f t="shared" si="3"/>
        <v>568.85779812090118</v>
      </c>
      <c r="J15" s="149">
        <f t="shared" si="3"/>
        <v>1019.1066364926137</v>
      </c>
      <c r="K15" s="149">
        <f t="shared" si="3"/>
        <v>1060.5396623008116</v>
      </c>
      <c r="L15" s="149">
        <f t="shared" si="3"/>
        <v>1592.2720779220781</v>
      </c>
      <c r="M15" s="149">
        <f t="shared" si="3"/>
        <v>1821.3759740259741</v>
      </c>
      <c r="N15" s="149">
        <f t="shared" si="3"/>
        <v>2061.9350649350649</v>
      </c>
      <c r="O15" s="149">
        <f t="shared" si="3"/>
        <v>2268.1285714285714</v>
      </c>
      <c r="AG15" s="135" t="s">
        <v>412</v>
      </c>
      <c r="AH15" s="145">
        <v>20</v>
      </c>
      <c r="AI15" s="160">
        <f>IF(AI6=C4,G4,IF(AI6=C5,G5,IF(AI6=C6,G6,IF(AI6=C7,G7,IF(AI6=#REF!,#REF!)))))</f>
        <v>12.5</v>
      </c>
      <c r="AJ15" s="156">
        <v>850</v>
      </c>
      <c r="AK15" s="146">
        <f>((AI4/AI3)-AJ15)/(AI4/AI3)</f>
        <v>0.25100649350649357</v>
      </c>
      <c r="AL15" s="146">
        <v>0</v>
      </c>
      <c r="AM15" s="146">
        <v>0</v>
      </c>
      <c r="AN15" s="146">
        <v>1</v>
      </c>
      <c r="AO15" s="146">
        <v>0</v>
      </c>
    </row>
    <row r="16" spans="1:41" s="134" customFormat="1" ht="37" customHeight="1">
      <c r="A16" s="261"/>
      <c r="B16" s="262" t="s">
        <v>452</v>
      </c>
      <c r="C16" s="262"/>
      <c r="D16" s="149">
        <f>D15*COEFFICIENTS!$B$35</f>
        <v>6.8960272727272729</v>
      </c>
      <c r="E16" s="149">
        <f>E15*COEFFICIENTS!$B$35</f>
        <v>14.777201298701298</v>
      </c>
      <c r="F16" s="149">
        <f>F15*COEFFICIENTS!$B$35</f>
        <v>83.737474025974038</v>
      </c>
      <c r="G16" s="149">
        <f>G15*COEFFICIENTS!$B$35</f>
        <v>128.06907792207792</v>
      </c>
      <c r="H16" s="149">
        <f>H15*COEFFICIENTS!$B$35</f>
        <v>233.84345320079277</v>
      </c>
      <c r="I16" s="149">
        <f>I15*COEFFICIENTS!$B$35</f>
        <v>244.60885319198749</v>
      </c>
      <c r="J16" s="149">
        <f>J15*COEFFICIENTS!$B$35</f>
        <v>438.2158536918239</v>
      </c>
      <c r="K16" s="149">
        <f>K15*COEFFICIENTS!$B$35</f>
        <v>456.03205478934899</v>
      </c>
      <c r="L16" s="149">
        <f>L15*COEFFICIENTS!$B$35</f>
        <v>684.67699350649355</v>
      </c>
      <c r="M16" s="149">
        <f>M15*COEFFICIENTS!$B$35</f>
        <v>783.19166883116884</v>
      </c>
      <c r="N16" s="149">
        <f>N15*COEFFICIENTS!$B$35</f>
        <v>886.63207792207788</v>
      </c>
      <c r="O16" s="149">
        <f>O15*COEFFICIENTS!$B$35</f>
        <v>975.29528571428568</v>
      </c>
      <c r="AG16" s="135" t="s">
        <v>413</v>
      </c>
      <c r="AH16" s="145">
        <v>25</v>
      </c>
      <c r="AI16" s="160">
        <f>IF(AI6=C4,H4,IF(AI6=C5,H5,IF(AI6=C6,H6,IF(AI6=C7,H7,IF(AI6=#REF!,#REF!)))))</f>
        <v>16</v>
      </c>
      <c r="AJ16" s="156">
        <v>450</v>
      </c>
      <c r="AK16" s="146">
        <f>(AJ15-AJ16)/AJ15</f>
        <v>0.47058823529411764</v>
      </c>
      <c r="AL16" s="146">
        <v>0</v>
      </c>
      <c r="AM16" s="146">
        <v>0</v>
      </c>
      <c r="AN16" s="146">
        <v>1</v>
      </c>
      <c r="AO16" s="146">
        <v>0</v>
      </c>
    </row>
    <row r="17" spans="1:41" s="134" customFormat="1" ht="37" customHeight="1">
      <c r="A17" s="261"/>
      <c r="B17" s="262" t="s">
        <v>450</v>
      </c>
      <c r="C17" s="262"/>
      <c r="D17" s="149">
        <f>IF($AH$15=D3,$AK$15*D16,IF($AH$16=D3,$AK$16*D16,IF($AH$17=D3,$AK$17*D16,IF($AH$18=D3,$AK$18*D16,IF($AH$19=D3,$AK$19*D16,0)))))</f>
        <v>0</v>
      </c>
      <c r="E17" s="149">
        <f t="shared" ref="E17:O17" si="4">IF($AH$15=E3,$AK$15*E16,IF($AH$16=E3,$AK$16*E16,IF($AH$17=E3,$AK$17*E16,IF($AH$18=E3,$AK$18*E16,IF($AH$19=E3,$AK$19*E16,0)))))</f>
        <v>0</v>
      </c>
      <c r="F17" s="149">
        <f t="shared" si="4"/>
        <v>0</v>
      </c>
      <c r="G17" s="149">
        <f t="shared" si="4"/>
        <v>32.146170175830669</v>
      </c>
      <c r="H17" s="149">
        <f t="shared" si="4"/>
        <v>110.04397797684365</v>
      </c>
      <c r="I17" s="149">
        <f t="shared" si="4"/>
        <v>54.357522931552772</v>
      </c>
      <c r="J17" s="149">
        <f t="shared" si="4"/>
        <v>125.2045296262354</v>
      </c>
      <c r="K17" s="149">
        <f t="shared" si="4"/>
        <v>0</v>
      </c>
      <c r="L17" s="149">
        <f t="shared" si="4"/>
        <v>0</v>
      </c>
      <c r="M17" s="149">
        <f t="shared" si="4"/>
        <v>0</v>
      </c>
      <c r="N17" s="149">
        <f t="shared" si="4"/>
        <v>0</v>
      </c>
      <c r="O17" s="149">
        <f t="shared" si="4"/>
        <v>975.29528571428568</v>
      </c>
      <c r="Q17" s="150"/>
      <c r="R17" s="148"/>
      <c r="S17" s="148"/>
      <c r="T17" s="148"/>
      <c r="U17" s="148"/>
      <c r="AG17" s="135" t="s">
        <v>421</v>
      </c>
      <c r="AH17" s="145">
        <v>30</v>
      </c>
      <c r="AI17" s="160">
        <f>IF(AI6=C4,I4,IF(AI6=C5,I5,IF(AI6=C6,I6,IF(AI6=C7,I7,IF(AI6=#REF!,#REF!)))))</f>
        <v>18.5</v>
      </c>
      <c r="AJ17" s="156">
        <v>350</v>
      </c>
      <c r="AK17" s="146">
        <f>(AJ16-AJ17)/AJ16</f>
        <v>0.22222222222222221</v>
      </c>
      <c r="AL17" s="146">
        <v>0</v>
      </c>
      <c r="AM17" s="146">
        <v>0</v>
      </c>
      <c r="AN17" s="146">
        <v>1</v>
      </c>
      <c r="AO17" s="146">
        <v>0</v>
      </c>
    </row>
    <row r="18" spans="1:41" s="134" customFormat="1" ht="37" customHeight="1">
      <c r="A18" s="261"/>
      <c r="B18" s="262" t="s">
        <v>453</v>
      </c>
      <c r="C18" s="262"/>
      <c r="D18" s="149">
        <f>D17/COEFFICIENTS!$B$35</f>
        <v>0</v>
      </c>
      <c r="E18" s="149">
        <f>E17/COEFFICIENTS!$B$35</f>
        <v>0</v>
      </c>
      <c r="F18" s="149">
        <f>F17/COEFFICIENTS!$B$35</f>
        <v>0</v>
      </c>
      <c r="G18" s="149">
        <f>G17/COEFFICIENTS!$B$35</f>
        <v>74.75853529262946</v>
      </c>
      <c r="H18" s="149">
        <f>H17/COEFFICIENTS!$B$35</f>
        <v>255.91622785312478</v>
      </c>
      <c r="I18" s="149">
        <f>I17/COEFFICIENTS!$B$35</f>
        <v>126.41284402686692</v>
      </c>
      <c r="J18" s="149">
        <f>J17/COEFFICIENTS!$B$35</f>
        <v>291.17332471217537</v>
      </c>
      <c r="K18" s="149">
        <f>K17/COEFFICIENTS!$B$35</f>
        <v>0</v>
      </c>
      <c r="L18" s="149">
        <f>L17/COEFFICIENTS!$B$35</f>
        <v>0</v>
      </c>
      <c r="M18" s="149">
        <f>M17/COEFFICIENTS!$B$35</f>
        <v>0</v>
      </c>
      <c r="N18" s="149">
        <f>N17/COEFFICIENTS!$B$35</f>
        <v>0</v>
      </c>
      <c r="O18" s="149">
        <f>O17/COEFFICIENTS!$B$35</f>
        <v>2268.1285714285714</v>
      </c>
      <c r="Q18" s="150"/>
      <c r="R18" s="148"/>
      <c r="S18" s="148"/>
      <c r="T18" s="148"/>
      <c r="U18" s="148"/>
      <c r="AG18" s="135" t="s">
        <v>422</v>
      </c>
      <c r="AH18" s="145">
        <v>35</v>
      </c>
      <c r="AI18" s="160">
        <f>IF(AI6=C4,J4,IF(AI6=C5,J5,IF(AI6=C6,J6,IF(AI6=C7,J7,IF(AI6=#REF!,#REF!)))))</f>
        <v>22</v>
      </c>
      <c r="AJ18" s="156">
        <v>250</v>
      </c>
      <c r="AK18" s="146">
        <f>(AJ17-AJ18)/AJ17</f>
        <v>0.2857142857142857</v>
      </c>
      <c r="AL18" s="146">
        <v>0</v>
      </c>
      <c r="AM18" s="146">
        <v>0</v>
      </c>
      <c r="AN18" s="146">
        <v>0.2</v>
      </c>
      <c r="AO18" s="146">
        <v>0.8</v>
      </c>
    </row>
    <row r="19" spans="1:41" s="134" customFormat="1" ht="37" customHeight="1">
      <c r="A19" s="261"/>
      <c r="B19" s="262" t="s">
        <v>458</v>
      </c>
      <c r="C19" s="262"/>
      <c r="D19" s="151">
        <f t="shared" ref="D19:O19" si="5">IF(D3=$AH$17,$AL$17,IF(D3=$AH$16,$AL$16,IF(D3=$AH$15,$AL$15,IF(D3=$AH$18,$AL$18,IF(D3=$AH$19,$AL$19,0)))))</f>
        <v>0</v>
      </c>
      <c r="E19" s="151">
        <f t="shared" si="5"/>
        <v>0</v>
      </c>
      <c r="F19" s="151">
        <f t="shared" si="5"/>
        <v>0</v>
      </c>
      <c r="G19" s="151">
        <f t="shared" si="5"/>
        <v>0</v>
      </c>
      <c r="H19" s="151">
        <f t="shared" si="5"/>
        <v>0</v>
      </c>
      <c r="I19" s="151">
        <f t="shared" si="5"/>
        <v>0</v>
      </c>
      <c r="J19" s="151">
        <f t="shared" si="5"/>
        <v>0</v>
      </c>
      <c r="K19" s="151">
        <f t="shared" si="5"/>
        <v>0</v>
      </c>
      <c r="L19" s="151">
        <f t="shared" si="5"/>
        <v>0</v>
      </c>
      <c r="M19" s="151">
        <f t="shared" si="5"/>
        <v>0</v>
      </c>
      <c r="N19" s="151">
        <f t="shared" si="5"/>
        <v>0</v>
      </c>
      <c r="O19" s="151">
        <f t="shared" si="5"/>
        <v>0</v>
      </c>
      <c r="Q19" s="150"/>
      <c r="R19" s="148"/>
      <c r="S19" s="148"/>
      <c r="T19" s="148"/>
      <c r="U19" s="148"/>
      <c r="AG19" s="135" t="s">
        <v>414</v>
      </c>
      <c r="AH19" s="145">
        <v>60</v>
      </c>
      <c r="AI19" s="160">
        <f>IF(AI6=C4,O4,IF(AI6=C5,O5,IF(AI6=C6,O6,IF(AI6=C7,O7,IF(AI6=#REF!,#REF!)))))</f>
        <v>32</v>
      </c>
      <c r="AJ19" s="156">
        <v>0</v>
      </c>
      <c r="AK19" s="146">
        <f>(AJ18-AJ19)/AJ18</f>
        <v>1</v>
      </c>
      <c r="AL19" s="146">
        <v>0</v>
      </c>
      <c r="AM19" s="146">
        <v>0</v>
      </c>
      <c r="AN19" s="146">
        <v>0.2</v>
      </c>
      <c r="AO19" s="146">
        <v>0.8</v>
      </c>
    </row>
    <row r="20" spans="1:41" s="134" customFormat="1" ht="37" customHeight="1">
      <c r="A20" s="261"/>
      <c r="B20" s="262" t="s">
        <v>454</v>
      </c>
      <c r="C20" s="262"/>
      <c r="D20" s="152">
        <f>D19*D17</f>
        <v>0</v>
      </c>
      <c r="E20" s="152">
        <f t="shared" ref="E20:O20" si="6">E19*E17</f>
        <v>0</v>
      </c>
      <c r="F20" s="152">
        <f t="shared" si="6"/>
        <v>0</v>
      </c>
      <c r="G20" s="152">
        <f t="shared" si="6"/>
        <v>0</v>
      </c>
      <c r="H20" s="152">
        <f t="shared" si="6"/>
        <v>0</v>
      </c>
      <c r="I20" s="152">
        <f t="shared" si="6"/>
        <v>0</v>
      </c>
      <c r="J20" s="152">
        <f t="shared" si="6"/>
        <v>0</v>
      </c>
      <c r="K20" s="152">
        <f t="shared" si="6"/>
        <v>0</v>
      </c>
      <c r="L20" s="152">
        <f t="shared" si="6"/>
        <v>0</v>
      </c>
      <c r="M20" s="152">
        <f t="shared" si="6"/>
        <v>0</v>
      </c>
      <c r="N20" s="152">
        <f t="shared" si="6"/>
        <v>0</v>
      </c>
      <c r="O20" s="152">
        <f t="shared" si="6"/>
        <v>0</v>
      </c>
      <c r="Q20" s="150"/>
      <c r="R20" s="148"/>
      <c r="S20" s="148"/>
      <c r="T20" s="148"/>
      <c r="U20" s="148"/>
      <c r="AG20" s="135"/>
      <c r="AH20" s="145"/>
      <c r="AI20" s="160"/>
      <c r="AJ20" s="156"/>
      <c r="AK20" s="146"/>
      <c r="AL20" s="146"/>
      <c r="AM20" s="146"/>
      <c r="AN20" s="146"/>
      <c r="AO20" s="146"/>
    </row>
    <row r="21" spans="1:41" s="134" customFormat="1" ht="37" customHeight="1">
      <c r="A21" s="261"/>
      <c r="B21" s="262" t="s">
        <v>459</v>
      </c>
      <c r="C21" s="262"/>
      <c r="D21" s="151">
        <f t="shared" ref="D21:O21" si="7">IF(D3=$AH$17,$AM$17,IF(D3=$AH$16,$AM$16,IF(D3=$AH$15,$AM$15,IF(D3=$AH$18,$AM$18,IF(D3=$AH$19,$AM$19,0)))))</f>
        <v>0</v>
      </c>
      <c r="E21" s="151">
        <f t="shared" si="7"/>
        <v>0</v>
      </c>
      <c r="F21" s="151">
        <f t="shared" si="7"/>
        <v>0</v>
      </c>
      <c r="G21" s="151">
        <f t="shared" si="7"/>
        <v>0</v>
      </c>
      <c r="H21" s="151">
        <f t="shared" si="7"/>
        <v>0</v>
      </c>
      <c r="I21" s="151">
        <f t="shared" si="7"/>
        <v>0</v>
      </c>
      <c r="J21" s="151">
        <f t="shared" si="7"/>
        <v>0</v>
      </c>
      <c r="K21" s="151">
        <f t="shared" si="7"/>
        <v>0</v>
      </c>
      <c r="L21" s="151">
        <f t="shared" si="7"/>
        <v>0</v>
      </c>
      <c r="M21" s="151">
        <f t="shared" si="7"/>
        <v>0</v>
      </c>
      <c r="N21" s="151">
        <f t="shared" si="7"/>
        <v>0</v>
      </c>
      <c r="O21" s="151">
        <f t="shared" si="7"/>
        <v>0</v>
      </c>
      <c r="Q21" s="150"/>
      <c r="R21" s="148"/>
      <c r="S21" s="148"/>
      <c r="T21" s="148"/>
      <c r="U21" s="148"/>
    </row>
    <row r="22" spans="1:41" s="134" customFormat="1" ht="37" customHeight="1">
      <c r="A22" s="261"/>
      <c r="B22" s="262" t="s">
        <v>455</v>
      </c>
      <c r="C22" s="262"/>
      <c r="D22" s="152">
        <f>D21*D17</f>
        <v>0</v>
      </c>
      <c r="E22" s="152">
        <f t="shared" ref="E22:O22" si="8">E21*E17</f>
        <v>0</v>
      </c>
      <c r="F22" s="152">
        <f t="shared" si="8"/>
        <v>0</v>
      </c>
      <c r="G22" s="152">
        <f t="shared" si="8"/>
        <v>0</v>
      </c>
      <c r="H22" s="152">
        <f t="shared" si="8"/>
        <v>0</v>
      </c>
      <c r="I22" s="152">
        <f t="shared" si="8"/>
        <v>0</v>
      </c>
      <c r="J22" s="152">
        <f t="shared" si="8"/>
        <v>0</v>
      </c>
      <c r="K22" s="152">
        <f t="shared" si="8"/>
        <v>0</v>
      </c>
      <c r="L22" s="152">
        <f t="shared" si="8"/>
        <v>0</v>
      </c>
      <c r="M22" s="152">
        <f t="shared" si="8"/>
        <v>0</v>
      </c>
      <c r="N22" s="152">
        <f t="shared" si="8"/>
        <v>0</v>
      </c>
      <c r="O22" s="152">
        <f t="shared" si="8"/>
        <v>0</v>
      </c>
      <c r="Q22" s="150"/>
      <c r="R22" s="148"/>
      <c r="S22" s="148"/>
      <c r="T22" s="148"/>
      <c r="U22" s="148"/>
    </row>
    <row r="23" spans="1:41" s="134" customFormat="1" ht="37" customHeight="1">
      <c r="A23" s="261"/>
      <c r="B23" s="262" t="s">
        <v>460</v>
      </c>
      <c r="C23" s="262"/>
      <c r="D23" s="151">
        <f t="shared" ref="D23:O23" si="9">IF(D3=$AH$17,$AN$17,IF(D3=$AH$16,$AN$16,IF(D3=$AH$15,$AN$15,IF(D3=$AH$18,$AN$18,IF(D3=$AH$19,$AN$19,0)))))</f>
        <v>0</v>
      </c>
      <c r="E23" s="151">
        <f t="shared" si="9"/>
        <v>0</v>
      </c>
      <c r="F23" s="151">
        <f t="shared" si="9"/>
        <v>0</v>
      </c>
      <c r="G23" s="151">
        <f t="shared" si="9"/>
        <v>1</v>
      </c>
      <c r="H23" s="151">
        <f t="shared" si="9"/>
        <v>1</v>
      </c>
      <c r="I23" s="151">
        <f t="shared" si="9"/>
        <v>1</v>
      </c>
      <c r="J23" s="151">
        <f t="shared" si="9"/>
        <v>0.2</v>
      </c>
      <c r="K23" s="151">
        <f t="shared" si="9"/>
        <v>0</v>
      </c>
      <c r="L23" s="151">
        <f t="shared" si="9"/>
        <v>0</v>
      </c>
      <c r="M23" s="151">
        <f t="shared" si="9"/>
        <v>0</v>
      </c>
      <c r="N23" s="151">
        <f t="shared" si="9"/>
        <v>0</v>
      </c>
      <c r="O23" s="151">
        <f t="shared" si="9"/>
        <v>0.2</v>
      </c>
      <c r="Q23" s="150"/>
      <c r="R23" s="148"/>
      <c r="S23" s="148"/>
      <c r="T23" s="148"/>
      <c r="U23" s="148"/>
    </row>
    <row r="24" spans="1:41" s="134" customFormat="1" ht="37" customHeight="1">
      <c r="A24" s="261"/>
      <c r="B24" s="262" t="s">
        <v>456</v>
      </c>
      <c r="C24" s="262"/>
      <c r="D24" s="152">
        <f>D23*D17</f>
        <v>0</v>
      </c>
      <c r="E24" s="152">
        <f t="shared" ref="E24:O24" si="10">E23*E17</f>
        <v>0</v>
      </c>
      <c r="F24" s="152">
        <f t="shared" si="10"/>
        <v>0</v>
      </c>
      <c r="G24" s="152">
        <f t="shared" si="10"/>
        <v>32.146170175830669</v>
      </c>
      <c r="H24" s="152">
        <f t="shared" si="10"/>
        <v>110.04397797684365</v>
      </c>
      <c r="I24" s="152">
        <f t="shared" si="10"/>
        <v>54.357522931552772</v>
      </c>
      <c r="J24" s="152">
        <f t="shared" si="10"/>
        <v>25.040905925247081</v>
      </c>
      <c r="K24" s="152">
        <f t="shared" si="10"/>
        <v>0</v>
      </c>
      <c r="L24" s="152">
        <f t="shared" si="10"/>
        <v>0</v>
      </c>
      <c r="M24" s="152">
        <f t="shared" si="10"/>
        <v>0</v>
      </c>
      <c r="N24" s="152">
        <f t="shared" si="10"/>
        <v>0</v>
      </c>
      <c r="O24" s="152">
        <f t="shared" si="10"/>
        <v>195.05905714285714</v>
      </c>
      <c r="Q24" s="150"/>
      <c r="R24" s="148"/>
      <c r="S24" s="148"/>
      <c r="T24" s="148"/>
      <c r="U24" s="148"/>
    </row>
    <row r="25" spans="1:41" s="134" customFormat="1" ht="37" customHeight="1">
      <c r="A25" s="261"/>
      <c r="B25" s="262" t="s">
        <v>461</v>
      </c>
      <c r="C25" s="262"/>
      <c r="D25" s="151">
        <f t="shared" ref="D25:O25" si="11">IF(D3=$AH$17,$AO$17,IF(D3=$AH$16,$AO$16,IF(D3=$AH$15,$AO$15,IF(D3=$AH$18,$AO$18,IF(D3=$AH$19,$AO$19,0)))))</f>
        <v>0</v>
      </c>
      <c r="E25" s="151">
        <f t="shared" si="11"/>
        <v>0</v>
      </c>
      <c r="F25" s="151">
        <f t="shared" si="11"/>
        <v>0</v>
      </c>
      <c r="G25" s="151">
        <f t="shared" si="11"/>
        <v>0</v>
      </c>
      <c r="H25" s="151">
        <f t="shared" si="11"/>
        <v>0</v>
      </c>
      <c r="I25" s="151">
        <f t="shared" si="11"/>
        <v>0</v>
      </c>
      <c r="J25" s="151">
        <f t="shared" si="11"/>
        <v>0.8</v>
      </c>
      <c r="K25" s="151">
        <f t="shared" si="11"/>
        <v>0</v>
      </c>
      <c r="L25" s="151">
        <f t="shared" si="11"/>
        <v>0</v>
      </c>
      <c r="M25" s="151">
        <f t="shared" si="11"/>
        <v>0</v>
      </c>
      <c r="N25" s="151">
        <f t="shared" si="11"/>
        <v>0</v>
      </c>
      <c r="O25" s="151">
        <f t="shared" si="11"/>
        <v>0.8</v>
      </c>
      <c r="Q25" s="150"/>
      <c r="R25" s="148"/>
      <c r="S25" s="148"/>
      <c r="T25" s="148"/>
      <c r="U25" s="148"/>
    </row>
    <row r="26" spans="1:41" s="134" customFormat="1" ht="37" customHeight="1">
      <c r="A26" s="261"/>
      <c r="B26" s="262" t="s">
        <v>457</v>
      </c>
      <c r="C26" s="262"/>
      <c r="D26" s="152">
        <f>D25*D17</f>
        <v>0</v>
      </c>
      <c r="E26" s="152">
        <f t="shared" ref="E26:O26" si="12">E25*E17</f>
        <v>0</v>
      </c>
      <c r="F26" s="152">
        <f t="shared" si="12"/>
        <v>0</v>
      </c>
      <c r="G26" s="152">
        <f t="shared" si="12"/>
        <v>0</v>
      </c>
      <c r="H26" s="152">
        <f t="shared" si="12"/>
        <v>0</v>
      </c>
      <c r="I26" s="152">
        <f t="shared" si="12"/>
        <v>0</v>
      </c>
      <c r="J26" s="152">
        <f t="shared" si="12"/>
        <v>100.16362370098832</v>
      </c>
      <c r="K26" s="152">
        <f t="shared" si="12"/>
        <v>0</v>
      </c>
      <c r="L26" s="152">
        <f t="shared" si="12"/>
        <v>0</v>
      </c>
      <c r="M26" s="152">
        <f t="shared" si="12"/>
        <v>0</v>
      </c>
      <c r="N26" s="152">
        <f t="shared" si="12"/>
        <v>0</v>
      </c>
      <c r="O26" s="152">
        <f t="shared" si="12"/>
        <v>780.23622857142857</v>
      </c>
      <c r="Q26" s="136"/>
      <c r="R26" s="136"/>
      <c r="S26" s="136"/>
      <c r="T26" s="136"/>
      <c r="U26" s="136"/>
      <c r="V26" s="136"/>
      <c r="W26" s="136"/>
      <c r="X26" s="148"/>
      <c r="Y26" s="148"/>
    </row>
    <row r="27" spans="1:41" s="134" customFormat="1" ht="37" customHeight="1">
      <c r="A27" s="165"/>
      <c r="B27" s="136"/>
      <c r="C27" s="136"/>
      <c r="D27" s="136"/>
      <c r="E27" s="136"/>
      <c r="F27" s="136"/>
      <c r="G27" s="136"/>
      <c r="H27" s="136"/>
      <c r="I27" s="136"/>
      <c r="J27" s="136"/>
      <c r="K27" s="136"/>
      <c r="L27" s="136"/>
      <c r="M27" s="136"/>
      <c r="N27" s="136"/>
      <c r="O27" s="136"/>
      <c r="P27" s="136"/>
      <c r="Q27" s="136"/>
      <c r="R27" s="136"/>
      <c r="S27" s="136"/>
      <c r="U27" s="136"/>
      <c r="V27" s="136"/>
      <c r="W27" s="136"/>
      <c r="X27" s="136"/>
      <c r="Y27" s="136"/>
      <c r="Z27" s="136"/>
    </row>
    <row r="28" spans="1:41" s="134" customFormat="1" ht="37" customHeight="1">
      <c r="A28" s="165"/>
      <c r="B28" s="136"/>
      <c r="C28" s="136"/>
      <c r="D28" s="136"/>
      <c r="E28" s="136"/>
      <c r="F28" s="136"/>
      <c r="G28" s="136"/>
      <c r="H28" s="136"/>
      <c r="I28" s="136"/>
      <c r="J28" s="136"/>
      <c r="K28" s="136"/>
      <c r="L28" s="136"/>
      <c r="M28" s="136"/>
      <c r="N28" s="136"/>
      <c r="O28" s="136"/>
      <c r="P28" s="136"/>
      <c r="Q28" s="136"/>
      <c r="R28" s="136"/>
      <c r="S28" s="136"/>
      <c r="U28" s="136"/>
      <c r="V28" s="136"/>
      <c r="W28" s="136"/>
      <c r="X28" s="136"/>
      <c r="Y28" s="136"/>
      <c r="Z28" s="136"/>
    </row>
    <row r="29" spans="1:41" s="134" customFormat="1" ht="37" customHeight="1">
      <c r="A29" s="136"/>
      <c r="AE29" s="161"/>
    </row>
    <row r="30" spans="1:41" s="134" customFormat="1" ht="37" customHeight="1">
      <c r="A30" s="136"/>
      <c r="AE30" s="161"/>
    </row>
    <row r="31" spans="1:41" s="134" customFormat="1" ht="37" customHeight="1">
      <c r="AE31" s="161"/>
    </row>
    <row r="32" spans="1:41" s="134" customFormat="1" ht="37" customHeight="1">
      <c r="AE32" s="161"/>
    </row>
    <row r="33" spans="2:32" s="134" customFormat="1" ht="37" customHeight="1">
      <c r="AE33" s="161"/>
    </row>
    <row r="34" spans="2:32" s="134" customFormat="1" ht="37" customHeight="1">
      <c r="AE34" s="161"/>
    </row>
    <row r="35" spans="2:32" s="134" customFormat="1" ht="37" customHeight="1">
      <c r="AE35" s="161"/>
    </row>
    <row r="36" spans="2:32" s="134" customFormat="1" ht="37" customHeight="1"/>
    <row r="37" spans="2:32" s="134" customFormat="1" ht="37" customHeight="1"/>
    <row r="38" spans="2:32" s="134" customFormat="1" ht="37" customHeight="1"/>
    <row r="39" spans="2:32" s="134" customFormat="1" ht="37" customHeight="1"/>
    <row r="40" spans="2:32" s="134" customFormat="1" ht="37" customHeight="1"/>
    <row r="41" spans="2:32" s="134" customFormat="1" ht="37" customHeight="1"/>
    <row r="42" spans="2:32" s="134" customFormat="1" ht="37" customHeight="1"/>
    <row r="43" spans="2:32" s="134" customFormat="1" ht="37" customHeight="1"/>
    <row r="44" spans="2:32" s="134" customFormat="1" ht="37" customHeight="1"/>
    <row r="45" spans="2:32" s="134" customFormat="1" ht="37" customHeight="1"/>
    <row r="46" spans="2:32" s="134" customFormat="1" ht="37" customHeight="1"/>
    <row r="47" spans="2:32" s="134" customFormat="1" ht="37" customHeight="1"/>
    <row r="48" spans="2:32" s="134" customFormat="1" ht="37" customHeight="1">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row>
    <row r="49" spans="1:16384" s="134" customFormat="1" ht="37" customHeight="1">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row>
    <row r="50" spans="1:16384" s="134" customFormat="1" ht="37"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c r="DL50" s="136"/>
      <c r="DM50" s="136"/>
      <c r="DN50" s="136"/>
      <c r="DO50" s="136"/>
      <c r="DP50" s="136"/>
      <c r="DQ50" s="136"/>
      <c r="DR50" s="136"/>
      <c r="DS50" s="136"/>
      <c r="DT50" s="136"/>
      <c r="DU50" s="136"/>
      <c r="DV50" s="136"/>
      <c r="DW50" s="136"/>
      <c r="DX50" s="136"/>
      <c r="DY50" s="136"/>
      <c r="DZ50" s="136"/>
      <c r="EA50" s="136"/>
      <c r="EB50" s="136"/>
      <c r="EC50" s="136"/>
      <c r="ED50" s="136"/>
      <c r="EE50" s="136"/>
      <c r="EF50" s="136"/>
      <c r="EG50" s="136"/>
      <c r="EH50" s="136"/>
      <c r="EI50" s="136"/>
      <c r="EJ50" s="136"/>
      <c r="EK50" s="136"/>
      <c r="EL50" s="136"/>
      <c r="EM50" s="136"/>
      <c r="EN50" s="136"/>
      <c r="EO50" s="136"/>
      <c r="EP50" s="136"/>
      <c r="EQ50" s="136"/>
      <c r="ER50" s="136"/>
      <c r="ES50" s="136"/>
      <c r="ET50" s="136"/>
      <c r="EU50" s="136"/>
      <c r="EV50" s="136"/>
      <c r="EW50" s="136"/>
      <c r="EX50" s="136"/>
      <c r="EY50" s="136"/>
      <c r="EZ50" s="136"/>
      <c r="FA50" s="136"/>
      <c r="FB50" s="136"/>
      <c r="FC50" s="136"/>
      <c r="FD50" s="136"/>
      <c r="FE50" s="136"/>
      <c r="FF50" s="136"/>
      <c r="FG50" s="136"/>
      <c r="FH50" s="136"/>
      <c r="FI50" s="136"/>
      <c r="FJ50" s="136"/>
      <c r="FK50" s="136"/>
      <c r="FL50" s="136"/>
      <c r="FM50" s="136"/>
      <c r="FN50" s="136"/>
      <c r="FO50" s="136"/>
      <c r="FP50" s="136"/>
      <c r="FQ50" s="136"/>
      <c r="FR50" s="136"/>
      <c r="FS50" s="136"/>
      <c r="FT50" s="136"/>
      <c r="FU50" s="136"/>
      <c r="FV50" s="136"/>
      <c r="FW50" s="136"/>
      <c r="FX50" s="136"/>
      <c r="FY50" s="136"/>
      <c r="FZ50" s="136"/>
      <c r="GA50" s="136"/>
      <c r="GB50" s="136"/>
      <c r="GC50" s="136"/>
      <c r="GD50" s="136"/>
      <c r="GE50" s="136"/>
      <c r="GF50" s="136"/>
      <c r="GG50" s="136"/>
      <c r="GH50" s="136"/>
      <c r="GI50" s="136"/>
      <c r="GJ50" s="136"/>
      <c r="GK50" s="136"/>
      <c r="GL50" s="136"/>
      <c r="GM50" s="136"/>
      <c r="GN50" s="136"/>
      <c r="GO50" s="136"/>
      <c r="GP50" s="136"/>
      <c r="GQ50" s="136"/>
      <c r="GR50" s="136"/>
      <c r="GS50" s="136"/>
      <c r="GT50" s="136"/>
      <c r="GU50" s="136"/>
      <c r="GV50" s="136"/>
      <c r="GW50" s="136"/>
      <c r="GX50" s="136"/>
      <c r="GY50" s="136"/>
      <c r="GZ50" s="136"/>
      <c r="HA50" s="136"/>
      <c r="HB50" s="136"/>
      <c r="HC50" s="136"/>
      <c r="HD50" s="136"/>
      <c r="HE50" s="136"/>
      <c r="HF50" s="136"/>
      <c r="HG50" s="136"/>
      <c r="HH50" s="136"/>
      <c r="HI50" s="136"/>
      <c r="HJ50" s="136"/>
      <c r="HK50" s="136"/>
      <c r="HL50" s="136"/>
      <c r="HM50" s="136"/>
      <c r="HN50" s="136"/>
      <c r="HO50" s="136"/>
      <c r="HP50" s="136"/>
      <c r="HQ50" s="136"/>
      <c r="HR50" s="136"/>
      <c r="HS50" s="136"/>
      <c r="HT50" s="136"/>
      <c r="HU50" s="136"/>
      <c r="HV50" s="136"/>
      <c r="HW50" s="136"/>
      <c r="HX50" s="136"/>
      <c r="HY50" s="136"/>
      <c r="HZ50" s="136"/>
      <c r="IA50" s="136"/>
      <c r="IB50" s="136"/>
      <c r="IC50" s="136"/>
      <c r="ID50" s="136"/>
      <c r="IE50" s="136"/>
      <c r="IF50" s="136"/>
      <c r="IG50" s="136"/>
      <c r="IH50" s="136"/>
      <c r="II50" s="136"/>
      <c r="IJ50" s="136"/>
      <c r="IK50" s="136"/>
      <c r="IL50" s="136"/>
      <c r="IM50" s="136"/>
      <c r="IN50" s="136"/>
      <c r="IO50" s="136"/>
      <c r="IP50" s="136"/>
      <c r="IQ50" s="136"/>
      <c r="IR50" s="136"/>
      <c r="IS50" s="136"/>
      <c r="IT50" s="136"/>
      <c r="IU50" s="136"/>
      <c r="IV50" s="136"/>
      <c r="IW50" s="136"/>
      <c r="IX50" s="136"/>
      <c r="IY50" s="136"/>
      <c r="IZ50" s="136"/>
      <c r="JA50" s="136"/>
      <c r="JB50" s="136"/>
      <c r="JC50" s="136"/>
      <c r="JD50" s="136"/>
      <c r="JE50" s="136"/>
      <c r="JF50" s="136"/>
      <c r="JG50" s="136"/>
      <c r="JH50" s="136"/>
      <c r="JI50" s="136"/>
      <c r="JJ50" s="136"/>
      <c r="JK50" s="136"/>
      <c r="JL50" s="136"/>
      <c r="JM50" s="136"/>
      <c r="JN50" s="136"/>
      <c r="JO50" s="136"/>
      <c r="JP50" s="136"/>
      <c r="JQ50" s="136"/>
      <c r="JR50" s="136"/>
      <c r="JS50" s="136"/>
      <c r="JT50" s="136"/>
      <c r="JU50" s="136"/>
      <c r="JV50" s="136"/>
      <c r="JW50" s="136"/>
      <c r="JX50" s="136"/>
      <c r="JY50" s="136"/>
      <c r="JZ50" s="136"/>
      <c r="KA50" s="136"/>
      <c r="KB50" s="136"/>
      <c r="KC50" s="136"/>
      <c r="KD50" s="136"/>
      <c r="KE50" s="136"/>
      <c r="KF50" s="136"/>
      <c r="KG50" s="136"/>
      <c r="KH50" s="136"/>
      <c r="KI50" s="136"/>
      <c r="KJ50" s="136"/>
      <c r="KK50" s="136"/>
      <c r="KL50" s="136"/>
      <c r="KM50" s="136"/>
      <c r="KN50" s="136"/>
      <c r="KO50" s="136"/>
      <c r="KP50" s="136"/>
      <c r="KQ50" s="136"/>
      <c r="KR50" s="136"/>
      <c r="KS50" s="136"/>
      <c r="KT50" s="136"/>
      <c r="KU50" s="136"/>
      <c r="KV50" s="136"/>
      <c r="KW50" s="136"/>
      <c r="KX50" s="136"/>
      <c r="KY50" s="136"/>
      <c r="KZ50" s="136"/>
      <c r="LA50" s="136"/>
      <c r="LB50" s="136"/>
      <c r="LC50" s="136"/>
      <c r="LD50" s="136"/>
      <c r="LE50" s="136"/>
      <c r="LF50" s="136"/>
      <c r="LG50" s="136"/>
      <c r="LH50" s="136"/>
      <c r="LI50" s="136"/>
      <c r="LJ50" s="136"/>
      <c r="LK50" s="136"/>
      <c r="LL50" s="136"/>
      <c r="LM50" s="136"/>
      <c r="LN50" s="136"/>
      <c r="LO50" s="136"/>
      <c r="LP50" s="136"/>
      <c r="LQ50" s="136"/>
      <c r="LR50" s="136"/>
      <c r="LS50" s="136"/>
      <c r="LT50" s="136"/>
      <c r="LU50" s="136"/>
      <c r="LV50" s="136"/>
      <c r="LW50" s="136"/>
      <c r="LX50" s="136"/>
      <c r="LY50" s="136"/>
      <c r="LZ50" s="136"/>
      <c r="MA50" s="136"/>
      <c r="MB50" s="136"/>
      <c r="MC50" s="136"/>
      <c r="MD50" s="136"/>
      <c r="ME50" s="136"/>
      <c r="MF50" s="136"/>
      <c r="MG50" s="136"/>
      <c r="MH50" s="136"/>
      <c r="MI50" s="136"/>
      <c r="MJ50" s="136"/>
      <c r="MK50" s="136"/>
      <c r="ML50" s="136"/>
      <c r="MM50" s="136"/>
      <c r="MN50" s="136"/>
      <c r="MO50" s="136"/>
      <c r="MP50" s="136"/>
      <c r="MQ50" s="136"/>
      <c r="MR50" s="136"/>
      <c r="MS50" s="136"/>
      <c r="MT50" s="136"/>
      <c r="MU50" s="136"/>
      <c r="MV50" s="136"/>
      <c r="MW50" s="136"/>
      <c r="MX50" s="136"/>
      <c r="MY50" s="136"/>
      <c r="MZ50" s="136"/>
      <c r="NA50" s="136"/>
      <c r="NB50" s="136"/>
      <c r="NC50" s="136"/>
      <c r="ND50" s="136"/>
      <c r="NE50" s="136"/>
      <c r="NF50" s="136"/>
      <c r="NG50" s="136"/>
      <c r="NH50" s="136"/>
      <c r="NI50" s="136"/>
      <c r="NJ50" s="136"/>
      <c r="NK50" s="136"/>
      <c r="NL50" s="136"/>
      <c r="NM50" s="136"/>
      <c r="NN50" s="136"/>
      <c r="NO50" s="136"/>
      <c r="NP50" s="136"/>
      <c r="NQ50" s="136"/>
      <c r="NR50" s="136"/>
      <c r="NS50" s="136"/>
      <c r="NT50" s="136"/>
      <c r="NU50" s="136"/>
      <c r="NV50" s="136"/>
      <c r="NW50" s="136"/>
      <c r="NX50" s="136"/>
      <c r="NY50" s="136"/>
      <c r="NZ50" s="136"/>
      <c r="OA50" s="136"/>
      <c r="OB50" s="136"/>
      <c r="OC50" s="136"/>
      <c r="OD50" s="136"/>
      <c r="OE50" s="136"/>
      <c r="OF50" s="136"/>
      <c r="OG50" s="136"/>
      <c r="OH50" s="136"/>
      <c r="OI50" s="136"/>
      <c r="OJ50" s="136"/>
      <c r="OK50" s="136"/>
      <c r="OL50" s="136"/>
      <c r="OM50" s="136"/>
      <c r="ON50" s="136"/>
      <c r="OO50" s="136"/>
      <c r="OP50" s="136"/>
      <c r="OQ50" s="136"/>
      <c r="OR50" s="136"/>
      <c r="OS50" s="136"/>
      <c r="OT50" s="136"/>
      <c r="OU50" s="136"/>
      <c r="OV50" s="136"/>
      <c r="OW50" s="136"/>
      <c r="OX50" s="136"/>
      <c r="OY50" s="136"/>
      <c r="OZ50" s="136"/>
      <c r="PA50" s="136"/>
      <c r="PB50" s="136"/>
      <c r="PC50" s="136"/>
      <c r="PD50" s="136"/>
      <c r="PE50" s="136"/>
      <c r="PF50" s="136"/>
      <c r="PG50" s="136"/>
      <c r="PH50" s="136"/>
      <c r="PI50" s="136"/>
      <c r="PJ50" s="136"/>
      <c r="PK50" s="136"/>
      <c r="PL50" s="136"/>
      <c r="PM50" s="136"/>
      <c r="PN50" s="136"/>
      <c r="PO50" s="136"/>
      <c r="PP50" s="136"/>
      <c r="PQ50" s="136"/>
      <c r="PR50" s="136"/>
      <c r="PS50" s="136"/>
      <c r="PT50" s="136"/>
      <c r="PU50" s="136"/>
      <c r="PV50" s="136"/>
      <c r="PW50" s="136"/>
      <c r="PX50" s="136"/>
      <c r="PY50" s="136"/>
      <c r="PZ50" s="136"/>
      <c r="QA50" s="136"/>
      <c r="QB50" s="136"/>
      <c r="QC50" s="136"/>
      <c r="QD50" s="136"/>
      <c r="QE50" s="136"/>
      <c r="QF50" s="136"/>
      <c r="QG50" s="136"/>
      <c r="QH50" s="136"/>
      <c r="QI50" s="136"/>
      <c r="QJ50" s="136"/>
      <c r="QK50" s="136"/>
      <c r="QL50" s="136"/>
      <c r="QM50" s="136"/>
      <c r="QN50" s="136"/>
      <c r="QO50" s="136"/>
      <c r="QP50" s="136"/>
      <c r="QQ50" s="136"/>
      <c r="QR50" s="136"/>
      <c r="QS50" s="136"/>
      <c r="QT50" s="136"/>
      <c r="QU50" s="136"/>
      <c r="QV50" s="136"/>
      <c r="QW50" s="136"/>
      <c r="QX50" s="136"/>
      <c r="QY50" s="136"/>
      <c r="QZ50" s="136"/>
      <c r="RA50" s="136"/>
      <c r="RB50" s="136"/>
      <c r="RC50" s="136"/>
      <c r="RD50" s="136"/>
      <c r="RE50" s="136"/>
      <c r="RF50" s="136"/>
      <c r="RG50" s="136"/>
      <c r="RH50" s="136"/>
      <c r="RI50" s="136"/>
      <c r="RJ50" s="136"/>
      <c r="RK50" s="136"/>
      <c r="RL50" s="136"/>
      <c r="RM50" s="136"/>
      <c r="RN50" s="136"/>
      <c r="RO50" s="136"/>
      <c r="RP50" s="136"/>
      <c r="RQ50" s="136"/>
      <c r="RR50" s="136"/>
      <c r="RS50" s="136"/>
      <c r="RT50" s="136"/>
      <c r="RU50" s="136"/>
      <c r="RV50" s="136"/>
      <c r="RW50" s="136"/>
      <c r="RX50" s="136"/>
      <c r="RY50" s="136"/>
      <c r="RZ50" s="136"/>
      <c r="SA50" s="136"/>
      <c r="SB50" s="136"/>
      <c r="SC50" s="136"/>
      <c r="SD50" s="136"/>
      <c r="SE50" s="136"/>
      <c r="SF50" s="136"/>
      <c r="SG50" s="136"/>
      <c r="SH50" s="136"/>
      <c r="SI50" s="136"/>
      <c r="SJ50" s="136"/>
      <c r="SK50" s="136"/>
      <c r="SL50" s="136"/>
      <c r="SM50" s="136"/>
      <c r="SN50" s="136"/>
      <c r="SO50" s="136"/>
      <c r="SP50" s="136"/>
      <c r="SQ50" s="136"/>
      <c r="SR50" s="136"/>
      <c r="SS50" s="136"/>
      <c r="ST50" s="136"/>
      <c r="SU50" s="136"/>
      <c r="SV50" s="136"/>
      <c r="SW50" s="136"/>
      <c r="SX50" s="136"/>
      <c r="SY50" s="136"/>
      <c r="SZ50" s="136"/>
      <c r="TA50" s="136"/>
      <c r="TB50" s="136"/>
      <c r="TC50" s="136"/>
      <c r="TD50" s="136"/>
      <c r="TE50" s="136"/>
      <c r="TF50" s="136"/>
      <c r="TG50" s="136"/>
      <c r="TH50" s="136"/>
      <c r="TI50" s="136"/>
      <c r="TJ50" s="136"/>
      <c r="TK50" s="136"/>
      <c r="TL50" s="136"/>
      <c r="TM50" s="136"/>
      <c r="TN50" s="136"/>
      <c r="TO50" s="136"/>
      <c r="TP50" s="136"/>
      <c r="TQ50" s="136"/>
      <c r="TR50" s="136"/>
      <c r="TS50" s="136"/>
      <c r="TT50" s="136"/>
      <c r="TU50" s="136"/>
      <c r="TV50" s="136"/>
      <c r="TW50" s="136"/>
      <c r="TX50" s="136"/>
      <c r="TY50" s="136"/>
      <c r="TZ50" s="136"/>
      <c r="UA50" s="136"/>
      <c r="UB50" s="136"/>
      <c r="UC50" s="136"/>
      <c r="UD50" s="136"/>
      <c r="UE50" s="136"/>
      <c r="UF50" s="136"/>
      <c r="UG50" s="136"/>
      <c r="UH50" s="136"/>
      <c r="UI50" s="136"/>
      <c r="UJ50" s="136"/>
      <c r="UK50" s="136"/>
      <c r="UL50" s="136"/>
      <c r="UM50" s="136"/>
      <c r="UN50" s="136"/>
      <c r="UO50" s="136"/>
      <c r="UP50" s="136"/>
      <c r="UQ50" s="136"/>
      <c r="UR50" s="136"/>
      <c r="US50" s="136"/>
      <c r="UT50" s="136"/>
      <c r="UU50" s="136"/>
      <c r="UV50" s="136"/>
      <c r="UW50" s="136"/>
      <c r="UX50" s="136"/>
      <c r="UY50" s="136"/>
      <c r="UZ50" s="136"/>
      <c r="VA50" s="136"/>
      <c r="VB50" s="136"/>
      <c r="VC50" s="136"/>
      <c r="VD50" s="136"/>
      <c r="VE50" s="136"/>
      <c r="VF50" s="136"/>
      <c r="VG50" s="136"/>
      <c r="VH50" s="136"/>
      <c r="VI50" s="136"/>
      <c r="VJ50" s="136"/>
      <c r="VK50" s="136"/>
      <c r="VL50" s="136"/>
      <c r="VM50" s="136"/>
      <c r="VN50" s="136"/>
      <c r="VO50" s="136"/>
      <c r="VP50" s="136"/>
      <c r="VQ50" s="136"/>
      <c r="VR50" s="136"/>
      <c r="VS50" s="136"/>
      <c r="VT50" s="136"/>
      <c r="VU50" s="136"/>
      <c r="VV50" s="136"/>
      <c r="VW50" s="136"/>
      <c r="VX50" s="136"/>
      <c r="VY50" s="136"/>
      <c r="VZ50" s="136"/>
      <c r="WA50" s="136"/>
      <c r="WB50" s="136"/>
      <c r="WC50" s="136"/>
      <c r="WD50" s="136"/>
      <c r="WE50" s="136"/>
      <c r="WF50" s="136"/>
      <c r="WG50" s="136"/>
      <c r="WH50" s="136"/>
      <c r="WI50" s="136"/>
      <c r="WJ50" s="136"/>
      <c r="WK50" s="136"/>
      <c r="WL50" s="136"/>
      <c r="WM50" s="136"/>
      <c r="WN50" s="136"/>
      <c r="WO50" s="136"/>
      <c r="WP50" s="136"/>
      <c r="WQ50" s="136"/>
      <c r="WR50" s="136"/>
      <c r="WS50" s="136"/>
      <c r="WT50" s="136"/>
      <c r="WU50" s="136"/>
      <c r="WV50" s="136"/>
      <c r="WW50" s="136"/>
      <c r="WX50" s="136"/>
      <c r="WY50" s="136"/>
      <c r="WZ50" s="136"/>
      <c r="XA50" s="136"/>
      <c r="XB50" s="136"/>
      <c r="XC50" s="136"/>
      <c r="XD50" s="136"/>
      <c r="XE50" s="136"/>
      <c r="XF50" s="136"/>
      <c r="XG50" s="136"/>
      <c r="XH50" s="136"/>
      <c r="XI50" s="136"/>
      <c r="XJ50" s="136"/>
      <c r="XK50" s="136"/>
      <c r="XL50" s="136"/>
      <c r="XM50" s="136"/>
      <c r="XN50" s="136"/>
      <c r="XO50" s="136"/>
      <c r="XP50" s="136"/>
      <c r="XQ50" s="136"/>
      <c r="XR50" s="136"/>
      <c r="XS50" s="136"/>
      <c r="XT50" s="136"/>
      <c r="XU50" s="136"/>
      <c r="XV50" s="136"/>
      <c r="XW50" s="136"/>
      <c r="XX50" s="136"/>
      <c r="XY50" s="136"/>
      <c r="XZ50" s="136"/>
      <c r="YA50" s="136"/>
      <c r="YB50" s="136"/>
      <c r="YC50" s="136"/>
      <c r="YD50" s="136"/>
      <c r="YE50" s="136"/>
      <c r="YF50" s="136"/>
      <c r="YG50" s="136"/>
      <c r="YH50" s="136"/>
      <c r="YI50" s="136"/>
      <c r="YJ50" s="136"/>
      <c r="YK50" s="136"/>
      <c r="YL50" s="136"/>
      <c r="YM50" s="136"/>
      <c r="YN50" s="136"/>
      <c r="YO50" s="136"/>
      <c r="YP50" s="136"/>
      <c r="YQ50" s="136"/>
      <c r="YR50" s="136"/>
      <c r="YS50" s="136"/>
      <c r="YT50" s="136"/>
      <c r="YU50" s="136"/>
      <c r="YV50" s="136"/>
      <c r="YW50" s="136"/>
      <c r="YX50" s="136"/>
      <c r="YY50" s="136"/>
      <c r="YZ50" s="136"/>
      <c r="ZA50" s="136"/>
      <c r="ZB50" s="136"/>
      <c r="ZC50" s="136"/>
      <c r="ZD50" s="136"/>
      <c r="ZE50" s="136"/>
      <c r="ZF50" s="136"/>
      <c r="ZG50" s="136"/>
      <c r="ZH50" s="136"/>
      <c r="ZI50" s="136"/>
      <c r="ZJ50" s="136"/>
      <c r="ZK50" s="136"/>
      <c r="ZL50" s="136"/>
      <c r="ZM50" s="136"/>
      <c r="ZN50" s="136"/>
      <c r="ZO50" s="136"/>
      <c r="ZP50" s="136"/>
      <c r="ZQ50" s="136"/>
      <c r="ZR50" s="136"/>
      <c r="ZS50" s="136"/>
      <c r="ZT50" s="136"/>
      <c r="ZU50" s="136"/>
      <c r="ZV50" s="136"/>
      <c r="ZW50" s="136"/>
      <c r="ZX50" s="136"/>
      <c r="ZY50" s="136"/>
      <c r="ZZ50" s="136"/>
      <c r="AAA50" s="136"/>
      <c r="AAB50" s="136"/>
      <c r="AAC50" s="136"/>
      <c r="AAD50" s="136"/>
      <c r="AAE50" s="136"/>
      <c r="AAF50" s="136"/>
      <c r="AAG50" s="136"/>
      <c r="AAH50" s="136"/>
      <c r="AAI50" s="136"/>
      <c r="AAJ50" s="136"/>
      <c r="AAK50" s="136"/>
      <c r="AAL50" s="136"/>
      <c r="AAM50" s="136"/>
      <c r="AAN50" s="136"/>
      <c r="AAO50" s="136"/>
      <c r="AAP50" s="136"/>
      <c r="AAQ50" s="136"/>
      <c r="AAR50" s="136"/>
      <c r="AAS50" s="136"/>
      <c r="AAT50" s="136"/>
      <c r="AAU50" s="136"/>
      <c r="AAV50" s="136"/>
      <c r="AAW50" s="136"/>
      <c r="AAX50" s="136"/>
      <c r="AAY50" s="136"/>
      <c r="AAZ50" s="136"/>
      <c r="ABA50" s="136"/>
      <c r="ABB50" s="136"/>
      <c r="ABC50" s="136"/>
      <c r="ABD50" s="136"/>
      <c r="ABE50" s="136"/>
      <c r="ABF50" s="136"/>
      <c r="ABG50" s="136"/>
      <c r="ABH50" s="136"/>
      <c r="ABI50" s="136"/>
      <c r="ABJ50" s="136"/>
      <c r="ABK50" s="136"/>
      <c r="ABL50" s="136"/>
      <c r="ABM50" s="136"/>
      <c r="ABN50" s="136"/>
      <c r="ABO50" s="136"/>
      <c r="ABP50" s="136"/>
      <c r="ABQ50" s="136"/>
      <c r="ABR50" s="136"/>
      <c r="ABS50" s="136"/>
      <c r="ABT50" s="136"/>
      <c r="ABU50" s="136"/>
      <c r="ABV50" s="136"/>
      <c r="ABW50" s="136"/>
      <c r="ABX50" s="136"/>
      <c r="ABY50" s="136"/>
      <c r="ABZ50" s="136"/>
      <c r="ACA50" s="136"/>
      <c r="ACB50" s="136"/>
      <c r="ACC50" s="136"/>
      <c r="ACD50" s="136"/>
      <c r="ACE50" s="136"/>
      <c r="ACF50" s="136"/>
      <c r="ACG50" s="136"/>
      <c r="ACH50" s="136"/>
      <c r="ACI50" s="136"/>
      <c r="ACJ50" s="136"/>
      <c r="ACK50" s="136"/>
      <c r="ACL50" s="136"/>
      <c r="ACM50" s="136"/>
      <c r="ACN50" s="136"/>
      <c r="ACO50" s="136"/>
      <c r="ACP50" s="136"/>
      <c r="ACQ50" s="136"/>
      <c r="ACR50" s="136"/>
      <c r="ACS50" s="136"/>
      <c r="ACT50" s="136"/>
      <c r="ACU50" s="136"/>
      <c r="ACV50" s="136"/>
      <c r="ACW50" s="136"/>
      <c r="ACX50" s="136"/>
      <c r="ACY50" s="136"/>
      <c r="ACZ50" s="136"/>
      <c r="ADA50" s="136"/>
      <c r="ADB50" s="136"/>
      <c r="ADC50" s="136"/>
      <c r="ADD50" s="136"/>
      <c r="ADE50" s="136"/>
      <c r="ADF50" s="136"/>
      <c r="ADG50" s="136"/>
      <c r="ADH50" s="136"/>
      <c r="ADI50" s="136"/>
      <c r="ADJ50" s="136"/>
      <c r="ADK50" s="136"/>
      <c r="ADL50" s="136"/>
      <c r="ADM50" s="136"/>
      <c r="ADN50" s="136"/>
      <c r="ADO50" s="136"/>
      <c r="ADP50" s="136"/>
      <c r="ADQ50" s="136"/>
      <c r="ADR50" s="136"/>
      <c r="ADS50" s="136"/>
      <c r="ADT50" s="136"/>
      <c r="ADU50" s="136"/>
      <c r="ADV50" s="136"/>
      <c r="ADW50" s="136"/>
      <c r="ADX50" s="136"/>
      <c r="ADY50" s="136"/>
      <c r="ADZ50" s="136"/>
      <c r="AEA50" s="136"/>
      <c r="AEB50" s="136"/>
      <c r="AEC50" s="136"/>
      <c r="AED50" s="136"/>
      <c r="AEE50" s="136"/>
      <c r="AEF50" s="136"/>
      <c r="AEG50" s="136"/>
      <c r="AEH50" s="136"/>
      <c r="AEI50" s="136"/>
      <c r="AEJ50" s="136"/>
      <c r="AEK50" s="136"/>
      <c r="AEL50" s="136"/>
      <c r="AEM50" s="136"/>
      <c r="AEN50" s="136"/>
      <c r="AEO50" s="136"/>
      <c r="AEP50" s="136"/>
      <c r="AEQ50" s="136"/>
      <c r="AER50" s="136"/>
      <c r="AES50" s="136"/>
      <c r="AET50" s="136"/>
      <c r="AEU50" s="136"/>
      <c r="AEV50" s="136"/>
      <c r="AEW50" s="136"/>
      <c r="AEX50" s="136"/>
      <c r="AEY50" s="136"/>
      <c r="AEZ50" s="136"/>
      <c r="AFA50" s="136"/>
      <c r="AFB50" s="136"/>
      <c r="AFC50" s="136"/>
      <c r="AFD50" s="136"/>
      <c r="AFE50" s="136"/>
      <c r="AFF50" s="136"/>
      <c r="AFG50" s="136"/>
      <c r="AFH50" s="136"/>
      <c r="AFI50" s="136"/>
      <c r="AFJ50" s="136"/>
      <c r="AFK50" s="136"/>
      <c r="AFL50" s="136"/>
      <c r="AFM50" s="136"/>
      <c r="AFN50" s="136"/>
      <c r="AFO50" s="136"/>
      <c r="AFP50" s="136"/>
      <c r="AFQ50" s="136"/>
      <c r="AFR50" s="136"/>
      <c r="AFS50" s="136"/>
      <c r="AFT50" s="136"/>
      <c r="AFU50" s="136"/>
      <c r="AFV50" s="136"/>
      <c r="AFW50" s="136"/>
      <c r="AFX50" s="136"/>
      <c r="AFY50" s="136"/>
      <c r="AFZ50" s="136"/>
      <c r="AGA50" s="136"/>
      <c r="AGB50" s="136"/>
      <c r="AGC50" s="136"/>
      <c r="AGD50" s="136"/>
      <c r="AGE50" s="136"/>
      <c r="AGF50" s="136"/>
      <c r="AGG50" s="136"/>
      <c r="AGH50" s="136"/>
      <c r="AGI50" s="136"/>
      <c r="AGJ50" s="136"/>
      <c r="AGK50" s="136"/>
      <c r="AGL50" s="136"/>
      <c r="AGM50" s="136"/>
      <c r="AGN50" s="136"/>
      <c r="AGO50" s="136"/>
      <c r="AGP50" s="136"/>
      <c r="AGQ50" s="136"/>
      <c r="AGR50" s="136"/>
      <c r="AGS50" s="136"/>
      <c r="AGT50" s="136"/>
      <c r="AGU50" s="136"/>
      <c r="AGV50" s="136"/>
      <c r="AGW50" s="136"/>
      <c r="AGX50" s="136"/>
      <c r="AGY50" s="136"/>
      <c r="AGZ50" s="136"/>
      <c r="AHA50" s="136"/>
      <c r="AHB50" s="136"/>
      <c r="AHC50" s="136"/>
      <c r="AHD50" s="136"/>
      <c r="AHE50" s="136"/>
      <c r="AHF50" s="136"/>
      <c r="AHG50" s="136"/>
      <c r="AHH50" s="136"/>
      <c r="AHI50" s="136"/>
      <c r="AHJ50" s="136"/>
      <c r="AHK50" s="136"/>
      <c r="AHL50" s="136"/>
      <c r="AHM50" s="136"/>
      <c r="AHN50" s="136"/>
      <c r="AHO50" s="136"/>
      <c r="AHP50" s="136"/>
      <c r="AHQ50" s="136"/>
      <c r="AHR50" s="136"/>
      <c r="AHS50" s="136"/>
      <c r="AHT50" s="136"/>
      <c r="AHU50" s="136"/>
      <c r="AHV50" s="136"/>
      <c r="AHW50" s="136"/>
      <c r="AHX50" s="136"/>
      <c r="AHY50" s="136"/>
      <c r="AHZ50" s="136"/>
      <c r="AIA50" s="136"/>
      <c r="AIB50" s="136"/>
      <c r="AIC50" s="136"/>
      <c r="AID50" s="136"/>
      <c r="AIE50" s="136"/>
      <c r="AIF50" s="136"/>
      <c r="AIG50" s="136"/>
      <c r="AIH50" s="136"/>
      <c r="AII50" s="136"/>
      <c r="AIJ50" s="136"/>
      <c r="AIK50" s="136"/>
      <c r="AIL50" s="136"/>
      <c r="AIM50" s="136"/>
      <c r="AIN50" s="136"/>
      <c r="AIO50" s="136"/>
      <c r="AIP50" s="136"/>
      <c r="AIQ50" s="136"/>
      <c r="AIR50" s="136"/>
      <c r="AIS50" s="136"/>
      <c r="AIT50" s="136"/>
      <c r="AIU50" s="136"/>
      <c r="AIV50" s="136"/>
      <c r="AIW50" s="136"/>
      <c r="AIX50" s="136"/>
      <c r="AIY50" s="136"/>
      <c r="AIZ50" s="136"/>
      <c r="AJA50" s="136"/>
      <c r="AJB50" s="136"/>
      <c r="AJC50" s="136"/>
      <c r="AJD50" s="136"/>
      <c r="AJE50" s="136"/>
      <c r="AJF50" s="136"/>
      <c r="AJG50" s="136"/>
      <c r="AJH50" s="136"/>
      <c r="AJI50" s="136"/>
      <c r="AJJ50" s="136"/>
      <c r="AJK50" s="136"/>
      <c r="AJL50" s="136"/>
      <c r="AJM50" s="136"/>
      <c r="AJN50" s="136"/>
      <c r="AJO50" s="136"/>
      <c r="AJP50" s="136"/>
      <c r="AJQ50" s="136"/>
      <c r="AJR50" s="136"/>
      <c r="AJS50" s="136"/>
      <c r="AJT50" s="136"/>
      <c r="AJU50" s="136"/>
      <c r="AJV50" s="136"/>
      <c r="AJW50" s="136"/>
      <c r="AJX50" s="136"/>
      <c r="AJY50" s="136"/>
      <c r="AJZ50" s="136"/>
      <c r="AKA50" s="136"/>
      <c r="AKB50" s="136"/>
      <c r="AKC50" s="136"/>
      <c r="AKD50" s="136"/>
      <c r="AKE50" s="136"/>
      <c r="AKF50" s="136"/>
      <c r="AKG50" s="136"/>
      <c r="AKH50" s="136"/>
      <c r="AKI50" s="136"/>
      <c r="AKJ50" s="136"/>
      <c r="AKK50" s="136"/>
      <c r="AKL50" s="136"/>
      <c r="AKM50" s="136"/>
      <c r="AKN50" s="136"/>
      <c r="AKO50" s="136"/>
      <c r="AKP50" s="136"/>
      <c r="AKQ50" s="136"/>
      <c r="AKR50" s="136"/>
      <c r="AKS50" s="136"/>
      <c r="AKT50" s="136"/>
      <c r="AKU50" s="136"/>
      <c r="AKV50" s="136"/>
      <c r="AKW50" s="136"/>
      <c r="AKX50" s="136"/>
      <c r="AKY50" s="136"/>
      <c r="AKZ50" s="136"/>
      <c r="ALA50" s="136"/>
      <c r="ALB50" s="136"/>
      <c r="ALC50" s="136"/>
      <c r="ALD50" s="136"/>
      <c r="ALE50" s="136"/>
      <c r="ALF50" s="136"/>
      <c r="ALG50" s="136"/>
      <c r="ALH50" s="136"/>
      <c r="ALI50" s="136"/>
      <c r="ALJ50" s="136"/>
      <c r="ALK50" s="136"/>
      <c r="ALL50" s="136"/>
      <c r="ALM50" s="136"/>
      <c r="ALN50" s="136"/>
      <c r="ALO50" s="136"/>
      <c r="ALP50" s="136"/>
      <c r="ALQ50" s="136"/>
      <c r="ALR50" s="136"/>
      <c r="ALS50" s="136"/>
      <c r="ALT50" s="136"/>
      <c r="ALU50" s="136"/>
      <c r="ALV50" s="136"/>
      <c r="ALW50" s="136"/>
      <c r="ALX50" s="136"/>
      <c r="ALY50" s="136"/>
      <c r="ALZ50" s="136"/>
      <c r="AMA50" s="136"/>
      <c r="AMB50" s="136"/>
      <c r="AMC50" s="136"/>
      <c r="AMD50" s="136"/>
      <c r="AME50" s="136"/>
      <c r="AMF50" s="136"/>
      <c r="AMG50" s="136"/>
      <c r="AMH50" s="136"/>
      <c r="AMI50" s="136"/>
      <c r="AMJ50" s="136"/>
      <c r="AMK50" s="136"/>
      <c r="AML50" s="136"/>
      <c r="AMM50" s="136"/>
      <c r="AMN50" s="136"/>
      <c r="AMO50" s="136"/>
      <c r="AMP50" s="136"/>
      <c r="AMQ50" s="136"/>
      <c r="AMR50" s="136"/>
      <c r="AMS50" s="136"/>
      <c r="AMT50" s="136"/>
      <c r="AMU50" s="136"/>
      <c r="AMV50" s="136"/>
      <c r="AMW50" s="136"/>
      <c r="AMX50" s="136"/>
      <c r="AMY50" s="136"/>
      <c r="AMZ50" s="136"/>
      <c r="ANA50" s="136"/>
      <c r="ANB50" s="136"/>
      <c r="ANC50" s="136"/>
      <c r="AND50" s="136"/>
      <c r="ANE50" s="136"/>
      <c r="ANF50" s="136"/>
      <c r="ANG50" s="136"/>
      <c r="ANH50" s="136"/>
      <c r="ANI50" s="136"/>
      <c r="ANJ50" s="136"/>
      <c r="ANK50" s="136"/>
      <c r="ANL50" s="136"/>
      <c r="ANM50" s="136"/>
      <c r="ANN50" s="136"/>
      <c r="ANO50" s="136"/>
      <c r="ANP50" s="136"/>
      <c r="ANQ50" s="136"/>
      <c r="ANR50" s="136"/>
      <c r="ANS50" s="136"/>
      <c r="ANT50" s="136"/>
      <c r="ANU50" s="136"/>
      <c r="ANV50" s="136"/>
      <c r="ANW50" s="136"/>
      <c r="ANX50" s="136"/>
      <c r="ANY50" s="136"/>
      <c r="ANZ50" s="136"/>
      <c r="AOA50" s="136"/>
      <c r="AOB50" s="136"/>
      <c r="AOC50" s="136"/>
      <c r="AOD50" s="136"/>
      <c r="AOE50" s="136"/>
      <c r="AOF50" s="136"/>
      <c r="AOG50" s="136"/>
      <c r="AOH50" s="136"/>
      <c r="AOI50" s="136"/>
      <c r="AOJ50" s="136"/>
      <c r="AOK50" s="136"/>
      <c r="AOL50" s="136"/>
      <c r="AOM50" s="136"/>
      <c r="AON50" s="136"/>
      <c r="AOO50" s="136"/>
      <c r="AOP50" s="136"/>
      <c r="AOQ50" s="136"/>
      <c r="AOR50" s="136"/>
      <c r="AOS50" s="136"/>
      <c r="AOT50" s="136"/>
      <c r="AOU50" s="136"/>
      <c r="AOV50" s="136"/>
      <c r="AOW50" s="136"/>
      <c r="AOX50" s="136"/>
      <c r="AOY50" s="136"/>
      <c r="AOZ50" s="136"/>
      <c r="APA50" s="136"/>
      <c r="APB50" s="136"/>
      <c r="APC50" s="136"/>
      <c r="APD50" s="136"/>
      <c r="APE50" s="136"/>
      <c r="APF50" s="136"/>
      <c r="APG50" s="136"/>
      <c r="APH50" s="136"/>
      <c r="API50" s="136"/>
      <c r="APJ50" s="136"/>
      <c r="APK50" s="136"/>
      <c r="APL50" s="136"/>
      <c r="APM50" s="136"/>
      <c r="APN50" s="136"/>
      <c r="APO50" s="136"/>
      <c r="APP50" s="136"/>
      <c r="APQ50" s="136"/>
      <c r="APR50" s="136"/>
      <c r="APS50" s="136"/>
      <c r="APT50" s="136"/>
      <c r="APU50" s="136"/>
      <c r="APV50" s="136"/>
      <c r="APW50" s="136"/>
      <c r="APX50" s="136"/>
      <c r="APY50" s="136"/>
      <c r="APZ50" s="136"/>
      <c r="AQA50" s="136"/>
      <c r="AQB50" s="136"/>
      <c r="AQC50" s="136"/>
      <c r="AQD50" s="136"/>
      <c r="AQE50" s="136"/>
      <c r="AQF50" s="136"/>
      <c r="AQG50" s="136"/>
      <c r="AQH50" s="136"/>
      <c r="AQI50" s="136"/>
      <c r="AQJ50" s="136"/>
      <c r="AQK50" s="136"/>
      <c r="AQL50" s="136"/>
      <c r="AQM50" s="136"/>
      <c r="AQN50" s="136"/>
      <c r="AQO50" s="136"/>
      <c r="AQP50" s="136"/>
      <c r="AQQ50" s="136"/>
      <c r="AQR50" s="136"/>
      <c r="AQS50" s="136"/>
      <c r="AQT50" s="136"/>
      <c r="AQU50" s="136"/>
      <c r="AQV50" s="136"/>
      <c r="AQW50" s="136"/>
      <c r="AQX50" s="136"/>
      <c r="AQY50" s="136"/>
      <c r="AQZ50" s="136"/>
      <c r="ARA50" s="136"/>
      <c r="ARB50" s="136"/>
      <c r="ARC50" s="136"/>
      <c r="ARD50" s="136"/>
      <c r="ARE50" s="136"/>
      <c r="ARF50" s="136"/>
      <c r="ARG50" s="136"/>
      <c r="ARH50" s="136"/>
      <c r="ARI50" s="136"/>
      <c r="ARJ50" s="136"/>
      <c r="ARK50" s="136"/>
      <c r="ARL50" s="136"/>
      <c r="ARM50" s="136"/>
      <c r="ARN50" s="136"/>
      <c r="ARO50" s="136"/>
      <c r="ARP50" s="136"/>
      <c r="ARQ50" s="136"/>
      <c r="ARR50" s="136"/>
      <c r="ARS50" s="136"/>
      <c r="ART50" s="136"/>
      <c r="ARU50" s="136"/>
      <c r="ARV50" s="136"/>
      <c r="ARW50" s="136"/>
      <c r="ARX50" s="136"/>
      <c r="ARY50" s="136"/>
      <c r="ARZ50" s="136"/>
      <c r="ASA50" s="136"/>
      <c r="ASB50" s="136"/>
      <c r="ASC50" s="136"/>
      <c r="ASD50" s="136"/>
      <c r="ASE50" s="136"/>
      <c r="ASF50" s="136"/>
      <c r="ASG50" s="136"/>
      <c r="ASH50" s="136"/>
      <c r="ASI50" s="136"/>
      <c r="ASJ50" s="136"/>
      <c r="ASK50" s="136"/>
      <c r="ASL50" s="136"/>
      <c r="ASM50" s="136"/>
      <c r="ASN50" s="136"/>
      <c r="ASO50" s="136"/>
      <c r="ASP50" s="136"/>
      <c r="ASQ50" s="136"/>
      <c r="ASR50" s="136"/>
      <c r="ASS50" s="136"/>
      <c r="AST50" s="136"/>
      <c r="ASU50" s="136"/>
      <c r="ASV50" s="136"/>
      <c r="ASW50" s="136"/>
      <c r="ASX50" s="136"/>
      <c r="ASY50" s="136"/>
      <c r="ASZ50" s="136"/>
      <c r="ATA50" s="136"/>
      <c r="ATB50" s="136"/>
      <c r="ATC50" s="136"/>
      <c r="ATD50" s="136"/>
      <c r="ATE50" s="136"/>
      <c r="ATF50" s="136"/>
      <c r="ATG50" s="136"/>
      <c r="ATH50" s="136"/>
      <c r="ATI50" s="136"/>
      <c r="ATJ50" s="136"/>
      <c r="ATK50" s="136"/>
      <c r="ATL50" s="136"/>
      <c r="ATM50" s="136"/>
      <c r="ATN50" s="136"/>
      <c r="ATO50" s="136"/>
      <c r="ATP50" s="136"/>
      <c r="ATQ50" s="136"/>
      <c r="ATR50" s="136"/>
      <c r="ATS50" s="136"/>
      <c r="ATT50" s="136"/>
      <c r="ATU50" s="136"/>
      <c r="ATV50" s="136"/>
      <c r="ATW50" s="136"/>
      <c r="ATX50" s="136"/>
      <c r="ATY50" s="136"/>
      <c r="ATZ50" s="136"/>
      <c r="AUA50" s="136"/>
      <c r="AUB50" s="136"/>
      <c r="AUC50" s="136"/>
      <c r="AUD50" s="136"/>
      <c r="AUE50" s="136"/>
      <c r="AUF50" s="136"/>
      <c r="AUG50" s="136"/>
      <c r="AUH50" s="136"/>
      <c r="AUI50" s="136"/>
      <c r="AUJ50" s="136"/>
      <c r="AUK50" s="136"/>
      <c r="AUL50" s="136"/>
      <c r="AUM50" s="136"/>
      <c r="AUN50" s="136"/>
      <c r="AUO50" s="136"/>
      <c r="AUP50" s="136"/>
      <c r="AUQ50" s="136"/>
      <c r="AUR50" s="136"/>
      <c r="AUS50" s="136"/>
      <c r="AUT50" s="136"/>
      <c r="AUU50" s="136"/>
      <c r="AUV50" s="136"/>
      <c r="AUW50" s="136"/>
      <c r="AUX50" s="136"/>
      <c r="AUY50" s="136"/>
      <c r="AUZ50" s="136"/>
      <c r="AVA50" s="136"/>
      <c r="AVB50" s="136"/>
      <c r="AVC50" s="136"/>
      <c r="AVD50" s="136"/>
      <c r="AVE50" s="136"/>
      <c r="AVF50" s="136"/>
      <c r="AVG50" s="136"/>
      <c r="AVH50" s="136"/>
      <c r="AVI50" s="136"/>
      <c r="AVJ50" s="136"/>
      <c r="AVK50" s="136"/>
      <c r="AVL50" s="136"/>
      <c r="AVM50" s="136"/>
      <c r="AVN50" s="136"/>
      <c r="AVO50" s="136"/>
      <c r="AVP50" s="136"/>
      <c r="AVQ50" s="136"/>
      <c r="AVR50" s="136"/>
      <c r="AVS50" s="136"/>
      <c r="AVT50" s="136"/>
      <c r="AVU50" s="136"/>
      <c r="AVV50" s="136"/>
      <c r="AVW50" s="136"/>
      <c r="AVX50" s="136"/>
      <c r="AVY50" s="136"/>
      <c r="AVZ50" s="136"/>
      <c r="AWA50" s="136"/>
      <c r="AWB50" s="136"/>
      <c r="AWC50" s="136"/>
      <c r="AWD50" s="136"/>
      <c r="AWE50" s="136"/>
      <c r="AWF50" s="136"/>
      <c r="AWG50" s="136"/>
      <c r="AWH50" s="136"/>
      <c r="AWI50" s="136"/>
      <c r="AWJ50" s="136"/>
      <c r="AWK50" s="136"/>
      <c r="AWL50" s="136"/>
      <c r="AWM50" s="136"/>
      <c r="AWN50" s="136"/>
      <c r="AWO50" s="136"/>
      <c r="AWP50" s="136"/>
      <c r="AWQ50" s="136"/>
      <c r="AWR50" s="136"/>
      <c r="AWS50" s="136"/>
      <c r="AWT50" s="136"/>
      <c r="AWU50" s="136"/>
      <c r="AWV50" s="136"/>
      <c r="AWW50" s="136"/>
      <c r="AWX50" s="136"/>
      <c r="AWY50" s="136"/>
      <c r="AWZ50" s="136"/>
      <c r="AXA50" s="136"/>
      <c r="AXB50" s="136"/>
      <c r="AXC50" s="136"/>
      <c r="AXD50" s="136"/>
      <c r="AXE50" s="136"/>
      <c r="AXF50" s="136"/>
      <c r="AXG50" s="136"/>
      <c r="AXH50" s="136"/>
      <c r="AXI50" s="136"/>
      <c r="AXJ50" s="136"/>
      <c r="AXK50" s="136"/>
      <c r="AXL50" s="136"/>
      <c r="AXM50" s="136"/>
      <c r="AXN50" s="136"/>
      <c r="AXO50" s="136"/>
      <c r="AXP50" s="136"/>
      <c r="AXQ50" s="136"/>
      <c r="AXR50" s="136"/>
      <c r="AXS50" s="136"/>
      <c r="AXT50" s="136"/>
      <c r="AXU50" s="136"/>
      <c r="AXV50" s="136"/>
      <c r="AXW50" s="136"/>
      <c r="AXX50" s="136"/>
      <c r="AXY50" s="136"/>
      <c r="AXZ50" s="136"/>
      <c r="AYA50" s="136"/>
      <c r="AYB50" s="136"/>
      <c r="AYC50" s="136"/>
      <c r="AYD50" s="136"/>
      <c r="AYE50" s="136"/>
      <c r="AYF50" s="136"/>
      <c r="AYG50" s="136"/>
      <c r="AYH50" s="136"/>
      <c r="AYI50" s="136"/>
      <c r="AYJ50" s="136"/>
      <c r="AYK50" s="136"/>
      <c r="AYL50" s="136"/>
      <c r="AYM50" s="136"/>
      <c r="AYN50" s="136"/>
      <c r="AYO50" s="136"/>
      <c r="AYP50" s="136"/>
      <c r="AYQ50" s="136"/>
      <c r="AYR50" s="136"/>
      <c r="AYS50" s="136"/>
      <c r="AYT50" s="136"/>
      <c r="AYU50" s="136"/>
      <c r="AYV50" s="136"/>
      <c r="AYW50" s="136"/>
      <c r="AYX50" s="136"/>
      <c r="AYY50" s="136"/>
      <c r="AYZ50" s="136"/>
      <c r="AZA50" s="136"/>
      <c r="AZB50" s="136"/>
      <c r="AZC50" s="136"/>
      <c r="AZD50" s="136"/>
      <c r="AZE50" s="136"/>
      <c r="AZF50" s="136"/>
      <c r="AZG50" s="136"/>
      <c r="AZH50" s="136"/>
      <c r="AZI50" s="136"/>
      <c r="AZJ50" s="136"/>
      <c r="AZK50" s="136"/>
      <c r="AZL50" s="136"/>
      <c r="AZM50" s="136"/>
      <c r="AZN50" s="136"/>
      <c r="AZO50" s="136"/>
      <c r="AZP50" s="136"/>
      <c r="AZQ50" s="136"/>
      <c r="AZR50" s="136"/>
      <c r="AZS50" s="136"/>
      <c r="AZT50" s="136"/>
      <c r="AZU50" s="136"/>
      <c r="AZV50" s="136"/>
      <c r="AZW50" s="136"/>
      <c r="AZX50" s="136"/>
      <c r="AZY50" s="136"/>
      <c r="AZZ50" s="136"/>
      <c r="BAA50" s="136"/>
      <c r="BAB50" s="136"/>
      <c r="BAC50" s="136"/>
      <c r="BAD50" s="136"/>
      <c r="BAE50" s="136"/>
      <c r="BAF50" s="136"/>
      <c r="BAG50" s="136"/>
      <c r="BAH50" s="136"/>
      <c r="BAI50" s="136"/>
      <c r="BAJ50" s="136"/>
      <c r="BAK50" s="136"/>
      <c r="BAL50" s="136"/>
      <c r="BAM50" s="136"/>
      <c r="BAN50" s="136"/>
      <c r="BAO50" s="136"/>
      <c r="BAP50" s="136"/>
      <c r="BAQ50" s="136"/>
      <c r="BAR50" s="136"/>
      <c r="BAS50" s="136"/>
      <c r="BAT50" s="136"/>
      <c r="BAU50" s="136"/>
      <c r="BAV50" s="136"/>
      <c r="BAW50" s="136"/>
      <c r="BAX50" s="136"/>
      <c r="BAY50" s="136"/>
      <c r="BAZ50" s="136"/>
      <c r="BBA50" s="136"/>
      <c r="BBB50" s="136"/>
      <c r="BBC50" s="136"/>
      <c r="BBD50" s="136"/>
      <c r="BBE50" s="136"/>
      <c r="BBF50" s="136"/>
      <c r="BBG50" s="136"/>
      <c r="BBH50" s="136"/>
      <c r="BBI50" s="136"/>
      <c r="BBJ50" s="136"/>
      <c r="BBK50" s="136"/>
      <c r="BBL50" s="136"/>
      <c r="BBM50" s="136"/>
      <c r="BBN50" s="136"/>
      <c r="BBO50" s="136"/>
      <c r="BBP50" s="136"/>
      <c r="BBQ50" s="136"/>
      <c r="BBR50" s="136"/>
      <c r="BBS50" s="136"/>
      <c r="BBT50" s="136"/>
      <c r="BBU50" s="136"/>
      <c r="BBV50" s="136"/>
      <c r="BBW50" s="136"/>
      <c r="BBX50" s="136"/>
      <c r="BBY50" s="136"/>
      <c r="BBZ50" s="136"/>
      <c r="BCA50" s="136"/>
      <c r="BCB50" s="136"/>
      <c r="BCC50" s="136"/>
      <c r="BCD50" s="136"/>
      <c r="BCE50" s="136"/>
      <c r="BCF50" s="136"/>
      <c r="BCG50" s="136"/>
      <c r="BCH50" s="136"/>
      <c r="BCI50" s="136"/>
      <c r="BCJ50" s="136"/>
      <c r="BCK50" s="136"/>
      <c r="BCL50" s="136"/>
      <c r="BCM50" s="136"/>
      <c r="BCN50" s="136"/>
      <c r="BCO50" s="136"/>
      <c r="BCP50" s="136"/>
      <c r="BCQ50" s="136"/>
      <c r="BCR50" s="136"/>
      <c r="BCS50" s="136"/>
      <c r="BCT50" s="136"/>
      <c r="BCU50" s="136"/>
      <c r="BCV50" s="136"/>
      <c r="BCW50" s="136"/>
      <c r="BCX50" s="136"/>
      <c r="BCY50" s="136"/>
      <c r="BCZ50" s="136"/>
      <c r="BDA50" s="136"/>
      <c r="BDB50" s="136"/>
      <c r="BDC50" s="136"/>
      <c r="BDD50" s="136"/>
      <c r="BDE50" s="136"/>
      <c r="BDF50" s="136"/>
      <c r="BDG50" s="136"/>
      <c r="BDH50" s="136"/>
      <c r="BDI50" s="136"/>
      <c r="BDJ50" s="136"/>
      <c r="BDK50" s="136"/>
      <c r="BDL50" s="136"/>
      <c r="BDM50" s="136"/>
      <c r="BDN50" s="136"/>
      <c r="BDO50" s="136"/>
      <c r="BDP50" s="136"/>
      <c r="BDQ50" s="136"/>
      <c r="BDR50" s="136"/>
      <c r="BDS50" s="136"/>
      <c r="BDT50" s="136"/>
      <c r="BDU50" s="136"/>
      <c r="BDV50" s="136"/>
      <c r="BDW50" s="136"/>
      <c r="BDX50" s="136"/>
      <c r="BDY50" s="136"/>
      <c r="BDZ50" s="136"/>
      <c r="BEA50" s="136"/>
      <c r="BEB50" s="136"/>
      <c r="BEC50" s="136"/>
      <c r="BED50" s="136"/>
      <c r="BEE50" s="136"/>
      <c r="BEF50" s="136"/>
      <c r="BEG50" s="136"/>
      <c r="BEH50" s="136"/>
      <c r="BEI50" s="136"/>
      <c r="BEJ50" s="136"/>
      <c r="BEK50" s="136"/>
      <c r="BEL50" s="136"/>
      <c r="BEM50" s="136"/>
      <c r="BEN50" s="136"/>
      <c r="BEO50" s="136"/>
      <c r="BEP50" s="136"/>
      <c r="BEQ50" s="136"/>
      <c r="BER50" s="136"/>
      <c r="BES50" s="136"/>
      <c r="BET50" s="136"/>
      <c r="BEU50" s="136"/>
      <c r="BEV50" s="136"/>
      <c r="BEW50" s="136"/>
      <c r="BEX50" s="136"/>
      <c r="BEY50" s="136"/>
      <c r="BEZ50" s="136"/>
      <c r="BFA50" s="136"/>
      <c r="BFB50" s="136"/>
      <c r="BFC50" s="136"/>
      <c r="BFD50" s="136"/>
      <c r="BFE50" s="136"/>
      <c r="BFF50" s="136"/>
      <c r="BFG50" s="136"/>
      <c r="BFH50" s="136"/>
      <c r="BFI50" s="136"/>
      <c r="BFJ50" s="136"/>
      <c r="BFK50" s="136"/>
      <c r="BFL50" s="136"/>
      <c r="BFM50" s="136"/>
      <c r="BFN50" s="136"/>
      <c r="BFO50" s="136"/>
      <c r="BFP50" s="136"/>
      <c r="BFQ50" s="136"/>
      <c r="BFR50" s="136"/>
      <c r="BFS50" s="136"/>
      <c r="BFT50" s="136"/>
      <c r="BFU50" s="136"/>
      <c r="BFV50" s="136"/>
      <c r="BFW50" s="136"/>
      <c r="BFX50" s="136"/>
      <c r="BFY50" s="136"/>
      <c r="BFZ50" s="136"/>
      <c r="BGA50" s="136"/>
      <c r="BGB50" s="136"/>
      <c r="BGC50" s="136"/>
      <c r="BGD50" s="136"/>
      <c r="BGE50" s="136"/>
      <c r="BGF50" s="136"/>
      <c r="BGG50" s="136"/>
      <c r="BGH50" s="136"/>
      <c r="BGI50" s="136"/>
      <c r="BGJ50" s="136"/>
      <c r="BGK50" s="136"/>
      <c r="BGL50" s="136"/>
      <c r="BGM50" s="136"/>
      <c r="BGN50" s="136"/>
      <c r="BGO50" s="136"/>
      <c r="BGP50" s="136"/>
      <c r="BGQ50" s="136"/>
      <c r="BGR50" s="136"/>
      <c r="BGS50" s="136"/>
      <c r="BGT50" s="136"/>
      <c r="BGU50" s="136"/>
      <c r="BGV50" s="136"/>
      <c r="BGW50" s="136"/>
      <c r="BGX50" s="136"/>
      <c r="BGY50" s="136"/>
      <c r="BGZ50" s="136"/>
      <c r="BHA50" s="136"/>
      <c r="BHB50" s="136"/>
      <c r="BHC50" s="136"/>
      <c r="BHD50" s="136"/>
      <c r="BHE50" s="136"/>
      <c r="BHF50" s="136"/>
      <c r="BHG50" s="136"/>
      <c r="BHH50" s="136"/>
      <c r="BHI50" s="136"/>
      <c r="BHJ50" s="136"/>
      <c r="BHK50" s="136"/>
      <c r="BHL50" s="136"/>
      <c r="BHM50" s="136"/>
      <c r="BHN50" s="136"/>
      <c r="BHO50" s="136"/>
      <c r="BHP50" s="136"/>
      <c r="BHQ50" s="136"/>
      <c r="BHR50" s="136"/>
      <c r="BHS50" s="136"/>
      <c r="BHT50" s="136"/>
      <c r="BHU50" s="136"/>
      <c r="BHV50" s="136"/>
      <c r="BHW50" s="136"/>
      <c r="BHX50" s="136"/>
      <c r="BHY50" s="136"/>
      <c r="BHZ50" s="136"/>
      <c r="BIA50" s="136"/>
      <c r="BIB50" s="136"/>
      <c r="BIC50" s="136"/>
      <c r="BID50" s="136"/>
      <c r="BIE50" s="136"/>
      <c r="BIF50" s="136"/>
      <c r="BIG50" s="136"/>
      <c r="BIH50" s="136"/>
      <c r="BII50" s="136"/>
      <c r="BIJ50" s="136"/>
      <c r="BIK50" s="136"/>
      <c r="BIL50" s="136"/>
      <c r="BIM50" s="136"/>
      <c r="BIN50" s="136"/>
      <c r="BIO50" s="136"/>
      <c r="BIP50" s="136"/>
      <c r="BIQ50" s="136"/>
      <c r="BIR50" s="136"/>
      <c r="BIS50" s="136"/>
      <c r="BIT50" s="136"/>
      <c r="BIU50" s="136"/>
      <c r="BIV50" s="136"/>
      <c r="BIW50" s="136"/>
      <c r="BIX50" s="136"/>
      <c r="BIY50" s="136"/>
      <c r="BIZ50" s="136"/>
      <c r="BJA50" s="136"/>
      <c r="BJB50" s="136"/>
      <c r="BJC50" s="136"/>
      <c r="BJD50" s="136"/>
      <c r="BJE50" s="136"/>
      <c r="BJF50" s="136"/>
      <c r="BJG50" s="136"/>
      <c r="BJH50" s="136"/>
      <c r="BJI50" s="136"/>
      <c r="BJJ50" s="136"/>
      <c r="BJK50" s="136"/>
      <c r="BJL50" s="136"/>
      <c r="BJM50" s="136"/>
      <c r="BJN50" s="136"/>
      <c r="BJO50" s="136"/>
      <c r="BJP50" s="136"/>
      <c r="BJQ50" s="136"/>
      <c r="BJR50" s="136"/>
      <c r="BJS50" s="136"/>
      <c r="BJT50" s="136"/>
      <c r="BJU50" s="136"/>
      <c r="BJV50" s="136"/>
      <c r="BJW50" s="136"/>
      <c r="BJX50" s="136"/>
      <c r="BJY50" s="136"/>
      <c r="BJZ50" s="136"/>
      <c r="BKA50" s="136"/>
      <c r="BKB50" s="136"/>
      <c r="BKC50" s="136"/>
      <c r="BKD50" s="136"/>
      <c r="BKE50" s="136"/>
      <c r="BKF50" s="136"/>
      <c r="BKG50" s="136"/>
      <c r="BKH50" s="136"/>
      <c r="BKI50" s="136"/>
      <c r="BKJ50" s="136"/>
      <c r="BKK50" s="136"/>
      <c r="BKL50" s="136"/>
      <c r="BKM50" s="136"/>
      <c r="BKN50" s="136"/>
      <c r="BKO50" s="136"/>
      <c r="BKP50" s="136"/>
      <c r="BKQ50" s="136"/>
      <c r="BKR50" s="136"/>
      <c r="BKS50" s="136"/>
      <c r="BKT50" s="136"/>
      <c r="BKU50" s="136"/>
      <c r="BKV50" s="136"/>
      <c r="BKW50" s="136"/>
      <c r="BKX50" s="136"/>
      <c r="BKY50" s="136"/>
      <c r="BKZ50" s="136"/>
      <c r="BLA50" s="136"/>
      <c r="BLB50" s="136"/>
      <c r="BLC50" s="136"/>
      <c r="BLD50" s="136"/>
      <c r="BLE50" s="136"/>
      <c r="BLF50" s="136"/>
      <c r="BLG50" s="136"/>
      <c r="BLH50" s="136"/>
      <c r="BLI50" s="136"/>
      <c r="BLJ50" s="136"/>
      <c r="BLK50" s="136"/>
      <c r="BLL50" s="136"/>
      <c r="BLM50" s="136"/>
      <c r="BLN50" s="136"/>
      <c r="BLO50" s="136"/>
      <c r="BLP50" s="136"/>
      <c r="BLQ50" s="136"/>
      <c r="BLR50" s="136"/>
      <c r="BLS50" s="136"/>
      <c r="BLT50" s="136"/>
      <c r="BLU50" s="136"/>
      <c r="BLV50" s="136"/>
      <c r="BLW50" s="136"/>
      <c r="BLX50" s="136"/>
      <c r="BLY50" s="136"/>
      <c r="BLZ50" s="136"/>
      <c r="BMA50" s="136"/>
      <c r="BMB50" s="136"/>
      <c r="BMC50" s="136"/>
      <c r="BMD50" s="136"/>
      <c r="BME50" s="136"/>
      <c r="BMF50" s="136"/>
      <c r="BMG50" s="136"/>
      <c r="BMH50" s="136"/>
      <c r="BMI50" s="136"/>
      <c r="BMJ50" s="136"/>
      <c r="BMK50" s="136"/>
      <c r="BML50" s="136"/>
      <c r="BMM50" s="136"/>
      <c r="BMN50" s="136"/>
      <c r="BMO50" s="136"/>
      <c r="BMP50" s="136"/>
      <c r="BMQ50" s="136"/>
      <c r="BMR50" s="136"/>
      <c r="BMS50" s="136"/>
      <c r="BMT50" s="136"/>
      <c r="BMU50" s="136"/>
      <c r="BMV50" s="136"/>
      <c r="BMW50" s="136"/>
      <c r="BMX50" s="136"/>
      <c r="BMY50" s="136"/>
      <c r="BMZ50" s="136"/>
      <c r="BNA50" s="136"/>
      <c r="BNB50" s="136"/>
      <c r="BNC50" s="136"/>
      <c r="BND50" s="136"/>
      <c r="BNE50" s="136"/>
      <c r="BNF50" s="136"/>
      <c r="BNG50" s="136"/>
      <c r="BNH50" s="136"/>
      <c r="BNI50" s="136"/>
      <c r="BNJ50" s="136"/>
      <c r="BNK50" s="136"/>
      <c r="BNL50" s="136"/>
      <c r="BNM50" s="136"/>
      <c r="BNN50" s="136"/>
      <c r="BNO50" s="136"/>
      <c r="BNP50" s="136"/>
      <c r="BNQ50" s="136"/>
      <c r="BNR50" s="136"/>
      <c r="BNS50" s="136"/>
      <c r="BNT50" s="136"/>
      <c r="BNU50" s="136"/>
      <c r="BNV50" s="136"/>
      <c r="BNW50" s="136"/>
      <c r="BNX50" s="136"/>
      <c r="BNY50" s="136"/>
      <c r="BNZ50" s="136"/>
      <c r="BOA50" s="136"/>
      <c r="BOB50" s="136"/>
      <c r="BOC50" s="136"/>
      <c r="BOD50" s="136"/>
      <c r="BOE50" s="136"/>
      <c r="BOF50" s="136"/>
      <c r="BOG50" s="136"/>
      <c r="BOH50" s="136"/>
      <c r="BOI50" s="136"/>
      <c r="BOJ50" s="136"/>
      <c r="BOK50" s="136"/>
      <c r="BOL50" s="136"/>
      <c r="BOM50" s="136"/>
      <c r="BON50" s="136"/>
      <c r="BOO50" s="136"/>
      <c r="BOP50" s="136"/>
      <c r="BOQ50" s="136"/>
      <c r="BOR50" s="136"/>
      <c r="BOS50" s="136"/>
      <c r="BOT50" s="136"/>
      <c r="BOU50" s="136"/>
      <c r="BOV50" s="136"/>
      <c r="BOW50" s="136"/>
      <c r="BOX50" s="136"/>
      <c r="BOY50" s="136"/>
      <c r="BOZ50" s="136"/>
      <c r="BPA50" s="136"/>
      <c r="BPB50" s="136"/>
      <c r="BPC50" s="136"/>
      <c r="BPD50" s="136"/>
      <c r="BPE50" s="136"/>
      <c r="BPF50" s="136"/>
      <c r="BPG50" s="136"/>
      <c r="BPH50" s="136"/>
      <c r="BPI50" s="136"/>
      <c r="BPJ50" s="136"/>
      <c r="BPK50" s="136"/>
      <c r="BPL50" s="136"/>
      <c r="BPM50" s="136"/>
      <c r="BPN50" s="136"/>
      <c r="BPO50" s="136"/>
      <c r="BPP50" s="136"/>
      <c r="BPQ50" s="136"/>
      <c r="BPR50" s="136"/>
      <c r="BPS50" s="136"/>
      <c r="BPT50" s="136"/>
      <c r="BPU50" s="136"/>
      <c r="BPV50" s="136"/>
      <c r="BPW50" s="136"/>
      <c r="BPX50" s="136"/>
      <c r="BPY50" s="136"/>
      <c r="BPZ50" s="136"/>
      <c r="BQA50" s="136"/>
      <c r="BQB50" s="136"/>
      <c r="BQC50" s="136"/>
      <c r="BQD50" s="136"/>
      <c r="BQE50" s="136"/>
      <c r="BQF50" s="136"/>
      <c r="BQG50" s="136"/>
      <c r="BQH50" s="136"/>
      <c r="BQI50" s="136"/>
      <c r="BQJ50" s="136"/>
      <c r="BQK50" s="136"/>
      <c r="BQL50" s="136"/>
      <c r="BQM50" s="136"/>
      <c r="BQN50" s="136"/>
      <c r="BQO50" s="136"/>
      <c r="BQP50" s="136"/>
      <c r="BQQ50" s="136"/>
      <c r="BQR50" s="136"/>
      <c r="BQS50" s="136"/>
      <c r="BQT50" s="136"/>
      <c r="BQU50" s="136"/>
      <c r="BQV50" s="136"/>
      <c r="BQW50" s="136"/>
      <c r="BQX50" s="136"/>
      <c r="BQY50" s="136"/>
      <c r="BQZ50" s="136"/>
      <c r="BRA50" s="136"/>
      <c r="BRB50" s="136"/>
      <c r="BRC50" s="136"/>
      <c r="BRD50" s="136"/>
      <c r="BRE50" s="136"/>
      <c r="BRF50" s="136"/>
      <c r="BRG50" s="136"/>
      <c r="BRH50" s="136"/>
      <c r="BRI50" s="136"/>
      <c r="BRJ50" s="136"/>
      <c r="BRK50" s="136"/>
      <c r="BRL50" s="136"/>
      <c r="BRM50" s="136"/>
      <c r="BRN50" s="136"/>
      <c r="BRO50" s="136"/>
      <c r="BRP50" s="136"/>
      <c r="BRQ50" s="136"/>
      <c r="BRR50" s="136"/>
      <c r="BRS50" s="136"/>
      <c r="BRT50" s="136"/>
      <c r="BRU50" s="136"/>
      <c r="BRV50" s="136"/>
      <c r="BRW50" s="136"/>
      <c r="BRX50" s="136"/>
      <c r="BRY50" s="136"/>
      <c r="BRZ50" s="136"/>
      <c r="BSA50" s="136"/>
      <c r="BSB50" s="136"/>
      <c r="BSC50" s="136"/>
      <c r="BSD50" s="136"/>
      <c r="BSE50" s="136"/>
      <c r="BSF50" s="136"/>
      <c r="BSG50" s="136"/>
      <c r="BSH50" s="136"/>
      <c r="BSI50" s="136"/>
      <c r="BSJ50" s="136"/>
      <c r="BSK50" s="136"/>
      <c r="BSL50" s="136"/>
      <c r="BSM50" s="136"/>
      <c r="BSN50" s="136"/>
      <c r="BSO50" s="136"/>
      <c r="BSP50" s="136"/>
      <c r="BSQ50" s="136"/>
      <c r="BSR50" s="136"/>
      <c r="BSS50" s="136"/>
      <c r="BST50" s="136"/>
      <c r="BSU50" s="136"/>
      <c r="BSV50" s="136"/>
      <c r="BSW50" s="136"/>
      <c r="BSX50" s="136"/>
      <c r="BSY50" s="136"/>
      <c r="BSZ50" s="136"/>
      <c r="BTA50" s="136"/>
      <c r="BTB50" s="136"/>
      <c r="BTC50" s="136"/>
      <c r="BTD50" s="136"/>
      <c r="BTE50" s="136"/>
      <c r="BTF50" s="136"/>
      <c r="BTG50" s="136"/>
      <c r="BTH50" s="136"/>
      <c r="BTI50" s="136"/>
      <c r="BTJ50" s="136"/>
      <c r="BTK50" s="136"/>
      <c r="BTL50" s="136"/>
      <c r="BTM50" s="136"/>
      <c r="BTN50" s="136"/>
      <c r="BTO50" s="136"/>
      <c r="BTP50" s="136"/>
      <c r="BTQ50" s="136"/>
      <c r="BTR50" s="136"/>
      <c r="BTS50" s="136"/>
      <c r="BTT50" s="136"/>
      <c r="BTU50" s="136"/>
      <c r="BTV50" s="136"/>
      <c r="BTW50" s="136"/>
      <c r="BTX50" s="136"/>
      <c r="BTY50" s="136"/>
      <c r="BTZ50" s="136"/>
      <c r="BUA50" s="136"/>
      <c r="BUB50" s="136"/>
      <c r="BUC50" s="136"/>
      <c r="BUD50" s="136"/>
      <c r="BUE50" s="136"/>
      <c r="BUF50" s="136"/>
      <c r="BUG50" s="136"/>
      <c r="BUH50" s="136"/>
      <c r="BUI50" s="136"/>
      <c r="BUJ50" s="136"/>
      <c r="BUK50" s="136"/>
      <c r="BUL50" s="136"/>
      <c r="BUM50" s="136"/>
      <c r="BUN50" s="136"/>
      <c r="BUO50" s="136"/>
      <c r="BUP50" s="136"/>
      <c r="BUQ50" s="136"/>
      <c r="BUR50" s="136"/>
      <c r="BUS50" s="136"/>
      <c r="BUT50" s="136"/>
      <c r="BUU50" s="136"/>
      <c r="BUV50" s="136"/>
      <c r="BUW50" s="136"/>
      <c r="BUX50" s="136"/>
      <c r="BUY50" s="136"/>
      <c r="BUZ50" s="136"/>
      <c r="BVA50" s="136"/>
      <c r="BVB50" s="136"/>
      <c r="BVC50" s="136"/>
      <c r="BVD50" s="136"/>
      <c r="BVE50" s="136"/>
      <c r="BVF50" s="136"/>
      <c r="BVG50" s="136"/>
      <c r="BVH50" s="136"/>
      <c r="BVI50" s="136"/>
      <c r="BVJ50" s="136"/>
      <c r="BVK50" s="136"/>
      <c r="BVL50" s="136"/>
      <c r="BVM50" s="136"/>
      <c r="BVN50" s="136"/>
      <c r="BVO50" s="136"/>
      <c r="BVP50" s="136"/>
      <c r="BVQ50" s="136"/>
      <c r="BVR50" s="136"/>
      <c r="BVS50" s="136"/>
      <c r="BVT50" s="136"/>
      <c r="BVU50" s="136"/>
      <c r="BVV50" s="136"/>
      <c r="BVW50" s="136"/>
      <c r="BVX50" s="136"/>
      <c r="BVY50" s="136"/>
      <c r="BVZ50" s="136"/>
      <c r="BWA50" s="136"/>
      <c r="BWB50" s="136"/>
      <c r="BWC50" s="136"/>
      <c r="BWD50" s="136"/>
      <c r="BWE50" s="136"/>
      <c r="BWF50" s="136"/>
      <c r="BWG50" s="136"/>
      <c r="BWH50" s="136"/>
      <c r="BWI50" s="136"/>
      <c r="BWJ50" s="136"/>
      <c r="BWK50" s="136"/>
      <c r="BWL50" s="136"/>
      <c r="BWM50" s="136"/>
      <c r="BWN50" s="136"/>
      <c r="BWO50" s="136"/>
      <c r="BWP50" s="136"/>
      <c r="BWQ50" s="136"/>
      <c r="BWR50" s="136"/>
      <c r="BWS50" s="136"/>
      <c r="BWT50" s="136"/>
      <c r="BWU50" s="136"/>
      <c r="BWV50" s="136"/>
      <c r="BWW50" s="136"/>
      <c r="BWX50" s="136"/>
      <c r="BWY50" s="136"/>
      <c r="BWZ50" s="136"/>
      <c r="BXA50" s="136"/>
      <c r="BXB50" s="136"/>
      <c r="BXC50" s="136"/>
      <c r="BXD50" s="136"/>
      <c r="BXE50" s="136"/>
      <c r="BXF50" s="136"/>
      <c r="BXG50" s="136"/>
      <c r="BXH50" s="136"/>
      <c r="BXI50" s="136"/>
      <c r="BXJ50" s="136"/>
      <c r="BXK50" s="136"/>
      <c r="BXL50" s="136"/>
      <c r="BXM50" s="136"/>
      <c r="BXN50" s="136"/>
      <c r="BXO50" s="136"/>
      <c r="BXP50" s="136"/>
      <c r="BXQ50" s="136"/>
      <c r="BXR50" s="136"/>
      <c r="BXS50" s="136"/>
      <c r="BXT50" s="136"/>
      <c r="BXU50" s="136"/>
      <c r="BXV50" s="136"/>
      <c r="BXW50" s="136"/>
      <c r="BXX50" s="136"/>
      <c r="BXY50" s="136"/>
      <c r="BXZ50" s="136"/>
      <c r="BYA50" s="136"/>
      <c r="BYB50" s="136"/>
      <c r="BYC50" s="136"/>
      <c r="BYD50" s="136"/>
      <c r="BYE50" s="136"/>
      <c r="BYF50" s="136"/>
      <c r="BYG50" s="136"/>
      <c r="BYH50" s="136"/>
      <c r="BYI50" s="136"/>
      <c r="BYJ50" s="136"/>
      <c r="BYK50" s="136"/>
      <c r="BYL50" s="136"/>
      <c r="BYM50" s="136"/>
      <c r="BYN50" s="136"/>
      <c r="BYO50" s="136"/>
      <c r="BYP50" s="136"/>
      <c r="BYQ50" s="136"/>
      <c r="BYR50" s="136"/>
      <c r="BYS50" s="136"/>
      <c r="BYT50" s="136"/>
      <c r="BYU50" s="136"/>
      <c r="BYV50" s="136"/>
      <c r="BYW50" s="136"/>
      <c r="BYX50" s="136"/>
      <c r="BYY50" s="136"/>
      <c r="BYZ50" s="136"/>
      <c r="BZA50" s="136"/>
      <c r="BZB50" s="136"/>
      <c r="BZC50" s="136"/>
      <c r="BZD50" s="136"/>
      <c r="BZE50" s="136"/>
      <c r="BZF50" s="136"/>
      <c r="BZG50" s="136"/>
      <c r="BZH50" s="136"/>
      <c r="BZI50" s="136"/>
      <c r="BZJ50" s="136"/>
      <c r="BZK50" s="136"/>
      <c r="BZL50" s="136"/>
      <c r="BZM50" s="136"/>
      <c r="BZN50" s="136"/>
      <c r="BZO50" s="136"/>
      <c r="BZP50" s="136"/>
      <c r="BZQ50" s="136"/>
      <c r="BZR50" s="136"/>
      <c r="BZS50" s="136"/>
      <c r="BZT50" s="136"/>
      <c r="BZU50" s="136"/>
      <c r="BZV50" s="136"/>
      <c r="BZW50" s="136"/>
      <c r="BZX50" s="136"/>
      <c r="BZY50" s="136"/>
      <c r="BZZ50" s="136"/>
      <c r="CAA50" s="136"/>
      <c r="CAB50" s="136"/>
      <c r="CAC50" s="136"/>
      <c r="CAD50" s="136"/>
      <c r="CAE50" s="136"/>
      <c r="CAF50" s="136"/>
      <c r="CAG50" s="136"/>
      <c r="CAH50" s="136"/>
      <c r="CAI50" s="136"/>
      <c r="CAJ50" s="136"/>
      <c r="CAK50" s="136"/>
      <c r="CAL50" s="136"/>
      <c r="CAM50" s="136"/>
      <c r="CAN50" s="136"/>
      <c r="CAO50" s="136"/>
      <c r="CAP50" s="136"/>
      <c r="CAQ50" s="136"/>
      <c r="CAR50" s="136"/>
      <c r="CAS50" s="136"/>
      <c r="CAT50" s="136"/>
      <c r="CAU50" s="136"/>
      <c r="CAV50" s="136"/>
      <c r="CAW50" s="136"/>
      <c r="CAX50" s="136"/>
      <c r="CAY50" s="136"/>
      <c r="CAZ50" s="136"/>
      <c r="CBA50" s="136"/>
      <c r="CBB50" s="136"/>
      <c r="CBC50" s="136"/>
      <c r="CBD50" s="136"/>
      <c r="CBE50" s="136"/>
      <c r="CBF50" s="136"/>
      <c r="CBG50" s="136"/>
      <c r="CBH50" s="136"/>
      <c r="CBI50" s="136"/>
      <c r="CBJ50" s="136"/>
      <c r="CBK50" s="136"/>
      <c r="CBL50" s="136"/>
      <c r="CBM50" s="136"/>
      <c r="CBN50" s="136"/>
      <c r="CBO50" s="136"/>
      <c r="CBP50" s="136"/>
      <c r="CBQ50" s="136"/>
      <c r="CBR50" s="136"/>
      <c r="CBS50" s="136"/>
      <c r="CBT50" s="136"/>
      <c r="CBU50" s="136"/>
      <c r="CBV50" s="136"/>
      <c r="CBW50" s="136"/>
      <c r="CBX50" s="136"/>
      <c r="CBY50" s="136"/>
      <c r="CBZ50" s="136"/>
      <c r="CCA50" s="136"/>
      <c r="CCB50" s="136"/>
      <c r="CCC50" s="136"/>
      <c r="CCD50" s="136"/>
      <c r="CCE50" s="136"/>
      <c r="CCF50" s="136"/>
      <c r="CCG50" s="136"/>
      <c r="CCH50" s="136"/>
      <c r="CCI50" s="136"/>
      <c r="CCJ50" s="136"/>
      <c r="CCK50" s="136"/>
      <c r="CCL50" s="136"/>
      <c r="CCM50" s="136"/>
      <c r="CCN50" s="136"/>
      <c r="CCO50" s="136"/>
      <c r="CCP50" s="136"/>
      <c r="CCQ50" s="136"/>
      <c r="CCR50" s="136"/>
      <c r="CCS50" s="136"/>
      <c r="CCT50" s="136"/>
      <c r="CCU50" s="136"/>
      <c r="CCV50" s="136"/>
      <c r="CCW50" s="136"/>
      <c r="CCX50" s="136"/>
      <c r="CCY50" s="136"/>
      <c r="CCZ50" s="136"/>
      <c r="CDA50" s="136"/>
      <c r="CDB50" s="136"/>
      <c r="CDC50" s="136"/>
      <c r="CDD50" s="136"/>
      <c r="CDE50" s="136"/>
      <c r="CDF50" s="136"/>
      <c r="CDG50" s="136"/>
      <c r="CDH50" s="136"/>
      <c r="CDI50" s="136"/>
      <c r="CDJ50" s="136"/>
      <c r="CDK50" s="136"/>
      <c r="CDL50" s="136"/>
      <c r="CDM50" s="136"/>
      <c r="CDN50" s="136"/>
      <c r="CDO50" s="136"/>
      <c r="CDP50" s="136"/>
      <c r="CDQ50" s="136"/>
      <c r="CDR50" s="136"/>
      <c r="CDS50" s="136"/>
      <c r="CDT50" s="136"/>
      <c r="CDU50" s="136"/>
      <c r="CDV50" s="136"/>
      <c r="CDW50" s="136"/>
      <c r="CDX50" s="136"/>
      <c r="CDY50" s="136"/>
      <c r="CDZ50" s="136"/>
      <c r="CEA50" s="136"/>
      <c r="CEB50" s="136"/>
      <c r="CEC50" s="136"/>
      <c r="CED50" s="136"/>
      <c r="CEE50" s="136"/>
      <c r="CEF50" s="136"/>
      <c r="CEG50" s="136"/>
      <c r="CEH50" s="136"/>
      <c r="CEI50" s="136"/>
      <c r="CEJ50" s="136"/>
      <c r="CEK50" s="136"/>
      <c r="CEL50" s="136"/>
      <c r="CEM50" s="136"/>
      <c r="CEN50" s="136"/>
      <c r="CEO50" s="136"/>
      <c r="CEP50" s="136"/>
      <c r="CEQ50" s="136"/>
      <c r="CER50" s="136"/>
      <c r="CES50" s="136"/>
      <c r="CET50" s="136"/>
      <c r="CEU50" s="136"/>
      <c r="CEV50" s="136"/>
      <c r="CEW50" s="136"/>
      <c r="CEX50" s="136"/>
      <c r="CEY50" s="136"/>
      <c r="CEZ50" s="136"/>
      <c r="CFA50" s="136"/>
      <c r="CFB50" s="136"/>
      <c r="CFC50" s="136"/>
      <c r="CFD50" s="136"/>
      <c r="CFE50" s="136"/>
      <c r="CFF50" s="136"/>
      <c r="CFG50" s="136"/>
      <c r="CFH50" s="136"/>
      <c r="CFI50" s="136"/>
      <c r="CFJ50" s="136"/>
      <c r="CFK50" s="136"/>
      <c r="CFL50" s="136"/>
      <c r="CFM50" s="136"/>
      <c r="CFN50" s="136"/>
      <c r="CFO50" s="136"/>
      <c r="CFP50" s="136"/>
      <c r="CFQ50" s="136"/>
      <c r="CFR50" s="136"/>
      <c r="CFS50" s="136"/>
      <c r="CFT50" s="136"/>
      <c r="CFU50" s="136"/>
      <c r="CFV50" s="136"/>
      <c r="CFW50" s="136"/>
      <c r="CFX50" s="136"/>
      <c r="CFY50" s="136"/>
      <c r="CFZ50" s="136"/>
      <c r="CGA50" s="136"/>
      <c r="CGB50" s="136"/>
      <c r="CGC50" s="136"/>
      <c r="CGD50" s="136"/>
      <c r="CGE50" s="136"/>
      <c r="CGF50" s="136"/>
      <c r="CGG50" s="136"/>
      <c r="CGH50" s="136"/>
      <c r="CGI50" s="136"/>
      <c r="CGJ50" s="136"/>
      <c r="CGK50" s="136"/>
      <c r="CGL50" s="136"/>
      <c r="CGM50" s="136"/>
      <c r="CGN50" s="136"/>
      <c r="CGO50" s="136"/>
      <c r="CGP50" s="136"/>
      <c r="CGQ50" s="136"/>
      <c r="CGR50" s="136"/>
      <c r="CGS50" s="136"/>
      <c r="CGT50" s="136"/>
      <c r="CGU50" s="136"/>
      <c r="CGV50" s="136"/>
      <c r="CGW50" s="136"/>
      <c r="CGX50" s="136"/>
      <c r="CGY50" s="136"/>
      <c r="CGZ50" s="136"/>
      <c r="CHA50" s="136"/>
      <c r="CHB50" s="136"/>
      <c r="CHC50" s="136"/>
      <c r="CHD50" s="136"/>
      <c r="CHE50" s="136"/>
      <c r="CHF50" s="136"/>
      <c r="CHG50" s="136"/>
      <c r="CHH50" s="136"/>
      <c r="CHI50" s="136"/>
      <c r="CHJ50" s="136"/>
      <c r="CHK50" s="136"/>
      <c r="CHL50" s="136"/>
      <c r="CHM50" s="136"/>
      <c r="CHN50" s="136"/>
      <c r="CHO50" s="136"/>
      <c r="CHP50" s="136"/>
      <c r="CHQ50" s="136"/>
      <c r="CHR50" s="136"/>
      <c r="CHS50" s="136"/>
      <c r="CHT50" s="136"/>
      <c r="CHU50" s="136"/>
      <c r="CHV50" s="136"/>
      <c r="CHW50" s="136"/>
      <c r="CHX50" s="136"/>
      <c r="CHY50" s="136"/>
      <c r="CHZ50" s="136"/>
      <c r="CIA50" s="136"/>
      <c r="CIB50" s="136"/>
      <c r="CIC50" s="136"/>
      <c r="CID50" s="136"/>
      <c r="CIE50" s="136"/>
      <c r="CIF50" s="136"/>
      <c r="CIG50" s="136"/>
      <c r="CIH50" s="136"/>
      <c r="CII50" s="136"/>
      <c r="CIJ50" s="136"/>
      <c r="CIK50" s="136"/>
      <c r="CIL50" s="136"/>
      <c r="CIM50" s="136"/>
      <c r="CIN50" s="136"/>
      <c r="CIO50" s="136"/>
      <c r="CIP50" s="136"/>
      <c r="CIQ50" s="136"/>
      <c r="CIR50" s="136"/>
      <c r="CIS50" s="136"/>
      <c r="CIT50" s="136"/>
      <c r="CIU50" s="136"/>
      <c r="CIV50" s="136"/>
      <c r="CIW50" s="136"/>
      <c r="CIX50" s="136"/>
      <c r="CIY50" s="136"/>
      <c r="CIZ50" s="136"/>
      <c r="CJA50" s="136"/>
      <c r="CJB50" s="136"/>
      <c r="CJC50" s="136"/>
      <c r="CJD50" s="136"/>
      <c r="CJE50" s="136"/>
      <c r="CJF50" s="136"/>
      <c r="CJG50" s="136"/>
      <c r="CJH50" s="136"/>
      <c r="CJI50" s="136"/>
      <c r="CJJ50" s="136"/>
      <c r="CJK50" s="136"/>
      <c r="CJL50" s="136"/>
      <c r="CJM50" s="136"/>
      <c r="CJN50" s="136"/>
      <c r="CJO50" s="136"/>
      <c r="CJP50" s="136"/>
      <c r="CJQ50" s="136"/>
      <c r="CJR50" s="136"/>
      <c r="CJS50" s="136"/>
      <c r="CJT50" s="136"/>
      <c r="CJU50" s="136"/>
      <c r="CJV50" s="136"/>
      <c r="CJW50" s="136"/>
      <c r="CJX50" s="136"/>
      <c r="CJY50" s="136"/>
      <c r="CJZ50" s="136"/>
      <c r="CKA50" s="136"/>
      <c r="CKB50" s="136"/>
      <c r="CKC50" s="136"/>
      <c r="CKD50" s="136"/>
      <c r="CKE50" s="136"/>
      <c r="CKF50" s="136"/>
      <c r="CKG50" s="136"/>
      <c r="CKH50" s="136"/>
      <c r="CKI50" s="136"/>
      <c r="CKJ50" s="136"/>
      <c r="CKK50" s="136"/>
      <c r="CKL50" s="136"/>
      <c r="CKM50" s="136"/>
      <c r="CKN50" s="136"/>
      <c r="CKO50" s="136"/>
      <c r="CKP50" s="136"/>
      <c r="CKQ50" s="136"/>
      <c r="CKR50" s="136"/>
      <c r="CKS50" s="136"/>
      <c r="CKT50" s="136"/>
      <c r="CKU50" s="136"/>
      <c r="CKV50" s="136"/>
      <c r="CKW50" s="136"/>
      <c r="CKX50" s="136"/>
      <c r="CKY50" s="136"/>
      <c r="CKZ50" s="136"/>
      <c r="CLA50" s="136"/>
      <c r="CLB50" s="136"/>
      <c r="CLC50" s="136"/>
      <c r="CLD50" s="136"/>
      <c r="CLE50" s="136"/>
      <c r="CLF50" s="136"/>
      <c r="CLG50" s="136"/>
      <c r="CLH50" s="136"/>
      <c r="CLI50" s="136"/>
      <c r="CLJ50" s="136"/>
      <c r="CLK50" s="136"/>
      <c r="CLL50" s="136"/>
      <c r="CLM50" s="136"/>
      <c r="CLN50" s="136"/>
      <c r="CLO50" s="136"/>
      <c r="CLP50" s="136"/>
      <c r="CLQ50" s="136"/>
      <c r="CLR50" s="136"/>
      <c r="CLS50" s="136"/>
      <c r="CLT50" s="136"/>
      <c r="CLU50" s="136"/>
      <c r="CLV50" s="136"/>
      <c r="CLW50" s="136"/>
      <c r="CLX50" s="136"/>
      <c r="CLY50" s="136"/>
      <c r="CLZ50" s="136"/>
      <c r="CMA50" s="136"/>
      <c r="CMB50" s="136"/>
      <c r="CMC50" s="136"/>
      <c r="CMD50" s="136"/>
      <c r="CME50" s="136"/>
      <c r="CMF50" s="136"/>
      <c r="CMG50" s="136"/>
      <c r="CMH50" s="136"/>
      <c r="CMI50" s="136"/>
      <c r="CMJ50" s="136"/>
      <c r="CMK50" s="136"/>
      <c r="CML50" s="136"/>
      <c r="CMM50" s="136"/>
      <c r="CMN50" s="136"/>
      <c r="CMO50" s="136"/>
      <c r="CMP50" s="136"/>
      <c r="CMQ50" s="136"/>
      <c r="CMR50" s="136"/>
      <c r="CMS50" s="136"/>
      <c r="CMT50" s="136"/>
      <c r="CMU50" s="136"/>
      <c r="CMV50" s="136"/>
      <c r="CMW50" s="136"/>
      <c r="CMX50" s="136"/>
      <c r="CMY50" s="136"/>
      <c r="CMZ50" s="136"/>
      <c r="CNA50" s="136"/>
      <c r="CNB50" s="136"/>
      <c r="CNC50" s="136"/>
      <c r="CND50" s="136"/>
      <c r="CNE50" s="136"/>
      <c r="CNF50" s="136"/>
      <c r="CNG50" s="136"/>
      <c r="CNH50" s="136"/>
      <c r="CNI50" s="136"/>
      <c r="CNJ50" s="136"/>
      <c r="CNK50" s="136"/>
      <c r="CNL50" s="136"/>
      <c r="CNM50" s="136"/>
      <c r="CNN50" s="136"/>
      <c r="CNO50" s="136"/>
      <c r="CNP50" s="136"/>
      <c r="CNQ50" s="136"/>
      <c r="CNR50" s="136"/>
      <c r="CNS50" s="136"/>
      <c r="CNT50" s="136"/>
      <c r="CNU50" s="136"/>
      <c r="CNV50" s="136"/>
      <c r="CNW50" s="136"/>
      <c r="CNX50" s="136"/>
      <c r="CNY50" s="136"/>
      <c r="CNZ50" s="136"/>
      <c r="COA50" s="136"/>
      <c r="COB50" s="136"/>
      <c r="COC50" s="136"/>
      <c r="COD50" s="136"/>
      <c r="COE50" s="136"/>
      <c r="COF50" s="136"/>
      <c r="COG50" s="136"/>
      <c r="COH50" s="136"/>
      <c r="COI50" s="136"/>
      <c r="COJ50" s="136"/>
      <c r="COK50" s="136"/>
      <c r="COL50" s="136"/>
      <c r="COM50" s="136"/>
      <c r="CON50" s="136"/>
      <c r="COO50" s="136"/>
      <c r="COP50" s="136"/>
      <c r="COQ50" s="136"/>
      <c r="COR50" s="136"/>
      <c r="COS50" s="136"/>
      <c r="COT50" s="136"/>
      <c r="COU50" s="136"/>
      <c r="COV50" s="136"/>
      <c r="COW50" s="136"/>
      <c r="COX50" s="136"/>
      <c r="COY50" s="136"/>
      <c r="COZ50" s="136"/>
      <c r="CPA50" s="136"/>
      <c r="CPB50" s="136"/>
      <c r="CPC50" s="136"/>
      <c r="CPD50" s="136"/>
      <c r="CPE50" s="136"/>
      <c r="CPF50" s="136"/>
      <c r="CPG50" s="136"/>
      <c r="CPH50" s="136"/>
      <c r="CPI50" s="136"/>
      <c r="CPJ50" s="136"/>
      <c r="CPK50" s="136"/>
      <c r="CPL50" s="136"/>
      <c r="CPM50" s="136"/>
      <c r="CPN50" s="136"/>
      <c r="CPO50" s="136"/>
      <c r="CPP50" s="136"/>
      <c r="CPQ50" s="136"/>
      <c r="CPR50" s="136"/>
      <c r="CPS50" s="136"/>
      <c r="CPT50" s="136"/>
      <c r="CPU50" s="136"/>
      <c r="CPV50" s="136"/>
      <c r="CPW50" s="136"/>
      <c r="CPX50" s="136"/>
      <c r="CPY50" s="136"/>
      <c r="CPZ50" s="136"/>
      <c r="CQA50" s="136"/>
      <c r="CQB50" s="136"/>
      <c r="CQC50" s="136"/>
      <c r="CQD50" s="136"/>
      <c r="CQE50" s="136"/>
      <c r="CQF50" s="136"/>
      <c r="CQG50" s="136"/>
      <c r="CQH50" s="136"/>
      <c r="CQI50" s="136"/>
      <c r="CQJ50" s="136"/>
      <c r="CQK50" s="136"/>
      <c r="CQL50" s="136"/>
      <c r="CQM50" s="136"/>
      <c r="CQN50" s="136"/>
      <c r="CQO50" s="136"/>
      <c r="CQP50" s="136"/>
      <c r="CQQ50" s="136"/>
      <c r="CQR50" s="136"/>
      <c r="CQS50" s="136"/>
      <c r="CQT50" s="136"/>
      <c r="CQU50" s="136"/>
      <c r="CQV50" s="136"/>
      <c r="CQW50" s="136"/>
      <c r="CQX50" s="136"/>
      <c r="CQY50" s="136"/>
      <c r="CQZ50" s="136"/>
      <c r="CRA50" s="136"/>
      <c r="CRB50" s="136"/>
      <c r="CRC50" s="136"/>
      <c r="CRD50" s="136"/>
      <c r="CRE50" s="136"/>
      <c r="CRF50" s="136"/>
      <c r="CRG50" s="136"/>
      <c r="CRH50" s="136"/>
      <c r="CRI50" s="136"/>
      <c r="CRJ50" s="136"/>
      <c r="CRK50" s="136"/>
      <c r="CRL50" s="136"/>
      <c r="CRM50" s="136"/>
      <c r="CRN50" s="136"/>
      <c r="CRO50" s="136"/>
      <c r="CRP50" s="136"/>
      <c r="CRQ50" s="136"/>
      <c r="CRR50" s="136"/>
      <c r="CRS50" s="136"/>
      <c r="CRT50" s="136"/>
      <c r="CRU50" s="136"/>
      <c r="CRV50" s="136"/>
      <c r="CRW50" s="136"/>
      <c r="CRX50" s="136"/>
      <c r="CRY50" s="136"/>
      <c r="CRZ50" s="136"/>
      <c r="CSA50" s="136"/>
      <c r="CSB50" s="136"/>
      <c r="CSC50" s="136"/>
      <c r="CSD50" s="136"/>
      <c r="CSE50" s="136"/>
      <c r="CSF50" s="136"/>
      <c r="CSG50" s="136"/>
      <c r="CSH50" s="136"/>
      <c r="CSI50" s="136"/>
      <c r="CSJ50" s="136"/>
      <c r="CSK50" s="136"/>
      <c r="CSL50" s="136"/>
      <c r="CSM50" s="136"/>
      <c r="CSN50" s="136"/>
      <c r="CSO50" s="136"/>
      <c r="CSP50" s="136"/>
      <c r="CSQ50" s="136"/>
      <c r="CSR50" s="136"/>
      <c r="CSS50" s="136"/>
      <c r="CST50" s="136"/>
      <c r="CSU50" s="136"/>
      <c r="CSV50" s="136"/>
      <c r="CSW50" s="136"/>
      <c r="CSX50" s="136"/>
      <c r="CSY50" s="136"/>
      <c r="CSZ50" s="136"/>
      <c r="CTA50" s="136"/>
      <c r="CTB50" s="136"/>
      <c r="CTC50" s="136"/>
      <c r="CTD50" s="136"/>
      <c r="CTE50" s="136"/>
      <c r="CTF50" s="136"/>
      <c r="CTG50" s="136"/>
      <c r="CTH50" s="136"/>
      <c r="CTI50" s="136"/>
      <c r="CTJ50" s="136"/>
      <c r="CTK50" s="136"/>
      <c r="CTL50" s="136"/>
      <c r="CTM50" s="136"/>
      <c r="CTN50" s="136"/>
      <c r="CTO50" s="136"/>
      <c r="CTP50" s="136"/>
      <c r="CTQ50" s="136"/>
      <c r="CTR50" s="136"/>
      <c r="CTS50" s="136"/>
      <c r="CTT50" s="136"/>
      <c r="CTU50" s="136"/>
      <c r="CTV50" s="136"/>
      <c r="CTW50" s="136"/>
      <c r="CTX50" s="136"/>
      <c r="CTY50" s="136"/>
      <c r="CTZ50" s="136"/>
      <c r="CUA50" s="136"/>
      <c r="CUB50" s="136"/>
      <c r="CUC50" s="136"/>
      <c r="CUD50" s="136"/>
      <c r="CUE50" s="136"/>
      <c r="CUF50" s="136"/>
      <c r="CUG50" s="136"/>
      <c r="CUH50" s="136"/>
      <c r="CUI50" s="136"/>
      <c r="CUJ50" s="136"/>
      <c r="CUK50" s="136"/>
      <c r="CUL50" s="136"/>
      <c r="CUM50" s="136"/>
      <c r="CUN50" s="136"/>
      <c r="CUO50" s="136"/>
      <c r="CUP50" s="136"/>
      <c r="CUQ50" s="136"/>
      <c r="CUR50" s="136"/>
      <c r="CUS50" s="136"/>
      <c r="CUT50" s="136"/>
      <c r="CUU50" s="136"/>
      <c r="CUV50" s="136"/>
      <c r="CUW50" s="136"/>
      <c r="CUX50" s="136"/>
      <c r="CUY50" s="136"/>
      <c r="CUZ50" s="136"/>
      <c r="CVA50" s="136"/>
      <c r="CVB50" s="136"/>
      <c r="CVC50" s="136"/>
      <c r="CVD50" s="136"/>
      <c r="CVE50" s="136"/>
      <c r="CVF50" s="136"/>
      <c r="CVG50" s="136"/>
      <c r="CVH50" s="136"/>
      <c r="CVI50" s="136"/>
      <c r="CVJ50" s="136"/>
      <c r="CVK50" s="136"/>
      <c r="CVL50" s="136"/>
      <c r="CVM50" s="136"/>
      <c r="CVN50" s="136"/>
      <c r="CVO50" s="136"/>
      <c r="CVP50" s="136"/>
      <c r="CVQ50" s="136"/>
      <c r="CVR50" s="136"/>
      <c r="CVS50" s="136"/>
      <c r="CVT50" s="136"/>
      <c r="CVU50" s="136"/>
      <c r="CVV50" s="136"/>
      <c r="CVW50" s="136"/>
      <c r="CVX50" s="136"/>
      <c r="CVY50" s="136"/>
      <c r="CVZ50" s="136"/>
      <c r="CWA50" s="136"/>
      <c r="CWB50" s="136"/>
      <c r="CWC50" s="136"/>
      <c r="CWD50" s="136"/>
      <c r="CWE50" s="136"/>
      <c r="CWF50" s="136"/>
      <c r="CWG50" s="136"/>
      <c r="CWH50" s="136"/>
      <c r="CWI50" s="136"/>
      <c r="CWJ50" s="136"/>
      <c r="CWK50" s="136"/>
      <c r="CWL50" s="136"/>
      <c r="CWM50" s="136"/>
      <c r="CWN50" s="136"/>
      <c r="CWO50" s="136"/>
      <c r="CWP50" s="136"/>
      <c r="CWQ50" s="136"/>
      <c r="CWR50" s="136"/>
      <c r="CWS50" s="136"/>
      <c r="CWT50" s="136"/>
      <c r="CWU50" s="136"/>
      <c r="CWV50" s="136"/>
      <c r="CWW50" s="136"/>
      <c r="CWX50" s="136"/>
      <c r="CWY50" s="136"/>
      <c r="CWZ50" s="136"/>
      <c r="CXA50" s="136"/>
      <c r="CXB50" s="136"/>
      <c r="CXC50" s="136"/>
      <c r="CXD50" s="136"/>
      <c r="CXE50" s="136"/>
      <c r="CXF50" s="136"/>
      <c r="CXG50" s="136"/>
      <c r="CXH50" s="136"/>
      <c r="CXI50" s="136"/>
      <c r="CXJ50" s="136"/>
      <c r="CXK50" s="136"/>
      <c r="CXL50" s="136"/>
      <c r="CXM50" s="136"/>
      <c r="CXN50" s="136"/>
      <c r="CXO50" s="136"/>
      <c r="CXP50" s="136"/>
      <c r="CXQ50" s="136"/>
      <c r="CXR50" s="136"/>
      <c r="CXS50" s="136"/>
      <c r="CXT50" s="136"/>
      <c r="CXU50" s="136"/>
      <c r="CXV50" s="136"/>
      <c r="CXW50" s="136"/>
      <c r="CXX50" s="136"/>
      <c r="CXY50" s="136"/>
      <c r="CXZ50" s="136"/>
      <c r="CYA50" s="136"/>
      <c r="CYB50" s="136"/>
      <c r="CYC50" s="136"/>
      <c r="CYD50" s="136"/>
      <c r="CYE50" s="136"/>
      <c r="CYF50" s="136"/>
      <c r="CYG50" s="136"/>
      <c r="CYH50" s="136"/>
      <c r="CYI50" s="136"/>
      <c r="CYJ50" s="136"/>
      <c r="CYK50" s="136"/>
      <c r="CYL50" s="136"/>
      <c r="CYM50" s="136"/>
      <c r="CYN50" s="136"/>
      <c r="CYO50" s="136"/>
      <c r="CYP50" s="136"/>
      <c r="CYQ50" s="136"/>
      <c r="CYR50" s="136"/>
      <c r="CYS50" s="136"/>
      <c r="CYT50" s="136"/>
      <c r="CYU50" s="136"/>
      <c r="CYV50" s="136"/>
      <c r="CYW50" s="136"/>
      <c r="CYX50" s="136"/>
      <c r="CYY50" s="136"/>
      <c r="CYZ50" s="136"/>
      <c r="CZA50" s="136"/>
      <c r="CZB50" s="136"/>
      <c r="CZC50" s="136"/>
      <c r="CZD50" s="136"/>
      <c r="CZE50" s="136"/>
      <c r="CZF50" s="136"/>
      <c r="CZG50" s="136"/>
      <c r="CZH50" s="136"/>
      <c r="CZI50" s="136"/>
      <c r="CZJ50" s="136"/>
      <c r="CZK50" s="136"/>
      <c r="CZL50" s="136"/>
      <c r="CZM50" s="136"/>
      <c r="CZN50" s="136"/>
      <c r="CZO50" s="136"/>
      <c r="CZP50" s="136"/>
      <c r="CZQ50" s="136"/>
      <c r="CZR50" s="136"/>
      <c r="CZS50" s="136"/>
      <c r="CZT50" s="136"/>
      <c r="CZU50" s="136"/>
      <c r="CZV50" s="136"/>
      <c r="CZW50" s="136"/>
      <c r="CZX50" s="136"/>
      <c r="CZY50" s="136"/>
      <c r="CZZ50" s="136"/>
      <c r="DAA50" s="136"/>
      <c r="DAB50" s="136"/>
      <c r="DAC50" s="136"/>
      <c r="DAD50" s="136"/>
      <c r="DAE50" s="136"/>
      <c r="DAF50" s="136"/>
      <c r="DAG50" s="136"/>
      <c r="DAH50" s="136"/>
      <c r="DAI50" s="136"/>
      <c r="DAJ50" s="136"/>
      <c r="DAK50" s="136"/>
      <c r="DAL50" s="136"/>
      <c r="DAM50" s="136"/>
      <c r="DAN50" s="136"/>
      <c r="DAO50" s="136"/>
      <c r="DAP50" s="136"/>
      <c r="DAQ50" s="136"/>
      <c r="DAR50" s="136"/>
      <c r="DAS50" s="136"/>
      <c r="DAT50" s="136"/>
      <c r="DAU50" s="136"/>
      <c r="DAV50" s="136"/>
      <c r="DAW50" s="136"/>
      <c r="DAX50" s="136"/>
      <c r="DAY50" s="136"/>
      <c r="DAZ50" s="136"/>
      <c r="DBA50" s="136"/>
      <c r="DBB50" s="136"/>
      <c r="DBC50" s="136"/>
      <c r="DBD50" s="136"/>
      <c r="DBE50" s="136"/>
      <c r="DBF50" s="136"/>
      <c r="DBG50" s="136"/>
      <c r="DBH50" s="136"/>
      <c r="DBI50" s="136"/>
      <c r="DBJ50" s="136"/>
      <c r="DBK50" s="136"/>
      <c r="DBL50" s="136"/>
      <c r="DBM50" s="136"/>
      <c r="DBN50" s="136"/>
      <c r="DBO50" s="136"/>
      <c r="DBP50" s="136"/>
      <c r="DBQ50" s="136"/>
      <c r="DBR50" s="136"/>
      <c r="DBS50" s="136"/>
      <c r="DBT50" s="136"/>
      <c r="DBU50" s="136"/>
      <c r="DBV50" s="136"/>
      <c r="DBW50" s="136"/>
      <c r="DBX50" s="136"/>
      <c r="DBY50" s="136"/>
      <c r="DBZ50" s="136"/>
      <c r="DCA50" s="136"/>
      <c r="DCB50" s="136"/>
      <c r="DCC50" s="136"/>
      <c r="DCD50" s="136"/>
      <c r="DCE50" s="136"/>
      <c r="DCF50" s="136"/>
      <c r="DCG50" s="136"/>
      <c r="DCH50" s="136"/>
      <c r="DCI50" s="136"/>
      <c r="DCJ50" s="136"/>
      <c r="DCK50" s="136"/>
      <c r="DCL50" s="136"/>
      <c r="DCM50" s="136"/>
      <c r="DCN50" s="136"/>
      <c r="DCO50" s="136"/>
      <c r="DCP50" s="136"/>
      <c r="DCQ50" s="136"/>
      <c r="DCR50" s="136"/>
      <c r="DCS50" s="136"/>
      <c r="DCT50" s="136"/>
      <c r="DCU50" s="136"/>
      <c r="DCV50" s="136"/>
      <c r="DCW50" s="136"/>
      <c r="DCX50" s="136"/>
      <c r="DCY50" s="136"/>
      <c r="DCZ50" s="136"/>
      <c r="DDA50" s="136"/>
      <c r="DDB50" s="136"/>
      <c r="DDC50" s="136"/>
      <c r="DDD50" s="136"/>
      <c r="DDE50" s="136"/>
      <c r="DDF50" s="136"/>
      <c r="DDG50" s="136"/>
      <c r="DDH50" s="136"/>
      <c r="DDI50" s="136"/>
      <c r="DDJ50" s="136"/>
      <c r="DDK50" s="136"/>
      <c r="DDL50" s="136"/>
      <c r="DDM50" s="136"/>
      <c r="DDN50" s="136"/>
      <c r="DDO50" s="136"/>
      <c r="DDP50" s="136"/>
      <c r="DDQ50" s="136"/>
      <c r="DDR50" s="136"/>
      <c r="DDS50" s="136"/>
      <c r="DDT50" s="136"/>
      <c r="DDU50" s="136"/>
      <c r="DDV50" s="136"/>
      <c r="DDW50" s="136"/>
      <c r="DDX50" s="136"/>
      <c r="DDY50" s="136"/>
      <c r="DDZ50" s="136"/>
      <c r="DEA50" s="136"/>
      <c r="DEB50" s="136"/>
      <c r="DEC50" s="136"/>
      <c r="DED50" s="136"/>
      <c r="DEE50" s="136"/>
      <c r="DEF50" s="136"/>
      <c r="DEG50" s="136"/>
      <c r="DEH50" s="136"/>
      <c r="DEI50" s="136"/>
      <c r="DEJ50" s="136"/>
      <c r="DEK50" s="136"/>
      <c r="DEL50" s="136"/>
      <c r="DEM50" s="136"/>
      <c r="DEN50" s="136"/>
      <c r="DEO50" s="136"/>
      <c r="DEP50" s="136"/>
      <c r="DEQ50" s="136"/>
      <c r="DER50" s="136"/>
      <c r="DES50" s="136"/>
      <c r="DET50" s="136"/>
      <c r="DEU50" s="136"/>
      <c r="DEV50" s="136"/>
      <c r="DEW50" s="136"/>
      <c r="DEX50" s="136"/>
      <c r="DEY50" s="136"/>
      <c r="DEZ50" s="136"/>
      <c r="DFA50" s="136"/>
      <c r="DFB50" s="136"/>
      <c r="DFC50" s="136"/>
      <c r="DFD50" s="136"/>
      <c r="DFE50" s="136"/>
      <c r="DFF50" s="136"/>
      <c r="DFG50" s="136"/>
      <c r="DFH50" s="136"/>
      <c r="DFI50" s="136"/>
      <c r="DFJ50" s="136"/>
      <c r="DFK50" s="136"/>
      <c r="DFL50" s="136"/>
      <c r="DFM50" s="136"/>
      <c r="DFN50" s="136"/>
      <c r="DFO50" s="136"/>
      <c r="DFP50" s="136"/>
      <c r="DFQ50" s="136"/>
      <c r="DFR50" s="136"/>
      <c r="DFS50" s="136"/>
      <c r="DFT50" s="136"/>
      <c r="DFU50" s="136"/>
      <c r="DFV50" s="136"/>
      <c r="DFW50" s="136"/>
      <c r="DFX50" s="136"/>
      <c r="DFY50" s="136"/>
      <c r="DFZ50" s="136"/>
      <c r="DGA50" s="136"/>
      <c r="DGB50" s="136"/>
      <c r="DGC50" s="136"/>
      <c r="DGD50" s="136"/>
      <c r="DGE50" s="136"/>
      <c r="DGF50" s="136"/>
      <c r="DGG50" s="136"/>
      <c r="DGH50" s="136"/>
      <c r="DGI50" s="136"/>
      <c r="DGJ50" s="136"/>
      <c r="DGK50" s="136"/>
      <c r="DGL50" s="136"/>
      <c r="DGM50" s="136"/>
      <c r="DGN50" s="136"/>
      <c r="DGO50" s="136"/>
      <c r="DGP50" s="136"/>
      <c r="DGQ50" s="136"/>
      <c r="DGR50" s="136"/>
      <c r="DGS50" s="136"/>
      <c r="DGT50" s="136"/>
      <c r="DGU50" s="136"/>
      <c r="DGV50" s="136"/>
      <c r="DGW50" s="136"/>
      <c r="DGX50" s="136"/>
      <c r="DGY50" s="136"/>
      <c r="DGZ50" s="136"/>
      <c r="DHA50" s="136"/>
      <c r="DHB50" s="136"/>
      <c r="DHC50" s="136"/>
      <c r="DHD50" s="136"/>
      <c r="DHE50" s="136"/>
      <c r="DHF50" s="136"/>
      <c r="DHG50" s="136"/>
      <c r="DHH50" s="136"/>
      <c r="DHI50" s="136"/>
      <c r="DHJ50" s="136"/>
      <c r="DHK50" s="136"/>
      <c r="DHL50" s="136"/>
      <c r="DHM50" s="136"/>
      <c r="DHN50" s="136"/>
      <c r="DHO50" s="136"/>
      <c r="DHP50" s="136"/>
      <c r="DHQ50" s="136"/>
      <c r="DHR50" s="136"/>
      <c r="DHS50" s="136"/>
      <c r="DHT50" s="136"/>
      <c r="DHU50" s="136"/>
      <c r="DHV50" s="136"/>
      <c r="DHW50" s="136"/>
      <c r="DHX50" s="136"/>
      <c r="DHY50" s="136"/>
      <c r="DHZ50" s="136"/>
      <c r="DIA50" s="136"/>
      <c r="DIB50" s="136"/>
      <c r="DIC50" s="136"/>
      <c r="DID50" s="136"/>
      <c r="DIE50" s="136"/>
      <c r="DIF50" s="136"/>
      <c r="DIG50" s="136"/>
      <c r="DIH50" s="136"/>
      <c r="DII50" s="136"/>
      <c r="DIJ50" s="136"/>
      <c r="DIK50" s="136"/>
      <c r="DIL50" s="136"/>
      <c r="DIM50" s="136"/>
      <c r="DIN50" s="136"/>
      <c r="DIO50" s="136"/>
      <c r="DIP50" s="136"/>
      <c r="DIQ50" s="136"/>
      <c r="DIR50" s="136"/>
      <c r="DIS50" s="136"/>
      <c r="DIT50" s="136"/>
      <c r="DIU50" s="136"/>
      <c r="DIV50" s="136"/>
      <c r="DIW50" s="136"/>
      <c r="DIX50" s="136"/>
      <c r="DIY50" s="136"/>
      <c r="DIZ50" s="136"/>
      <c r="DJA50" s="136"/>
      <c r="DJB50" s="136"/>
      <c r="DJC50" s="136"/>
      <c r="DJD50" s="136"/>
      <c r="DJE50" s="136"/>
      <c r="DJF50" s="136"/>
      <c r="DJG50" s="136"/>
      <c r="DJH50" s="136"/>
      <c r="DJI50" s="136"/>
      <c r="DJJ50" s="136"/>
      <c r="DJK50" s="136"/>
      <c r="DJL50" s="136"/>
      <c r="DJM50" s="136"/>
      <c r="DJN50" s="136"/>
      <c r="DJO50" s="136"/>
      <c r="DJP50" s="136"/>
      <c r="DJQ50" s="136"/>
      <c r="DJR50" s="136"/>
      <c r="DJS50" s="136"/>
      <c r="DJT50" s="136"/>
      <c r="DJU50" s="136"/>
      <c r="DJV50" s="136"/>
      <c r="DJW50" s="136"/>
      <c r="DJX50" s="136"/>
      <c r="DJY50" s="136"/>
      <c r="DJZ50" s="136"/>
      <c r="DKA50" s="136"/>
      <c r="DKB50" s="136"/>
      <c r="DKC50" s="136"/>
      <c r="DKD50" s="136"/>
      <c r="DKE50" s="136"/>
      <c r="DKF50" s="136"/>
      <c r="DKG50" s="136"/>
      <c r="DKH50" s="136"/>
      <c r="DKI50" s="136"/>
      <c r="DKJ50" s="136"/>
      <c r="DKK50" s="136"/>
      <c r="DKL50" s="136"/>
      <c r="DKM50" s="136"/>
      <c r="DKN50" s="136"/>
      <c r="DKO50" s="136"/>
      <c r="DKP50" s="136"/>
      <c r="DKQ50" s="136"/>
      <c r="DKR50" s="136"/>
      <c r="DKS50" s="136"/>
      <c r="DKT50" s="136"/>
      <c r="DKU50" s="136"/>
      <c r="DKV50" s="136"/>
      <c r="DKW50" s="136"/>
      <c r="DKX50" s="136"/>
      <c r="DKY50" s="136"/>
      <c r="DKZ50" s="136"/>
      <c r="DLA50" s="136"/>
      <c r="DLB50" s="136"/>
      <c r="DLC50" s="136"/>
      <c r="DLD50" s="136"/>
      <c r="DLE50" s="136"/>
      <c r="DLF50" s="136"/>
      <c r="DLG50" s="136"/>
      <c r="DLH50" s="136"/>
      <c r="DLI50" s="136"/>
      <c r="DLJ50" s="136"/>
      <c r="DLK50" s="136"/>
      <c r="DLL50" s="136"/>
      <c r="DLM50" s="136"/>
      <c r="DLN50" s="136"/>
      <c r="DLO50" s="136"/>
      <c r="DLP50" s="136"/>
      <c r="DLQ50" s="136"/>
      <c r="DLR50" s="136"/>
      <c r="DLS50" s="136"/>
      <c r="DLT50" s="136"/>
      <c r="DLU50" s="136"/>
      <c r="DLV50" s="136"/>
      <c r="DLW50" s="136"/>
      <c r="DLX50" s="136"/>
      <c r="DLY50" s="136"/>
      <c r="DLZ50" s="136"/>
      <c r="DMA50" s="136"/>
      <c r="DMB50" s="136"/>
      <c r="DMC50" s="136"/>
      <c r="DMD50" s="136"/>
      <c r="DME50" s="136"/>
      <c r="DMF50" s="136"/>
      <c r="DMG50" s="136"/>
      <c r="DMH50" s="136"/>
      <c r="DMI50" s="136"/>
      <c r="DMJ50" s="136"/>
      <c r="DMK50" s="136"/>
      <c r="DML50" s="136"/>
      <c r="DMM50" s="136"/>
      <c r="DMN50" s="136"/>
      <c r="DMO50" s="136"/>
      <c r="DMP50" s="136"/>
      <c r="DMQ50" s="136"/>
      <c r="DMR50" s="136"/>
      <c r="DMS50" s="136"/>
      <c r="DMT50" s="136"/>
      <c r="DMU50" s="136"/>
      <c r="DMV50" s="136"/>
      <c r="DMW50" s="136"/>
      <c r="DMX50" s="136"/>
      <c r="DMY50" s="136"/>
      <c r="DMZ50" s="136"/>
      <c r="DNA50" s="136"/>
      <c r="DNB50" s="136"/>
      <c r="DNC50" s="136"/>
      <c r="DND50" s="136"/>
      <c r="DNE50" s="136"/>
      <c r="DNF50" s="136"/>
      <c r="DNG50" s="136"/>
      <c r="DNH50" s="136"/>
      <c r="DNI50" s="136"/>
      <c r="DNJ50" s="136"/>
      <c r="DNK50" s="136"/>
      <c r="DNL50" s="136"/>
      <c r="DNM50" s="136"/>
      <c r="DNN50" s="136"/>
      <c r="DNO50" s="136"/>
      <c r="DNP50" s="136"/>
      <c r="DNQ50" s="136"/>
      <c r="DNR50" s="136"/>
      <c r="DNS50" s="136"/>
      <c r="DNT50" s="136"/>
      <c r="DNU50" s="136"/>
      <c r="DNV50" s="136"/>
      <c r="DNW50" s="136"/>
      <c r="DNX50" s="136"/>
      <c r="DNY50" s="136"/>
      <c r="DNZ50" s="136"/>
      <c r="DOA50" s="136"/>
      <c r="DOB50" s="136"/>
      <c r="DOC50" s="136"/>
      <c r="DOD50" s="136"/>
      <c r="DOE50" s="136"/>
      <c r="DOF50" s="136"/>
      <c r="DOG50" s="136"/>
      <c r="DOH50" s="136"/>
      <c r="DOI50" s="136"/>
      <c r="DOJ50" s="136"/>
      <c r="DOK50" s="136"/>
      <c r="DOL50" s="136"/>
      <c r="DOM50" s="136"/>
      <c r="DON50" s="136"/>
      <c r="DOO50" s="136"/>
      <c r="DOP50" s="136"/>
      <c r="DOQ50" s="136"/>
      <c r="DOR50" s="136"/>
      <c r="DOS50" s="136"/>
      <c r="DOT50" s="136"/>
      <c r="DOU50" s="136"/>
      <c r="DOV50" s="136"/>
      <c r="DOW50" s="136"/>
      <c r="DOX50" s="136"/>
      <c r="DOY50" s="136"/>
      <c r="DOZ50" s="136"/>
      <c r="DPA50" s="136"/>
      <c r="DPB50" s="136"/>
      <c r="DPC50" s="136"/>
      <c r="DPD50" s="136"/>
      <c r="DPE50" s="136"/>
      <c r="DPF50" s="136"/>
      <c r="DPG50" s="136"/>
      <c r="DPH50" s="136"/>
      <c r="DPI50" s="136"/>
      <c r="DPJ50" s="136"/>
      <c r="DPK50" s="136"/>
      <c r="DPL50" s="136"/>
      <c r="DPM50" s="136"/>
      <c r="DPN50" s="136"/>
      <c r="DPO50" s="136"/>
      <c r="DPP50" s="136"/>
      <c r="DPQ50" s="136"/>
      <c r="DPR50" s="136"/>
      <c r="DPS50" s="136"/>
      <c r="DPT50" s="136"/>
      <c r="DPU50" s="136"/>
      <c r="DPV50" s="136"/>
      <c r="DPW50" s="136"/>
      <c r="DPX50" s="136"/>
      <c r="DPY50" s="136"/>
      <c r="DPZ50" s="136"/>
      <c r="DQA50" s="136"/>
      <c r="DQB50" s="136"/>
      <c r="DQC50" s="136"/>
      <c r="DQD50" s="136"/>
      <c r="DQE50" s="136"/>
      <c r="DQF50" s="136"/>
      <c r="DQG50" s="136"/>
      <c r="DQH50" s="136"/>
      <c r="DQI50" s="136"/>
      <c r="DQJ50" s="136"/>
      <c r="DQK50" s="136"/>
      <c r="DQL50" s="136"/>
      <c r="DQM50" s="136"/>
      <c r="DQN50" s="136"/>
      <c r="DQO50" s="136"/>
      <c r="DQP50" s="136"/>
      <c r="DQQ50" s="136"/>
      <c r="DQR50" s="136"/>
      <c r="DQS50" s="136"/>
      <c r="DQT50" s="136"/>
      <c r="DQU50" s="136"/>
      <c r="DQV50" s="136"/>
      <c r="DQW50" s="136"/>
      <c r="DQX50" s="136"/>
      <c r="DQY50" s="136"/>
      <c r="DQZ50" s="136"/>
      <c r="DRA50" s="136"/>
      <c r="DRB50" s="136"/>
      <c r="DRC50" s="136"/>
      <c r="DRD50" s="136"/>
      <c r="DRE50" s="136"/>
      <c r="DRF50" s="136"/>
      <c r="DRG50" s="136"/>
      <c r="DRH50" s="136"/>
      <c r="DRI50" s="136"/>
      <c r="DRJ50" s="136"/>
      <c r="DRK50" s="136"/>
      <c r="DRL50" s="136"/>
      <c r="DRM50" s="136"/>
      <c r="DRN50" s="136"/>
      <c r="DRO50" s="136"/>
      <c r="DRP50" s="136"/>
      <c r="DRQ50" s="136"/>
      <c r="DRR50" s="136"/>
      <c r="DRS50" s="136"/>
      <c r="DRT50" s="136"/>
      <c r="DRU50" s="136"/>
      <c r="DRV50" s="136"/>
      <c r="DRW50" s="136"/>
      <c r="DRX50" s="136"/>
      <c r="DRY50" s="136"/>
      <c r="DRZ50" s="136"/>
      <c r="DSA50" s="136"/>
      <c r="DSB50" s="136"/>
      <c r="DSC50" s="136"/>
      <c r="DSD50" s="136"/>
      <c r="DSE50" s="136"/>
      <c r="DSF50" s="136"/>
      <c r="DSG50" s="136"/>
      <c r="DSH50" s="136"/>
      <c r="DSI50" s="136"/>
      <c r="DSJ50" s="136"/>
      <c r="DSK50" s="136"/>
      <c r="DSL50" s="136"/>
      <c r="DSM50" s="136"/>
      <c r="DSN50" s="136"/>
      <c r="DSO50" s="136"/>
      <c r="DSP50" s="136"/>
      <c r="DSQ50" s="136"/>
      <c r="DSR50" s="136"/>
      <c r="DSS50" s="136"/>
      <c r="DST50" s="136"/>
      <c r="DSU50" s="136"/>
      <c r="DSV50" s="136"/>
      <c r="DSW50" s="136"/>
      <c r="DSX50" s="136"/>
      <c r="DSY50" s="136"/>
      <c r="DSZ50" s="136"/>
      <c r="DTA50" s="136"/>
      <c r="DTB50" s="136"/>
      <c r="DTC50" s="136"/>
      <c r="DTD50" s="136"/>
      <c r="DTE50" s="136"/>
      <c r="DTF50" s="136"/>
      <c r="DTG50" s="136"/>
      <c r="DTH50" s="136"/>
      <c r="DTI50" s="136"/>
      <c r="DTJ50" s="136"/>
      <c r="DTK50" s="136"/>
      <c r="DTL50" s="136"/>
      <c r="DTM50" s="136"/>
      <c r="DTN50" s="136"/>
      <c r="DTO50" s="136"/>
      <c r="DTP50" s="136"/>
      <c r="DTQ50" s="136"/>
      <c r="DTR50" s="136"/>
      <c r="DTS50" s="136"/>
      <c r="DTT50" s="136"/>
      <c r="DTU50" s="136"/>
      <c r="DTV50" s="136"/>
      <c r="DTW50" s="136"/>
      <c r="DTX50" s="136"/>
      <c r="DTY50" s="136"/>
      <c r="DTZ50" s="136"/>
      <c r="DUA50" s="136"/>
      <c r="DUB50" s="136"/>
      <c r="DUC50" s="136"/>
      <c r="DUD50" s="136"/>
      <c r="DUE50" s="136"/>
      <c r="DUF50" s="136"/>
      <c r="DUG50" s="136"/>
      <c r="DUH50" s="136"/>
      <c r="DUI50" s="136"/>
      <c r="DUJ50" s="136"/>
      <c r="DUK50" s="136"/>
      <c r="DUL50" s="136"/>
      <c r="DUM50" s="136"/>
      <c r="DUN50" s="136"/>
      <c r="DUO50" s="136"/>
      <c r="DUP50" s="136"/>
      <c r="DUQ50" s="136"/>
      <c r="DUR50" s="136"/>
      <c r="DUS50" s="136"/>
      <c r="DUT50" s="136"/>
      <c r="DUU50" s="136"/>
      <c r="DUV50" s="136"/>
      <c r="DUW50" s="136"/>
      <c r="DUX50" s="136"/>
      <c r="DUY50" s="136"/>
      <c r="DUZ50" s="136"/>
      <c r="DVA50" s="136"/>
      <c r="DVB50" s="136"/>
      <c r="DVC50" s="136"/>
      <c r="DVD50" s="136"/>
      <c r="DVE50" s="136"/>
      <c r="DVF50" s="136"/>
      <c r="DVG50" s="136"/>
      <c r="DVH50" s="136"/>
      <c r="DVI50" s="136"/>
      <c r="DVJ50" s="136"/>
      <c r="DVK50" s="136"/>
      <c r="DVL50" s="136"/>
      <c r="DVM50" s="136"/>
      <c r="DVN50" s="136"/>
      <c r="DVO50" s="136"/>
      <c r="DVP50" s="136"/>
      <c r="DVQ50" s="136"/>
      <c r="DVR50" s="136"/>
      <c r="DVS50" s="136"/>
      <c r="DVT50" s="136"/>
      <c r="DVU50" s="136"/>
      <c r="DVV50" s="136"/>
      <c r="DVW50" s="136"/>
      <c r="DVX50" s="136"/>
      <c r="DVY50" s="136"/>
      <c r="DVZ50" s="136"/>
      <c r="DWA50" s="136"/>
      <c r="DWB50" s="136"/>
      <c r="DWC50" s="136"/>
      <c r="DWD50" s="136"/>
      <c r="DWE50" s="136"/>
      <c r="DWF50" s="136"/>
      <c r="DWG50" s="136"/>
      <c r="DWH50" s="136"/>
      <c r="DWI50" s="136"/>
      <c r="DWJ50" s="136"/>
      <c r="DWK50" s="136"/>
      <c r="DWL50" s="136"/>
      <c r="DWM50" s="136"/>
      <c r="DWN50" s="136"/>
      <c r="DWO50" s="136"/>
      <c r="DWP50" s="136"/>
      <c r="DWQ50" s="136"/>
      <c r="DWR50" s="136"/>
      <c r="DWS50" s="136"/>
      <c r="DWT50" s="136"/>
      <c r="DWU50" s="136"/>
      <c r="DWV50" s="136"/>
      <c r="DWW50" s="136"/>
      <c r="DWX50" s="136"/>
      <c r="DWY50" s="136"/>
      <c r="DWZ50" s="136"/>
      <c r="DXA50" s="136"/>
      <c r="DXB50" s="136"/>
      <c r="DXC50" s="136"/>
      <c r="DXD50" s="136"/>
      <c r="DXE50" s="136"/>
      <c r="DXF50" s="136"/>
      <c r="DXG50" s="136"/>
      <c r="DXH50" s="136"/>
      <c r="DXI50" s="136"/>
      <c r="DXJ50" s="136"/>
      <c r="DXK50" s="136"/>
      <c r="DXL50" s="136"/>
      <c r="DXM50" s="136"/>
      <c r="DXN50" s="136"/>
      <c r="DXO50" s="136"/>
      <c r="DXP50" s="136"/>
      <c r="DXQ50" s="136"/>
      <c r="DXR50" s="136"/>
      <c r="DXS50" s="136"/>
      <c r="DXT50" s="136"/>
      <c r="DXU50" s="136"/>
      <c r="DXV50" s="136"/>
      <c r="DXW50" s="136"/>
      <c r="DXX50" s="136"/>
      <c r="DXY50" s="136"/>
      <c r="DXZ50" s="136"/>
      <c r="DYA50" s="136"/>
      <c r="DYB50" s="136"/>
      <c r="DYC50" s="136"/>
      <c r="DYD50" s="136"/>
      <c r="DYE50" s="136"/>
      <c r="DYF50" s="136"/>
      <c r="DYG50" s="136"/>
      <c r="DYH50" s="136"/>
      <c r="DYI50" s="136"/>
      <c r="DYJ50" s="136"/>
      <c r="DYK50" s="136"/>
      <c r="DYL50" s="136"/>
      <c r="DYM50" s="136"/>
      <c r="DYN50" s="136"/>
      <c r="DYO50" s="136"/>
      <c r="DYP50" s="136"/>
      <c r="DYQ50" s="136"/>
      <c r="DYR50" s="136"/>
      <c r="DYS50" s="136"/>
      <c r="DYT50" s="136"/>
      <c r="DYU50" s="136"/>
      <c r="DYV50" s="136"/>
      <c r="DYW50" s="136"/>
      <c r="DYX50" s="136"/>
      <c r="DYY50" s="136"/>
      <c r="DYZ50" s="136"/>
      <c r="DZA50" s="136"/>
      <c r="DZB50" s="136"/>
      <c r="DZC50" s="136"/>
      <c r="DZD50" s="136"/>
      <c r="DZE50" s="136"/>
      <c r="DZF50" s="136"/>
      <c r="DZG50" s="136"/>
      <c r="DZH50" s="136"/>
      <c r="DZI50" s="136"/>
      <c r="DZJ50" s="136"/>
      <c r="DZK50" s="136"/>
      <c r="DZL50" s="136"/>
      <c r="DZM50" s="136"/>
      <c r="DZN50" s="136"/>
      <c r="DZO50" s="136"/>
      <c r="DZP50" s="136"/>
      <c r="DZQ50" s="136"/>
      <c r="DZR50" s="136"/>
      <c r="DZS50" s="136"/>
      <c r="DZT50" s="136"/>
      <c r="DZU50" s="136"/>
      <c r="DZV50" s="136"/>
      <c r="DZW50" s="136"/>
      <c r="DZX50" s="136"/>
      <c r="DZY50" s="136"/>
      <c r="DZZ50" s="136"/>
      <c r="EAA50" s="136"/>
      <c r="EAB50" s="136"/>
      <c r="EAC50" s="136"/>
      <c r="EAD50" s="136"/>
      <c r="EAE50" s="136"/>
      <c r="EAF50" s="136"/>
      <c r="EAG50" s="136"/>
      <c r="EAH50" s="136"/>
      <c r="EAI50" s="136"/>
      <c r="EAJ50" s="136"/>
      <c r="EAK50" s="136"/>
      <c r="EAL50" s="136"/>
      <c r="EAM50" s="136"/>
      <c r="EAN50" s="136"/>
      <c r="EAO50" s="136"/>
      <c r="EAP50" s="136"/>
      <c r="EAQ50" s="136"/>
      <c r="EAR50" s="136"/>
      <c r="EAS50" s="136"/>
      <c r="EAT50" s="136"/>
      <c r="EAU50" s="136"/>
      <c r="EAV50" s="136"/>
      <c r="EAW50" s="136"/>
      <c r="EAX50" s="136"/>
      <c r="EAY50" s="136"/>
      <c r="EAZ50" s="136"/>
      <c r="EBA50" s="136"/>
      <c r="EBB50" s="136"/>
      <c r="EBC50" s="136"/>
      <c r="EBD50" s="136"/>
      <c r="EBE50" s="136"/>
      <c r="EBF50" s="136"/>
      <c r="EBG50" s="136"/>
      <c r="EBH50" s="136"/>
      <c r="EBI50" s="136"/>
      <c r="EBJ50" s="136"/>
      <c r="EBK50" s="136"/>
      <c r="EBL50" s="136"/>
      <c r="EBM50" s="136"/>
      <c r="EBN50" s="136"/>
      <c r="EBO50" s="136"/>
      <c r="EBP50" s="136"/>
      <c r="EBQ50" s="136"/>
      <c r="EBR50" s="136"/>
      <c r="EBS50" s="136"/>
      <c r="EBT50" s="136"/>
      <c r="EBU50" s="136"/>
      <c r="EBV50" s="136"/>
      <c r="EBW50" s="136"/>
      <c r="EBX50" s="136"/>
      <c r="EBY50" s="136"/>
      <c r="EBZ50" s="136"/>
      <c r="ECA50" s="136"/>
      <c r="ECB50" s="136"/>
      <c r="ECC50" s="136"/>
      <c r="ECD50" s="136"/>
      <c r="ECE50" s="136"/>
      <c r="ECF50" s="136"/>
      <c r="ECG50" s="136"/>
      <c r="ECH50" s="136"/>
      <c r="ECI50" s="136"/>
      <c r="ECJ50" s="136"/>
      <c r="ECK50" s="136"/>
      <c r="ECL50" s="136"/>
      <c r="ECM50" s="136"/>
      <c r="ECN50" s="136"/>
      <c r="ECO50" s="136"/>
      <c r="ECP50" s="136"/>
      <c r="ECQ50" s="136"/>
      <c r="ECR50" s="136"/>
      <c r="ECS50" s="136"/>
      <c r="ECT50" s="136"/>
      <c r="ECU50" s="136"/>
      <c r="ECV50" s="136"/>
      <c r="ECW50" s="136"/>
      <c r="ECX50" s="136"/>
      <c r="ECY50" s="136"/>
      <c r="ECZ50" s="136"/>
      <c r="EDA50" s="136"/>
      <c r="EDB50" s="136"/>
      <c r="EDC50" s="136"/>
      <c r="EDD50" s="136"/>
      <c r="EDE50" s="136"/>
      <c r="EDF50" s="136"/>
      <c r="EDG50" s="136"/>
      <c r="EDH50" s="136"/>
      <c r="EDI50" s="136"/>
      <c r="EDJ50" s="136"/>
      <c r="EDK50" s="136"/>
      <c r="EDL50" s="136"/>
      <c r="EDM50" s="136"/>
      <c r="EDN50" s="136"/>
      <c r="EDO50" s="136"/>
      <c r="EDP50" s="136"/>
      <c r="EDQ50" s="136"/>
      <c r="EDR50" s="136"/>
      <c r="EDS50" s="136"/>
      <c r="EDT50" s="136"/>
      <c r="EDU50" s="136"/>
      <c r="EDV50" s="136"/>
      <c r="EDW50" s="136"/>
      <c r="EDX50" s="136"/>
      <c r="EDY50" s="136"/>
      <c r="EDZ50" s="136"/>
      <c r="EEA50" s="136"/>
      <c r="EEB50" s="136"/>
      <c r="EEC50" s="136"/>
      <c r="EED50" s="136"/>
      <c r="EEE50" s="136"/>
      <c r="EEF50" s="136"/>
      <c r="EEG50" s="136"/>
      <c r="EEH50" s="136"/>
      <c r="EEI50" s="136"/>
      <c r="EEJ50" s="136"/>
      <c r="EEK50" s="136"/>
      <c r="EEL50" s="136"/>
      <c r="EEM50" s="136"/>
      <c r="EEN50" s="136"/>
      <c r="EEO50" s="136"/>
      <c r="EEP50" s="136"/>
      <c r="EEQ50" s="136"/>
      <c r="EER50" s="136"/>
      <c r="EES50" s="136"/>
      <c r="EET50" s="136"/>
      <c r="EEU50" s="136"/>
      <c r="EEV50" s="136"/>
      <c r="EEW50" s="136"/>
      <c r="EEX50" s="136"/>
      <c r="EEY50" s="136"/>
      <c r="EEZ50" s="136"/>
      <c r="EFA50" s="136"/>
      <c r="EFB50" s="136"/>
      <c r="EFC50" s="136"/>
      <c r="EFD50" s="136"/>
      <c r="EFE50" s="136"/>
      <c r="EFF50" s="136"/>
      <c r="EFG50" s="136"/>
      <c r="EFH50" s="136"/>
      <c r="EFI50" s="136"/>
      <c r="EFJ50" s="136"/>
      <c r="EFK50" s="136"/>
      <c r="EFL50" s="136"/>
      <c r="EFM50" s="136"/>
      <c r="EFN50" s="136"/>
      <c r="EFO50" s="136"/>
      <c r="EFP50" s="136"/>
      <c r="EFQ50" s="136"/>
      <c r="EFR50" s="136"/>
      <c r="EFS50" s="136"/>
      <c r="EFT50" s="136"/>
      <c r="EFU50" s="136"/>
      <c r="EFV50" s="136"/>
      <c r="EFW50" s="136"/>
      <c r="EFX50" s="136"/>
      <c r="EFY50" s="136"/>
      <c r="EFZ50" s="136"/>
      <c r="EGA50" s="136"/>
      <c r="EGB50" s="136"/>
      <c r="EGC50" s="136"/>
      <c r="EGD50" s="136"/>
      <c r="EGE50" s="136"/>
      <c r="EGF50" s="136"/>
      <c r="EGG50" s="136"/>
      <c r="EGH50" s="136"/>
      <c r="EGI50" s="136"/>
      <c r="EGJ50" s="136"/>
      <c r="EGK50" s="136"/>
      <c r="EGL50" s="136"/>
      <c r="EGM50" s="136"/>
      <c r="EGN50" s="136"/>
      <c r="EGO50" s="136"/>
      <c r="EGP50" s="136"/>
      <c r="EGQ50" s="136"/>
      <c r="EGR50" s="136"/>
      <c r="EGS50" s="136"/>
      <c r="EGT50" s="136"/>
      <c r="EGU50" s="136"/>
      <c r="EGV50" s="136"/>
      <c r="EGW50" s="136"/>
      <c r="EGX50" s="136"/>
      <c r="EGY50" s="136"/>
      <c r="EGZ50" s="136"/>
      <c r="EHA50" s="136"/>
      <c r="EHB50" s="136"/>
      <c r="EHC50" s="136"/>
      <c r="EHD50" s="136"/>
      <c r="EHE50" s="136"/>
      <c r="EHF50" s="136"/>
      <c r="EHG50" s="136"/>
      <c r="EHH50" s="136"/>
      <c r="EHI50" s="136"/>
      <c r="EHJ50" s="136"/>
      <c r="EHK50" s="136"/>
      <c r="EHL50" s="136"/>
      <c r="EHM50" s="136"/>
      <c r="EHN50" s="136"/>
      <c r="EHO50" s="136"/>
      <c r="EHP50" s="136"/>
      <c r="EHQ50" s="136"/>
      <c r="EHR50" s="136"/>
      <c r="EHS50" s="136"/>
      <c r="EHT50" s="136"/>
      <c r="EHU50" s="136"/>
      <c r="EHV50" s="136"/>
      <c r="EHW50" s="136"/>
      <c r="EHX50" s="136"/>
      <c r="EHY50" s="136"/>
      <c r="EHZ50" s="136"/>
      <c r="EIA50" s="136"/>
      <c r="EIB50" s="136"/>
      <c r="EIC50" s="136"/>
      <c r="EID50" s="136"/>
      <c r="EIE50" s="136"/>
      <c r="EIF50" s="136"/>
      <c r="EIG50" s="136"/>
      <c r="EIH50" s="136"/>
      <c r="EII50" s="136"/>
      <c r="EIJ50" s="136"/>
      <c r="EIK50" s="136"/>
      <c r="EIL50" s="136"/>
      <c r="EIM50" s="136"/>
      <c r="EIN50" s="136"/>
      <c r="EIO50" s="136"/>
      <c r="EIP50" s="136"/>
      <c r="EIQ50" s="136"/>
      <c r="EIR50" s="136"/>
      <c r="EIS50" s="136"/>
      <c r="EIT50" s="136"/>
      <c r="EIU50" s="136"/>
      <c r="EIV50" s="136"/>
      <c r="EIW50" s="136"/>
      <c r="EIX50" s="136"/>
      <c r="EIY50" s="136"/>
      <c r="EIZ50" s="136"/>
      <c r="EJA50" s="136"/>
      <c r="EJB50" s="136"/>
      <c r="EJC50" s="136"/>
      <c r="EJD50" s="136"/>
      <c r="EJE50" s="136"/>
      <c r="EJF50" s="136"/>
      <c r="EJG50" s="136"/>
      <c r="EJH50" s="136"/>
      <c r="EJI50" s="136"/>
      <c r="EJJ50" s="136"/>
      <c r="EJK50" s="136"/>
      <c r="EJL50" s="136"/>
      <c r="EJM50" s="136"/>
      <c r="EJN50" s="136"/>
      <c r="EJO50" s="136"/>
      <c r="EJP50" s="136"/>
      <c r="EJQ50" s="136"/>
      <c r="EJR50" s="136"/>
      <c r="EJS50" s="136"/>
      <c r="EJT50" s="136"/>
      <c r="EJU50" s="136"/>
      <c r="EJV50" s="136"/>
      <c r="EJW50" s="136"/>
      <c r="EJX50" s="136"/>
      <c r="EJY50" s="136"/>
      <c r="EJZ50" s="136"/>
      <c r="EKA50" s="136"/>
      <c r="EKB50" s="136"/>
      <c r="EKC50" s="136"/>
      <c r="EKD50" s="136"/>
      <c r="EKE50" s="136"/>
      <c r="EKF50" s="136"/>
      <c r="EKG50" s="136"/>
      <c r="EKH50" s="136"/>
      <c r="EKI50" s="136"/>
      <c r="EKJ50" s="136"/>
      <c r="EKK50" s="136"/>
      <c r="EKL50" s="136"/>
      <c r="EKM50" s="136"/>
      <c r="EKN50" s="136"/>
      <c r="EKO50" s="136"/>
      <c r="EKP50" s="136"/>
      <c r="EKQ50" s="136"/>
      <c r="EKR50" s="136"/>
      <c r="EKS50" s="136"/>
      <c r="EKT50" s="136"/>
      <c r="EKU50" s="136"/>
      <c r="EKV50" s="136"/>
      <c r="EKW50" s="136"/>
      <c r="EKX50" s="136"/>
      <c r="EKY50" s="136"/>
      <c r="EKZ50" s="136"/>
      <c r="ELA50" s="136"/>
      <c r="ELB50" s="136"/>
      <c r="ELC50" s="136"/>
      <c r="ELD50" s="136"/>
      <c r="ELE50" s="136"/>
      <c r="ELF50" s="136"/>
      <c r="ELG50" s="136"/>
      <c r="ELH50" s="136"/>
      <c r="ELI50" s="136"/>
      <c r="ELJ50" s="136"/>
      <c r="ELK50" s="136"/>
      <c r="ELL50" s="136"/>
      <c r="ELM50" s="136"/>
      <c r="ELN50" s="136"/>
      <c r="ELO50" s="136"/>
      <c r="ELP50" s="136"/>
      <c r="ELQ50" s="136"/>
      <c r="ELR50" s="136"/>
      <c r="ELS50" s="136"/>
      <c r="ELT50" s="136"/>
      <c r="ELU50" s="136"/>
      <c r="ELV50" s="136"/>
      <c r="ELW50" s="136"/>
      <c r="ELX50" s="136"/>
      <c r="ELY50" s="136"/>
      <c r="ELZ50" s="136"/>
      <c r="EMA50" s="136"/>
      <c r="EMB50" s="136"/>
      <c r="EMC50" s="136"/>
      <c r="EMD50" s="136"/>
      <c r="EME50" s="136"/>
      <c r="EMF50" s="136"/>
      <c r="EMG50" s="136"/>
      <c r="EMH50" s="136"/>
      <c r="EMI50" s="136"/>
      <c r="EMJ50" s="136"/>
      <c r="EMK50" s="136"/>
      <c r="EML50" s="136"/>
      <c r="EMM50" s="136"/>
      <c r="EMN50" s="136"/>
      <c r="EMO50" s="136"/>
      <c r="EMP50" s="136"/>
      <c r="EMQ50" s="136"/>
      <c r="EMR50" s="136"/>
      <c r="EMS50" s="136"/>
      <c r="EMT50" s="136"/>
      <c r="EMU50" s="136"/>
      <c r="EMV50" s="136"/>
      <c r="EMW50" s="136"/>
      <c r="EMX50" s="136"/>
      <c r="EMY50" s="136"/>
      <c r="EMZ50" s="136"/>
      <c r="ENA50" s="136"/>
      <c r="ENB50" s="136"/>
      <c r="ENC50" s="136"/>
      <c r="END50" s="136"/>
      <c r="ENE50" s="136"/>
      <c r="ENF50" s="136"/>
      <c r="ENG50" s="136"/>
      <c r="ENH50" s="136"/>
      <c r="ENI50" s="136"/>
      <c r="ENJ50" s="136"/>
      <c r="ENK50" s="136"/>
      <c r="ENL50" s="136"/>
      <c r="ENM50" s="136"/>
      <c r="ENN50" s="136"/>
      <c r="ENO50" s="136"/>
      <c r="ENP50" s="136"/>
      <c r="ENQ50" s="136"/>
      <c r="ENR50" s="136"/>
      <c r="ENS50" s="136"/>
      <c r="ENT50" s="136"/>
      <c r="ENU50" s="136"/>
      <c r="ENV50" s="136"/>
      <c r="ENW50" s="136"/>
      <c r="ENX50" s="136"/>
      <c r="ENY50" s="136"/>
      <c r="ENZ50" s="136"/>
      <c r="EOA50" s="136"/>
      <c r="EOB50" s="136"/>
      <c r="EOC50" s="136"/>
      <c r="EOD50" s="136"/>
      <c r="EOE50" s="136"/>
      <c r="EOF50" s="136"/>
      <c r="EOG50" s="136"/>
      <c r="EOH50" s="136"/>
      <c r="EOI50" s="136"/>
      <c r="EOJ50" s="136"/>
      <c r="EOK50" s="136"/>
      <c r="EOL50" s="136"/>
      <c r="EOM50" s="136"/>
      <c r="EON50" s="136"/>
      <c r="EOO50" s="136"/>
      <c r="EOP50" s="136"/>
      <c r="EOQ50" s="136"/>
      <c r="EOR50" s="136"/>
      <c r="EOS50" s="136"/>
      <c r="EOT50" s="136"/>
      <c r="EOU50" s="136"/>
      <c r="EOV50" s="136"/>
      <c r="EOW50" s="136"/>
      <c r="EOX50" s="136"/>
      <c r="EOY50" s="136"/>
      <c r="EOZ50" s="136"/>
      <c r="EPA50" s="136"/>
      <c r="EPB50" s="136"/>
      <c r="EPC50" s="136"/>
      <c r="EPD50" s="136"/>
      <c r="EPE50" s="136"/>
      <c r="EPF50" s="136"/>
      <c r="EPG50" s="136"/>
      <c r="EPH50" s="136"/>
      <c r="EPI50" s="136"/>
      <c r="EPJ50" s="136"/>
      <c r="EPK50" s="136"/>
      <c r="EPL50" s="136"/>
      <c r="EPM50" s="136"/>
      <c r="EPN50" s="136"/>
      <c r="EPO50" s="136"/>
      <c r="EPP50" s="136"/>
      <c r="EPQ50" s="136"/>
      <c r="EPR50" s="136"/>
      <c r="EPS50" s="136"/>
      <c r="EPT50" s="136"/>
      <c r="EPU50" s="136"/>
      <c r="EPV50" s="136"/>
      <c r="EPW50" s="136"/>
      <c r="EPX50" s="136"/>
      <c r="EPY50" s="136"/>
      <c r="EPZ50" s="136"/>
      <c r="EQA50" s="136"/>
      <c r="EQB50" s="136"/>
      <c r="EQC50" s="136"/>
      <c r="EQD50" s="136"/>
      <c r="EQE50" s="136"/>
      <c r="EQF50" s="136"/>
      <c r="EQG50" s="136"/>
      <c r="EQH50" s="136"/>
      <c r="EQI50" s="136"/>
      <c r="EQJ50" s="136"/>
      <c r="EQK50" s="136"/>
      <c r="EQL50" s="136"/>
      <c r="EQM50" s="136"/>
      <c r="EQN50" s="136"/>
      <c r="EQO50" s="136"/>
      <c r="EQP50" s="136"/>
      <c r="EQQ50" s="136"/>
      <c r="EQR50" s="136"/>
      <c r="EQS50" s="136"/>
      <c r="EQT50" s="136"/>
      <c r="EQU50" s="136"/>
      <c r="EQV50" s="136"/>
      <c r="EQW50" s="136"/>
      <c r="EQX50" s="136"/>
      <c r="EQY50" s="136"/>
      <c r="EQZ50" s="136"/>
      <c r="ERA50" s="136"/>
      <c r="ERB50" s="136"/>
      <c r="ERC50" s="136"/>
      <c r="ERD50" s="136"/>
      <c r="ERE50" s="136"/>
      <c r="ERF50" s="136"/>
      <c r="ERG50" s="136"/>
      <c r="ERH50" s="136"/>
      <c r="ERI50" s="136"/>
      <c r="ERJ50" s="136"/>
      <c r="ERK50" s="136"/>
      <c r="ERL50" s="136"/>
      <c r="ERM50" s="136"/>
      <c r="ERN50" s="136"/>
      <c r="ERO50" s="136"/>
      <c r="ERP50" s="136"/>
      <c r="ERQ50" s="136"/>
      <c r="ERR50" s="136"/>
      <c r="ERS50" s="136"/>
      <c r="ERT50" s="136"/>
      <c r="ERU50" s="136"/>
      <c r="ERV50" s="136"/>
      <c r="ERW50" s="136"/>
      <c r="ERX50" s="136"/>
      <c r="ERY50" s="136"/>
      <c r="ERZ50" s="136"/>
      <c r="ESA50" s="136"/>
      <c r="ESB50" s="136"/>
      <c r="ESC50" s="136"/>
      <c r="ESD50" s="136"/>
      <c r="ESE50" s="136"/>
      <c r="ESF50" s="136"/>
      <c r="ESG50" s="136"/>
      <c r="ESH50" s="136"/>
      <c r="ESI50" s="136"/>
      <c r="ESJ50" s="136"/>
      <c r="ESK50" s="136"/>
      <c r="ESL50" s="136"/>
      <c r="ESM50" s="136"/>
      <c r="ESN50" s="136"/>
      <c r="ESO50" s="136"/>
      <c r="ESP50" s="136"/>
      <c r="ESQ50" s="136"/>
      <c r="ESR50" s="136"/>
      <c r="ESS50" s="136"/>
      <c r="EST50" s="136"/>
      <c r="ESU50" s="136"/>
      <c r="ESV50" s="136"/>
      <c r="ESW50" s="136"/>
      <c r="ESX50" s="136"/>
      <c r="ESY50" s="136"/>
      <c r="ESZ50" s="136"/>
      <c r="ETA50" s="136"/>
      <c r="ETB50" s="136"/>
      <c r="ETC50" s="136"/>
      <c r="ETD50" s="136"/>
      <c r="ETE50" s="136"/>
      <c r="ETF50" s="136"/>
      <c r="ETG50" s="136"/>
      <c r="ETH50" s="136"/>
      <c r="ETI50" s="136"/>
      <c r="ETJ50" s="136"/>
      <c r="ETK50" s="136"/>
      <c r="ETL50" s="136"/>
      <c r="ETM50" s="136"/>
      <c r="ETN50" s="136"/>
      <c r="ETO50" s="136"/>
      <c r="ETP50" s="136"/>
      <c r="ETQ50" s="136"/>
      <c r="ETR50" s="136"/>
      <c r="ETS50" s="136"/>
      <c r="ETT50" s="136"/>
      <c r="ETU50" s="136"/>
      <c r="ETV50" s="136"/>
      <c r="ETW50" s="136"/>
      <c r="ETX50" s="136"/>
      <c r="ETY50" s="136"/>
      <c r="ETZ50" s="136"/>
      <c r="EUA50" s="136"/>
      <c r="EUB50" s="136"/>
      <c r="EUC50" s="136"/>
      <c r="EUD50" s="136"/>
      <c r="EUE50" s="136"/>
      <c r="EUF50" s="136"/>
      <c r="EUG50" s="136"/>
      <c r="EUH50" s="136"/>
      <c r="EUI50" s="136"/>
      <c r="EUJ50" s="136"/>
      <c r="EUK50" s="136"/>
      <c r="EUL50" s="136"/>
      <c r="EUM50" s="136"/>
      <c r="EUN50" s="136"/>
      <c r="EUO50" s="136"/>
      <c r="EUP50" s="136"/>
      <c r="EUQ50" s="136"/>
      <c r="EUR50" s="136"/>
      <c r="EUS50" s="136"/>
      <c r="EUT50" s="136"/>
      <c r="EUU50" s="136"/>
      <c r="EUV50" s="136"/>
      <c r="EUW50" s="136"/>
      <c r="EUX50" s="136"/>
      <c r="EUY50" s="136"/>
      <c r="EUZ50" s="136"/>
      <c r="EVA50" s="136"/>
      <c r="EVB50" s="136"/>
      <c r="EVC50" s="136"/>
      <c r="EVD50" s="136"/>
      <c r="EVE50" s="136"/>
      <c r="EVF50" s="136"/>
      <c r="EVG50" s="136"/>
      <c r="EVH50" s="136"/>
      <c r="EVI50" s="136"/>
      <c r="EVJ50" s="136"/>
      <c r="EVK50" s="136"/>
      <c r="EVL50" s="136"/>
      <c r="EVM50" s="136"/>
      <c r="EVN50" s="136"/>
      <c r="EVO50" s="136"/>
      <c r="EVP50" s="136"/>
      <c r="EVQ50" s="136"/>
      <c r="EVR50" s="136"/>
      <c r="EVS50" s="136"/>
      <c r="EVT50" s="136"/>
      <c r="EVU50" s="136"/>
      <c r="EVV50" s="136"/>
      <c r="EVW50" s="136"/>
      <c r="EVX50" s="136"/>
      <c r="EVY50" s="136"/>
      <c r="EVZ50" s="136"/>
      <c r="EWA50" s="136"/>
      <c r="EWB50" s="136"/>
      <c r="EWC50" s="136"/>
      <c r="EWD50" s="136"/>
      <c r="EWE50" s="136"/>
      <c r="EWF50" s="136"/>
      <c r="EWG50" s="136"/>
      <c r="EWH50" s="136"/>
      <c r="EWI50" s="136"/>
      <c r="EWJ50" s="136"/>
      <c r="EWK50" s="136"/>
      <c r="EWL50" s="136"/>
      <c r="EWM50" s="136"/>
      <c r="EWN50" s="136"/>
      <c r="EWO50" s="136"/>
      <c r="EWP50" s="136"/>
      <c r="EWQ50" s="136"/>
      <c r="EWR50" s="136"/>
      <c r="EWS50" s="136"/>
      <c r="EWT50" s="136"/>
      <c r="EWU50" s="136"/>
      <c r="EWV50" s="136"/>
      <c r="EWW50" s="136"/>
      <c r="EWX50" s="136"/>
      <c r="EWY50" s="136"/>
      <c r="EWZ50" s="136"/>
      <c r="EXA50" s="136"/>
      <c r="EXB50" s="136"/>
      <c r="EXC50" s="136"/>
      <c r="EXD50" s="136"/>
      <c r="EXE50" s="136"/>
      <c r="EXF50" s="136"/>
      <c r="EXG50" s="136"/>
      <c r="EXH50" s="136"/>
      <c r="EXI50" s="136"/>
      <c r="EXJ50" s="136"/>
      <c r="EXK50" s="136"/>
      <c r="EXL50" s="136"/>
      <c r="EXM50" s="136"/>
      <c r="EXN50" s="136"/>
      <c r="EXO50" s="136"/>
      <c r="EXP50" s="136"/>
      <c r="EXQ50" s="136"/>
      <c r="EXR50" s="136"/>
      <c r="EXS50" s="136"/>
      <c r="EXT50" s="136"/>
      <c r="EXU50" s="136"/>
      <c r="EXV50" s="136"/>
      <c r="EXW50" s="136"/>
      <c r="EXX50" s="136"/>
      <c r="EXY50" s="136"/>
      <c r="EXZ50" s="136"/>
      <c r="EYA50" s="136"/>
      <c r="EYB50" s="136"/>
      <c r="EYC50" s="136"/>
      <c r="EYD50" s="136"/>
      <c r="EYE50" s="136"/>
      <c r="EYF50" s="136"/>
      <c r="EYG50" s="136"/>
      <c r="EYH50" s="136"/>
      <c r="EYI50" s="136"/>
      <c r="EYJ50" s="136"/>
      <c r="EYK50" s="136"/>
      <c r="EYL50" s="136"/>
      <c r="EYM50" s="136"/>
      <c r="EYN50" s="136"/>
      <c r="EYO50" s="136"/>
      <c r="EYP50" s="136"/>
      <c r="EYQ50" s="136"/>
      <c r="EYR50" s="136"/>
      <c r="EYS50" s="136"/>
      <c r="EYT50" s="136"/>
      <c r="EYU50" s="136"/>
      <c r="EYV50" s="136"/>
      <c r="EYW50" s="136"/>
      <c r="EYX50" s="136"/>
      <c r="EYY50" s="136"/>
      <c r="EYZ50" s="136"/>
      <c r="EZA50" s="136"/>
      <c r="EZB50" s="136"/>
      <c r="EZC50" s="136"/>
      <c r="EZD50" s="136"/>
      <c r="EZE50" s="136"/>
      <c r="EZF50" s="136"/>
      <c r="EZG50" s="136"/>
      <c r="EZH50" s="136"/>
      <c r="EZI50" s="136"/>
      <c r="EZJ50" s="136"/>
      <c r="EZK50" s="136"/>
      <c r="EZL50" s="136"/>
      <c r="EZM50" s="136"/>
      <c r="EZN50" s="136"/>
      <c r="EZO50" s="136"/>
      <c r="EZP50" s="136"/>
      <c r="EZQ50" s="136"/>
      <c r="EZR50" s="136"/>
      <c r="EZS50" s="136"/>
      <c r="EZT50" s="136"/>
      <c r="EZU50" s="136"/>
      <c r="EZV50" s="136"/>
      <c r="EZW50" s="136"/>
      <c r="EZX50" s="136"/>
      <c r="EZY50" s="136"/>
      <c r="EZZ50" s="136"/>
      <c r="FAA50" s="136"/>
      <c r="FAB50" s="136"/>
      <c r="FAC50" s="136"/>
      <c r="FAD50" s="136"/>
      <c r="FAE50" s="136"/>
      <c r="FAF50" s="136"/>
      <c r="FAG50" s="136"/>
      <c r="FAH50" s="136"/>
      <c r="FAI50" s="136"/>
      <c r="FAJ50" s="136"/>
      <c r="FAK50" s="136"/>
      <c r="FAL50" s="136"/>
      <c r="FAM50" s="136"/>
      <c r="FAN50" s="136"/>
      <c r="FAO50" s="136"/>
      <c r="FAP50" s="136"/>
      <c r="FAQ50" s="136"/>
      <c r="FAR50" s="136"/>
      <c r="FAS50" s="136"/>
      <c r="FAT50" s="136"/>
      <c r="FAU50" s="136"/>
      <c r="FAV50" s="136"/>
      <c r="FAW50" s="136"/>
      <c r="FAX50" s="136"/>
      <c r="FAY50" s="136"/>
      <c r="FAZ50" s="136"/>
      <c r="FBA50" s="136"/>
      <c r="FBB50" s="136"/>
      <c r="FBC50" s="136"/>
      <c r="FBD50" s="136"/>
      <c r="FBE50" s="136"/>
      <c r="FBF50" s="136"/>
      <c r="FBG50" s="136"/>
      <c r="FBH50" s="136"/>
      <c r="FBI50" s="136"/>
      <c r="FBJ50" s="136"/>
      <c r="FBK50" s="136"/>
      <c r="FBL50" s="136"/>
      <c r="FBM50" s="136"/>
      <c r="FBN50" s="136"/>
      <c r="FBO50" s="136"/>
      <c r="FBP50" s="136"/>
      <c r="FBQ50" s="136"/>
      <c r="FBR50" s="136"/>
      <c r="FBS50" s="136"/>
      <c r="FBT50" s="136"/>
      <c r="FBU50" s="136"/>
      <c r="FBV50" s="136"/>
      <c r="FBW50" s="136"/>
      <c r="FBX50" s="136"/>
      <c r="FBY50" s="136"/>
      <c r="FBZ50" s="136"/>
      <c r="FCA50" s="136"/>
      <c r="FCB50" s="136"/>
      <c r="FCC50" s="136"/>
      <c r="FCD50" s="136"/>
      <c r="FCE50" s="136"/>
      <c r="FCF50" s="136"/>
      <c r="FCG50" s="136"/>
      <c r="FCH50" s="136"/>
      <c r="FCI50" s="136"/>
      <c r="FCJ50" s="136"/>
      <c r="FCK50" s="136"/>
      <c r="FCL50" s="136"/>
      <c r="FCM50" s="136"/>
      <c r="FCN50" s="136"/>
      <c r="FCO50" s="136"/>
      <c r="FCP50" s="136"/>
      <c r="FCQ50" s="136"/>
      <c r="FCR50" s="136"/>
      <c r="FCS50" s="136"/>
      <c r="FCT50" s="136"/>
      <c r="FCU50" s="136"/>
      <c r="FCV50" s="136"/>
      <c r="FCW50" s="136"/>
      <c r="FCX50" s="136"/>
      <c r="FCY50" s="136"/>
      <c r="FCZ50" s="136"/>
      <c r="FDA50" s="136"/>
      <c r="FDB50" s="136"/>
      <c r="FDC50" s="136"/>
      <c r="FDD50" s="136"/>
      <c r="FDE50" s="136"/>
      <c r="FDF50" s="136"/>
      <c r="FDG50" s="136"/>
      <c r="FDH50" s="136"/>
      <c r="FDI50" s="136"/>
      <c r="FDJ50" s="136"/>
      <c r="FDK50" s="136"/>
      <c r="FDL50" s="136"/>
      <c r="FDM50" s="136"/>
      <c r="FDN50" s="136"/>
      <c r="FDO50" s="136"/>
      <c r="FDP50" s="136"/>
      <c r="FDQ50" s="136"/>
      <c r="FDR50" s="136"/>
      <c r="FDS50" s="136"/>
      <c r="FDT50" s="136"/>
      <c r="FDU50" s="136"/>
      <c r="FDV50" s="136"/>
      <c r="FDW50" s="136"/>
      <c r="FDX50" s="136"/>
      <c r="FDY50" s="136"/>
      <c r="FDZ50" s="136"/>
      <c r="FEA50" s="136"/>
      <c r="FEB50" s="136"/>
      <c r="FEC50" s="136"/>
      <c r="FED50" s="136"/>
      <c r="FEE50" s="136"/>
      <c r="FEF50" s="136"/>
      <c r="FEG50" s="136"/>
      <c r="FEH50" s="136"/>
      <c r="FEI50" s="136"/>
      <c r="FEJ50" s="136"/>
      <c r="FEK50" s="136"/>
      <c r="FEL50" s="136"/>
      <c r="FEM50" s="136"/>
      <c r="FEN50" s="136"/>
      <c r="FEO50" s="136"/>
      <c r="FEP50" s="136"/>
      <c r="FEQ50" s="136"/>
      <c r="FER50" s="136"/>
      <c r="FES50" s="136"/>
      <c r="FET50" s="136"/>
      <c r="FEU50" s="136"/>
      <c r="FEV50" s="136"/>
      <c r="FEW50" s="136"/>
      <c r="FEX50" s="136"/>
      <c r="FEY50" s="136"/>
      <c r="FEZ50" s="136"/>
      <c r="FFA50" s="136"/>
      <c r="FFB50" s="136"/>
      <c r="FFC50" s="136"/>
      <c r="FFD50" s="136"/>
      <c r="FFE50" s="136"/>
      <c r="FFF50" s="136"/>
      <c r="FFG50" s="136"/>
      <c r="FFH50" s="136"/>
      <c r="FFI50" s="136"/>
      <c r="FFJ50" s="136"/>
      <c r="FFK50" s="136"/>
      <c r="FFL50" s="136"/>
      <c r="FFM50" s="136"/>
      <c r="FFN50" s="136"/>
      <c r="FFO50" s="136"/>
      <c r="FFP50" s="136"/>
      <c r="FFQ50" s="136"/>
      <c r="FFR50" s="136"/>
      <c r="FFS50" s="136"/>
      <c r="FFT50" s="136"/>
      <c r="FFU50" s="136"/>
      <c r="FFV50" s="136"/>
      <c r="FFW50" s="136"/>
      <c r="FFX50" s="136"/>
      <c r="FFY50" s="136"/>
      <c r="FFZ50" s="136"/>
      <c r="FGA50" s="136"/>
      <c r="FGB50" s="136"/>
      <c r="FGC50" s="136"/>
      <c r="FGD50" s="136"/>
      <c r="FGE50" s="136"/>
      <c r="FGF50" s="136"/>
      <c r="FGG50" s="136"/>
      <c r="FGH50" s="136"/>
      <c r="FGI50" s="136"/>
      <c r="FGJ50" s="136"/>
      <c r="FGK50" s="136"/>
      <c r="FGL50" s="136"/>
      <c r="FGM50" s="136"/>
      <c r="FGN50" s="136"/>
      <c r="FGO50" s="136"/>
      <c r="FGP50" s="136"/>
      <c r="FGQ50" s="136"/>
      <c r="FGR50" s="136"/>
      <c r="FGS50" s="136"/>
      <c r="FGT50" s="136"/>
      <c r="FGU50" s="136"/>
      <c r="FGV50" s="136"/>
      <c r="FGW50" s="136"/>
      <c r="FGX50" s="136"/>
      <c r="FGY50" s="136"/>
      <c r="FGZ50" s="136"/>
      <c r="FHA50" s="136"/>
      <c r="FHB50" s="136"/>
      <c r="FHC50" s="136"/>
      <c r="FHD50" s="136"/>
      <c r="FHE50" s="136"/>
      <c r="FHF50" s="136"/>
      <c r="FHG50" s="136"/>
      <c r="FHH50" s="136"/>
      <c r="FHI50" s="136"/>
      <c r="FHJ50" s="136"/>
      <c r="FHK50" s="136"/>
      <c r="FHL50" s="136"/>
      <c r="FHM50" s="136"/>
      <c r="FHN50" s="136"/>
      <c r="FHO50" s="136"/>
      <c r="FHP50" s="136"/>
      <c r="FHQ50" s="136"/>
      <c r="FHR50" s="136"/>
      <c r="FHS50" s="136"/>
      <c r="FHT50" s="136"/>
      <c r="FHU50" s="136"/>
      <c r="FHV50" s="136"/>
      <c r="FHW50" s="136"/>
      <c r="FHX50" s="136"/>
      <c r="FHY50" s="136"/>
      <c r="FHZ50" s="136"/>
      <c r="FIA50" s="136"/>
      <c r="FIB50" s="136"/>
      <c r="FIC50" s="136"/>
      <c r="FID50" s="136"/>
      <c r="FIE50" s="136"/>
      <c r="FIF50" s="136"/>
      <c r="FIG50" s="136"/>
      <c r="FIH50" s="136"/>
      <c r="FII50" s="136"/>
      <c r="FIJ50" s="136"/>
      <c r="FIK50" s="136"/>
      <c r="FIL50" s="136"/>
      <c r="FIM50" s="136"/>
      <c r="FIN50" s="136"/>
      <c r="FIO50" s="136"/>
      <c r="FIP50" s="136"/>
      <c r="FIQ50" s="136"/>
      <c r="FIR50" s="136"/>
      <c r="FIS50" s="136"/>
      <c r="FIT50" s="136"/>
      <c r="FIU50" s="136"/>
      <c r="FIV50" s="136"/>
      <c r="FIW50" s="136"/>
      <c r="FIX50" s="136"/>
      <c r="FIY50" s="136"/>
      <c r="FIZ50" s="136"/>
      <c r="FJA50" s="136"/>
      <c r="FJB50" s="136"/>
      <c r="FJC50" s="136"/>
      <c r="FJD50" s="136"/>
      <c r="FJE50" s="136"/>
      <c r="FJF50" s="136"/>
      <c r="FJG50" s="136"/>
      <c r="FJH50" s="136"/>
      <c r="FJI50" s="136"/>
      <c r="FJJ50" s="136"/>
      <c r="FJK50" s="136"/>
      <c r="FJL50" s="136"/>
      <c r="FJM50" s="136"/>
      <c r="FJN50" s="136"/>
      <c r="FJO50" s="136"/>
      <c r="FJP50" s="136"/>
      <c r="FJQ50" s="136"/>
      <c r="FJR50" s="136"/>
      <c r="FJS50" s="136"/>
      <c r="FJT50" s="136"/>
      <c r="FJU50" s="136"/>
      <c r="FJV50" s="136"/>
      <c r="FJW50" s="136"/>
      <c r="FJX50" s="136"/>
      <c r="FJY50" s="136"/>
      <c r="FJZ50" s="136"/>
      <c r="FKA50" s="136"/>
      <c r="FKB50" s="136"/>
      <c r="FKC50" s="136"/>
      <c r="FKD50" s="136"/>
      <c r="FKE50" s="136"/>
      <c r="FKF50" s="136"/>
      <c r="FKG50" s="136"/>
      <c r="FKH50" s="136"/>
      <c r="FKI50" s="136"/>
      <c r="FKJ50" s="136"/>
      <c r="FKK50" s="136"/>
      <c r="FKL50" s="136"/>
      <c r="FKM50" s="136"/>
      <c r="FKN50" s="136"/>
      <c r="FKO50" s="136"/>
      <c r="FKP50" s="136"/>
      <c r="FKQ50" s="136"/>
      <c r="FKR50" s="136"/>
      <c r="FKS50" s="136"/>
      <c r="FKT50" s="136"/>
      <c r="FKU50" s="136"/>
      <c r="FKV50" s="136"/>
      <c r="FKW50" s="136"/>
      <c r="FKX50" s="136"/>
      <c r="FKY50" s="136"/>
      <c r="FKZ50" s="136"/>
      <c r="FLA50" s="136"/>
      <c r="FLB50" s="136"/>
      <c r="FLC50" s="136"/>
      <c r="FLD50" s="136"/>
      <c r="FLE50" s="136"/>
      <c r="FLF50" s="136"/>
      <c r="FLG50" s="136"/>
      <c r="FLH50" s="136"/>
      <c r="FLI50" s="136"/>
      <c r="FLJ50" s="136"/>
      <c r="FLK50" s="136"/>
      <c r="FLL50" s="136"/>
      <c r="FLM50" s="136"/>
      <c r="FLN50" s="136"/>
      <c r="FLO50" s="136"/>
      <c r="FLP50" s="136"/>
      <c r="FLQ50" s="136"/>
      <c r="FLR50" s="136"/>
      <c r="FLS50" s="136"/>
      <c r="FLT50" s="136"/>
      <c r="FLU50" s="136"/>
      <c r="FLV50" s="136"/>
      <c r="FLW50" s="136"/>
      <c r="FLX50" s="136"/>
      <c r="FLY50" s="136"/>
      <c r="FLZ50" s="136"/>
      <c r="FMA50" s="136"/>
      <c r="FMB50" s="136"/>
      <c r="FMC50" s="136"/>
      <c r="FMD50" s="136"/>
      <c r="FME50" s="136"/>
      <c r="FMF50" s="136"/>
      <c r="FMG50" s="136"/>
      <c r="FMH50" s="136"/>
      <c r="FMI50" s="136"/>
      <c r="FMJ50" s="136"/>
      <c r="FMK50" s="136"/>
      <c r="FML50" s="136"/>
      <c r="FMM50" s="136"/>
      <c r="FMN50" s="136"/>
      <c r="FMO50" s="136"/>
      <c r="FMP50" s="136"/>
      <c r="FMQ50" s="136"/>
      <c r="FMR50" s="136"/>
      <c r="FMS50" s="136"/>
      <c r="FMT50" s="136"/>
      <c r="FMU50" s="136"/>
      <c r="FMV50" s="136"/>
      <c r="FMW50" s="136"/>
      <c r="FMX50" s="136"/>
      <c r="FMY50" s="136"/>
      <c r="FMZ50" s="136"/>
      <c r="FNA50" s="136"/>
      <c r="FNB50" s="136"/>
      <c r="FNC50" s="136"/>
      <c r="FND50" s="136"/>
      <c r="FNE50" s="136"/>
      <c r="FNF50" s="136"/>
      <c r="FNG50" s="136"/>
      <c r="FNH50" s="136"/>
      <c r="FNI50" s="136"/>
      <c r="FNJ50" s="136"/>
      <c r="FNK50" s="136"/>
      <c r="FNL50" s="136"/>
      <c r="FNM50" s="136"/>
      <c r="FNN50" s="136"/>
      <c r="FNO50" s="136"/>
      <c r="FNP50" s="136"/>
      <c r="FNQ50" s="136"/>
      <c r="FNR50" s="136"/>
      <c r="FNS50" s="136"/>
      <c r="FNT50" s="136"/>
      <c r="FNU50" s="136"/>
      <c r="FNV50" s="136"/>
      <c r="FNW50" s="136"/>
      <c r="FNX50" s="136"/>
      <c r="FNY50" s="136"/>
      <c r="FNZ50" s="136"/>
      <c r="FOA50" s="136"/>
      <c r="FOB50" s="136"/>
      <c r="FOC50" s="136"/>
      <c r="FOD50" s="136"/>
      <c r="FOE50" s="136"/>
      <c r="FOF50" s="136"/>
      <c r="FOG50" s="136"/>
      <c r="FOH50" s="136"/>
      <c r="FOI50" s="136"/>
      <c r="FOJ50" s="136"/>
      <c r="FOK50" s="136"/>
      <c r="FOL50" s="136"/>
      <c r="FOM50" s="136"/>
      <c r="FON50" s="136"/>
      <c r="FOO50" s="136"/>
      <c r="FOP50" s="136"/>
      <c r="FOQ50" s="136"/>
      <c r="FOR50" s="136"/>
      <c r="FOS50" s="136"/>
      <c r="FOT50" s="136"/>
      <c r="FOU50" s="136"/>
      <c r="FOV50" s="136"/>
      <c r="FOW50" s="136"/>
      <c r="FOX50" s="136"/>
      <c r="FOY50" s="136"/>
      <c r="FOZ50" s="136"/>
      <c r="FPA50" s="136"/>
      <c r="FPB50" s="136"/>
      <c r="FPC50" s="136"/>
      <c r="FPD50" s="136"/>
      <c r="FPE50" s="136"/>
      <c r="FPF50" s="136"/>
      <c r="FPG50" s="136"/>
      <c r="FPH50" s="136"/>
      <c r="FPI50" s="136"/>
      <c r="FPJ50" s="136"/>
      <c r="FPK50" s="136"/>
      <c r="FPL50" s="136"/>
      <c r="FPM50" s="136"/>
      <c r="FPN50" s="136"/>
      <c r="FPO50" s="136"/>
      <c r="FPP50" s="136"/>
      <c r="FPQ50" s="136"/>
      <c r="FPR50" s="136"/>
      <c r="FPS50" s="136"/>
      <c r="FPT50" s="136"/>
      <c r="FPU50" s="136"/>
      <c r="FPV50" s="136"/>
      <c r="FPW50" s="136"/>
      <c r="FPX50" s="136"/>
      <c r="FPY50" s="136"/>
      <c r="FPZ50" s="136"/>
      <c r="FQA50" s="136"/>
      <c r="FQB50" s="136"/>
      <c r="FQC50" s="136"/>
      <c r="FQD50" s="136"/>
      <c r="FQE50" s="136"/>
      <c r="FQF50" s="136"/>
      <c r="FQG50" s="136"/>
      <c r="FQH50" s="136"/>
      <c r="FQI50" s="136"/>
      <c r="FQJ50" s="136"/>
      <c r="FQK50" s="136"/>
      <c r="FQL50" s="136"/>
      <c r="FQM50" s="136"/>
      <c r="FQN50" s="136"/>
      <c r="FQO50" s="136"/>
      <c r="FQP50" s="136"/>
      <c r="FQQ50" s="136"/>
      <c r="FQR50" s="136"/>
      <c r="FQS50" s="136"/>
      <c r="FQT50" s="136"/>
      <c r="FQU50" s="136"/>
      <c r="FQV50" s="136"/>
      <c r="FQW50" s="136"/>
      <c r="FQX50" s="136"/>
      <c r="FQY50" s="136"/>
      <c r="FQZ50" s="136"/>
      <c r="FRA50" s="136"/>
      <c r="FRB50" s="136"/>
      <c r="FRC50" s="136"/>
      <c r="FRD50" s="136"/>
      <c r="FRE50" s="136"/>
      <c r="FRF50" s="136"/>
      <c r="FRG50" s="136"/>
      <c r="FRH50" s="136"/>
      <c r="FRI50" s="136"/>
      <c r="FRJ50" s="136"/>
      <c r="FRK50" s="136"/>
      <c r="FRL50" s="136"/>
      <c r="FRM50" s="136"/>
      <c r="FRN50" s="136"/>
      <c r="FRO50" s="136"/>
      <c r="FRP50" s="136"/>
      <c r="FRQ50" s="136"/>
      <c r="FRR50" s="136"/>
      <c r="FRS50" s="136"/>
      <c r="FRT50" s="136"/>
      <c r="FRU50" s="136"/>
      <c r="FRV50" s="136"/>
      <c r="FRW50" s="136"/>
      <c r="FRX50" s="136"/>
      <c r="FRY50" s="136"/>
      <c r="FRZ50" s="136"/>
      <c r="FSA50" s="136"/>
      <c r="FSB50" s="136"/>
      <c r="FSC50" s="136"/>
      <c r="FSD50" s="136"/>
      <c r="FSE50" s="136"/>
      <c r="FSF50" s="136"/>
      <c r="FSG50" s="136"/>
      <c r="FSH50" s="136"/>
      <c r="FSI50" s="136"/>
      <c r="FSJ50" s="136"/>
      <c r="FSK50" s="136"/>
      <c r="FSL50" s="136"/>
      <c r="FSM50" s="136"/>
      <c r="FSN50" s="136"/>
      <c r="FSO50" s="136"/>
      <c r="FSP50" s="136"/>
      <c r="FSQ50" s="136"/>
      <c r="FSR50" s="136"/>
      <c r="FSS50" s="136"/>
      <c r="FST50" s="136"/>
      <c r="FSU50" s="136"/>
      <c r="FSV50" s="136"/>
      <c r="FSW50" s="136"/>
      <c r="FSX50" s="136"/>
      <c r="FSY50" s="136"/>
      <c r="FSZ50" s="136"/>
      <c r="FTA50" s="136"/>
      <c r="FTB50" s="136"/>
      <c r="FTC50" s="136"/>
      <c r="FTD50" s="136"/>
      <c r="FTE50" s="136"/>
      <c r="FTF50" s="136"/>
      <c r="FTG50" s="136"/>
      <c r="FTH50" s="136"/>
      <c r="FTI50" s="136"/>
      <c r="FTJ50" s="136"/>
      <c r="FTK50" s="136"/>
      <c r="FTL50" s="136"/>
      <c r="FTM50" s="136"/>
      <c r="FTN50" s="136"/>
      <c r="FTO50" s="136"/>
      <c r="FTP50" s="136"/>
      <c r="FTQ50" s="136"/>
      <c r="FTR50" s="136"/>
      <c r="FTS50" s="136"/>
      <c r="FTT50" s="136"/>
      <c r="FTU50" s="136"/>
      <c r="FTV50" s="136"/>
      <c r="FTW50" s="136"/>
      <c r="FTX50" s="136"/>
      <c r="FTY50" s="136"/>
      <c r="FTZ50" s="136"/>
      <c r="FUA50" s="136"/>
      <c r="FUB50" s="136"/>
      <c r="FUC50" s="136"/>
      <c r="FUD50" s="136"/>
      <c r="FUE50" s="136"/>
      <c r="FUF50" s="136"/>
      <c r="FUG50" s="136"/>
      <c r="FUH50" s="136"/>
      <c r="FUI50" s="136"/>
      <c r="FUJ50" s="136"/>
      <c r="FUK50" s="136"/>
      <c r="FUL50" s="136"/>
      <c r="FUM50" s="136"/>
      <c r="FUN50" s="136"/>
      <c r="FUO50" s="136"/>
      <c r="FUP50" s="136"/>
      <c r="FUQ50" s="136"/>
      <c r="FUR50" s="136"/>
      <c r="FUS50" s="136"/>
      <c r="FUT50" s="136"/>
      <c r="FUU50" s="136"/>
      <c r="FUV50" s="136"/>
      <c r="FUW50" s="136"/>
      <c r="FUX50" s="136"/>
      <c r="FUY50" s="136"/>
      <c r="FUZ50" s="136"/>
      <c r="FVA50" s="136"/>
      <c r="FVB50" s="136"/>
      <c r="FVC50" s="136"/>
      <c r="FVD50" s="136"/>
      <c r="FVE50" s="136"/>
      <c r="FVF50" s="136"/>
      <c r="FVG50" s="136"/>
      <c r="FVH50" s="136"/>
      <c r="FVI50" s="136"/>
      <c r="FVJ50" s="136"/>
      <c r="FVK50" s="136"/>
      <c r="FVL50" s="136"/>
      <c r="FVM50" s="136"/>
      <c r="FVN50" s="136"/>
      <c r="FVO50" s="136"/>
      <c r="FVP50" s="136"/>
      <c r="FVQ50" s="136"/>
      <c r="FVR50" s="136"/>
      <c r="FVS50" s="136"/>
      <c r="FVT50" s="136"/>
      <c r="FVU50" s="136"/>
      <c r="FVV50" s="136"/>
      <c r="FVW50" s="136"/>
      <c r="FVX50" s="136"/>
      <c r="FVY50" s="136"/>
      <c r="FVZ50" s="136"/>
      <c r="FWA50" s="136"/>
      <c r="FWB50" s="136"/>
      <c r="FWC50" s="136"/>
      <c r="FWD50" s="136"/>
      <c r="FWE50" s="136"/>
      <c r="FWF50" s="136"/>
      <c r="FWG50" s="136"/>
      <c r="FWH50" s="136"/>
      <c r="FWI50" s="136"/>
      <c r="FWJ50" s="136"/>
      <c r="FWK50" s="136"/>
      <c r="FWL50" s="136"/>
      <c r="FWM50" s="136"/>
      <c r="FWN50" s="136"/>
      <c r="FWO50" s="136"/>
      <c r="FWP50" s="136"/>
      <c r="FWQ50" s="136"/>
      <c r="FWR50" s="136"/>
      <c r="FWS50" s="136"/>
      <c r="FWT50" s="136"/>
      <c r="FWU50" s="136"/>
      <c r="FWV50" s="136"/>
      <c r="FWW50" s="136"/>
      <c r="FWX50" s="136"/>
      <c r="FWY50" s="136"/>
      <c r="FWZ50" s="136"/>
      <c r="FXA50" s="136"/>
      <c r="FXB50" s="136"/>
      <c r="FXC50" s="136"/>
      <c r="FXD50" s="136"/>
      <c r="FXE50" s="136"/>
      <c r="FXF50" s="136"/>
      <c r="FXG50" s="136"/>
      <c r="FXH50" s="136"/>
      <c r="FXI50" s="136"/>
      <c r="FXJ50" s="136"/>
      <c r="FXK50" s="136"/>
      <c r="FXL50" s="136"/>
      <c r="FXM50" s="136"/>
      <c r="FXN50" s="136"/>
      <c r="FXO50" s="136"/>
      <c r="FXP50" s="136"/>
      <c r="FXQ50" s="136"/>
      <c r="FXR50" s="136"/>
      <c r="FXS50" s="136"/>
      <c r="FXT50" s="136"/>
      <c r="FXU50" s="136"/>
      <c r="FXV50" s="136"/>
      <c r="FXW50" s="136"/>
      <c r="FXX50" s="136"/>
      <c r="FXY50" s="136"/>
      <c r="FXZ50" s="136"/>
      <c r="FYA50" s="136"/>
      <c r="FYB50" s="136"/>
      <c r="FYC50" s="136"/>
      <c r="FYD50" s="136"/>
      <c r="FYE50" s="136"/>
      <c r="FYF50" s="136"/>
      <c r="FYG50" s="136"/>
      <c r="FYH50" s="136"/>
      <c r="FYI50" s="136"/>
      <c r="FYJ50" s="136"/>
      <c r="FYK50" s="136"/>
      <c r="FYL50" s="136"/>
      <c r="FYM50" s="136"/>
      <c r="FYN50" s="136"/>
      <c r="FYO50" s="136"/>
      <c r="FYP50" s="136"/>
      <c r="FYQ50" s="136"/>
      <c r="FYR50" s="136"/>
      <c r="FYS50" s="136"/>
      <c r="FYT50" s="136"/>
      <c r="FYU50" s="136"/>
      <c r="FYV50" s="136"/>
      <c r="FYW50" s="136"/>
      <c r="FYX50" s="136"/>
      <c r="FYY50" s="136"/>
      <c r="FYZ50" s="136"/>
      <c r="FZA50" s="136"/>
      <c r="FZB50" s="136"/>
      <c r="FZC50" s="136"/>
      <c r="FZD50" s="136"/>
      <c r="FZE50" s="136"/>
      <c r="FZF50" s="136"/>
      <c r="FZG50" s="136"/>
      <c r="FZH50" s="136"/>
      <c r="FZI50" s="136"/>
      <c r="FZJ50" s="136"/>
      <c r="FZK50" s="136"/>
      <c r="FZL50" s="136"/>
      <c r="FZM50" s="136"/>
      <c r="FZN50" s="136"/>
      <c r="FZO50" s="136"/>
      <c r="FZP50" s="136"/>
      <c r="FZQ50" s="136"/>
      <c r="FZR50" s="136"/>
      <c r="FZS50" s="136"/>
      <c r="FZT50" s="136"/>
      <c r="FZU50" s="136"/>
      <c r="FZV50" s="136"/>
      <c r="FZW50" s="136"/>
      <c r="FZX50" s="136"/>
      <c r="FZY50" s="136"/>
      <c r="FZZ50" s="136"/>
      <c r="GAA50" s="136"/>
      <c r="GAB50" s="136"/>
      <c r="GAC50" s="136"/>
      <c r="GAD50" s="136"/>
      <c r="GAE50" s="136"/>
      <c r="GAF50" s="136"/>
      <c r="GAG50" s="136"/>
      <c r="GAH50" s="136"/>
      <c r="GAI50" s="136"/>
      <c r="GAJ50" s="136"/>
      <c r="GAK50" s="136"/>
      <c r="GAL50" s="136"/>
      <c r="GAM50" s="136"/>
      <c r="GAN50" s="136"/>
      <c r="GAO50" s="136"/>
      <c r="GAP50" s="136"/>
      <c r="GAQ50" s="136"/>
      <c r="GAR50" s="136"/>
      <c r="GAS50" s="136"/>
      <c r="GAT50" s="136"/>
      <c r="GAU50" s="136"/>
      <c r="GAV50" s="136"/>
      <c r="GAW50" s="136"/>
      <c r="GAX50" s="136"/>
      <c r="GAY50" s="136"/>
      <c r="GAZ50" s="136"/>
      <c r="GBA50" s="136"/>
      <c r="GBB50" s="136"/>
      <c r="GBC50" s="136"/>
      <c r="GBD50" s="136"/>
      <c r="GBE50" s="136"/>
      <c r="GBF50" s="136"/>
      <c r="GBG50" s="136"/>
      <c r="GBH50" s="136"/>
      <c r="GBI50" s="136"/>
      <c r="GBJ50" s="136"/>
      <c r="GBK50" s="136"/>
      <c r="GBL50" s="136"/>
      <c r="GBM50" s="136"/>
      <c r="GBN50" s="136"/>
      <c r="GBO50" s="136"/>
      <c r="GBP50" s="136"/>
      <c r="GBQ50" s="136"/>
      <c r="GBR50" s="136"/>
      <c r="GBS50" s="136"/>
      <c r="GBT50" s="136"/>
      <c r="GBU50" s="136"/>
      <c r="GBV50" s="136"/>
      <c r="GBW50" s="136"/>
      <c r="GBX50" s="136"/>
      <c r="GBY50" s="136"/>
      <c r="GBZ50" s="136"/>
      <c r="GCA50" s="136"/>
      <c r="GCB50" s="136"/>
      <c r="GCC50" s="136"/>
      <c r="GCD50" s="136"/>
      <c r="GCE50" s="136"/>
      <c r="GCF50" s="136"/>
      <c r="GCG50" s="136"/>
      <c r="GCH50" s="136"/>
      <c r="GCI50" s="136"/>
      <c r="GCJ50" s="136"/>
      <c r="GCK50" s="136"/>
      <c r="GCL50" s="136"/>
      <c r="GCM50" s="136"/>
      <c r="GCN50" s="136"/>
      <c r="GCO50" s="136"/>
      <c r="GCP50" s="136"/>
      <c r="GCQ50" s="136"/>
      <c r="GCR50" s="136"/>
      <c r="GCS50" s="136"/>
      <c r="GCT50" s="136"/>
      <c r="GCU50" s="136"/>
      <c r="GCV50" s="136"/>
      <c r="GCW50" s="136"/>
      <c r="GCX50" s="136"/>
      <c r="GCY50" s="136"/>
      <c r="GCZ50" s="136"/>
      <c r="GDA50" s="136"/>
      <c r="GDB50" s="136"/>
      <c r="GDC50" s="136"/>
      <c r="GDD50" s="136"/>
      <c r="GDE50" s="136"/>
      <c r="GDF50" s="136"/>
      <c r="GDG50" s="136"/>
      <c r="GDH50" s="136"/>
      <c r="GDI50" s="136"/>
      <c r="GDJ50" s="136"/>
      <c r="GDK50" s="136"/>
      <c r="GDL50" s="136"/>
      <c r="GDM50" s="136"/>
      <c r="GDN50" s="136"/>
      <c r="GDO50" s="136"/>
      <c r="GDP50" s="136"/>
      <c r="GDQ50" s="136"/>
      <c r="GDR50" s="136"/>
      <c r="GDS50" s="136"/>
      <c r="GDT50" s="136"/>
      <c r="GDU50" s="136"/>
      <c r="GDV50" s="136"/>
      <c r="GDW50" s="136"/>
      <c r="GDX50" s="136"/>
      <c r="GDY50" s="136"/>
      <c r="GDZ50" s="136"/>
      <c r="GEA50" s="136"/>
      <c r="GEB50" s="136"/>
      <c r="GEC50" s="136"/>
      <c r="GED50" s="136"/>
      <c r="GEE50" s="136"/>
      <c r="GEF50" s="136"/>
      <c r="GEG50" s="136"/>
      <c r="GEH50" s="136"/>
      <c r="GEI50" s="136"/>
      <c r="GEJ50" s="136"/>
      <c r="GEK50" s="136"/>
      <c r="GEL50" s="136"/>
      <c r="GEM50" s="136"/>
      <c r="GEN50" s="136"/>
      <c r="GEO50" s="136"/>
      <c r="GEP50" s="136"/>
      <c r="GEQ50" s="136"/>
      <c r="GER50" s="136"/>
      <c r="GES50" s="136"/>
      <c r="GET50" s="136"/>
      <c r="GEU50" s="136"/>
      <c r="GEV50" s="136"/>
      <c r="GEW50" s="136"/>
      <c r="GEX50" s="136"/>
      <c r="GEY50" s="136"/>
      <c r="GEZ50" s="136"/>
      <c r="GFA50" s="136"/>
      <c r="GFB50" s="136"/>
      <c r="GFC50" s="136"/>
      <c r="GFD50" s="136"/>
      <c r="GFE50" s="136"/>
      <c r="GFF50" s="136"/>
      <c r="GFG50" s="136"/>
      <c r="GFH50" s="136"/>
      <c r="GFI50" s="136"/>
      <c r="GFJ50" s="136"/>
      <c r="GFK50" s="136"/>
      <c r="GFL50" s="136"/>
      <c r="GFM50" s="136"/>
      <c r="GFN50" s="136"/>
      <c r="GFO50" s="136"/>
      <c r="GFP50" s="136"/>
      <c r="GFQ50" s="136"/>
      <c r="GFR50" s="136"/>
      <c r="GFS50" s="136"/>
      <c r="GFT50" s="136"/>
      <c r="GFU50" s="136"/>
      <c r="GFV50" s="136"/>
      <c r="GFW50" s="136"/>
      <c r="GFX50" s="136"/>
      <c r="GFY50" s="136"/>
      <c r="GFZ50" s="136"/>
      <c r="GGA50" s="136"/>
      <c r="GGB50" s="136"/>
      <c r="GGC50" s="136"/>
      <c r="GGD50" s="136"/>
      <c r="GGE50" s="136"/>
      <c r="GGF50" s="136"/>
      <c r="GGG50" s="136"/>
      <c r="GGH50" s="136"/>
      <c r="GGI50" s="136"/>
      <c r="GGJ50" s="136"/>
      <c r="GGK50" s="136"/>
      <c r="GGL50" s="136"/>
      <c r="GGM50" s="136"/>
      <c r="GGN50" s="136"/>
      <c r="GGO50" s="136"/>
      <c r="GGP50" s="136"/>
      <c r="GGQ50" s="136"/>
      <c r="GGR50" s="136"/>
      <c r="GGS50" s="136"/>
      <c r="GGT50" s="136"/>
      <c r="GGU50" s="136"/>
      <c r="GGV50" s="136"/>
      <c r="GGW50" s="136"/>
      <c r="GGX50" s="136"/>
      <c r="GGY50" s="136"/>
      <c r="GGZ50" s="136"/>
      <c r="GHA50" s="136"/>
      <c r="GHB50" s="136"/>
      <c r="GHC50" s="136"/>
      <c r="GHD50" s="136"/>
      <c r="GHE50" s="136"/>
      <c r="GHF50" s="136"/>
      <c r="GHG50" s="136"/>
      <c r="GHH50" s="136"/>
      <c r="GHI50" s="136"/>
      <c r="GHJ50" s="136"/>
      <c r="GHK50" s="136"/>
      <c r="GHL50" s="136"/>
      <c r="GHM50" s="136"/>
      <c r="GHN50" s="136"/>
      <c r="GHO50" s="136"/>
      <c r="GHP50" s="136"/>
      <c r="GHQ50" s="136"/>
      <c r="GHR50" s="136"/>
      <c r="GHS50" s="136"/>
      <c r="GHT50" s="136"/>
      <c r="GHU50" s="136"/>
      <c r="GHV50" s="136"/>
      <c r="GHW50" s="136"/>
      <c r="GHX50" s="136"/>
      <c r="GHY50" s="136"/>
      <c r="GHZ50" s="136"/>
      <c r="GIA50" s="136"/>
      <c r="GIB50" s="136"/>
      <c r="GIC50" s="136"/>
      <c r="GID50" s="136"/>
      <c r="GIE50" s="136"/>
      <c r="GIF50" s="136"/>
      <c r="GIG50" s="136"/>
      <c r="GIH50" s="136"/>
      <c r="GII50" s="136"/>
      <c r="GIJ50" s="136"/>
      <c r="GIK50" s="136"/>
      <c r="GIL50" s="136"/>
      <c r="GIM50" s="136"/>
      <c r="GIN50" s="136"/>
      <c r="GIO50" s="136"/>
      <c r="GIP50" s="136"/>
      <c r="GIQ50" s="136"/>
      <c r="GIR50" s="136"/>
      <c r="GIS50" s="136"/>
      <c r="GIT50" s="136"/>
      <c r="GIU50" s="136"/>
      <c r="GIV50" s="136"/>
      <c r="GIW50" s="136"/>
      <c r="GIX50" s="136"/>
      <c r="GIY50" s="136"/>
      <c r="GIZ50" s="136"/>
      <c r="GJA50" s="136"/>
      <c r="GJB50" s="136"/>
      <c r="GJC50" s="136"/>
      <c r="GJD50" s="136"/>
      <c r="GJE50" s="136"/>
      <c r="GJF50" s="136"/>
      <c r="GJG50" s="136"/>
      <c r="GJH50" s="136"/>
      <c r="GJI50" s="136"/>
      <c r="GJJ50" s="136"/>
      <c r="GJK50" s="136"/>
      <c r="GJL50" s="136"/>
      <c r="GJM50" s="136"/>
      <c r="GJN50" s="136"/>
      <c r="GJO50" s="136"/>
      <c r="GJP50" s="136"/>
      <c r="GJQ50" s="136"/>
      <c r="GJR50" s="136"/>
      <c r="GJS50" s="136"/>
      <c r="GJT50" s="136"/>
      <c r="GJU50" s="136"/>
      <c r="GJV50" s="136"/>
      <c r="GJW50" s="136"/>
      <c r="GJX50" s="136"/>
      <c r="GJY50" s="136"/>
      <c r="GJZ50" s="136"/>
      <c r="GKA50" s="136"/>
      <c r="GKB50" s="136"/>
      <c r="GKC50" s="136"/>
      <c r="GKD50" s="136"/>
      <c r="GKE50" s="136"/>
      <c r="GKF50" s="136"/>
      <c r="GKG50" s="136"/>
      <c r="GKH50" s="136"/>
      <c r="GKI50" s="136"/>
      <c r="GKJ50" s="136"/>
      <c r="GKK50" s="136"/>
      <c r="GKL50" s="136"/>
      <c r="GKM50" s="136"/>
      <c r="GKN50" s="136"/>
      <c r="GKO50" s="136"/>
      <c r="GKP50" s="136"/>
      <c r="GKQ50" s="136"/>
      <c r="GKR50" s="136"/>
      <c r="GKS50" s="136"/>
      <c r="GKT50" s="136"/>
      <c r="GKU50" s="136"/>
      <c r="GKV50" s="136"/>
      <c r="GKW50" s="136"/>
      <c r="GKX50" s="136"/>
      <c r="GKY50" s="136"/>
      <c r="GKZ50" s="136"/>
      <c r="GLA50" s="136"/>
      <c r="GLB50" s="136"/>
      <c r="GLC50" s="136"/>
      <c r="GLD50" s="136"/>
      <c r="GLE50" s="136"/>
      <c r="GLF50" s="136"/>
      <c r="GLG50" s="136"/>
      <c r="GLH50" s="136"/>
      <c r="GLI50" s="136"/>
      <c r="GLJ50" s="136"/>
      <c r="GLK50" s="136"/>
      <c r="GLL50" s="136"/>
      <c r="GLM50" s="136"/>
      <c r="GLN50" s="136"/>
      <c r="GLO50" s="136"/>
      <c r="GLP50" s="136"/>
      <c r="GLQ50" s="136"/>
      <c r="GLR50" s="136"/>
      <c r="GLS50" s="136"/>
      <c r="GLT50" s="136"/>
      <c r="GLU50" s="136"/>
      <c r="GLV50" s="136"/>
      <c r="GLW50" s="136"/>
      <c r="GLX50" s="136"/>
      <c r="GLY50" s="136"/>
      <c r="GLZ50" s="136"/>
      <c r="GMA50" s="136"/>
      <c r="GMB50" s="136"/>
      <c r="GMC50" s="136"/>
      <c r="GMD50" s="136"/>
      <c r="GME50" s="136"/>
      <c r="GMF50" s="136"/>
      <c r="GMG50" s="136"/>
      <c r="GMH50" s="136"/>
      <c r="GMI50" s="136"/>
      <c r="GMJ50" s="136"/>
      <c r="GMK50" s="136"/>
      <c r="GML50" s="136"/>
      <c r="GMM50" s="136"/>
      <c r="GMN50" s="136"/>
      <c r="GMO50" s="136"/>
      <c r="GMP50" s="136"/>
      <c r="GMQ50" s="136"/>
      <c r="GMR50" s="136"/>
      <c r="GMS50" s="136"/>
      <c r="GMT50" s="136"/>
      <c r="GMU50" s="136"/>
      <c r="GMV50" s="136"/>
      <c r="GMW50" s="136"/>
      <c r="GMX50" s="136"/>
      <c r="GMY50" s="136"/>
      <c r="GMZ50" s="136"/>
      <c r="GNA50" s="136"/>
      <c r="GNB50" s="136"/>
      <c r="GNC50" s="136"/>
      <c r="GND50" s="136"/>
      <c r="GNE50" s="136"/>
      <c r="GNF50" s="136"/>
      <c r="GNG50" s="136"/>
      <c r="GNH50" s="136"/>
      <c r="GNI50" s="136"/>
      <c r="GNJ50" s="136"/>
      <c r="GNK50" s="136"/>
      <c r="GNL50" s="136"/>
      <c r="GNM50" s="136"/>
      <c r="GNN50" s="136"/>
      <c r="GNO50" s="136"/>
      <c r="GNP50" s="136"/>
      <c r="GNQ50" s="136"/>
      <c r="GNR50" s="136"/>
      <c r="GNS50" s="136"/>
      <c r="GNT50" s="136"/>
      <c r="GNU50" s="136"/>
      <c r="GNV50" s="136"/>
      <c r="GNW50" s="136"/>
      <c r="GNX50" s="136"/>
      <c r="GNY50" s="136"/>
      <c r="GNZ50" s="136"/>
      <c r="GOA50" s="136"/>
      <c r="GOB50" s="136"/>
      <c r="GOC50" s="136"/>
      <c r="GOD50" s="136"/>
      <c r="GOE50" s="136"/>
      <c r="GOF50" s="136"/>
      <c r="GOG50" s="136"/>
      <c r="GOH50" s="136"/>
      <c r="GOI50" s="136"/>
      <c r="GOJ50" s="136"/>
      <c r="GOK50" s="136"/>
      <c r="GOL50" s="136"/>
      <c r="GOM50" s="136"/>
      <c r="GON50" s="136"/>
      <c r="GOO50" s="136"/>
      <c r="GOP50" s="136"/>
      <c r="GOQ50" s="136"/>
      <c r="GOR50" s="136"/>
      <c r="GOS50" s="136"/>
      <c r="GOT50" s="136"/>
      <c r="GOU50" s="136"/>
      <c r="GOV50" s="136"/>
      <c r="GOW50" s="136"/>
      <c r="GOX50" s="136"/>
      <c r="GOY50" s="136"/>
      <c r="GOZ50" s="136"/>
      <c r="GPA50" s="136"/>
      <c r="GPB50" s="136"/>
      <c r="GPC50" s="136"/>
      <c r="GPD50" s="136"/>
      <c r="GPE50" s="136"/>
      <c r="GPF50" s="136"/>
      <c r="GPG50" s="136"/>
      <c r="GPH50" s="136"/>
      <c r="GPI50" s="136"/>
      <c r="GPJ50" s="136"/>
      <c r="GPK50" s="136"/>
      <c r="GPL50" s="136"/>
      <c r="GPM50" s="136"/>
      <c r="GPN50" s="136"/>
      <c r="GPO50" s="136"/>
      <c r="GPP50" s="136"/>
      <c r="GPQ50" s="136"/>
      <c r="GPR50" s="136"/>
      <c r="GPS50" s="136"/>
      <c r="GPT50" s="136"/>
      <c r="GPU50" s="136"/>
      <c r="GPV50" s="136"/>
      <c r="GPW50" s="136"/>
      <c r="GPX50" s="136"/>
      <c r="GPY50" s="136"/>
      <c r="GPZ50" s="136"/>
      <c r="GQA50" s="136"/>
      <c r="GQB50" s="136"/>
      <c r="GQC50" s="136"/>
      <c r="GQD50" s="136"/>
      <c r="GQE50" s="136"/>
      <c r="GQF50" s="136"/>
      <c r="GQG50" s="136"/>
      <c r="GQH50" s="136"/>
      <c r="GQI50" s="136"/>
      <c r="GQJ50" s="136"/>
      <c r="GQK50" s="136"/>
      <c r="GQL50" s="136"/>
      <c r="GQM50" s="136"/>
      <c r="GQN50" s="136"/>
      <c r="GQO50" s="136"/>
      <c r="GQP50" s="136"/>
      <c r="GQQ50" s="136"/>
      <c r="GQR50" s="136"/>
      <c r="GQS50" s="136"/>
      <c r="GQT50" s="136"/>
      <c r="GQU50" s="136"/>
      <c r="GQV50" s="136"/>
      <c r="GQW50" s="136"/>
      <c r="GQX50" s="136"/>
      <c r="GQY50" s="136"/>
      <c r="GQZ50" s="136"/>
      <c r="GRA50" s="136"/>
      <c r="GRB50" s="136"/>
      <c r="GRC50" s="136"/>
      <c r="GRD50" s="136"/>
      <c r="GRE50" s="136"/>
      <c r="GRF50" s="136"/>
      <c r="GRG50" s="136"/>
      <c r="GRH50" s="136"/>
      <c r="GRI50" s="136"/>
      <c r="GRJ50" s="136"/>
      <c r="GRK50" s="136"/>
      <c r="GRL50" s="136"/>
      <c r="GRM50" s="136"/>
      <c r="GRN50" s="136"/>
      <c r="GRO50" s="136"/>
      <c r="GRP50" s="136"/>
      <c r="GRQ50" s="136"/>
      <c r="GRR50" s="136"/>
      <c r="GRS50" s="136"/>
      <c r="GRT50" s="136"/>
      <c r="GRU50" s="136"/>
      <c r="GRV50" s="136"/>
      <c r="GRW50" s="136"/>
      <c r="GRX50" s="136"/>
      <c r="GRY50" s="136"/>
      <c r="GRZ50" s="136"/>
      <c r="GSA50" s="136"/>
      <c r="GSB50" s="136"/>
      <c r="GSC50" s="136"/>
      <c r="GSD50" s="136"/>
      <c r="GSE50" s="136"/>
      <c r="GSF50" s="136"/>
      <c r="GSG50" s="136"/>
      <c r="GSH50" s="136"/>
      <c r="GSI50" s="136"/>
      <c r="GSJ50" s="136"/>
      <c r="GSK50" s="136"/>
      <c r="GSL50" s="136"/>
      <c r="GSM50" s="136"/>
      <c r="GSN50" s="136"/>
      <c r="GSO50" s="136"/>
      <c r="GSP50" s="136"/>
      <c r="GSQ50" s="136"/>
      <c r="GSR50" s="136"/>
      <c r="GSS50" s="136"/>
      <c r="GST50" s="136"/>
      <c r="GSU50" s="136"/>
      <c r="GSV50" s="136"/>
      <c r="GSW50" s="136"/>
      <c r="GSX50" s="136"/>
      <c r="GSY50" s="136"/>
      <c r="GSZ50" s="136"/>
      <c r="GTA50" s="136"/>
      <c r="GTB50" s="136"/>
      <c r="GTC50" s="136"/>
      <c r="GTD50" s="136"/>
      <c r="GTE50" s="136"/>
      <c r="GTF50" s="136"/>
      <c r="GTG50" s="136"/>
      <c r="GTH50" s="136"/>
      <c r="GTI50" s="136"/>
      <c r="GTJ50" s="136"/>
      <c r="GTK50" s="136"/>
      <c r="GTL50" s="136"/>
      <c r="GTM50" s="136"/>
      <c r="GTN50" s="136"/>
      <c r="GTO50" s="136"/>
      <c r="GTP50" s="136"/>
      <c r="GTQ50" s="136"/>
      <c r="GTR50" s="136"/>
      <c r="GTS50" s="136"/>
      <c r="GTT50" s="136"/>
      <c r="GTU50" s="136"/>
      <c r="GTV50" s="136"/>
      <c r="GTW50" s="136"/>
      <c r="GTX50" s="136"/>
      <c r="GTY50" s="136"/>
      <c r="GTZ50" s="136"/>
      <c r="GUA50" s="136"/>
      <c r="GUB50" s="136"/>
      <c r="GUC50" s="136"/>
      <c r="GUD50" s="136"/>
      <c r="GUE50" s="136"/>
      <c r="GUF50" s="136"/>
      <c r="GUG50" s="136"/>
      <c r="GUH50" s="136"/>
      <c r="GUI50" s="136"/>
      <c r="GUJ50" s="136"/>
      <c r="GUK50" s="136"/>
      <c r="GUL50" s="136"/>
      <c r="GUM50" s="136"/>
      <c r="GUN50" s="136"/>
      <c r="GUO50" s="136"/>
      <c r="GUP50" s="136"/>
      <c r="GUQ50" s="136"/>
      <c r="GUR50" s="136"/>
      <c r="GUS50" s="136"/>
      <c r="GUT50" s="136"/>
      <c r="GUU50" s="136"/>
      <c r="GUV50" s="136"/>
      <c r="GUW50" s="136"/>
      <c r="GUX50" s="136"/>
      <c r="GUY50" s="136"/>
      <c r="GUZ50" s="136"/>
      <c r="GVA50" s="136"/>
      <c r="GVB50" s="136"/>
      <c r="GVC50" s="136"/>
      <c r="GVD50" s="136"/>
      <c r="GVE50" s="136"/>
      <c r="GVF50" s="136"/>
      <c r="GVG50" s="136"/>
      <c r="GVH50" s="136"/>
      <c r="GVI50" s="136"/>
      <c r="GVJ50" s="136"/>
      <c r="GVK50" s="136"/>
      <c r="GVL50" s="136"/>
      <c r="GVM50" s="136"/>
      <c r="GVN50" s="136"/>
      <c r="GVO50" s="136"/>
      <c r="GVP50" s="136"/>
      <c r="GVQ50" s="136"/>
      <c r="GVR50" s="136"/>
      <c r="GVS50" s="136"/>
      <c r="GVT50" s="136"/>
      <c r="GVU50" s="136"/>
      <c r="GVV50" s="136"/>
      <c r="GVW50" s="136"/>
      <c r="GVX50" s="136"/>
      <c r="GVY50" s="136"/>
      <c r="GVZ50" s="136"/>
      <c r="GWA50" s="136"/>
      <c r="GWB50" s="136"/>
      <c r="GWC50" s="136"/>
      <c r="GWD50" s="136"/>
      <c r="GWE50" s="136"/>
      <c r="GWF50" s="136"/>
      <c r="GWG50" s="136"/>
      <c r="GWH50" s="136"/>
      <c r="GWI50" s="136"/>
      <c r="GWJ50" s="136"/>
      <c r="GWK50" s="136"/>
      <c r="GWL50" s="136"/>
      <c r="GWM50" s="136"/>
      <c r="GWN50" s="136"/>
      <c r="GWO50" s="136"/>
      <c r="GWP50" s="136"/>
      <c r="GWQ50" s="136"/>
      <c r="GWR50" s="136"/>
      <c r="GWS50" s="136"/>
      <c r="GWT50" s="136"/>
      <c r="GWU50" s="136"/>
      <c r="GWV50" s="136"/>
      <c r="GWW50" s="136"/>
      <c r="GWX50" s="136"/>
      <c r="GWY50" s="136"/>
      <c r="GWZ50" s="136"/>
      <c r="GXA50" s="136"/>
      <c r="GXB50" s="136"/>
      <c r="GXC50" s="136"/>
      <c r="GXD50" s="136"/>
      <c r="GXE50" s="136"/>
      <c r="GXF50" s="136"/>
      <c r="GXG50" s="136"/>
      <c r="GXH50" s="136"/>
      <c r="GXI50" s="136"/>
      <c r="GXJ50" s="136"/>
      <c r="GXK50" s="136"/>
      <c r="GXL50" s="136"/>
      <c r="GXM50" s="136"/>
      <c r="GXN50" s="136"/>
      <c r="GXO50" s="136"/>
      <c r="GXP50" s="136"/>
      <c r="GXQ50" s="136"/>
      <c r="GXR50" s="136"/>
      <c r="GXS50" s="136"/>
      <c r="GXT50" s="136"/>
      <c r="GXU50" s="136"/>
      <c r="GXV50" s="136"/>
      <c r="GXW50" s="136"/>
      <c r="GXX50" s="136"/>
      <c r="GXY50" s="136"/>
      <c r="GXZ50" s="136"/>
      <c r="GYA50" s="136"/>
      <c r="GYB50" s="136"/>
      <c r="GYC50" s="136"/>
      <c r="GYD50" s="136"/>
      <c r="GYE50" s="136"/>
      <c r="GYF50" s="136"/>
      <c r="GYG50" s="136"/>
      <c r="GYH50" s="136"/>
      <c r="GYI50" s="136"/>
      <c r="GYJ50" s="136"/>
      <c r="GYK50" s="136"/>
      <c r="GYL50" s="136"/>
      <c r="GYM50" s="136"/>
      <c r="GYN50" s="136"/>
      <c r="GYO50" s="136"/>
      <c r="GYP50" s="136"/>
      <c r="GYQ50" s="136"/>
      <c r="GYR50" s="136"/>
      <c r="GYS50" s="136"/>
      <c r="GYT50" s="136"/>
      <c r="GYU50" s="136"/>
      <c r="GYV50" s="136"/>
      <c r="GYW50" s="136"/>
      <c r="GYX50" s="136"/>
      <c r="GYY50" s="136"/>
      <c r="GYZ50" s="136"/>
      <c r="GZA50" s="136"/>
      <c r="GZB50" s="136"/>
      <c r="GZC50" s="136"/>
      <c r="GZD50" s="136"/>
      <c r="GZE50" s="136"/>
      <c r="GZF50" s="136"/>
      <c r="GZG50" s="136"/>
      <c r="GZH50" s="136"/>
      <c r="GZI50" s="136"/>
      <c r="GZJ50" s="136"/>
      <c r="GZK50" s="136"/>
      <c r="GZL50" s="136"/>
      <c r="GZM50" s="136"/>
      <c r="GZN50" s="136"/>
      <c r="GZO50" s="136"/>
      <c r="GZP50" s="136"/>
      <c r="GZQ50" s="136"/>
      <c r="GZR50" s="136"/>
      <c r="GZS50" s="136"/>
      <c r="GZT50" s="136"/>
      <c r="GZU50" s="136"/>
      <c r="GZV50" s="136"/>
      <c r="GZW50" s="136"/>
      <c r="GZX50" s="136"/>
      <c r="GZY50" s="136"/>
      <c r="GZZ50" s="136"/>
      <c r="HAA50" s="136"/>
      <c r="HAB50" s="136"/>
      <c r="HAC50" s="136"/>
      <c r="HAD50" s="136"/>
      <c r="HAE50" s="136"/>
      <c r="HAF50" s="136"/>
      <c r="HAG50" s="136"/>
      <c r="HAH50" s="136"/>
      <c r="HAI50" s="136"/>
      <c r="HAJ50" s="136"/>
      <c r="HAK50" s="136"/>
      <c r="HAL50" s="136"/>
      <c r="HAM50" s="136"/>
      <c r="HAN50" s="136"/>
      <c r="HAO50" s="136"/>
      <c r="HAP50" s="136"/>
      <c r="HAQ50" s="136"/>
      <c r="HAR50" s="136"/>
      <c r="HAS50" s="136"/>
      <c r="HAT50" s="136"/>
      <c r="HAU50" s="136"/>
      <c r="HAV50" s="136"/>
      <c r="HAW50" s="136"/>
      <c r="HAX50" s="136"/>
      <c r="HAY50" s="136"/>
      <c r="HAZ50" s="136"/>
      <c r="HBA50" s="136"/>
      <c r="HBB50" s="136"/>
      <c r="HBC50" s="136"/>
      <c r="HBD50" s="136"/>
      <c r="HBE50" s="136"/>
      <c r="HBF50" s="136"/>
      <c r="HBG50" s="136"/>
      <c r="HBH50" s="136"/>
      <c r="HBI50" s="136"/>
      <c r="HBJ50" s="136"/>
      <c r="HBK50" s="136"/>
      <c r="HBL50" s="136"/>
      <c r="HBM50" s="136"/>
      <c r="HBN50" s="136"/>
      <c r="HBO50" s="136"/>
      <c r="HBP50" s="136"/>
      <c r="HBQ50" s="136"/>
      <c r="HBR50" s="136"/>
      <c r="HBS50" s="136"/>
      <c r="HBT50" s="136"/>
      <c r="HBU50" s="136"/>
      <c r="HBV50" s="136"/>
      <c r="HBW50" s="136"/>
      <c r="HBX50" s="136"/>
      <c r="HBY50" s="136"/>
      <c r="HBZ50" s="136"/>
      <c r="HCA50" s="136"/>
      <c r="HCB50" s="136"/>
      <c r="HCC50" s="136"/>
      <c r="HCD50" s="136"/>
      <c r="HCE50" s="136"/>
      <c r="HCF50" s="136"/>
      <c r="HCG50" s="136"/>
      <c r="HCH50" s="136"/>
      <c r="HCI50" s="136"/>
      <c r="HCJ50" s="136"/>
      <c r="HCK50" s="136"/>
      <c r="HCL50" s="136"/>
      <c r="HCM50" s="136"/>
      <c r="HCN50" s="136"/>
      <c r="HCO50" s="136"/>
      <c r="HCP50" s="136"/>
      <c r="HCQ50" s="136"/>
      <c r="HCR50" s="136"/>
      <c r="HCS50" s="136"/>
      <c r="HCT50" s="136"/>
      <c r="HCU50" s="136"/>
      <c r="HCV50" s="136"/>
      <c r="HCW50" s="136"/>
      <c r="HCX50" s="136"/>
      <c r="HCY50" s="136"/>
      <c r="HCZ50" s="136"/>
      <c r="HDA50" s="136"/>
      <c r="HDB50" s="136"/>
      <c r="HDC50" s="136"/>
      <c r="HDD50" s="136"/>
      <c r="HDE50" s="136"/>
      <c r="HDF50" s="136"/>
      <c r="HDG50" s="136"/>
      <c r="HDH50" s="136"/>
      <c r="HDI50" s="136"/>
      <c r="HDJ50" s="136"/>
      <c r="HDK50" s="136"/>
      <c r="HDL50" s="136"/>
      <c r="HDM50" s="136"/>
      <c r="HDN50" s="136"/>
      <c r="HDO50" s="136"/>
      <c r="HDP50" s="136"/>
      <c r="HDQ50" s="136"/>
      <c r="HDR50" s="136"/>
      <c r="HDS50" s="136"/>
      <c r="HDT50" s="136"/>
      <c r="HDU50" s="136"/>
      <c r="HDV50" s="136"/>
      <c r="HDW50" s="136"/>
      <c r="HDX50" s="136"/>
      <c r="HDY50" s="136"/>
      <c r="HDZ50" s="136"/>
      <c r="HEA50" s="136"/>
      <c r="HEB50" s="136"/>
      <c r="HEC50" s="136"/>
      <c r="HED50" s="136"/>
      <c r="HEE50" s="136"/>
      <c r="HEF50" s="136"/>
      <c r="HEG50" s="136"/>
      <c r="HEH50" s="136"/>
      <c r="HEI50" s="136"/>
      <c r="HEJ50" s="136"/>
      <c r="HEK50" s="136"/>
      <c r="HEL50" s="136"/>
      <c r="HEM50" s="136"/>
      <c r="HEN50" s="136"/>
      <c r="HEO50" s="136"/>
      <c r="HEP50" s="136"/>
      <c r="HEQ50" s="136"/>
      <c r="HER50" s="136"/>
      <c r="HES50" s="136"/>
      <c r="HET50" s="136"/>
      <c r="HEU50" s="136"/>
      <c r="HEV50" s="136"/>
      <c r="HEW50" s="136"/>
      <c r="HEX50" s="136"/>
      <c r="HEY50" s="136"/>
      <c r="HEZ50" s="136"/>
      <c r="HFA50" s="136"/>
      <c r="HFB50" s="136"/>
      <c r="HFC50" s="136"/>
      <c r="HFD50" s="136"/>
      <c r="HFE50" s="136"/>
      <c r="HFF50" s="136"/>
      <c r="HFG50" s="136"/>
      <c r="HFH50" s="136"/>
      <c r="HFI50" s="136"/>
      <c r="HFJ50" s="136"/>
      <c r="HFK50" s="136"/>
      <c r="HFL50" s="136"/>
      <c r="HFM50" s="136"/>
      <c r="HFN50" s="136"/>
      <c r="HFO50" s="136"/>
      <c r="HFP50" s="136"/>
      <c r="HFQ50" s="136"/>
      <c r="HFR50" s="136"/>
      <c r="HFS50" s="136"/>
      <c r="HFT50" s="136"/>
      <c r="HFU50" s="136"/>
      <c r="HFV50" s="136"/>
      <c r="HFW50" s="136"/>
      <c r="HFX50" s="136"/>
      <c r="HFY50" s="136"/>
      <c r="HFZ50" s="136"/>
      <c r="HGA50" s="136"/>
      <c r="HGB50" s="136"/>
      <c r="HGC50" s="136"/>
      <c r="HGD50" s="136"/>
      <c r="HGE50" s="136"/>
      <c r="HGF50" s="136"/>
      <c r="HGG50" s="136"/>
      <c r="HGH50" s="136"/>
      <c r="HGI50" s="136"/>
      <c r="HGJ50" s="136"/>
      <c r="HGK50" s="136"/>
      <c r="HGL50" s="136"/>
      <c r="HGM50" s="136"/>
      <c r="HGN50" s="136"/>
      <c r="HGO50" s="136"/>
      <c r="HGP50" s="136"/>
      <c r="HGQ50" s="136"/>
      <c r="HGR50" s="136"/>
      <c r="HGS50" s="136"/>
      <c r="HGT50" s="136"/>
      <c r="HGU50" s="136"/>
      <c r="HGV50" s="136"/>
      <c r="HGW50" s="136"/>
      <c r="HGX50" s="136"/>
      <c r="HGY50" s="136"/>
      <c r="HGZ50" s="136"/>
      <c r="HHA50" s="136"/>
      <c r="HHB50" s="136"/>
      <c r="HHC50" s="136"/>
      <c r="HHD50" s="136"/>
      <c r="HHE50" s="136"/>
      <c r="HHF50" s="136"/>
      <c r="HHG50" s="136"/>
      <c r="HHH50" s="136"/>
      <c r="HHI50" s="136"/>
      <c r="HHJ50" s="136"/>
      <c r="HHK50" s="136"/>
      <c r="HHL50" s="136"/>
      <c r="HHM50" s="136"/>
      <c r="HHN50" s="136"/>
      <c r="HHO50" s="136"/>
      <c r="HHP50" s="136"/>
      <c r="HHQ50" s="136"/>
      <c r="HHR50" s="136"/>
      <c r="HHS50" s="136"/>
      <c r="HHT50" s="136"/>
      <c r="HHU50" s="136"/>
      <c r="HHV50" s="136"/>
      <c r="HHW50" s="136"/>
      <c r="HHX50" s="136"/>
      <c r="HHY50" s="136"/>
      <c r="HHZ50" s="136"/>
      <c r="HIA50" s="136"/>
      <c r="HIB50" s="136"/>
      <c r="HIC50" s="136"/>
      <c r="HID50" s="136"/>
      <c r="HIE50" s="136"/>
      <c r="HIF50" s="136"/>
      <c r="HIG50" s="136"/>
      <c r="HIH50" s="136"/>
      <c r="HII50" s="136"/>
      <c r="HIJ50" s="136"/>
      <c r="HIK50" s="136"/>
      <c r="HIL50" s="136"/>
      <c r="HIM50" s="136"/>
      <c r="HIN50" s="136"/>
      <c r="HIO50" s="136"/>
      <c r="HIP50" s="136"/>
      <c r="HIQ50" s="136"/>
      <c r="HIR50" s="136"/>
      <c r="HIS50" s="136"/>
      <c r="HIT50" s="136"/>
      <c r="HIU50" s="136"/>
      <c r="HIV50" s="136"/>
      <c r="HIW50" s="136"/>
      <c r="HIX50" s="136"/>
      <c r="HIY50" s="136"/>
      <c r="HIZ50" s="136"/>
      <c r="HJA50" s="136"/>
      <c r="HJB50" s="136"/>
      <c r="HJC50" s="136"/>
      <c r="HJD50" s="136"/>
      <c r="HJE50" s="136"/>
      <c r="HJF50" s="136"/>
      <c r="HJG50" s="136"/>
      <c r="HJH50" s="136"/>
      <c r="HJI50" s="136"/>
      <c r="HJJ50" s="136"/>
      <c r="HJK50" s="136"/>
      <c r="HJL50" s="136"/>
      <c r="HJM50" s="136"/>
      <c r="HJN50" s="136"/>
      <c r="HJO50" s="136"/>
      <c r="HJP50" s="136"/>
      <c r="HJQ50" s="136"/>
      <c r="HJR50" s="136"/>
      <c r="HJS50" s="136"/>
      <c r="HJT50" s="136"/>
      <c r="HJU50" s="136"/>
      <c r="HJV50" s="136"/>
      <c r="HJW50" s="136"/>
      <c r="HJX50" s="136"/>
      <c r="HJY50" s="136"/>
      <c r="HJZ50" s="136"/>
      <c r="HKA50" s="136"/>
      <c r="HKB50" s="136"/>
      <c r="HKC50" s="136"/>
      <c r="HKD50" s="136"/>
      <c r="HKE50" s="136"/>
      <c r="HKF50" s="136"/>
      <c r="HKG50" s="136"/>
      <c r="HKH50" s="136"/>
      <c r="HKI50" s="136"/>
      <c r="HKJ50" s="136"/>
      <c r="HKK50" s="136"/>
      <c r="HKL50" s="136"/>
      <c r="HKM50" s="136"/>
      <c r="HKN50" s="136"/>
      <c r="HKO50" s="136"/>
      <c r="HKP50" s="136"/>
      <c r="HKQ50" s="136"/>
      <c r="HKR50" s="136"/>
      <c r="HKS50" s="136"/>
      <c r="HKT50" s="136"/>
      <c r="HKU50" s="136"/>
      <c r="HKV50" s="136"/>
      <c r="HKW50" s="136"/>
      <c r="HKX50" s="136"/>
      <c r="HKY50" s="136"/>
      <c r="HKZ50" s="136"/>
      <c r="HLA50" s="136"/>
      <c r="HLB50" s="136"/>
      <c r="HLC50" s="136"/>
      <c r="HLD50" s="136"/>
      <c r="HLE50" s="136"/>
      <c r="HLF50" s="136"/>
      <c r="HLG50" s="136"/>
      <c r="HLH50" s="136"/>
      <c r="HLI50" s="136"/>
      <c r="HLJ50" s="136"/>
      <c r="HLK50" s="136"/>
      <c r="HLL50" s="136"/>
      <c r="HLM50" s="136"/>
      <c r="HLN50" s="136"/>
      <c r="HLO50" s="136"/>
      <c r="HLP50" s="136"/>
      <c r="HLQ50" s="136"/>
      <c r="HLR50" s="136"/>
      <c r="HLS50" s="136"/>
      <c r="HLT50" s="136"/>
      <c r="HLU50" s="136"/>
      <c r="HLV50" s="136"/>
      <c r="HLW50" s="136"/>
      <c r="HLX50" s="136"/>
      <c r="HLY50" s="136"/>
      <c r="HLZ50" s="136"/>
      <c r="HMA50" s="136"/>
      <c r="HMB50" s="136"/>
      <c r="HMC50" s="136"/>
      <c r="HMD50" s="136"/>
      <c r="HME50" s="136"/>
      <c r="HMF50" s="136"/>
      <c r="HMG50" s="136"/>
      <c r="HMH50" s="136"/>
      <c r="HMI50" s="136"/>
      <c r="HMJ50" s="136"/>
      <c r="HMK50" s="136"/>
      <c r="HML50" s="136"/>
      <c r="HMM50" s="136"/>
      <c r="HMN50" s="136"/>
      <c r="HMO50" s="136"/>
      <c r="HMP50" s="136"/>
      <c r="HMQ50" s="136"/>
      <c r="HMR50" s="136"/>
      <c r="HMS50" s="136"/>
      <c r="HMT50" s="136"/>
      <c r="HMU50" s="136"/>
      <c r="HMV50" s="136"/>
      <c r="HMW50" s="136"/>
      <c r="HMX50" s="136"/>
      <c r="HMY50" s="136"/>
      <c r="HMZ50" s="136"/>
      <c r="HNA50" s="136"/>
      <c r="HNB50" s="136"/>
      <c r="HNC50" s="136"/>
      <c r="HND50" s="136"/>
      <c r="HNE50" s="136"/>
      <c r="HNF50" s="136"/>
      <c r="HNG50" s="136"/>
      <c r="HNH50" s="136"/>
      <c r="HNI50" s="136"/>
      <c r="HNJ50" s="136"/>
      <c r="HNK50" s="136"/>
      <c r="HNL50" s="136"/>
      <c r="HNM50" s="136"/>
      <c r="HNN50" s="136"/>
      <c r="HNO50" s="136"/>
      <c r="HNP50" s="136"/>
      <c r="HNQ50" s="136"/>
      <c r="HNR50" s="136"/>
      <c r="HNS50" s="136"/>
      <c r="HNT50" s="136"/>
      <c r="HNU50" s="136"/>
      <c r="HNV50" s="136"/>
      <c r="HNW50" s="136"/>
      <c r="HNX50" s="136"/>
      <c r="HNY50" s="136"/>
      <c r="HNZ50" s="136"/>
      <c r="HOA50" s="136"/>
      <c r="HOB50" s="136"/>
      <c r="HOC50" s="136"/>
      <c r="HOD50" s="136"/>
      <c r="HOE50" s="136"/>
      <c r="HOF50" s="136"/>
      <c r="HOG50" s="136"/>
      <c r="HOH50" s="136"/>
      <c r="HOI50" s="136"/>
      <c r="HOJ50" s="136"/>
      <c r="HOK50" s="136"/>
      <c r="HOL50" s="136"/>
      <c r="HOM50" s="136"/>
      <c r="HON50" s="136"/>
      <c r="HOO50" s="136"/>
      <c r="HOP50" s="136"/>
      <c r="HOQ50" s="136"/>
      <c r="HOR50" s="136"/>
      <c r="HOS50" s="136"/>
      <c r="HOT50" s="136"/>
      <c r="HOU50" s="136"/>
      <c r="HOV50" s="136"/>
      <c r="HOW50" s="136"/>
      <c r="HOX50" s="136"/>
      <c r="HOY50" s="136"/>
      <c r="HOZ50" s="136"/>
      <c r="HPA50" s="136"/>
      <c r="HPB50" s="136"/>
      <c r="HPC50" s="136"/>
      <c r="HPD50" s="136"/>
      <c r="HPE50" s="136"/>
      <c r="HPF50" s="136"/>
      <c r="HPG50" s="136"/>
      <c r="HPH50" s="136"/>
      <c r="HPI50" s="136"/>
      <c r="HPJ50" s="136"/>
      <c r="HPK50" s="136"/>
      <c r="HPL50" s="136"/>
      <c r="HPM50" s="136"/>
      <c r="HPN50" s="136"/>
      <c r="HPO50" s="136"/>
      <c r="HPP50" s="136"/>
      <c r="HPQ50" s="136"/>
      <c r="HPR50" s="136"/>
      <c r="HPS50" s="136"/>
      <c r="HPT50" s="136"/>
      <c r="HPU50" s="136"/>
      <c r="HPV50" s="136"/>
      <c r="HPW50" s="136"/>
      <c r="HPX50" s="136"/>
      <c r="HPY50" s="136"/>
      <c r="HPZ50" s="136"/>
      <c r="HQA50" s="136"/>
      <c r="HQB50" s="136"/>
      <c r="HQC50" s="136"/>
      <c r="HQD50" s="136"/>
      <c r="HQE50" s="136"/>
      <c r="HQF50" s="136"/>
      <c r="HQG50" s="136"/>
      <c r="HQH50" s="136"/>
      <c r="HQI50" s="136"/>
      <c r="HQJ50" s="136"/>
      <c r="HQK50" s="136"/>
      <c r="HQL50" s="136"/>
      <c r="HQM50" s="136"/>
      <c r="HQN50" s="136"/>
      <c r="HQO50" s="136"/>
      <c r="HQP50" s="136"/>
      <c r="HQQ50" s="136"/>
      <c r="HQR50" s="136"/>
      <c r="HQS50" s="136"/>
      <c r="HQT50" s="136"/>
      <c r="HQU50" s="136"/>
      <c r="HQV50" s="136"/>
      <c r="HQW50" s="136"/>
      <c r="HQX50" s="136"/>
      <c r="HQY50" s="136"/>
      <c r="HQZ50" s="136"/>
      <c r="HRA50" s="136"/>
      <c r="HRB50" s="136"/>
      <c r="HRC50" s="136"/>
      <c r="HRD50" s="136"/>
      <c r="HRE50" s="136"/>
      <c r="HRF50" s="136"/>
      <c r="HRG50" s="136"/>
      <c r="HRH50" s="136"/>
      <c r="HRI50" s="136"/>
      <c r="HRJ50" s="136"/>
      <c r="HRK50" s="136"/>
      <c r="HRL50" s="136"/>
      <c r="HRM50" s="136"/>
      <c r="HRN50" s="136"/>
      <c r="HRO50" s="136"/>
      <c r="HRP50" s="136"/>
      <c r="HRQ50" s="136"/>
      <c r="HRR50" s="136"/>
      <c r="HRS50" s="136"/>
      <c r="HRT50" s="136"/>
      <c r="HRU50" s="136"/>
      <c r="HRV50" s="136"/>
      <c r="HRW50" s="136"/>
      <c r="HRX50" s="136"/>
      <c r="HRY50" s="136"/>
      <c r="HRZ50" s="136"/>
      <c r="HSA50" s="136"/>
      <c r="HSB50" s="136"/>
      <c r="HSC50" s="136"/>
      <c r="HSD50" s="136"/>
      <c r="HSE50" s="136"/>
      <c r="HSF50" s="136"/>
      <c r="HSG50" s="136"/>
      <c r="HSH50" s="136"/>
      <c r="HSI50" s="136"/>
      <c r="HSJ50" s="136"/>
      <c r="HSK50" s="136"/>
      <c r="HSL50" s="136"/>
      <c r="HSM50" s="136"/>
      <c r="HSN50" s="136"/>
      <c r="HSO50" s="136"/>
      <c r="HSP50" s="136"/>
      <c r="HSQ50" s="136"/>
      <c r="HSR50" s="136"/>
      <c r="HSS50" s="136"/>
      <c r="HST50" s="136"/>
      <c r="HSU50" s="136"/>
      <c r="HSV50" s="136"/>
      <c r="HSW50" s="136"/>
      <c r="HSX50" s="136"/>
      <c r="HSY50" s="136"/>
      <c r="HSZ50" s="136"/>
      <c r="HTA50" s="136"/>
      <c r="HTB50" s="136"/>
      <c r="HTC50" s="136"/>
      <c r="HTD50" s="136"/>
      <c r="HTE50" s="136"/>
      <c r="HTF50" s="136"/>
      <c r="HTG50" s="136"/>
      <c r="HTH50" s="136"/>
      <c r="HTI50" s="136"/>
      <c r="HTJ50" s="136"/>
      <c r="HTK50" s="136"/>
      <c r="HTL50" s="136"/>
      <c r="HTM50" s="136"/>
      <c r="HTN50" s="136"/>
      <c r="HTO50" s="136"/>
      <c r="HTP50" s="136"/>
      <c r="HTQ50" s="136"/>
      <c r="HTR50" s="136"/>
      <c r="HTS50" s="136"/>
      <c r="HTT50" s="136"/>
      <c r="HTU50" s="136"/>
      <c r="HTV50" s="136"/>
      <c r="HTW50" s="136"/>
      <c r="HTX50" s="136"/>
      <c r="HTY50" s="136"/>
      <c r="HTZ50" s="136"/>
      <c r="HUA50" s="136"/>
      <c r="HUB50" s="136"/>
      <c r="HUC50" s="136"/>
      <c r="HUD50" s="136"/>
      <c r="HUE50" s="136"/>
      <c r="HUF50" s="136"/>
      <c r="HUG50" s="136"/>
      <c r="HUH50" s="136"/>
      <c r="HUI50" s="136"/>
      <c r="HUJ50" s="136"/>
      <c r="HUK50" s="136"/>
      <c r="HUL50" s="136"/>
      <c r="HUM50" s="136"/>
      <c r="HUN50" s="136"/>
      <c r="HUO50" s="136"/>
      <c r="HUP50" s="136"/>
      <c r="HUQ50" s="136"/>
      <c r="HUR50" s="136"/>
      <c r="HUS50" s="136"/>
      <c r="HUT50" s="136"/>
      <c r="HUU50" s="136"/>
      <c r="HUV50" s="136"/>
      <c r="HUW50" s="136"/>
      <c r="HUX50" s="136"/>
      <c r="HUY50" s="136"/>
      <c r="HUZ50" s="136"/>
      <c r="HVA50" s="136"/>
      <c r="HVB50" s="136"/>
      <c r="HVC50" s="136"/>
      <c r="HVD50" s="136"/>
      <c r="HVE50" s="136"/>
      <c r="HVF50" s="136"/>
      <c r="HVG50" s="136"/>
      <c r="HVH50" s="136"/>
      <c r="HVI50" s="136"/>
      <c r="HVJ50" s="136"/>
      <c r="HVK50" s="136"/>
      <c r="HVL50" s="136"/>
      <c r="HVM50" s="136"/>
      <c r="HVN50" s="136"/>
      <c r="HVO50" s="136"/>
      <c r="HVP50" s="136"/>
      <c r="HVQ50" s="136"/>
      <c r="HVR50" s="136"/>
      <c r="HVS50" s="136"/>
      <c r="HVT50" s="136"/>
      <c r="HVU50" s="136"/>
      <c r="HVV50" s="136"/>
      <c r="HVW50" s="136"/>
      <c r="HVX50" s="136"/>
      <c r="HVY50" s="136"/>
      <c r="HVZ50" s="136"/>
      <c r="HWA50" s="136"/>
      <c r="HWB50" s="136"/>
      <c r="HWC50" s="136"/>
      <c r="HWD50" s="136"/>
      <c r="HWE50" s="136"/>
      <c r="HWF50" s="136"/>
      <c r="HWG50" s="136"/>
      <c r="HWH50" s="136"/>
      <c r="HWI50" s="136"/>
      <c r="HWJ50" s="136"/>
      <c r="HWK50" s="136"/>
      <c r="HWL50" s="136"/>
      <c r="HWM50" s="136"/>
      <c r="HWN50" s="136"/>
      <c r="HWO50" s="136"/>
      <c r="HWP50" s="136"/>
      <c r="HWQ50" s="136"/>
      <c r="HWR50" s="136"/>
      <c r="HWS50" s="136"/>
      <c r="HWT50" s="136"/>
      <c r="HWU50" s="136"/>
      <c r="HWV50" s="136"/>
      <c r="HWW50" s="136"/>
      <c r="HWX50" s="136"/>
      <c r="HWY50" s="136"/>
      <c r="HWZ50" s="136"/>
      <c r="HXA50" s="136"/>
      <c r="HXB50" s="136"/>
      <c r="HXC50" s="136"/>
      <c r="HXD50" s="136"/>
      <c r="HXE50" s="136"/>
      <c r="HXF50" s="136"/>
      <c r="HXG50" s="136"/>
      <c r="HXH50" s="136"/>
      <c r="HXI50" s="136"/>
      <c r="HXJ50" s="136"/>
      <c r="HXK50" s="136"/>
      <c r="HXL50" s="136"/>
      <c r="HXM50" s="136"/>
      <c r="HXN50" s="136"/>
      <c r="HXO50" s="136"/>
      <c r="HXP50" s="136"/>
      <c r="HXQ50" s="136"/>
      <c r="HXR50" s="136"/>
      <c r="HXS50" s="136"/>
      <c r="HXT50" s="136"/>
      <c r="HXU50" s="136"/>
      <c r="HXV50" s="136"/>
      <c r="HXW50" s="136"/>
      <c r="HXX50" s="136"/>
      <c r="HXY50" s="136"/>
      <c r="HXZ50" s="136"/>
      <c r="HYA50" s="136"/>
      <c r="HYB50" s="136"/>
      <c r="HYC50" s="136"/>
      <c r="HYD50" s="136"/>
      <c r="HYE50" s="136"/>
      <c r="HYF50" s="136"/>
      <c r="HYG50" s="136"/>
      <c r="HYH50" s="136"/>
      <c r="HYI50" s="136"/>
      <c r="HYJ50" s="136"/>
      <c r="HYK50" s="136"/>
      <c r="HYL50" s="136"/>
      <c r="HYM50" s="136"/>
      <c r="HYN50" s="136"/>
      <c r="HYO50" s="136"/>
      <c r="HYP50" s="136"/>
      <c r="HYQ50" s="136"/>
      <c r="HYR50" s="136"/>
      <c r="HYS50" s="136"/>
      <c r="HYT50" s="136"/>
      <c r="HYU50" s="136"/>
      <c r="HYV50" s="136"/>
      <c r="HYW50" s="136"/>
      <c r="HYX50" s="136"/>
      <c r="HYY50" s="136"/>
      <c r="HYZ50" s="136"/>
      <c r="HZA50" s="136"/>
      <c r="HZB50" s="136"/>
      <c r="HZC50" s="136"/>
      <c r="HZD50" s="136"/>
      <c r="HZE50" s="136"/>
      <c r="HZF50" s="136"/>
      <c r="HZG50" s="136"/>
      <c r="HZH50" s="136"/>
      <c r="HZI50" s="136"/>
      <c r="HZJ50" s="136"/>
      <c r="HZK50" s="136"/>
      <c r="HZL50" s="136"/>
      <c r="HZM50" s="136"/>
      <c r="HZN50" s="136"/>
      <c r="HZO50" s="136"/>
      <c r="HZP50" s="136"/>
      <c r="HZQ50" s="136"/>
      <c r="HZR50" s="136"/>
      <c r="HZS50" s="136"/>
      <c r="HZT50" s="136"/>
      <c r="HZU50" s="136"/>
      <c r="HZV50" s="136"/>
      <c r="HZW50" s="136"/>
      <c r="HZX50" s="136"/>
      <c r="HZY50" s="136"/>
      <c r="HZZ50" s="136"/>
      <c r="IAA50" s="136"/>
      <c r="IAB50" s="136"/>
      <c r="IAC50" s="136"/>
      <c r="IAD50" s="136"/>
      <c r="IAE50" s="136"/>
      <c r="IAF50" s="136"/>
      <c r="IAG50" s="136"/>
      <c r="IAH50" s="136"/>
      <c r="IAI50" s="136"/>
      <c r="IAJ50" s="136"/>
      <c r="IAK50" s="136"/>
      <c r="IAL50" s="136"/>
      <c r="IAM50" s="136"/>
      <c r="IAN50" s="136"/>
      <c r="IAO50" s="136"/>
      <c r="IAP50" s="136"/>
      <c r="IAQ50" s="136"/>
      <c r="IAR50" s="136"/>
      <c r="IAS50" s="136"/>
      <c r="IAT50" s="136"/>
      <c r="IAU50" s="136"/>
      <c r="IAV50" s="136"/>
      <c r="IAW50" s="136"/>
      <c r="IAX50" s="136"/>
      <c r="IAY50" s="136"/>
      <c r="IAZ50" s="136"/>
      <c r="IBA50" s="136"/>
      <c r="IBB50" s="136"/>
      <c r="IBC50" s="136"/>
      <c r="IBD50" s="136"/>
      <c r="IBE50" s="136"/>
      <c r="IBF50" s="136"/>
      <c r="IBG50" s="136"/>
      <c r="IBH50" s="136"/>
      <c r="IBI50" s="136"/>
      <c r="IBJ50" s="136"/>
      <c r="IBK50" s="136"/>
      <c r="IBL50" s="136"/>
      <c r="IBM50" s="136"/>
      <c r="IBN50" s="136"/>
      <c r="IBO50" s="136"/>
      <c r="IBP50" s="136"/>
      <c r="IBQ50" s="136"/>
      <c r="IBR50" s="136"/>
      <c r="IBS50" s="136"/>
      <c r="IBT50" s="136"/>
      <c r="IBU50" s="136"/>
      <c r="IBV50" s="136"/>
      <c r="IBW50" s="136"/>
      <c r="IBX50" s="136"/>
      <c r="IBY50" s="136"/>
      <c r="IBZ50" s="136"/>
      <c r="ICA50" s="136"/>
      <c r="ICB50" s="136"/>
      <c r="ICC50" s="136"/>
      <c r="ICD50" s="136"/>
      <c r="ICE50" s="136"/>
      <c r="ICF50" s="136"/>
      <c r="ICG50" s="136"/>
      <c r="ICH50" s="136"/>
      <c r="ICI50" s="136"/>
      <c r="ICJ50" s="136"/>
      <c r="ICK50" s="136"/>
      <c r="ICL50" s="136"/>
      <c r="ICM50" s="136"/>
      <c r="ICN50" s="136"/>
      <c r="ICO50" s="136"/>
      <c r="ICP50" s="136"/>
      <c r="ICQ50" s="136"/>
      <c r="ICR50" s="136"/>
      <c r="ICS50" s="136"/>
      <c r="ICT50" s="136"/>
      <c r="ICU50" s="136"/>
      <c r="ICV50" s="136"/>
      <c r="ICW50" s="136"/>
      <c r="ICX50" s="136"/>
      <c r="ICY50" s="136"/>
      <c r="ICZ50" s="136"/>
      <c r="IDA50" s="136"/>
      <c r="IDB50" s="136"/>
      <c r="IDC50" s="136"/>
      <c r="IDD50" s="136"/>
      <c r="IDE50" s="136"/>
      <c r="IDF50" s="136"/>
      <c r="IDG50" s="136"/>
      <c r="IDH50" s="136"/>
      <c r="IDI50" s="136"/>
      <c r="IDJ50" s="136"/>
      <c r="IDK50" s="136"/>
      <c r="IDL50" s="136"/>
      <c r="IDM50" s="136"/>
      <c r="IDN50" s="136"/>
      <c r="IDO50" s="136"/>
      <c r="IDP50" s="136"/>
      <c r="IDQ50" s="136"/>
      <c r="IDR50" s="136"/>
      <c r="IDS50" s="136"/>
      <c r="IDT50" s="136"/>
      <c r="IDU50" s="136"/>
      <c r="IDV50" s="136"/>
      <c r="IDW50" s="136"/>
      <c r="IDX50" s="136"/>
      <c r="IDY50" s="136"/>
      <c r="IDZ50" s="136"/>
      <c r="IEA50" s="136"/>
      <c r="IEB50" s="136"/>
      <c r="IEC50" s="136"/>
      <c r="IED50" s="136"/>
      <c r="IEE50" s="136"/>
      <c r="IEF50" s="136"/>
      <c r="IEG50" s="136"/>
      <c r="IEH50" s="136"/>
      <c r="IEI50" s="136"/>
      <c r="IEJ50" s="136"/>
      <c r="IEK50" s="136"/>
      <c r="IEL50" s="136"/>
      <c r="IEM50" s="136"/>
      <c r="IEN50" s="136"/>
      <c r="IEO50" s="136"/>
      <c r="IEP50" s="136"/>
      <c r="IEQ50" s="136"/>
      <c r="IER50" s="136"/>
      <c r="IES50" s="136"/>
      <c r="IET50" s="136"/>
      <c r="IEU50" s="136"/>
      <c r="IEV50" s="136"/>
      <c r="IEW50" s="136"/>
      <c r="IEX50" s="136"/>
      <c r="IEY50" s="136"/>
      <c r="IEZ50" s="136"/>
      <c r="IFA50" s="136"/>
      <c r="IFB50" s="136"/>
      <c r="IFC50" s="136"/>
      <c r="IFD50" s="136"/>
      <c r="IFE50" s="136"/>
      <c r="IFF50" s="136"/>
      <c r="IFG50" s="136"/>
      <c r="IFH50" s="136"/>
      <c r="IFI50" s="136"/>
      <c r="IFJ50" s="136"/>
      <c r="IFK50" s="136"/>
      <c r="IFL50" s="136"/>
      <c r="IFM50" s="136"/>
      <c r="IFN50" s="136"/>
      <c r="IFO50" s="136"/>
      <c r="IFP50" s="136"/>
      <c r="IFQ50" s="136"/>
      <c r="IFR50" s="136"/>
      <c r="IFS50" s="136"/>
      <c r="IFT50" s="136"/>
      <c r="IFU50" s="136"/>
      <c r="IFV50" s="136"/>
      <c r="IFW50" s="136"/>
      <c r="IFX50" s="136"/>
      <c r="IFY50" s="136"/>
      <c r="IFZ50" s="136"/>
      <c r="IGA50" s="136"/>
      <c r="IGB50" s="136"/>
      <c r="IGC50" s="136"/>
      <c r="IGD50" s="136"/>
      <c r="IGE50" s="136"/>
      <c r="IGF50" s="136"/>
      <c r="IGG50" s="136"/>
      <c r="IGH50" s="136"/>
      <c r="IGI50" s="136"/>
      <c r="IGJ50" s="136"/>
      <c r="IGK50" s="136"/>
      <c r="IGL50" s="136"/>
      <c r="IGM50" s="136"/>
      <c r="IGN50" s="136"/>
      <c r="IGO50" s="136"/>
      <c r="IGP50" s="136"/>
      <c r="IGQ50" s="136"/>
      <c r="IGR50" s="136"/>
      <c r="IGS50" s="136"/>
      <c r="IGT50" s="136"/>
      <c r="IGU50" s="136"/>
      <c r="IGV50" s="136"/>
      <c r="IGW50" s="136"/>
      <c r="IGX50" s="136"/>
      <c r="IGY50" s="136"/>
      <c r="IGZ50" s="136"/>
      <c r="IHA50" s="136"/>
      <c r="IHB50" s="136"/>
      <c r="IHC50" s="136"/>
      <c r="IHD50" s="136"/>
      <c r="IHE50" s="136"/>
      <c r="IHF50" s="136"/>
      <c r="IHG50" s="136"/>
      <c r="IHH50" s="136"/>
      <c r="IHI50" s="136"/>
      <c r="IHJ50" s="136"/>
      <c r="IHK50" s="136"/>
      <c r="IHL50" s="136"/>
      <c r="IHM50" s="136"/>
      <c r="IHN50" s="136"/>
      <c r="IHO50" s="136"/>
      <c r="IHP50" s="136"/>
      <c r="IHQ50" s="136"/>
      <c r="IHR50" s="136"/>
      <c r="IHS50" s="136"/>
      <c r="IHT50" s="136"/>
      <c r="IHU50" s="136"/>
      <c r="IHV50" s="136"/>
      <c r="IHW50" s="136"/>
      <c r="IHX50" s="136"/>
      <c r="IHY50" s="136"/>
      <c r="IHZ50" s="136"/>
      <c r="IIA50" s="136"/>
      <c r="IIB50" s="136"/>
      <c r="IIC50" s="136"/>
      <c r="IID50" s="136"/>
      <c r="IIE50" s="136"/>
      <c r="IIF50" s="136"/>
      <c r="IIG50" s="136"/>
      <c r="IIH50" s="136"/>
      <c r="III50" s="136"/>
      <c r="IIJ50" s="136"/>
      <c r="IIK50" s="136"/>
      <c r="IIL50" s="136"/>
      <c r="IIM50" s="136"/>
      <c r="IIN50" s="136"/>
      <c r="IIO50" s="136"/>
      <c r="IIP50" s="136"/>
      <c r="IIQ50" s="136"/>
      <c r="IIR50" s="136"/>
      <c r="IIS50" s="136"/>
      <c r="IIT50" s="136"/>
      <c r="IIU50" s="136"/>
      <c r="IIV50" s="136"/>
      <c r="IIW50" s="136"/>
      <c r="IIX50" s="136"/>
      <c r="IIY50" s="136"/>
      <c r="IIZ50" s="136"/>
      <c r="IJA50" s="136"/>
      <c r="IJB50" s="136"/>
      <c r="IJC50" s="136"/>
      <c r="IJD50" s="136"/>
      <c r="IJE50" s="136"/>
      <c r="IJF50" s="136"/>
      <c r="IJG50" s="136"/>
      <c r="IJH50" s="136"/>
      <c r="IJI50" s="136"/>
      <c r="IJJ50" s="136"/>
      <c r="IJK50" s="136"/>
      <c r="IJL50" s="136"/>
      <c r="IJM50" s="136"/>
      <c r="IJN50" s="136"/>
      <c r="IJO50" s="136"/>
      <c r="IJP50" s="136"/>
      <c r="IJQ50" s="136"/>
      <c r="IJR50" s="136"/>
      <c r="IJS50" s="136"/>
      <c r="IJT50" s="136"/>
      <c r="IJU50" s="136"/>
      <c r="IJV50" s="136"/>
      <c r="IJW50" s="136"/>
      <c r="IJX50" s="136"/>
      <c r="IJY50" s="136"/>
      <c r="IJZ50" s="136"/>
      <c r="IKA50" s="136"/>
      <c r="IKB50" s="136"/>
      <c r="IKC50" s="136"/>
      <c r="IKD50" s="136"/>
      <c r="IKE50" s="136"/>
      <c r="IKF50" s="136"/>
      <c r="IKG50" s="136"/>
      <c r="IKH50" s="136"/>
      <c r="IKI50" s="136"/>
      <c r="IKJ50" s="136"/>
      <c r="IKK50" s="136"/>
      <c r="IKL50" s="136"/>
      <c r="IKM50" s="136"/>
      <c r="IKN50" s="136"/>
      <c r="IKO50" s="136"/>
      <c r="IKP50" s="136"/>
      <c r="IKQ50" s="136"/>
      <c r="IKR50" s="136"/>
      <c r="IKS50" s="136"/>
      <c r="IKT50" s="136"/>
      <c r="IKU50" s="136"/>
      <c r="IKV50" s="136"/>
      <c r="IKW50" s="136"/>
      <c r="IKX50" s="136"/>
      <c r="IKY50" s="136"/>
      <c r="IKZ50" s="136"/>
      <c r="ILA50" s="136"/>
      <c r="ILB50" s="136"/>
      <c r="ILC50" s="136"/>
      <c r="ILD50" s="136"/>
      <c r="ILE50" s="136"/>
      <c r="ILF50" s="136"/>
      <c r="ILG50" s="136"/>
      <c r="ILH50" s="136"/>
      <c r="ILI50" s="136"/>
      <c r="ILJ50" s="136"/>
      <c r="ILK50" s="136"/>
      <c r="ILL50" s="136"/>
      <c r="ILM50" s="136"/>
      <c r="ILN50" s="136"/>
      <c r="ILO50" s="136"/>
      <c r="ILP50" s="136"/>
      <c r="ILQ50" s="136"/>
      <c r="ILR50" s="136"/>
      <c r="ILS50" s="136"/>
      <c r="ILT50" s="136"/>
      <c r="ILU50" s="136"/>
      <c r="ILV50" s="136"/>
      <c r="ILW50" s="136"/>
      <c r="ILX50" s="136"/>
      <c r="ILY50" s="136"/>
      <c r="ILZ50" s="136"/>
      <c r="IMA50" s="136"/>
      <c r="IMB50" s="136"/>
      <c r="IMC50" s="136"/>
      <c r="IMD50" s="136"/>
      <c r="IME50" s="136"/>
      <c r="IMF50" s="136"/>
      <c r="IMG50" s="136"/>
      <c r="IMH50" s="136"/>
      <c r="IMI50" s="136"/>
      <c r="IMJ50" s="136"/>
      <c r="IMK50" s="136"/>
      <c r="IML50" s="136"/>
      <c r="IMM50" s="136"/>
      <c r="IMN50" s="136"/>
      <c r="IMO50" s="136"/>
      <c r="IMP50" s="136"/>
      <c r="IMQ50" s="136"/>
      <c r="IMR50" s="136"/>
      <c r="IMS50" s="136"/>
      <c r="IMT50" s="136"/>
      <c r="IMU50" s="136"/>
      <c r="IMV50" s="136"/>
      <c r="IMW50" s="136"/>
      <c r="IMX50" s="136"/>
      <c r="IMY50" s="136"/>
      <c r="IMZ50" s="136"/>
      <c r="INA50" s="136"/>
      <c r="INB50" s="136"/>
      <c r="INC50" s="136"/>
      <c r="IND50" s="136"/>
      <c r="INE50" s="136"/>
      <c r="INF50" s="136"/>
      <c r="ING50" s="136"/>
      <c r="INH50" s="136"/>
      <c r="INI50" s="136"/>
      <c r="INJ50" s="136"/>
      <c r="INK50" s="136"/>
      <c r="INL50" s="136"/>
      <c r="INM50" s="136"/>
      <c r="INN50" s="136"/>
      <c r="INO50" s="136"/>
      <c r="INP50" s="136"/>
      <c r="INQ50" s="136"/>
      <c r="INR50" s="136"/>
      <c r="INS50" s="136"/>
      <c r="INT50" s="136"/>
      <c r="INU50" s="136"/>
      <c r="INV50" s="136"/>
      <c r="INW50" s="136"/>
      <c r="INX50" s="136"/>
      <c r="INY50" s="136"/>
      <c r="INZ50" s="136"/>
      <c r="IOA50" s="136"/>
      <c r="IOB50" s="136"/>
      <c r="IOC50" s="136"/>
      <c r="IOD50" s="136"/>
      <c r="IOE50" s="136"/>
      <c r="IOF50" s="136"/>
      <c r="IOG50" s="136"/>
      <c r="IOH50" s="136"/>
      <c r="IOI50" s="136"/>
      <c r="IOJ50" s="136"/>
      <c r="IOK50" s="136"/>
      <c r="IOL50" s="136"/>
      <c r="IOM50" s="136"/>
      <c r="ION50" s="136"/>
      <c r="IOO50" s="136"/>
      <c r="IOP50" s="136"/>
      <c r="IOQ50" s="136"/>
      <c r="IOR50" s="136"/>
      <c r="IOS50" s="136"/>
      <c r="IOT50" s="136"/>
      <c r="IOU50" s="136"/>
      <c r="IOV50" s="136"/>
      <c r="IOW50" s="136"/>
      <c r="IOX50" s="136"/>
      <c r="IOY50" s="136"/>
      <c r="IOZ50" s="136"/>
      <c r="IPA50" s="136"/>
      <c r="IPB50" s="136"/>
      <c r="IPC50" s="136"/>
      <c r="IPD50" s="136"/>
      <c r="IPE50" s="136"/>
      <c r="IPF50" s="136"/>
      <c r="IPG50" s="136"/>
      <c r="IPH50" s="136"/>
      <c r="IPI50" s="136"/>
      <c r="IPJ50" s="136"/>
      <c r="IPK50" s="136"/>
      <c r="IPL50" s="136"/>
      <c r="IPM50" s="136"/>
      <c r="IPN50" s="136"/>
      <c r="IPO50" s="136"/>
      <c r="IPP50" s="136"/>
      <c r="IPQ50" s="136"/>
      <c r="IPR50" s="136"/>
      <c r="IPS50" s="136"/>
      <c r="IPT50" s="136"/>
      <c r="IPU50" s="136"/>
      <c r="IPV50" s="136"/>
      <c r="IPW50" s="136"/>
      <c r="IPX50" s="136"/>
      <c r="IPY50" s="136"/>
      <c r="IPZ50" s="136"/>
      <c r="IQA50" s="136"/>
      <c r="IQB50" s="136"/>
      <c r="IQC50" s="136"/>
      <c r="IQD50" s="136"/>
      <c r="IQE50" s="136"/>
      <c r="IQF50" s="136"/>
      <c r="IQG50" s="136"/>
      <c r="IQH50" s="136"/>
      <c r="IQI50" s="136"/>
      <c r="IQJ50" s="136"/>
      <c r="IQK50" s="136"/>
      <c r="IQL50" s="136"/>
      <c r="IQM50" s="136"/>
      <c r="IQN50" s="136"/>
      <c r="IQO50" s="136"/>
      <c r="IQP50" s="136"/>
      <c r="IQQ50" s="136"/>
      <c r="IQR50" s="136"/>
      <c r="IQS50" s="136"/>
      <c r="IQT50" s="136"/>
      <c r="IQU50" s="136"/>
      <c r="IQV50" s="136"/>
      <c r="IQW50" s="136"/>
      <c r="IQX50" s="136"/>
      <c r="IQY50" s="136"/>
      <c r="IQZ50" s="136"/>
      <c r="IRA50" s="136"/>
      <c r="IRB50" s="136"/>
      <c r="IRC50" s="136"/>
      <c r="IRD50" s="136"/>
      <c r="IRE50" s="136"/>
      <c r="IRF50" s="136"/>
      <c r="IRG50" s="136"/>
      <c r="IRH50" s="136"/>
      <c r="IRI50" s="136"/>
      <c r="IRJ50" s="136"/>
      <c r="IRK50" s="136"/>
      <c r="IRL50" s="136"/>
      <c r="IRM50" s="136"/>
      <c r="IRN50" s="136"/>
      <c r="IRO50" s="136"/>
      <c r="IRP50" s="136"/>
      <c r="IRQ50" s="136"/>
      <c r="IRR50" s="136"/>
      <c r="IRS50" s="136"/>
      <c r="IRT50" s="136"/>
      <c r="IRU50" s="136"/>
      <c r="IRV50" s="136"/>
      <c r="IRW50" s="136"/>
      <c r="IRX50" s="136"/>
      <c r="IRY50" s="136"/>
      <c r="IRZ50" s="136"/>
      <c r="ISA50" s="136"/>
      <c r="ISB50" s="136"/>
      <c r="ISC50" s="136"/>
      <c r="ISD50" s="136"/>
      <c r="ISE50" s="136"/>
      <c r="ISF50" s="136"/>
      <c r="ISG50" s="136"/>
      <c r="ISH50" s="136"/>
      <c r="ISI50" s="136"/>
      <c r="ISJ50" s="136"/>
      <c r="ISK50" s="136"/>
      <c r="ISL50" s="136"/>
      <c r="ISM50" s="136"/>
      <c r="ISN50" s="136"/>
      <c r="ISO50" s="136"/>
      <c r="ISP50" s="136"/>
      <c r="ISQ50" s="136"/>
      <c r="ISR50" s="136"/>
      <c r="ISS50" s="136"/>
      <c r="IST50" s="136"/>
      <c r="ISU50" s="136"/>
      <c r="ISV50" s="136"/>
      <c r="ISW50" s="136"/>
      <c r="ISX50" s="136"/>
      <c r="ISY50" s="136"/>
      <c r="ISZ50" s="136"/>
      <c r="ITA50" s="136"/>
      <c r="ITB50" s="136"/>
      <c r="ITC50" s="136"/>
      <c r="ITD50" s="136"/>
      <c r="ITE50" s="136"/>
      <c r="ITF50" s="136"/>
      <c r="ITG50" s="136"/>
      <c r="ITH50" s="136"/>
      <c r="ITI50" s="136"/>
      <c r="ITJ50" s="136"/>
      <c r="ITK50" s="136"/>
      <c r="ITL50" s="136"/>
      <c r="ITM50" s="136"/>
      <c r="ITN50" s="136"/>
      <c r="ITO50" s="136"/>
      <c r="ITP50" s="136"/>
      <c r="ITQ50" s="136"/>
      <c r="ITR50" s="136"/>
      <c r="ITS50" s="136"/>
      <c r="ITT50" s="136"/>
      <c r="ITU50" s="136"/>
      <c r="ITV50" s="136"/>
      <c r="ITW50" s="136"/>
      <c r="ITX50" s="136"/>
      <c r="ITY50" s="136"/>
      <c r="ITZ50" s="136"/>
      <c r="IUA50" s="136"/>
      <c r="IUB50" s="136"/>
      <c r="IUC50" s="136"/>
      <c r="IUD50" s="136"/>
      <c r="IUE50" s="136"/>
      <c r="IUF50" s="136"/>
      <c r="IUG50" s="136"/>
      <c r="IUH50" s="136"/>
      <c r="IUI50" s="136"/>
      <c r="IUJ50" s="136"/>
      <c r="IUK50" s="136"/>
      <c r="IUL50" s="136"/>
      <c r="IUM50" s="136"/>
      <c r="IUN50" s="136"/>
      <c r="IUO50" s="136"/>
      <c r="IUP50" s="136"/>
      <c r="IUQ50" s="136"/>
      <c r="IUR50" s="136"/>
      <c r="IUS50" s="136"/>
      <c r="IUT50" s="136"/>
      <c r="IUU50" s="136"/>
      <c r="IUV50" s="136"/>
      <c r="IUW50" s="136"/>
      <c r="IUX50" s="136"/>
      <c r="IUY50" s="136"/>
      <c r="IUZ50" s="136"/>
      <c r="IVA50" s="136"/>
      <c r="IVB50" s="136"/>
      <c r="IVC50" s="136"/>
      <c r="IVD50" s="136"/>
      <c r="IVE50" s="136"/>
      <c r="IVF50" s="136"/>
      <c r="IVG50" s="136"/>
      <c r="IVH50" s="136"/>
      <c r="IVI50" s="136"/>
      <c r="IVJ50" s="136"/>
      <c r="IVK50" s="136"/>
      <c r="IVL50" s="136"/>
      <c r="IVM50" s="136"/>
      <c r="IVN50" s="136"/>
      <c r="IVO50" s="136"/>
      <c r="IVP50" s="136"/>
      <c r="IVQ50" s="136"/>
      <c r="IVR50" s="136"/>
      <c r="IVS50" s="136"/>
      <c r="IVT50" s="136"/>
      <c r="IVU50" s="136"/>
      <c r="IVV50" s="136"/>
      <c r="IVW50" s="136"/>
      <c r="IVX50" s="136"/>
      <c r="IVY50" s="136"/>
      <c r="IVZ50" s="136"/>
      <c r="IWA50" s="136"/>
      <c r="IWB50" s="136"/>
      <c r="IWC50" s="136"/>
      <c r="IWD50" s="136"/>
      <c r="IWE50" s="136"/>
      <c r="IWF50" s="136"/>
      <c r="IWG50" s="136"/>
      <c r="IWH50" s="136"/>
      <c r="IWI50" s="136"/>
      <c r="IWJ50" s="136"/>
      <c r="IWK50" s="136"/>
      <c r="IWL50" s="136"/>
      <c r="IWM50" s="136"/>
      <c r="IWN50" s="136"/>
      <c r="IWO50" s="136"/>
      <c r="IWP50" s="136"/>
      <c r="IWQ50" s="136"/>
      <c r="IWR50" s="136"/>
      <c r="IWS50" s="136"/>
      <c r="IWT50" s="136"/>
      <c r="IWU50" s="136"/>
      <c r="IWV50" s="136"/>
      <c r="IWW50" s="136"/>
      <c r="IWX50" s="136"/>
      <c r="IWY50" s="136"/>
      <c r="IWZ50" s="136"/>
      <c r="IXA50" s="136"/>
      <c r="IXB50" s="136"/>
      <c r="IXC50" s="136"/>
      <c r="IXD50" s="136"/>
      <c r="IXE50" s="136"/>
      <c r="IXF50" s="136"/>
      <c r="IXG50" s="136"/>
      <c r="IXH50" s="136"/>
      <c r="IXI50" s="136"/>
      <c r="IXJ50" s="136"/>
      <c r="IXK50" s="136"/>
      <c r="IXL50" s="136"/>
      <c r="IXM50" s="136"/>
      <c r="IXN50" s="136"/>
      <c r="IXO50" s="136"/>
      <c r="IXP50" s="136"/>
      <c r="IXQ50" s="136"/>
      <c r="IXR50" s="136"/>
      <c r="IXS50" s="136"/>
      <c r="IXT50" s="136"/>
      <c r="IXU50" s="136"/>
      <c r="IXV50" s="136"/>
      <c r="IXW50" s="136"/>
      <c r="IXX50" s="136"/>
      <c r="IXY50" s="136"/>
      <c r="IXZ50" s="136"/>
      <c r="IYA50" s="136"/>
      <c r="IYB50" s="136"/>
      <c r="IYC50" s="136"/>
      <c r="IYD50" s="136"/>
      <c r="IYE50" s="136"/>
      <c r="IYF50" s="136"/>
      <c r="IYG50" s="136"/>
      <c r="IYH50" s="136"/>
      <c r="IYI50" s="136"/>
      <c r="IYJ50" s="136"/>
      <c r="IYK50" s="136"/>
      <c r="IYL50" s="136"/>
      <c r="IYM50" s="136"/>
      <c r="IYN50" s="136"/>
      <c r="IYO50" s="136"/>
      <c r="IYP50" s="136"/>
      <c r="IYQ50" s="136"/>
      <c r="IYR50" s="136"/>
      <c r="IYS50" s="136"/>
      <c r="IYT50" s="136"/>
      <c r="IYU50" s="136"/>
      <c r="IYV50" s="136"/>
      <c r="IYW50" s="136"/>
      <c r="IYX50" s="136"/>
      <c r="IYY50" s="136"/>
      <c r="IYZ50" s="136"/>
      <c r="IZA50" s="136"/>
      <c r="IZB50" s="136"/>
      <c r="IZC50" s="136"/>
      <c r="IZD50" s="136"/>
      <c r="IZE50" s="136"/>
      <c r="IZF50" s="136"/>
      <c r="IZG50" s="136"/>
      <c r="IZH50" s="136"/>
      <c r="IZI50" s="136"/>
      <c r="IZJ50" s="136"/>
      <c r="IZK50" s="136"/>
      <c r="IZL50" s="136"/>
      <c r="IZM50" s="136"/>
      <c r="IZN50" s="136"/>
      <c r="IZO50" s="136"/>
      <c r="IZP50" s="136"/>
      <c r="IZQ50" s="136"/>
      <c r="IZR50" s="136"/>
      <c r="IZS50" s="136"/>
      <c r="IZT50" s="136"/>
      <c r="IZU50" s="136"/>
      <c r="IZV50" s="136"/>
      <c r="IZW50" s="136"/>
      <c r="IZX50" s="136"/>
      <c r="IZY50" s="136"/>
      <c r="IZZ50" s="136"/>
      <c r="JAA50" s="136"/>
      <c r="JAB50" s="136"/>
      <c r="JAC50" s="136"/>
      <c r="JAD50" s="136"/>
      <c r="JAE50" s="136"/>
      <c r="JAF50" s="136"/>
      <c r="JAG50" s="136"/>
      <c r="JAH50" s="136"/>
      <c r="JAI50" s="136"/>
      <c r="JAJ50" s="136"/>
      <c r="JAK50" s="136"/>
      <c r="JAL50" s="136"/>
      <c r="JAM50" s="136"/>
      <c r="JAN50" s="136"/>
      <c r="JAO50" s="136"/>
      <c r="JAP50" s="136"/>
      <c r="JAQ50" s="136"/>
      <c r="JAR50" s="136"/>
      <c r="JAS50" s="136"/>
      <c r="JAT50" s="136"/>
      <c r="JAU50" s="136"/>
      <c r="JAV50" s="136"/>
      <c r="JAW50" s="136"/>
      <c r="JAX50" s="136"/>
      <c r="JAY50" s="136"/>
      <c r="JAZ50" s="136"/>
      <c r="JBA50" s="136"/>
      <c r="JBB50" s="136"/>
      <c r="JBC50" s="136"/>
      <c r="JBD50" s="136"/>
      <c r="JBE50" s="136"/>
      <c r="JBF50" s="136"/>
      <c r="JBG50" s="136"/>
      <c r="JBH50" s="136"/>
      <c r="JBI50" s="136"/>
      <c r="JBJ50" s="136"/>
      <c r="JBK50" s="136"/>
      <c r="JBL50" s="136"/>
      <c r="JBM50" s="136"/>
      <c r="JBN50" s="136"/>
      <c r="JBO50" s="136"/>
      <c r="JBP50" s="136"/>
      <c r="JBQ50" s="136"/>
      <c r="JBR50" s="136"/>
      <c r="JBS50" s="136"/>
      <c r="JBT50" s="136"/>
      <c r="JBU50" s="136"/>
      <c r="JBV50" s="136"/>
      <c r="JBW50" s="136"/>
      <c r="JBX50" s="136"/>
      <c r="JBY50" s="136"/>
      <c r="JBZ50" s="136"/>
      <c r="JCA50" s="136"/>
      <c r="JCB50" s="136"/>
      <c r="JCC50" s="136"/>
      <c r="JCD50" s="136"/>
      <c r="JCE50" s="136"/>
      <c r="JCF50" s="136"/>
      <c r="JCG50" s="136"/>
      <c r="JCH50" s="136"/>
      <c r="JCI50" s="136"/>
      <c r="JCJ50" s="136"/>
      <c r="JCK50" s="136"/>
      <c r="JCL50" s="136"/>
      <c r="JCM50" s="136"/>
      <c r="JCN50" s="136"/>
      <c r="JCO50" s="136"/>
      <c r="JCP50" s="136"/>
      <c r="JCQ50" s="136"/>
      <c r="JCR50" s="136"/>
      <c r="JCS50" s="136"/>
      <c r="JCT50" s="136"/>
      <c r="JCU50" s="136"/>
      <c r="JCV50" s="136"/>
      <c r="JCW50" s="136"/>
      <c r="JCX50" s="136"/>
      <c r="JCY50" s="136"/>
      <c r="JCZ50" s="136"/>
      <c r="JDA50" s="136"/>
      <c r="JDB50" s="136"/>
      <c r="JDC50" s="136"/>
      <c r="JDD50" s="136"/>
      <c r="JDE50" s="136"/>
      <c r="JDF50" s="136"/>
      <c r="JDG50" s="136"/>
      <c r="JDH50" s="136"/>
      <c r="JDI50" s="136"/>
      <c r="JDJ50" s="136"/>
      <c r="JDK50" s="136"/>
      <c r="JDL50" s="136"/>
      <c r="JDM50" s="136"/>
      <c r="JDN50" s="136"/>
      <c r="JDO50" s="136"/>
      <c r="JDP50" s="136"/>
      <c r="JDQ50" s="136"/>
      <c r="JDR50" s="136"/>
      <c r="JDS50" s="136"/>
      <c r="JDT50" s="136"/>
      <c r="JDU50" s="136"/>
      <c r="JDV50" s="136"/>
      <c r="JDW50" s="136"/>
      <c r="JDX50" s="136"/>
      <c r="JDY50" s="136"/>
      <c r="JDZ50" s="136"/>
      <c r="JEA50" s="136"/>
      <c r="JEB50" s="136"/>
      <c r="JEC50" s="136"/>
      <c r="JED50" s="136"/>
      <c r="JEE50" s="136"/>
      <c r="JEF50" s="136"/>
      <c r="JEG50" s="136"/>
      <c r="JEH50" s="136"/>
      <c r="JEI50" s="136"/>
      <c r="JEJ50" s="136"/>
      <c r="JEK50" s="136"/>
      <c r="JEL50" s="136"/>
      <c r="JEM50" s="136"/>
      <c r="JEN50" s="136"/>
      <c r="JEO50" s="136"/>
      <c r="JEP50" s="136"/>
      <c r="JEQ50" s="136"/>
      <c r="JER50" s="136"/>
      <c r="JES50" s="136"/>
      <c r="JET50" s="136"/>
      <c r="JEU50" s="136"/>
      <c r="JEV50" s="136"/>
      <c r="JEW50" s="136"/>
      <c r="JEX50" s="136"/>
      <c r="JEY50" s="136"/>
      <c r="JEZ50" s="136"/>
      <c r="JFA50" s="136"/>
      <c r="JFB50" s="136"/>
      <c r="JFC50" s="136"/>
      <c r="JFD50" s="136"/>
      <c r="JFE50" s="136"/>
      <c r="JFF50" s="136"/>
      <c r="JFG50" s="136"/>
      <c r="JFH50" s="136"/>
      <c r="JFI50" s="136"/>
      <c r="JFJ50" s="136"/>
      <c r="JFK50" s="136"/>
      <c r="JFL50" s="136"/>
      <c r="JFM50" s="136"/>
      <c r="JFN50" s="136"/>
      <c r="JFO50" s="136"/>
      <c r="JFP50" s="136"/>
      <c r="JFQ50" s="136"/>
      <c r="JFR50" s="136"/>
      <c r="JFS50" s="136"/>
      <c r="JFT50" s="136"/>
      <c r="JFU50" s="136"/>
      <c r="JFV50" s="136"/>
      <c r="JFW50" s="136"/>
      <c r="JFX50" s="136"/>
      <c r="JFY50" s="136"/>
      <c r="JFZ50" s="136"/>
      <c r="JGA50" s="136"/>
      <c r="JGB50" s="136"/>
      <c r="JGC50" s="136"/>
      <c r="JGD50" s="136"/>
      <c r="JGE50" s="136"/>
      <c r="JGF50" s="136"/>
      <c r="JGG50" s="136"/>
      <c r="JGH50" s="136"/>
      <c r="JGI50" s="136"/>
      <c r="JGJ50" s="136"/>
      <c r="JGK50" s="136"/>
      <c r="JGL50" s="136"/>
      <c r="JGM50" s="136"/>
      <c r="JGN50" s="136"/>
      <c r="JGO50" s="136"/>
      <c r="JGP50" s="136"/>
      <c r="JGQ50" s="136"/>
      <c r="JGR50" s="136"/>
      <c r="JGS50" s="136"/>
      <c r="JGT50" s="136"/>
      <c r="JGU50" s="136"/>
      <c r="JGV50" s="136"/>
      <c r="JGW50" s="136"/>
      <c r="JGX50" s="136"/>
      <c r="JGY50" s="136"/>
      <c r="JGZ50" s="136"/>
      <c r="JHA50" s="136"/>
      <c r="JHB50" s="136"/>
      <c r="JHC50" s="136"/>
      <c r="JHD50" s="136"/>
      <c r="JHE50" s="136"/>
      <c r="JHF50" s="136"/>
      <c r="JHG50" s="136"/>
      <c r="JHH50" s="136"/>
      <c r="JHI50" s="136"/>
      <c r="JHJ50" s="136"/>
      <c r="JHK50" s="136"/>
      <c r="JHL50" s="136"/>
      <c r="JHM50" s="136"/>
      <c r="JHN50" s="136"/>
      <c r="JHO50" s="136"/>
      <c r="JHP50" s="136"/>
      <c r="JHQ50" s="136"/>
      <c r="JHR50" s="136"/>
      <c r="JHS50" s="136"/>
      <c r="JHT50" s="136"/>
      <c r="JHU50" s="136"/>
      <c r="JHV50" s="136"/>
      <c r="JHW50" s="136"/>
      <c r="JHX50" s="136"/>
      <c r="JHY50" s="136"/>
      <c r="JHZ50" s="136"/>
      <c r="JIA50" s="136"/>
      <c r="JIB50" s="136"/>
      <c r="JIC50" s="136"/>
      <c r="JID50" s="136"/>
      <c r="JIE50" s="136"/>
      <c r="JIF50" s="136"/>
      <c r="JIG50" s="136"/>
      <c r="JIH50" s="136"/>
      <c r="JII50" s="136"/>
      <c r="JIJ50" s="136"/>
      <c r="JIK50" s="136"/>
      <c r="JIL50" s="136"/>
      <c r="JIM50" s="136"/>
      <c r="JIN50" s="136"/>
      <c r="JIO50" s="136"/>
      <c r="JIP50" s="136"/>
      <c r="JIQ50" s="136"/>
      <c r="JIR50" s="136"/>
      <c r="JIS50" s="136"/>
      <c r="JIT50" s="136"/>
      <c r="JIU50" s="136"/>
      <c r="JIV50" s="136"/>
      <c r="JIW50" s="136"/>
      <c r="JIX50" s="136"/>
      <c r="JIY50" s="136"/>
      <c r="JIZ50" s="136"/>
      <c r="JJA50" s="136"/>
      <c r="JJB50" s="136"/>
      <c r="JJC50" s="136"/>
      <c r="JJD50" s="136"/>
      <c r="JJE50" s="136"/>
      <c r="JJF50" s="136"/>
      <c r="JJG50" s="136"/>
      <c r="JJH50" s="136"/>
      <c r="JJI50" s="136"/>
      <c r="JJJ50" s="136"/>
      <c r="JJK50" s="136"/>
      <c r="JJL50" s="136"/>
      <c r="JJM50" s="136"/>
      <c r="JJN50" s="136"/>
      <c r="JJO50" s="136"/>
      <c r="JJP50" s="136"/>
      <c r="JJQ50" s="136"/>
      <c r="JJR50" s="136"/>
      <c r="JJS50" s="136"/>
      <c r="JJT50" s="136"/>
      <c r="JJU50" s="136"/>
      <c r="JJV50" s="136"/>
      <c r="JJW50" s="136"/>
      <c r="JJX50" s="136"/>
      <c r="JJY50" s="136"/>
      <c r="JJZ50" s="136"/>
      <c r="JKA50" s="136"/>
      <c r="JKB50" s="136"/>
      <c r="JKC50" s="136"/>
      <c r="JKD50" s="136"/>
      <c r="JKE50" s="136"/>
      <c r="JKF50" s="136"/>
      <c r="JKG50" s="136"/>
      <c r="JKH50" s="136"/>
      <c r="JKI50" s="136"/>
      <c r="JKJ50" s="136"/>
      <c r="JKK50" s="136"/>
      <c r="JKL50" s="136"/>
      <c r="JKM50" s="136"/>
      <c r="JKN50" s="136"/>
      <c r="JKO50" s="136"/>
      <c r="JKP50" s="136"/>
      <c r="JKQ50" s="136"/>
      <c r="JKR50" s="136"/>
      <c r="JKS50" s="136"/>
      <c r="JKT50" s="136"/>
      <c r="JKU50" s="136"/>
      <c r="JKV50" s="136"/>
      <c r="JKW50" s="136"/>
      <c r="JKX50" s="136"/>
      <c r="JKY50" s="136"/>
      <c r="JKZ50" s="136"/>
      <c r="JLA50" s="136"/>
      <c r="JLB50" s="136"/>
      <c r="JLC50" s="136"/>
      <c r="JLD50" s="136"/>
      <c r="JLE50" s="136"/>
      <c r="JLF50" s="136"/>
      <c r="JLG50" s="136"/>
      <c r="JLH50" s="136"/>
      <c r="JLI50" s="136"/>
      <c r="JLJ50" s="136"/>
      <c r="JLK50" s="136"/>
      <c r="JLL50" s="136"/>
      <c r="JLM50" s="136"/>
      <c r="JLN50" s="136"/>
      <c r="JLO50" s="136"/>
      <c r="JLP50" s="136"/>
      <c r="JLQ50" s="136"/>
      <c r="JLR50" s="136"/>
      <c r="JLS50" s="136"/>
      <c r="JLT50" s="136"/>
      <c r="JLU50" s="136"/>
      <c r="JLV50" s="136"/>
      <c r="JLW50" s="136"/>
      <c r="JLX50" s="136"/>
      <c r="JLY50" s="136"/>
      <c r="JLZ50" s="136"/>
      <c r="JMA50" s="136"/>
      <c r="JMB50" s="136"/>
      <c r="JMC50" s="136"/>
      <c r="JMD50" s="136"/>
      <c r="JME50" s="136"/>
      <c r="JMF50" s="136"/>
      <c r="JMG50" s="136"/>
      <c r="JMH50" s="136"/>
      <c r="JMI50" s="136"/>
      <c r="JMJ50" s="136"/>
      <c r="JMK50" s="136"/>
      <c r="JML50" s="136"/>
      <c r="JMM50" s="136"/>
      <c r="JMN50" s="136"/>
      <c r="JMO50" s="136"/>
      <c r="JMP50" s="136"/>
      <c r="JMQ50" s="136"/>
      <c r="JMR50" s="136"/>
      <c r="JMS50" s="136"/>
      <c r="JMT50" s="136"/>
      <c r="JMU50" s="136"/>
      <c r="JMV50" s="136"/>
      <c r="JMW50" s="136"/>
      <c r="JMX50" s="136"/>
      <c r="JMY50" s="136"/>
      <c r="JMZ50" s="136"/>
      <c r="JNA50" s="136"/>
      <c r="JNB50" s="136"/>
      <c r="JNC50" s="136"/>
      <c r="JND50" s="136"/>
      <c r="JNE50" s="136"/>
      <c r="JNF50" s="136"/>
      <c r="JNG50" s="136"/>
      <c r="JNH50" s="136"/>
      <c r="JNI50" s="136"/>
      <c r="JNJ50" s="136"/>
      <c r="JNK50" s="136"/>
      <c r="JNL50" s="136"/>
      <c r="JNM50" s="136"/>
      <c r="JNN50" s="136"/>
      <c r="JNO50" s="136"/>
      <c r="JNP50" s="136"/>
      <c r="JNQ50" s="136"/>
      <c r="JNR50" s="136"/>
      <c r="JNS50" s="136"/>
      <c r="JNT50" s="136"/>
      <c r="JNU50" s="136"/>
      <c r="JNV50" s="136"/>
      <c r="JNW50" s="136"/>
      <c r="JNX50" s="136"/>
      <c r="JNY50" s="136"/>
      <c r="JNZ50" s="136"/>
      <c r="JOA50" s="136"/>
      <c r="JOB50" s="136"/>
      <c r="JOC50" s="136"/>
      <c r="JOD50" s="136"/>
      <c r="JOE50" s="136"/>
      <c r="JOF50" s="136"/>
      <c r="JOG50" s="136"/>
      <c r="JOH50" s="136"/>
      <c r="JOI50" s="136"/>
      <c r="JOJ50" s="136"/>
      <c r="JOK50" s="136"/>
      <c r="JOL50" s="136"/>
      <c r="JOM50" s="136"/>
      <c r="JON50" s="136"/>
      <c r="JOO50" s="136"/>
      <c r="JOP50" s="136"/>
      <c r="JOQ50" s="136"/>
      <c r="JOR50" s="136"/>
      <c r="JOS50" s="136"/>
      <c r="JOT50" s="136"/>
      <c r="JOU50" s="136"/>
      <c r="JOV50" s="136"/>
      <c r="JOW50" s="136"/>
      <c r="JOX50" s="136"/>
      <c r="JOY50" s="136"/>
      <c r="JOZ50" s="136"/>
      <c r="JPA50" s="136"/>
      <c r="JPB50" s="136"/>
      <c r="JPC50" s="136"/>
      <c r="JPD50" s="136"/>
      <c r="JPE50" s="136"/>
      <c r="JPF50" s="136"/>
      <c r="JPG50" s="136"/>
      <c r="JPH50" s="136"/>
      <c r="JPI50" s="136"/>
      <c r="JPJ50" s="136"/>
      <c r="JPK50" s="136"/>
      <c r="JPL50" s="136"/>
      <c r="JPM50" s="136"/>
      <c r="JPN50" s="136"/>
      <c r="JPO50" s="136"/>
      <c r="JPP50" s="136"/>
      <c r="JPQ50" s="136"/>
      <c r="JPR50" s="136"/>
      <c r="JPS50" s="136"/>
      <c r="JPT50" s="136"/>
      <c r="JPU50" s="136"/>
      <c r="JPV50" s="136"/>
      <c r="JPW50" s="136"/>
      <c r="JPX50" s="136"/>
      <c r="JPY50" s="136"/>
      <c r="JPZ50" s="136"/>
      <c r="JQA50" s="136"/>
      <c r="JQB50" s="136"/>
      <c r="JQC50" s="136"/>
      <c r="JQD50" s="136"/>
      <c r="JQE50" s="136"/>
      <c r="JQF50" s="136"/>
      <c r="JQG50" s="136"/>
      <c r="JQH50" s="136"/>
      <c r="JQI50" s="136"/>
      <c r="JQJ50" s="136"/>
      <c r="JQK50" s="136"/>
      <c r="JQL50" s="136"/>
      <c r="JQM50" s="136"/>
      <c r="JQN50" s="136"/>
      <c r="JQO50" s="136"/>
      <c r="JQP50" s="136"/>
      <c r="JQQ50" s="136"/>
      <c r="JQR50" s="136"/>
      <c r="JQS50" s="136"/>
      <c r="JQT50" s="136"/>
      <c r="JQU50" s="136"/>
      <c r="JQV50" s="136"/>
      <c r="JQW50" s="136"/>
      <c r="JQX50" s="136"/>
      <c r="JQY50" s="136"/>
      <c r="JQZ50" s="136"/>
      <c r="JRA50" s="136"/>
      <c r="JRB50" s="136"/>
      <c r="JRC50" s="136"/>
      <c r="JRD50" s="136"/>
      <c r="JRE50" s="136"/>
      <c r="JRF50" s="136"/>
      <c r="JRG50" s="136"/>
      <c r="JRH50" s="136"/>
      <c r="JRI50" s="136"/>
      <c r="JRJ50" s="136"/>
      <c r="JRK50" s="136"/>
      <c r="JRL50" s="136"/>
      <c r="JRM50" s="136"/>
      <c r="JRN50" s="136"/>
      <c r="JRO50" s="136"/>
      <c r="JRP50" s="136"/>
      <c r="JRQ50" s="136"/>
      <c r="JRR50" s="136"/>
      <c r="JRS50" s="136"/>
      <c r="JRT50" s="136"/>
      <c r="JRU50" s="136"/>
      <c r="JRV50" s="136"/>
      <c r="JRW50" s="136"/>
      <c r="JRX50" s="136"/>
      <c r="JRY50" s="136"/>
      <c r="JRZ50" s="136"/>
      <c r="JSA50" s="136"/>
      <c r="JSB50" s="136"/>
      <c r="JSC50" s="136"/>
      <c r="JSD50" s="136"/>
      <c r="JSE50" s="136"/>
      <c r="JSF50" s="136"/>
      <c r="JSG50" s="136"/>
      <c r="JSH50" s="136"/>
      <c r="JSI50" s="136"/>
      <c r="JSJ50" s="136"/>
      <c r="JSK50" s="136"/>
      <c r="JSL50" s="136"/>
      <c r="JSM50" s="136"/>
      <c r="JSN50" s="136"/>
      <c r="JSO50" s="136"/>
      <c r="JSP50" s="136"/>
      <c r="JSQ50" s="136"/>
      <c r="JSR50" s="136"/>
      <c r="JSS50" s="136"/>
      <c r="JST50" s="136"/>
      <c r="JSU50" s="136"/>
      <c r="JSV50" s="136"/>
      <c r="JSW50" s="136"/>
      <c r="JSX50" s="136"/>
      <c r="JSY50" s="136"/>
      <c r="JSZ50" s="136"/>
      <c r="JTA50" s="136"/>
      <c r="JTB50" s="136"/>
      <c r="JTC50" s="136"/>
      <c r="JTD50" s="136"/>
      <c r="JTE50" s="136"/>
      <c r="JTF50" s="136"/>
      <c r="JTG50" s="136"/>
      <c r="JTH50" s="136"/>
      <c r="JTI50" s="136"/>
      <c r="JTJ50" s="136"/>
      <c r="JTK50" s="136"/>
      <c r="JTL50" s="136"/>
      <c r="JTM50" s="136"/>
      <c r="JTN50" s="136"/>
      <c r="JTO50" s="136"/>
      <c r="JTP50" s="136"/>
      <c r="JTQ50" s="136"/>
      <c r="JTR50" s="136"/>
      <c r="JTS50" s="136"/>
      <c r="JTT50" s="136"/>
      <c r="JTU50" s="136"/>
      <c r="JTV50" s="136"/>
      <c r="JTW50" s="136"/>
      <c r="JTX50" s="136"/>
      <c r="JTY50" s="136"/>
      <c r="JTZ50" s="136"/>
      <c r="JUA50" s="136"/>
      <c r="JUB50" s="136"/>
      <c r="JUC50" s="136"/>
      <c r="JUD50" s="136"/>
      <c r="JUE50" s="136"/>
      <c r="JUF50" s="136"/>
      <c r="JUG50" s="136"/>
      <c r="JUH50" s="136"/>
      <c r="JUI50" s="136"/>
      <c r="JUJ50" s="136"/>
      <c r="JUK50" s="136"/>
      <c r="JUL50" s="136"/>
      <c r="JUM50" s="136"/>
      <c r="JUN50" s="136"/>
      <c r="JUO50" s="136"/>
      <c r="JUP50" s="136"/>
      <c r="JUQ50" s="136"/>
      <c r="JUR50" s="136"/>
      <c r="JUS50" s="136"/>
      <c r="JUT50" s="136"/>
      <c r="JUU50" s="136"/>
      <c r="JUV50" s="136"/>
      <c r="JUW50" s="136"/>
      <c r="JUX50" s="136"/>
      <c r="JUY50" s="136"/>
      <c r="JUZ50" s="136"/>
      <c r="JVA50" s="136"/>
      <c r="JVB50" s="136"/>
      <c r="JVC50" s="136"/>
      <c r="JVD50" s="136"/>
      <c r="JVE50" s="136"/>
      <c r="JVF50" s="136"/>
      <c r="JVG50" s="136"/>
      <c r="JVH50" s="136"/>
      <c r="JVI50" s="136"/>
      <c r="JVJ50" s="136"/>
      <c r="JVK50" s="136"/>
      <c r="JVL50" s="136"/>
      <c r="JVM50" s="136"/>
      <c r="JVN50" s="136"/>
      <c r="JVO50" s="136"/>
      <c r="JVP50" s="136"/>
      <c r="JVQ50" s="136"/>
      <c r="JVR50" s="136"/>
      <c r="JVS50" s="136"/>
      <c r="JVT50" s="136"/>
      <c r="JVU50" s="136"/>
      <c r="JVV50" s="136"/>
      <c r="JVW50" s="136"/>
      <c r="JVX50" s="136"/>
      <c r="JVY50" s="136"/>
      <c r="JVZ50" s="136"/>
      <c r="JWA50" s="136"/>
      <c r="JWB50" s="136"/>
      <c r="JWC50" s="136"/>
      <c r="JWD50" s="136"/>
      <c r="JWE50" s="136"/>
      <c r="JWF50" s="136"/>
      <c r="JWG50" s="136"/>
      <c r="JWH50" s="136"/>
      <c r="JWI50" s="136"/>
      <c r="JWJ50" s="136"/>
      <c r="JWK50" s="136"/>
      <c r="JWL50" s="136"/>
      <c r="JWM50" s="136"/>
      <c r="JWN50" s="136"/>
      <c r="JWO50" s="136"/>
      <c r="JWP50" s="136"/>
      <c r="JWQ50" s="136"/>
      <c r="JWR50" s="136"/>
      <c r="JWS50" s="136"/>
      <c r="JWT50" s="136"/>
      <c r="JWU50" s="136"/>
      <c r="JWV50" s="136"/>
      <c r="JWW50" s="136"/>
      <c r="JWX50" s="136"/>
      <c r="JWY50" s="136"/>
      <c r="JWZ50" s="136"/>
      <c r="JXA50" s="136"/>
      <c r="JXB50" s="136"/>
      <c r="JXC50" s="136"/>
      <c r="JXD50" s="136"/>
      <c r="JXE50" s="136"/>
      <c r="JXF50" s="136"/>
      <c r="JXG50" s="136"/>
      <c r="JXH50" s="136"/>
      <c r="JXI50" s="136"/>
      <c r="JXJ50" s="136"/>
      <c r="JXK50" s="136"/>
      <c r="JXL50" s="136"/>
      <c r="JXM50" s="136"/>
      <c r="JXN50" s="136"/>
      <c r="JXO50" s="136"/>
      <c r="JXP50" s="136"/>
      <c r="JXQ50" s="136"/>
      <c r="JXR50" s="136"/>
      <c r="JXS50" s="136"/>
      <c r="JXT50" s="136"/>
      <c r="JXU50" s="136"/>
      <c r="JXV50" s="136"/>
      <c r="JXW50" s="136"/>
      <c r="JXX50" s="136"/>
      <c r="JXY50" s="136"/>
      <c r="JXZ50" s="136"/>
      <c r="JYA50" s="136"/>
      <c r="JYB50" s="136"/>
      <c r="JYC50" s="136"/>
      <c r="JYD50" s="136"/>
      <c r="JYE50" s="136"/>
      <c r="JYF50" s="136"/>
      <c r="JYG50" s="136"/>
      <c r="JYH50" s="136"/>
      <c r="JYI50" s="136"/>
      <c r="JYJ50" s="136"/>
      <c r="JYK50" s="136"/>
      <c r="JYL50" s="136"/>
      <c r="JYM50" s="136"/>
      <c r="JYN50" s="136"/>
      <c r="JYO50" s="136"/>
      <c r="JYP50" s="136"/>
      <c r="JYQ50" s="136"/>
      <c r="JYR50" s="136"/>
      <c r="JYS50" s="136"/>
      <c r="JYT50" s="136"/>
      <c r="JYU50" s="136"/>
      <c r="JYV50" s="136"/>
      <c r="JYW50" s="136"/>
      <c r="JYX50" s="136"/>
      <c r="JYY50" s="136"/>
      <c r="JYZ50" s="136"/>
      <c r="JZA50" s="136"/>
      <c r="JZB50" s="136"/>
      <c r="JZC50" s="136"/>
      <c r="JZD50" s="136"/>
      <c r="JZE50" s="136"/>
      <c r="JZF50" s="136"/>
      <c r="JZG50" s="136"/>
      <c r="JZH50" s="136"/>
      <c r="JZI50" s="136"/>
      <c r="JZJ50" s="136"/>
      <c r="JZK50" s="136"/>
      <c r="JZL50" s="136"/>
      <c r="JZM50" s="136"/>
      <c r="JZN50" s="136"/>
      <c r="JZO50" s="136"/>
      <c r="JZP50" s="136"/>
      <c r="JZQ50" s="136"/>
      <c r="JZR50" s="136"/>
      <c r="JZS50" s="136"/>
      <c r="JZT50" s="136"/>
      <c r="JZU50" s="136"/>
      <c r="JZV50" s="136"/>
      <c r="JZW50" s="136"/>
      <c r="JZX50" s="136"/>
      <c r="JZY50" s="136"/>
      <c r="JZZ50" s="136"/>
      <c r="KAA50" s="136"/>
      <c r="KAB50" s="136"/>
      <c r="KAC50" s="136"/>
      <c r="KAD50" s="136"/>
      <c r="KAE50" s="136"/>
      <c r="KAF50" s="136"/>
      <c r="KAG50" s="136"/>
      <c r="KAH50" s="136"/>
      <c r="KAI50" s="136"/>
      <c r="KAJ50" s="136"/>
      <c r="KAK50" s="136"/>
      <c r="KAL50" s="136"/>
      <c r="KAM50" s="136"/>
      <c r="KAN50" s="136"/>
      <c r="KAO50" s="136"/>
      <c r="KAP50" s="136"/>
      <c r="KAQ50" s="136"/>
      <c r="KAR50" s="136"/>
      <c r="KAS50" s="136"/>
      <c r="KAT50" s="136"/>
      <c r="KAU50" s="136"/>
      <c r="KAV50" s="136"/>
      <c r="KAW50" s="136"/>
      <c r="KAX50" s="136"/>
      <c r="KAY50" s="136"/>
      <c r="KAZ50" s="136"/>
      <c r="KBA50" s="136"/>
      <c r="KBB50" s="136"/>
      <c r="KBC50" s="136"/>
      <c r="KBD50" s="136"/>
      <c r="KBE50" s="136"/>
      <c r="KBF50" s="136"/>
      <c r="KBG50" s="136"/>
      <c r="KBH50" s="136"/>
      <c r="KBI50" s="136"/>
      <c r="KBJ50" s="136"/>
      <c r="KBK50" s="136"/>
      <c r="KBL50" s="136"/>
      <c r="KBM50" s="136"/>
      <c r="KBN50" s="136"/>
      <c r="KBO50" s="136"/>
      <c r="KBP50" s="136"/>
      <c r="KBQ50" s="136"/>
      <c r="KBR50" s="136"/>
      <c r="KBS50" s="136"/>
      <c r="KBT50" s="136"/>
      <c r="KBU50" s="136"/>
      <c r="KBV50" s="136"/>
      <c r="KBW50" s="136"/>
      <c r="KBX50" s="136"/>
      <c r="KBY50" s="136"/>
      <c r="KBZ50" s="136"/>
      <c r="KCA50" s="136"/>
      <c r="KCB50" s="136"/>
      <c r="KCC50" s="136"/>
      <c r="KCD50" s="136"/>
      <c r="KCE50" s="136"/>
      <c r="KCF50" s="136"/>
      <c r="KCG50" s="136"/>
      <c r="KCH50" s="136"/>
      <c r="KCI50" s="136"/>
      <c r="KCJ50" s="136"/>
      <c r="KCK50" s="136"/>
      <c r="KCL50" s="136"/>
      <c r="KCM50" s="136"/>
      <c r="KCN50" s="136"/>
      <c r="KCO50" s="136"/>
      <c r="KCP50" s="136"/>
      <c r="KCQ50" s="136"/>
      <c r="KCR50" s="136"/>
      <c r="KCS50" s="136"/>
      <c r="KCT50" s="136"/>
      <c r="KCU50" s="136"/>
      <c r="KCV50" s="136"/>
      <c r="KCW50" s="136"/>
      <c r="KCX50" s="136"/>
      <c r="KCY50" s="136"/>
      <c r="KCZ50" s="136"/>
      <c r="KDA50" s="136"/>
      <c r="KDB50" s="136"/>
      <c r="KDC50" s="136"/>
      <c r="KDD50" s="136"/>
      <c r="KDE50" s="136"/>
      <c r="KDF50" s="136"/>
      <c r="KDG50" s="136"/>
      <c r="KDH50" s="136"/>
      <c r="KDI50" s="136"/>
      <c r="KDJ50" s="136"/>
      <c r="KDK50" s="136"/>
      <c r="KDL50" s="136"/>
      <c r="KDM50" s="136"/>
      <c r="KDN50" s="136"/>
      <c r="KDO50" s="136"/>
      <c r="KDP50" s="136"/>
      <c r="KDQ50" s="136"/>
      <c r="KDR50" s="136"/>
      <c r="KDS50" s="136"/>
      <c r="KDT50" s="136"/>
      <c r="KDU50" s="136"/>
      <c r="KDV50" s="136"/>
      <c r="KDW50" s="136"/>
      <c r="KDX50" s="136"/>
      <c r="KDY50" s="136"/>
      <c r="KDZ50" s="136"/>
      <c r="KEA50" s="136"/>
      <c r="KEB50" s="136"/>
      <c r="KEC50" s="136"/>
      <c r="KED50" s="136"/>
      <c r="KEE50" s="136"/>
      <c r="KEF50" s="136"/>
      <c r="KEG50" s="136"/>
      <c r="KEH50" s="136"/>
      <c r="KEI50" s="136"/>
      <c r="KEJ50" s="136"/>
      <c r="KEK50" s="136"/>
      <c r="KEL50" s="136"/>
      <c r="KEM50" s="136"/>
      <c r="KEN50" s="136"/>
      <c r="KEO50" s="136"/>
      <c r="KEP50" s="136"/>
      <c r="KEQ50" s="136"/>
      <c r="KER50" s="136"/>
      <c r="KES50" s="136"/>
      <c r="KET50" s="136"/>
      <c r="KEU50" s="136"/>
      <c r="KEV50" s="136"/>
      <c r="KEW50" s="136"/>
      <c r="KEX50" s="136"/>
      <c r="KEY50" s="136"/>
      <c r="KEZ50" s="136"/>
      <c r="KFA50" s="136"/>
      <c r="KFB50" s="136"/>
      <c r="KFC50" s="136"/>
      <c r="KFD50" s="136"/>
      <c r="KFE50" s="136"/>
      <c r="KFF50" s="136"/>
      <c r="KFG50" s="136"/>
      <c r="KFH50" s="136"/>
      <c r="KFI50" s="136"/>
      <c r="KFJ50" s="136"/>
      <c r="KFK50" s="136"/>
      <c r="KFL50" s="136"/>
      <c r="KFM50" s="136"/>
      <c r="KFN50" s="136"/>
      <c r="KFO50" s="136"/>
      <c r="KFP50" s="136"/>
      <c r="KFQ50" s="136"/>
      <c r="KFR50" s="136"/>
      <c r="KFS50" s="136"/>
      <c r="KFT50" s="136"/>
      <c r="KFU50" s="136"/>
      <c r="KFV50" s="136"/>
      <c r="KFW50" s="136"/>
      <c r="KFX50" s="136"/>
      <c r="KFY50" s="136"/>
      <c r="KFZ50" s="136"/>
      <c r="KGA50" s="136"/>
      <c r="KGB50" s="136"/>
      <c r="KGC50" s="136"/>
      <c r="KGD50" s="136"/>
      <c r="KGE50" s="136"/>
      <c r="KGF50" s="136"/>
      <c r="KGG50" s="136"/>
      <c r="KGH50" s="136"/>
      <c r="KGI50" s="136"/>
      <c r="KGJ50" s="136"/>
      <c r="KGK50" s="136"/>
      <c r="KGL50" s="136"/>
      <c r="KGM50" s="136"/>
      <c r="KGN50" s="136"/>
      <c r="KGO50" s="136"/>
      <c r="KGP50" s="136"/>
      <c r="KGQ50" s="136"/>
      <c r="KGR50" s="136"/>
      <c r="KGS50" s="136"/>
      <c r="KGT50" s="136"/>
      <c r="KGU50" s="136"/>
      <c r="KGV50" s="136"/>
      <c r="KGW50" s="136"/>
      <c r="KGX50" s="136"/>
      <c r="KGY50" s="136"/>
      <c r="KGZ50" s="136"/>
      <c r="KHA50" s="136"/>
      <c r="KHB50" s="136"/>
      <c r="KHC50" s="136"/>
      <c r="KHD50" s="136"/>
      <c r="KHE50" s="136"/>
      <c r="KHF50" s="136"/>
      <c r="KHG50" s="136"/>
      <c r="KHH50" s="136"/>
      <c r="KHI50" s="136"/>
      <c r="KHJ50" s="136"/>
      <c r="KHK50" s="136"/>
      <c r="KHL50" s="136"/>
      <c r="KHM50" s="136"/>
      <c r="KHN50" s="136"/>
      <c r="KHO50" s="136"/>
      <c r="KHP50" s="136"/>
      <c r="KHQ50" s="136"/>
      <c r="KHR50" s="136"/>
      <c r="KHS50" s="136"/>
      <c r="KHT50" s="136"/>
      <c r="KHU50" s="136"/>
      <c r="KHV50" s="136"/>
      <c r="KHW50" s="136"/>
      <c r="KHX50" s="136"/>
      <c r="KHY50" s="136"/>
      <c r="KHZ50" s="136"/>
      <c r="KIA50" s="136"/>
      <c r="KIB50" s="136"/>
      <c r="KIC50" s="136"/>
      <c r="KID50" s="136"/>
      <c r="KIE50" s="136"/>
      <c r="KIF50" s="136"/>
      <c r="KIG50" s="136"/>
      <c r="KIH50" s="136"/>
      <c r="KII50" s="136"/>
      <c r="KIJ50" s="136"/>
      <c r="KIK50" s="136"/>
      <c r="KIL50" s="136"/>
      <c r="KIM50" s="136"/>
      <c r="KIN50" s="136"/>
      <c r="KIO50" s="136"/>
      <c r="KIP50" s="136"/>
      <c r="KIQ50" s="136"/>
      <c r="KIR50" s="136"/>
      <c r="KIS50" s="136"/>
      <c r="KIT50" s="136"/>
      <c r="KIU50" s="136"/>
      <c r="KIV50" s="136"/>
      <c r="KIW50" s="136"/>
      <c r="KIX50" s="136"/>
      <c r="KIY50" s="136"/>
      <c r="KIZ50" s="136"/>
      <c r="KJA50" s="136"/>
      <c r="KJB50" s="136"/>
      <c r="KJC50" s="136"/>
      <c r="KJD50" s="136"/>
      <c r="KJE50" s="136"/>
      <c r="KJF50" s="136"/>
      <c r="KJG50" s="136"/>
      <c r="KJH50" s="136"/>
      <c r="KJI50" s="136"/>
      <c r="KJJ50" s="136"/>
      <c r="KJK50" s="136"/>
      <c r="KJL50" s="136"/>
      <c r="KJM50" s="136"/>
      <c r="KJN50" s="136"/>
      <c r="KJO50" s="136"/>
      <c r="KJP50" s="136"/>
      <c r="KJQ50" s="136"/>
      <c r="KJR50" s="136"/>
      <c r="KJS50" s="136"/>
      <c r="KJT50" s="136"/>
      <c r="KJU50" s="136"/>
      <c r="KJV50" s="136"/>
      <c r="KJW50" s="136"/>
      <c r="KJX50" s="136"/>
      <c r="KJY50" s="136"/>
      <c r="KJZ50" s="136"/>
      <c r="KKA50" s="136"/>
      <c r="KKB50" s="136"/>
      <c r="KKC50" s="136"/>
      <c r="KKD50" s="136"/>
      <c r="KKE50" s="136"/>
      <c r="KKF50" s="136"/>
      <c r="KKG50" s="136"/>
      <c r="KKH50" s="136"/>
      <c r="KKI50" s="136"/>
      <c r="KKJ50" s="136"/>
      <c r="KKK50" s="136"/>
      <c r="KKL50" s="136"/>
      <c r="KKM50" s="136"/>
      <c r="KKN50" s="136"/>
      <c r="KKO50" s="136"/>
      <c r="KKP50" s="136"/>
      <c r="KKQ50" s="136"/>
      <c r="KKR50" s="136"/>
      <c r="KKS50" s="136"/>
      <c r="KKT50" s="136"/>
      <c r="KKU50" s="136"/>
      <c r="KKV50" s="136"/>
      <c r="KKW50" s="136"/>
      <c r="KKX50" s="136"/>
      <c r="KKY50" s="136"/>
      <c r="KKZ50" s="136"/>
      <c r="KLA50" s="136"/>
      <c r="KLB50" s="136"/>
      <c r="KLC50" s="136"/>
      <c r="KLD50" s="136"/>
      <c r="KLE50" s="136"/>
      <c r="KLF50" s="136"/>
      <c r="KLG50" s="136"/>
      <c r="KLH50" s="136"/>
      <c r="KLI50" s="136"/>
      <c r="KLJ50" s="136"/>
      <c r="KLK50" s="136"/>
      <c r="KLL50" s="136"/>
      <c r="KLM50" s="136"/>
      <c r="KLN50" s="136"/>
      <c r="KLO50" s="136"/>
      <c r="KLP50" s="136"/>
      <c r="KLQ50" s="136"/>
      <c r="KLR50" s="136"/>
      <c r="KLS50" s="136"/>
      <c r="KLT50" s="136"/>
      <c r="KLU50" s="136"/>
      <c r="KLV50" s="136"/>
      <c r="KLW50" s="136"/>
      <c r="KLX50" s="136"/>
      <c r="KLY50" s="136"/>
      <c r="KLZ50" s="136"/>
      <c r="KMA50" s="136"/>
      <c r="KMB50" s="136"/>
      <c r="KMC50" s="136"/>
      <c r="KMD50" s="136"/>
      <c r="KME50" s="136"/>
      <c r="KMF50" s="136"/>
      <c r="KMG50" s="136"/>
      <c r="KMH50" s="136"/>
      <c r="KMI50" s="136"/>
      <c r="KMJ50" s="136"/>
      <c r="KMK50" s="136"/>
      <c r="KML50" s="136"/>
      <c r="KMM50" s="136"/>
      <c r="KMN50" s="136"/>
      <c r="KMO50" s="136"/>
      <c r="KMP50" s="136"/>
      <c r="KMQ50" s="136"/>
      <c r="KMR50" s="136"/>
      <c r="KMS50" s="136"/>
      <c r="KMT50" s="136"/>
      <c r="KMU50" s="136"/>
      <c r="KMV50" s="136"/>
      <c r="KMW50" s="136"/>
      <c r="KMX50" s="136"/>
      <c r="KMY50" s="136"/>
      <c r="KMZ50" s="136"/>
      <c r="KNA50" s="136"/>
      <c r="KNB50" s="136"/>
      <c r="KNC50" s="136"/>
      <c r="KND50" s="136"/>
      <c r="KNE50" s="136"/>
      <c r="KNF50" s="136"/>
      <c r="KNG50" s="136"/>
      <c r="KNH50" s="136"/>
      <c r="KNI50" s="136"/>
      <c r="KNJ50" s="136"/>
      <c r="KNK50" s="136"/>
      <c r="KNL50" s="136"/>
      <c r="KNM50" s="136"/>
      <c r="KNN50" s="136"/>
      <c r="KNO50" s="136"/>
      <c r="KNP50" s="136"/>
      <c r="KNQ50" s="136"/>
      <c r="KNR50" s="136"/>
      <c r="KNS50" s="136"/>
      <c r="KNT50" s="136"/>
      <c r="KNU50" s="136"/>
      <c r="KNV50" s="136"/>
      <c r="KNW50" s="136"/>
      <c r="KNX50" s="136"/>
      <c r="KNY50" s="136"/>
      <c r="KNZ50" s="136"/>
      <c r="KOA50" s="136"/>
      <c r="KOB50" s="136"/>
      <c r="KOC50" s="136"/>
      <c r="KOD50" s="136"/>
      <c r="KOE50" s="136"/>
      <c r="KOF50" s="136"/>
      <c r="KOG50" s="136"/>
      <c r="KOH50" s="136"/>
      <c r="KOI50" s="136"/>
      <c r="KOJ50" s="136"/>
      <c r="KOK50" s="136"/>
      <c r="KOL50" s="136"/>
      <c r="KOM50" s="136"/>
      <c r="KON50" s="136"/>
      <c r="KOO50" s="136"/>
      <c r="KOP50" s="136"/>
      <c r="KOQ50" s="136"/>
      <c r="KOR50" s="136"/>
      <c r="KOS50" s="136"/>
      <c r="KOT50" s="136"/>
      <c r="KOU50" s="136"/>
      <c r="KOV50" s="136"/>
      <c r="KOW50" s="136"/>
      <c r="KOX50" s="136"/>
      <c r="KOY50" s="136"/>
      <c r="KOZ50" s="136"/>
      <c r="KPA50" s="136"/>
      <c r="KPB50" s="136"/>
      <c r="KPC50" s="136"/>
      <c r="KPD50" s="136"/>
      <c r="KPE50" s="136"/>
      <c r="KPF50" s="136"/>
      <c r="KPG50" s="136"/>
      <c r="KPH50" s="136"/>
      <c r="KPI50" s="136"/>
      <c r="KPJ50" s="136"/>
      <c r="KPK50" s="136"/>
      <c r="KPL50" s="136"/>
      <c r="KPM50" s="136"/>
      <c r="KPN50" s="136"/>
      <c r="KPO50" s="136"/>
      <c r="KPP50" s="136"/>
      <c r="KPQ50" s="136"/>
      <c r="KPR50" s="136"/>
      <c r="KPS50" s="136"/>
      <c r="KPT50" s="136"/>
      <c r="KPU50" s="136"/>
      <c r="KPV50" s="136"/>
      <c r="KPW50" s="136"/>
      <c r="KPX50" s="136"/>
      <c r="KPY50" s="136"/>
      <c r="KPZ50" s="136"/>
      <c r="KQA50" s="136"/>
      <c r="KQB50" s="136"/>
      <c r="KQC50" s="136"/>
      <c r="KQD50" s="136"/>
      <c r="KQE50" s="136"/>
      <c r="KQF50" s="136"/>
      <c r="KQG50" s="136"/>
      <c r="KQH50" s="136"/>
      <c r="KQI50" s="136"/>
      <c r="KQJ50" s="136"/>
      <c r="KQK50" s="136"/>
      <c r="KQL50" s="136"/>
      <c r="KQM50" s="136"/>
      <c r="KQN50" s="136"/>
      <c r="KQO50" s="136"/>
      <c r="KQP50" s="136"/>
      <c r="KQQ50" s="136"/>
      <c r="KQR50" s="136"/>
      <c r="KQS50" s="136"/>
      <c r="KQT50" s="136"/>
      <c r="KQU50" s="136"/>
      <c r="KQV50" s="136"/>
      <c r="KQW50" s="136"/>
      <c r="KQX50" s="136"/>
      <c r="KQY50" s="136"/>
      <c r="KQZ50" s="136"/>
      <c r="KRA50" s="136"/>
      <c r="KRB50" s="136"/>
      <c r="KRC50" s="136"/>
      <c r="KRD50" s="136"/>
      <c r="KRE50" s="136"/>
      <c r="KRF50" s="136"/>
      <c r="KRG50" s="136"/>
      <c r="KRH50" s="136"/>
      <c r="KRI50" s="136"/>
      <c r="KRJ50" s="136"/>
      <c r="KRK50" s="136"/>
      <c r="KRL50" s="136"/>
      <c r="KRM50" s="136"/>
      <c r="KRN50" s="136"/>
      <c r="KRO50" s="136"/>
      <c r="KRP50" s="136"/>
      <c r="KRQ50" s="136"/>
      <c r="KRR50" s="136"/>
      <c r="KRS50" s="136"/>
      <c r="KRT50" s="136"/>
      <c r="KRU50" s="136"/>
      <c r="KRV50" s="136"/>
      <c r="KRW50" s="136"/>
      <c r="KRX50" s="136"/>
      <c r="KRY50" s="136"/>
      <c r="KRZ50" s="136"/>
      <c r="KSA50" s="136"/>
      <c r="KSB50" s="136"/>
      <c r="KSC50" s="136"/>
      <c r="KSD50" s="136"/>
      <c r="KSE50" s="136"/>
      <c r="KSF50" s="136"/>
      <c r="KSG50" s="136"/>
      <c r="KSH50" s="136"/>
      <c r="KSI50" s="136"/>
      <c r="KSJ50" s="136"/>
      <c r="KSK50" s="136"/>
      <c r="KSL50" s="136"/>
      <c r="KSM50" s="136"/>
      <c r="KSN50" s="136"/>
      <c r="KSO50" s="136"/>
      <c r="KSP50" s="136"/>
      <c r="KSQ50" s="136"/>
      <c r="KSR50" s="136"/>
      <c r="KSS50" s="136"/>
      <c r="KST50" s="136"/>
      <c r="KSU50" s="136"/>
      <c r="KSV50" s="136"/>
      <c r="KSW50" s="136"/>
      <c r="KSX50" s="136"/>
      <c r="KSY50" s="136"/>
      <c r="KSZ50" s="136"/>
      <c r="KTA50" s="136"/>
      <c r="KTB50" s="136"/>
      <c r="KTC50" s="136"/>
      <c r="KTD50" s="136"/>
      <c r="KTE50" s="136"/>
      <c r="KTF50" s="136"/>
      <c r="KTG50" s="136"/>
      <c r="KTH50" s="136"/>
      <c r="KTI50" s="136"/>
      <c r="KTJ50" s="136"/>
      <c r="KTK50" s="136"/>
      <c r="KTL50" s="136"/>
      <c r="KTM50" s="136"/>
      <c r="KTN50" s="136"/>
      <c r="KTO50" s="136"/>
      <c r="KTP50" s="136"/>
      <c r="KTQ50" s="136"/>
      <c r="KTR50" s="136"/>
      <c r="KTS50" s="136"/>
      <c r="KTT50" s="136"/>
      <c r="KTU50" s="136"/>
      <c r="KTV50" s="136"/>
      <c r="KTW50" s="136"/>
      <c r="KTX50" s="136"/>
      <c r="KTY50" s="136"/>
      <c r="KTZ50" s="136"/>
      <c r="KUA50" s="136"/>
      <c r="KUB50" s="136"/>
      <c r="KUC50" s="136"/>
      <c r="KUD50" s="136"/>
      <c r="KUE50" s="136"/>
      <c r="KUF50" s="136"/>
      <c r="KUG50" s="136"/>
      <c r="KUH50" s="136"/>
      <c r="KUI50" s="136"/>
      <c r="KUJ50" s="136"/>
      <c r="KUK50" s="136"/>
      <c r="KUL50" s="136"/>
      <c r="KUM50" s="136"/>
      <c r="KUN50" s="136"/>
      <c r="KUO50" s="136"/>
      <c r="KUP50" s="136"/>
      <c r="KUQ50" s="136"/>
      <c r="KUR50" s="136"/>
      <c r="KUS50" s="136"/>
      <c r="KUT50" s="136"/>
      <c r="KUU50" s="136"/>
      <c r="KUV50" s="136"/>
      <c r="KUW50" s="136"/>
      <c r="KUX50" s="136"/>
      <c r="KUY50" s="136"/>
      <c r="KUZ50" s="136"/>
      <c r="KVA50" s="136"/>
      <c r="KVB50" s="136"/>
      <c r="KVC50" s="136"/>
      <c r="KVD50" s="136"/>
      <c r="KVE50" s="136"/>
      <c r="KVF50" s="136"/>
      <c r="KVG50" s="136"/>
      <c r="KVH50" s="136"/>
      <c r="KVI50" s="136"/>
      <c r="KVJ50" s="136"/>
      <c r="KVK50" s="136"/>
      <c r="KVL50" s="136"/>
      <c r="KVM50" s="136"/>
      <c r="KVN50" s="136"/>
      <c r="KVO50" s="136"/>
      <c r="KVP50" s="136"/>
      <c r="KVQ50" s="136"/>
      <c r="KVR50" s="136"/>
      <c r="KVS50" s="136"/>
      <c r="KVT50" s="136"/>
      <c r="KVU50" s="136"/>
      <c r="KVV50" s="136"/>
      <c r="KVW50" s="136"/>
      <c r="KVX50" s="136"/>
      <c r="KVY50" s="136"/>
      <c r="KVZ50" s="136"/>
      <c r="KWA50" s="136"/>
      <c r="KWB50" s="136"/>
      <c r="KWC50" s="136"/>
      <c r="KWD50" s="136"/>
      <c r="KWE50" s="136"/>
      <c r="KWF50" s="136"/>
      <c r="KWG50" s="136"/>
      <c r="KWH50" s="136"/>
      <c r="KWI50" s="136"/>
      <c r="KWJ50" s="136"/>
      <c r="KWK50" s="136"/>
      <c r="KWL50" s="136"/>
      <c r="KWM50" s="136"/>
      <c r="KWN50" s="136"/>
      <c r="KWO50" s="136"/>
      <c r="KWP50" s="136"/>
      <c r="KWQ50" s="136"/>
      <c r="KWR50" s="136"/>
      <c r="KWS50" s="136"/>
      <c r="KWT50" s="136"/>
      <c r="KWU50" s="136"/>
      <c r="KWV50" s="136"/>
      <c r="KWW50" s="136"/>
      <c r="KWX50" s="136"/>
      <c r="KWY50" s="136"/>
      <c r="KWZ50" s="136"/>
      <c r="KXA50" s="136"/>
      <c r="KXB50" s="136"/>
      <c r="KXC50" s="136"/>
      <c r="KXD50" s="136"/>
      <c r="KXE50" s="136"/>
      <c r="KXF50" s="136"/>
      <c r="KXG50" s="136"/>
      <c r="KXH50" s="136"/>
      <c r="KXI50" s="136"/>
      <c r="KXJ50" s="136"/>
      <c r="KXK50" s="136"/>
      <c r="KXL50" s="136"/>
      <c r="KXM50" s="136"/>
      <c r="KXN50" s="136"/>
      <c r="KXO50" s="136"/>
      <c r="KXP50" s="136"/>
      <c r="KXQ50" s="136"/>
      <c r="KXR50" s="136"/>
      <c r="KXS50" s="136"/>
      <c r="KXT50" s="136"/>
      <c r="KXU50" s="136"/>
      <c r="KXV50" s="136"/>
      <c r="KXW50" s="136"/>
      <c r="KXX50" s="136"/>
      <c r="KXY50" s="136"/>
      <c r="KXZ50" s="136"/>
      <c r="KYA50" s="136"/>
      <c r="KYB50" s="136"/>
      <c r="KYC50" s="136"/>
      <c r="KYD50" s="136"/>
      <c r="KYE50" s="136"/>
      <c r="KYF50" s="136"/>
      <c r="KYG50" s="136"/>
      <c r="KYH50" s="136"/>
      <c r="KYI50" s="136"/>
      <c r="KYJ50" s="136"/>
      <c r="KYK50" s="136"/>
      <c r="KYL50" s="136"/>
      <c r="KYM50" s="136"/>
      <c r="KYN50" s="136"/>
      <c r="KYO50" s="136"/>
      <c r="KYP50" s="136"/>
      <c r="KYQ50" s="136"/>
      <c r="KYR50" s="136"/>
      <c r="KYS50" s="136"/>
      <c r="KYT50" s="136"/>
      <c r="KYU50" s="136"/>
      <c r="KYV50" s="136"/>
      <c r="KYW50" s="136"/>
      <c r="KYX50" s="136"/>
      <c r="KYY50" s="136"/>
      <c r="KYZ50" s="136"/>
      <c r="KZA50" s="136"/>
      <c r="KZB50" s="136"/>
      <c r="KZC50" s="136"/>
      <c r="KZD50" s="136"/>
      <c r="KZE50" s="136"/>
      <c r="KZF50" s="136"/>
      <c r="KZG50" s="136"/>
      <c r="KZH50" s="136"/>
      <c r="KZI50" s="136"/>
      <c r="KZJ50" s="136"/>
      <c r="KZK50" s="136"/>
      <c r="KZL50" s="136"/>
      <c r="KZM50" s="136"/>
      <c r="KZN50" s="136"/>
      <c r="KZO50" s="136"/>
      <c r="KZP50" s="136"/>
      <c r="KZQ50" s="136"/>
      <c r="KZR50" s="136"/>
      <c r="KZS50" s="136"/>
      <c r="KZT50" s="136"/>
      <c r="KZU50" s="136"/>
      <c r="KZV50" s="136"/>
      <c r="KZW50" s="136"/>
      <c r="KZX50" s="136"/>
      <c r="KZY50" s="136"/>
      <c r="KZZ50" s="136"/>
      <c r="LAA50" s="136"/>
      <c r="LAB50" s="136"/>
      <c r="LAC50" s="136"/>
      <c r="LAD50" s="136"/>
      <c r="LAE50" s="136"/>
      <c r="LAF50" s="136"/>
      <c r="LAG50" s="136"/>
      <c r="LAH50" s="136"/>
      <c r="LAI50" s="136"/>
      <c r="LAJ50" s="136"/>
      <c r="LAK50" s="136"/>
      <c r="LAL50" s="136"/>
      <c r="LAM50" s="136"/>
      <c r="LAN50" s="136"/>
      <c r="LAO50" s="136"/>
      <c r="LAP50" s="136"/>
      <c r="LAQ50" s="136"/>
      <c r="LAR50" s="136"/>
      <c r="LAS50" s="136"/>
      <c r="LAT50" s="136"/>
      <c r="LAU50" s="136"/>
      <c r="LAV50" s="136"/>
      <c r="LAW50" s="136"/>
      <c r="LAX50" s="136"/>
      <c r="LAY50" s="136"/>
      <c r="LAZ50" s="136"/>
      <c r="LBA50" s="136"/>
      <c r="LBB50" s="136"/>
      <c r="LBC50" s="136"/>
      <c r="LBD50" s="136"/>
      <c r="LBE50" s="136"/>
      <c r="LBF50" s="136"/>
      <c r="LBG50" s="136"/>
      <c r="LBH50" s="136"/>
      <c r="LBI50" s="136"/>
      <c r="LBJ50" s="136"/>
      <c r="LBK50" s="136"/>
      <c r="LBL50" s="136"/>
      <c r="LBM50" s="136"/>
      <c r="LBN50" s="136"/>
      <c r="LBO50" s="136"/>
      <c r="LBP50" s="136"/>
      <c r="LBQ50" s="136"/>
      <c r="LBR50" s="136"/>
      <c r="LBS50" s="136"/>
      <c r="LBT50" s="136"/>
      <c r="LBU50" s="136"/>
      <c r="LBV50" s="136"/>
      <c r="LBW50" s="136"/>
      <c r="LBX50" s="136"/>
      <c r="LBY50" s="136"/>
      <c r="LBZ50" s="136"/>
      <c r="LCA50" s="136"/>
      <c r="LCB50" s="136"/>
      <c r="LCC50" s="136"/>
      <c r="LCD50" s="136"/>
      <c r="LCE50" s="136"/>
      <c r="LCF50" s="136"/>
      <c r="LCG50" s="136"/>
      <c r="LCH50" s="136"/>
      <c r="LCI50" s="136"/>
      <c r="LCJ50" s="136"/>
      <c r="LCK50" s="136"/>
      <c r="LCL50" s="136"/>
      <c r="LCM50" s="136"/>
      <c r="LCN50" s="136"/>
      <c r="LCO50" s="136"/>
      <c r="LCP50" s="136"/>
      <c r="LCQ50" s="136"/>
      <c r="LCR50" s="136"/>
      <c r="LCS50" s="136"/>
      <c r="LCT50" s="136"/>
      <c r="LCU50" s="136"/>
      <c r="LCV50" s="136"/>
      <c r="LCW50" s="136"/>
      <c r="LCX50" s="136"/>
      <c r="LCY50" s="136"/>
      <c r="LCZ50" s="136"/>
      <c r="LDA50" s="136"/>
      <c r="LDB50" s="136"/>
      <c r="LDC50" s="136"/>
      <c r="LDD50" s="136"/>
      <c r="LDE50" s="136"/>
      <c r="LDF50" s="136"/>
      <c r="LDG50" s="136"/>
      <c r="LDH50" s="136"/>
      <c r="LDI50" s="136"/>
      <c r="LDJ50" s="136"/>
      <c r="LDK50" s="136"/>
      <c r="LDL50" s="136"/>
      <c r="LDM50" s="136"/>
      <c r="LDN50" s="136"/>
      <c r="LDO50" s="136"/>
      <c r="LDP50" s="136"/>
      <c r="LDQ50" s="136"/>
      <c r="LDR50" s="136"/>
      <c r="LDS50" s="136"/>
      <c r="LDT50" s="136"/>
      <c r="LDU50" s="136"/>
      <c r="LDV50" s="136"/>
      <c r="LDW50" s="136"/>
      <c r="LDX50" s="136"/>
      <c r="LDY50" s="136"/>
      <c r="LDZ50" s="136"/>
      <c r="LEA50" s="136"/>
      <c r="LEB50" s="136"/>
      <c r="LEC50" s="136"/>
      <c r="LED50" s="136"/>
      <c r="LEE50" s="136"/>
      <c r="LEF50" s="136"/>
      <c r="LEG50" s="136"/>
      <c r="LEH50" s="136"/>
      <c r="LEI50" s="136"/>
      <c r="LEJ50" s="136"/>
      <c r="LEK50" s="136"/>
      <c r="LEL50" s="136"/>
      <c r="LEM50" s="136"/>
      <c r="LEN50" s="136"/>
      <c r="LEO50" s="136"/>
      <c r="LEP50" s="136"/>
      <c r="LEQ50" s="136"/>
      <c r="LER50" s="136"/>
      <c r="LES50" s="136"/>
      <c r="LET50" s="136"/>
      <c r="LEU50" s="136"/>
      <c r="LEV50" s="136"/>
      <c r="LEW50" s="136"/>
      <c r="LEX50" s="136"/>
      <c r="LEY50" s="136"/>
      <c r="LEZ50" s="136"/>
      <c r="LFA50" s="136"/>
      <c r="LFB50" s="136"/>
      <c r="LFC50" s="136"/>
      <c r="LFD50" s="136"/>
      <c r="LFE50" s="136"/>
      <c r="LFF50" s="136"/>
      <c r="LFG50" s="136"/>
      <c r="LFH50" s="136"/>
      <c r="LFI50" s="136"/>
      <c r="LFJ50" s="136"/>
      <c r="LFK50" s="136"/>
      <c r="LFL50" s="136"/>
      <c r="LFM50" s="136"/>
      <c r="LFN50" s="136"/>
      <c r="LFO50" s="136"/>
      <c r="LFP50" s="136"/>
      <c r="LFQ50" s="136"/>
      <c r="LFR50" s="136"/>
      <c r="LFS50" s="136"/>
      <c r="LFT50" s="136"/>
      <c r="LFU50" s="136"/>
      <c r="LFV50" s="136"/>
      <c r="LFW50" s="136"/>
      <c r="LFX50" s="136"/>
      <c r="LFY50" s="136"/>
      <c r="LFZ50" s="136"/>
      <c r="LGA50" s="136"/>
      <c r="LGB50" s="136"/>
      <c r="LGC50" s="136"/>
      <c r="LGD50" s="136"/>
      <c r="LGE50" s="136"/>
      <c r="LGF50" s="136"/>
      <c r="LGG50" s="136"/>
      <c r="LGH50" s="136"/>
      <c r="LGI50" s="136"/>
      <c r="LGJ50" s="136"/>
      <c r="LGK50" s="136"/>
      <c r="LGL50" s="136"/>
      <c r="LGM50" s="136"/>
      <c r="LGN50" s="136"/>
      <c r="LGO50" s="136"/>
      <c r="LGP50" s="136"/>
      <c r="LGQ50" s="136"/>
      <c r="LGR50" s="136"/>
      <c r="LGS50" s="136"/>
      <c r="LGT50" s="136"/>
      <c r="LGU50" s="136"/>
      <c r="LGV50" s="136"/>
      <c r="LGW50" s="136"/>
      <c r="LGX50" s="136"/>
      <c r="LGY50" s="136"/>
      <c r="LGZ50" s="136"/>
      <c r="LHA50" s="136"/>
      <c r="LHB50" s="136"/>
      <c r="LHC50" s="136"/>
      <c r="LHD50" s="136"/>
      <c r="LHE50" s="136"/>
      <c r="LHF50" s="136"/>
      <c r="LHG50" s="136"/>
      <c r="LHH50" s="136"/>
      <c r="LHI50" s="136"/>
      <c r="LHJ50" s="136"/>
      <c r="LHK50" s="136"/>
      <c r="LHL50" s="136"/>
      <c r="LHM50" s="136"/>
      <c r="LHN50" s="136"/>
      <c r="LHO50" s="136"/>
      <c r="LHP50" s="136"/>
      <c r="LHQ50" s="136"/>
      <c r="LHR50" s="136"/>
      <c r="LHS50" s="136"/>
      <c r="LHT50" s="136"/>
      <c r="LHU50" s="136"/>
      <c r="LHV50" s="136"/>
      <c r="LHW50" s="136"/>
      <c r="LHX50" s="136"/>
      <c r="LHY50" s="136"/>
      <c r="LHZ50" s="136"/>
      <c r="LIA50" s="136"/>
      <c r="LIB50" s="136"/>
      <c r="LIC50" s="136"/>
      <c r="LID50" s="136"/>
      <c r="LIE50" s="136"/>
      <c r="LIF50" s="136"/>
      <c r="LIG50" s="136"/>
      <c r="LIH50" s="136"/>
      <c r="LII50" s="136"/>
      <c r="LIJ50" s="136"/>
      <c r="LIK50" s="136"/>
      <c r="LIL50" s="136"/>
      <c r="LIM50" s="136"/>
      <c r="LIN50" s="136"/>
      <c r="LIO50" s="136"/>
      <c r="LIP50" s="136"/>
      <c r="LIQ50" s="136"/>
      <c r="LIR50" s="136"/>
      <c r="LIS50" s="136"/>
      <c r="LIT50" s="136"/>
      <c r="LIU50" s="136"/>
      <c r="LIV50" s="136"/>
      <c r="LIW50" s="136"/>
      <c r="LIX50" s="136"/>
      <c r="LIY50" s="136"/>
      <c r="LIZ50" s="136"/>
      <c r="LJA50" s="136"/>
      <c r="LJB50" s="136"/>
      <c r="LJC50" s="136"/>
      <c r="LJD50" s="136"/>
      <c r="LJE50" s="136"/>
      <c r="LJF50" s="136"/>
      <c r="LJG50" s="136"/>
      <c r="LJH50" s="136"/>
      <c r="LJI50" s="136"/>
      <c r="LJJ50" s="136"/>
      <c r="LJK50" s="136"/>
      <c r="LJL50" s="136"/>
      <c r="LJM50" s="136"/>
      <c r="LJN50" s="136"/>
      <c r="LJO50" s="136"/>
      <c r="LJP50" s="136"/>
      <c r="LJQ50" s="136"/>
      <c r="LJR50" s="136"/>
      <c r="LJS50" s="136"/>
      <c r="LJT50" s="136"/>
      <c r="LJU50" s="136"/>
      <c r="LJV50" s="136"/>
      <c r="LJW50" s="136"/>
      <c r="LJX50" s="136"/>
      <c r="LJY50" s="136"/>
      <c r="LJZ50" s="136"/>
      <c r="LKA50" s="136"/>
      <c r="LKB50" s="136"/>
      <c r="LKC50" s="136"/>
      <c r="LKD50" s="136"/>
      <c r="LKE50" s="136"/>
      <c r="LKF50" s="136"/>
      <c r="LKG50" s="136"/>
      <c r="LKH50" s="136"/>
      <c r="LKI50" s="136"/>
      <c r="LKJ50" s="136"/>
      <c r="LKK50" s="136"/>
      <c r="LKL50" s="136"/>
      <c r="LKM50" s="136"/>
      <c r="LKN50" s="136"/>
      <c r="LKO50" s="136"/>
      <c r="LKP50" s="136"/>
      <c r="LKQ50" s="136"/>
      <c r="LKR50" s="136"/>
      <c r="LKS50" s="136"/>
      <c r="LKT50" s="136"/>
      <c r="LKU50" s="136"/>
      <c r="LKV50" s="136"/>
      <c r="LKW50" s="136"/>
      <c r="LKX50" s="136"/>
      <c r="LKY50" s="136"/>
      <c r="LKZ50" s="136"/>
      <c r="LLA50" s="136"/>
      <c r="LLB50" s="136"/>
      <c r="LLC50" s="136"/>
      <c r="LLD50" s="136"/>
      <c r="LLE50" s="136"/>
      <c r="LLF50" s="136"/>
      <c r="LLG50" s="136"/>
      <c r="LLH50" s="136"/>
      <c r="LLI50" s="136"/>
      <c r="LLJ50" s="136"/>
      <c r="LLK50" s="136"/>
      <c r="LLL50" s="136"/>
      <c r="LLM50" s="136"/>
      <c r="LLN50" s="136"/>
      <c r="LLO50" s="136"/>
      <c r="LLP50" s="136"/>
      <c r="LLQ50" s="136"/>
      <c r="LLR50" s="136"/>
      <c r="LLS50" s="136"/>
      <c r="LLT50" s="136"/>
      <c r="LLU50" s="136"/>
      <c r="LLV50" s="136"/>
      <c r="LLW50" s="136"/>
      <c r="LLX50" s="136"/>
      <c r="LLY50" s="136"/>
      <c r="LLZ50" s="136"/>
      <c r="LMA50" s="136"/>
      <c r="LMB50" s="136"/>
      <c r="LMC50" s="136"/>
      <c r="LMD50" s="136"/>
      <c r="LME50" s="136"/>
      <c r="LMF50" s="136"/>
      <c r="LMG50" s="136"/>
      <c r="LMH50" s="136"/>
      <c r="LMI50" s="136"/>
      <c r="LMJ50" s="136"/>
      <c r="LMK50" s="136"/>
      <c r="LML50" s="136"/>
      <c r="LMM50" s="136"/>
      <c r="LMN50" s="136"/>
      <c r="LMO50" s="136"/>
      <c r="LMP50" s="136"/>
      <c r="LMQ50" s="136"/>
      <c r="LMR50" s="136"/>
      <c r="LMS50" s="136"/>
      <c r="LMT50" s="136"/>
      <c r="LMU50" s="136"/>
      <c r="LMV50" s="136"/>
      <c r="LMW50" s="136"/>
      <c r="LMX50" s="136"/>
      <c r="LMY50" s="136"/>
      <c r="LMZ50" s="136"/>
      <c r="LNA50" s="136"/>
      <c r="LNB50" s="136"/>
      <c r="LNC50" s="136"/>
      <c r="LND50" s="136"/>
      <c r="LNE50" s="136"/>
      <c r="LNF50" s="136"/>
      <c r="LNG50" s="136"/>
      <c r="LNH50" s="136"/>
      <c r="LNI50" s="136"/>
      <c r="LNJ50" s="136"/>
      <c r="LNK50" s="136"/>
      <c r="LNL50" s="136"/>
      <c r="LNM50" s="136"/>
      <c r="LNN50" s="136"/>
      <c r="LNO50" s="136"/>
      <c r="LNP50" s="136"/>
      <c r="LNQ50" s="136"/>
      <c r="LNR50" s="136"/>
      <c r="LNS50" s="136"/>
      <c r="LNT50" s="136"/>
      <c r="LNU50" s="136"/>
      <c r="LNV50" s="136"/>
      <c r="LNW50" s="136"/>
      <c r="LNX50" s="136"/>
      <c r="LNY50" s="136"/>
      <c r="LNZ50" s="136"/>
      <c r="LOA50" s="136"/>
      <c r="LOB50" s="136"/>
      <c r="LOC50" s="136"/>
      <c r="LOD50" s="136"/>
      <c r="LOE50" s="136"/>
      <c r="LOF50" s="136"/>
      <c r="LOG50" s="136"/>
      <c r="LOH50" s="136"/>
      <c r="LOI50" s="136"/>
      <c r="LOJ50" s="136"/>
      <c r="LOK50" s="136"/>
      <c r="LOL50" s="136"/>
      <c r="LOM50" s="136"/>
      <c r="LON50" s="136"/>
      <c r="LOO50" s="136"/>
      <c r="LOP50" s="136"/>
      <c r="LOQ50" s="136"/>
      <c r="LOR50" s="136"/>
      <c r="LOS50" s="136"/>
      <c r="LOT50" s="136"/>
      <c r="LOU50" s="136"/>
      <c r="LOV50" s="136"/>
      <c r="LOW50" s="136"/>
      <c r="LOX50" s="136"/>
      <c r="LOY50" s="136"/>
      <c r="LOZ50" s="136"/>
      <c r="LPA50" s="136"/>
      <c r="LPB50" s="136"/>
      <c r="LPC50" s="136"/>
      <c r="LPD50" s="136"/>
      <c r="LPE50" s="136"/>
      <c r="LPF50" s="136"/>
      <c r="LPG50" s="136"/>
      <c r="LPH50" s="136"/>
      <c r="LPI50" s="136"/>
      <c r="LPJ50" s="136"/>
      <c r="LPK50" s="136"/>
      <c r="LPL50" s="136"/>
      <c r="LPM50" s="136"/>
      <c r="LPN50" s="136"/>
      <c r="LPO50" s="136"/>
      <c r="LPP50" s="136"/>
      <c r="LPQ50" s="136"/>
      <c r="LPR50" s="136"/>
      <c r="LPS50" s="136"/>
      <c r="LPT50" s="136"/>
      <c r="LPU50" s="136"/>
      <c r="LPV50" s="136"/>
      <c r="LPW50" s="136"/>
      <c r="LPX50" s="136"/>
      <c r="LPY50" s="136"/>
      <c r="LPZ50" s="136"/>
      <c r="LQA50" s="136"/>
      <c r="LQB50" s="136"/>
      <c r="LQC50" s="136"/>
      <c r="LQD50" s="136"/>
      <c r="LQE50" s="136"/>
      <c r="LQF50" s="136"/>
      <c r="LQG50" s="136"/>
      <c r="LQH50" s="136"/>
      <c r="LQI50" s="136"/>
      <c r="LQJ50" s="136"/>
      <c r="LQK50" s="136"/>
      <c r="LQL50" s="136"/>
      <c r="LQM50" s="136"/>
      <c r="LQN50" s="136"/>
      <c r="LQO50" s="136"/>
      <c r="LQP50" s="136"/>
      <c r="LQQ50" s="136"/>
      <c r="LQR50" s="136"/>
      <c r="LQS50" s="136"/>
      <c r="LQT50" s="136"/>
      <c r="LQU50" s="136"/>
      <c r="LQV50" s="136"/>
      <c r="LQW50" s="136"/>
      <c r="LQX50" s="136"/>
      <c r="LQY50" s="136"/>
      <c r="LQZ50" s="136"/>
      <c r="LRA50" s="136"/>
      <c r="LRB50" s="136"/>
      <c r="LRC50" s="136"/>
      <c r="LRD50" s="136"/>
      <c r="LRE50" s="136"/>
      <c r="LRF50" s="136"/>
      <c r="LRG50" s="136"/>
      <c r="LRH50" s="136"/>
      <c r="LRI50" s="136"/>
      <c r="LRJ50" s="136"/>
      <c r="LRK50" s="136"/>
      <c r="LRL50" s="136"/>
      <c r="LRM50" s="136"/>
      <c r="LRN50" s="136"/>
      <c r="LRO50" s="136"/>
      <c r="LRP50" s="136"/>
      <c r="LRQ50" s="136"/>
      <c r="LRR50" s="136"/>
      <c r="LRS50" s="136"/>
      <c r="LRT50" s="136"/>
      <c r="LRU50" s="136"/>
      <c r="LRV50" s="136"/>
      <c r="LRW50" s="136"/>
      <c r="LRX50" s="136"/>
      <c r="LRY50" s="136"/>
      <c r="LRZ50" s="136"/>
      <c r="LSA50" s="136"/>
      <c r="LSB50" s="136"/>
      <c r="LSC50" s="136"/>
      <c r="LSD50" s="136"/>
      <c r="LSE50" s="136"/>
      <c r="LSF50" s="136"/>
      <c r="LSG50" s="136"/>
      <c r="LSH50" s="136"/>
      <c r="LSI50" s="136"/>
      <c r="LSJ50" s="136"/>
      <c r="LSK50" s="136"/>
      <c r="LSL50" s="136"/>
      <c r="LSM50" s="136"/>
      <c r="LSN50" s="136"/>
      <c r="LSO50" s="136"/>
      <c r="LSP50" s="136"/>
      <c r="LSQ50" s="136"/>
      <c r="LSR50" s="136"/>
      <c r="LSS50" s="136"/>
      <c r="LST50" s="136"/>
      <c r="LSU50" s="136"/>
      <c r="LSV50" s="136"/>
      <c r="LSW50" s="136"/>
      <c r="LSX50" s="136"/>
      <c r="LSY50" s="136"/>
      <c r="LSZ50" s="136"/>
      <c r="LTA50" s="136"/>
      <c r="LTB50" s="136"/>
      <c r="LTC50" s="136"/>
      <c r="LTD50" s="136"/>
      <c r="LTE50" s="136"/>
      <c r="LTF50" s="136"/>
      <c r="LTG50" s="136"/>
      <c r="LTH50" s="136"/>
      <c r="LTI50" s="136"/>
      <c r="LTJ50" s="136"/>
      <c r="LTK50" s="136"/>
      <c r="LTL50" s="136"/>
      <c r="LTM50" s="136"/>
      <c r="LTN50" s="136"/>
      <c r="LTO50" s="136"/>
      <c r="LTP50" s="136"/>
      <c r="LTQ50" s="136"/>
      <c r="LTR50" s="136"/>
      <c r="LTS50" s="136"/>
      <c r="LTT50" s="136"/>
      <c r="LTU50" s="136"/>
      <c r="LTV50" s="136"/>
      <c r="LTW50" s="136"/>
      <c r="LTX50" s="136"/>
      <c r="LTY50" s="136"/>
      <c r="LTZ50" s="136"/>
      <c r="LUA50" s="136"/>
      <c r="LUB50" s="136"/>
      <c r="LUC50" s="136"/>
      <c r="LUD50" s="136"/>
      <c r="LUE50" s="136"/>
      <c r="LUF50" s="136"/>
      <c r="LUG50" s="136"/>
      <c r="LUH50" s="136"/>
      <c r="LUI50" s="136"/>
      <c r="LUJ50" s="136"/>
      <c r="LUK50" s="136"/>
      <c r="LUL50" s="136"/>
      <c r="LUM50" s="136"/>
      <c r="LUN50" s="136"/>
      <c r="LUO50" s="136"/>
      <c r="LUP50" s="136"/>
      <c r="LUQ50" s="136"/>
      <c r="LUR50" s="136"/>
      <c r="LUS50" s="136"/>
      <c r="LUT50" s="136"/>
      <c r="LUU50" s="136"/>
      <c r="LUV50" s="136"/>
      <c r="LUW50" s="136"/>
      <c r="LUX50" s="136"/>
      <c r="LUY50" s="136"/>
      <c r="LUZ50" s="136"/>
      <c r="LVA50" s="136"/>
      <c r="LVB50" s="136"/>
      <c r="LVC50" s="136"/>
      <c r="LVD50" s="136"/>
      <c r="LVE50" s="136"/>
      <c r="LVF50" s="136"/>
      <c r="LVG50" s="136"/>
      <c r="LVH50" s="136"/>
      <c r="LVI50" s="136"/>
      <c r="LVJ50" s="136"/>
      <c r="LVK50" s="136"/>
      <c r="LVL50" s="136"/>
      <c r="LVM50" s="136"/>
      <c r="LVN50" s="136"/>
      <c r="LVO50" s="136"/>
      <c r="LVP50" s="136"/>
      <c r="LVQ50" s="136"/>
      <c r="LVR50" s="136"/>
      <c r="LVS50" s="136"/>
      <c r="LVT50" s="136"/>
      <c r="LVU50" s="136"/>
      <c r="LVV50" s="136"/>
      <c r="LVW50" s="136"/>
      <c r="LVX50" s="136"/>
      <c r="LVY50" s="136"/>
      <c r="LVZ50" s="136"/>
      <c r="LWA50" s="136"/>
      <c r="LWB50" s="136"/>
      <c r="LWC50" s="136"/>
      <c r="LWD50" s="136"/>
      <c r="LWE50" s="136"/>
      <c r="LWF50" s="136"/>
      <c r="LWG50" s="136"/>
      <c r="LWH50" s="136"/>
      <c r="LWI50" s="136"/>
      <c r="LWJ50" s="136"/>
      <c r="LWK50" s="136"/>
      <c r="LWL50" s="136"/>
      <c r="LWM50" s="136"/>
      <c r="LWN50" s="136"/>
      <c r="LWO50" s="136"/>
      <c r="LWP50" s="136"/>
      <c r="LWQ50" s="136"/>
      <c r="LWR50" s="136"/>
      <c r="LWS50" s="136"/>
      <c r="LWT50" s="136"/>
      <c r="LWU50" s="136"/>
      <c r="LWV50" s="136"/>
      <c r="LWW50" s="136"/>
      <c r="LWX50" s="136"/>
      <c r="LWY50" s="136"/>
      <c r="LWZ50" s="136"/>
      <c r="LXA50" s="136"/>
      <c r="LXB50" s="136"/>
      <c r="LXC50" s="136"/>
      <c r="LXD50" s="136"/>
      <c r="LXE50" s="136"/>
      <c r="LXF50" s="136"/>
      <c r="LXG50" s="136"/>
      <c r="LXH50" s="136"/>
      <c r="LXI50" s="136"/>
      <c r="LXJ50" s="136"/>
      <c r="LXK50" s="136"/>
      <c r="LXL50" s="136"/>
      <c r="LXM50" s="136"/>
      <c r="LXN50" s="136"/>
      <c r="LXO50" s="136"/>
      <c r="LXP50" s="136"/>
      <c r="LXQ50" s="136"/>
      <c r="LXR50" s="136"/>
      <c r="LXS50" s="136"/>
      <c r="LXT50" s="136"/>
      <c r="LXU50" s="136"/>
      <c r="LXV50" s="136"/>
      <c r="LXW50" s="136"/>
      <c r="LXX50" s="136"/>
      <c r="LXY50" s="136"/>
      <c r="LXZ50" s="136"/>
      <c r="LYA50" s="136"/>
      <c r="LYB50" s="136"/>
      <c r="LYC50" s="136"/>
      <c r="LYD50" s="136"/>
      <c r="LYE50" s="136"/>
      <c r="LYF50" s="136"/>
      <c r="LYG50" s="136"/>
      <c r="LYH50" s="136"/>
      <c r="LYI50" s="136"/>
      <c r="LYJ50" s="136"/>
      <c r="LYK50" s="136"/>
      <c r="LYL50" s="136"/>
      <c r="LYM50" s="136"/>
      <c r="LYN50" s="136"/>
      <c r="LYO50" s="136"/>
      <c r="LYP50" s="136"/>
      <c r="LYQ50" s="136"/>
      <c r="LYR50" s="136"/>
      <c r="LYS50" s="136"/>
      <c r="LYT50" s="136"/>
      <c r="LYU50" s="136"/>
      <c r="LYV50" s="136"/>
      <c r="LYW50" s="136"/>
      <c r="LYX50" s="136"/>
      <c r="LYY50" s="136"/>
      <c r="LYZ50" s="136"/>
      <c r="LZA50" s="136"/>
      <c r="LZB50" s="136"/>
      <c r="LZC50" s="136"/>
      <c r="LZD50" s="136"/>
      <c r="LZE50" s="136"/>
      <c r="LZF50" s="136"/>
      <c r="LZG50" s="136"/>
      <c r="LZH50" s="136"/>
      <c r="LZI50" s="136"/>
      <c r="LZJ50" s="136"/>
      <c r="LZK50" s="136"/>
      <c r="LZL50" s="136"/>
      <c r="LZM50" s="136"/>
      <c r="LZN50" s="136"/>
      <c r="LZO50" s="136"/>
      <c r="LZP50" s="136"/>
      <c r="LZQ50" s="136"/>
      <c r="LZR50" s="136"/>
      <c r="LZS50" s="136"/>
      <c r="LZT50" s="136"/>
      <c r="LZU50" s="136"/>
      <c r="LZV50" s="136"/>
      <c r="LZW50" s="136"/>
      <c r="LZX50" s="136"/>
      <c r="LZY50" s="136"/>
      <c r="LZZ50" s="136"/>
      <c r="MAA50" s="136"/>
      <c r="MAB50" s="136"/>
      <c r="MAC50" s="136"/>
      <c r="MAD50" s="136"/>
      <c r="MAE50" s="136"/>
      <c r="MAF50" s="136"/>
      <c r="MAG50" s="136"/>
      <c r="MAH50" s="136"/>
      <c r="MAI50" s="136"/>
      <c r="MAJ50" s="136"/>
      <c r="MAK50" s="136"/>
      <c r="MAL50" s="136"/>
      <c r="MAM50" s="136"/>
      <c r="MAN50" s="136"/>
      <c r="MAO50" s="136"/>
      <c r="MAP50" s="136"/>
      <c r="MAQ50" s="136"/>
      <c r="MAR50" s="136"/>
      <c r="MAS50" s="136"/>
      <c r="MAT50" s="136"/>
      <c r="MAU50" s="136"/>
      <c r="MAV50" s="136"/>
      <c r="MAW50" s="136"/>
      <c r="MAX50" s="136"/>
      <c r="MAY50" s="136"/>
      <c r="MAZ50" s="136"/>
      <c r="MBA50" s="136"/>
      <c r="MBB50" s="136"/>
      <c r="MBC50" s="136"/>
      <c r="MBD50" s="136"/>
      <c r="MBE50" s="136"/>
      <c r="MBF50" s="136"/>
      <c r="MBG50" s="136"/>
      <c r="MBH50" s="136"/>
      <c r="MBI50" s="136"/>
      <c r="MBJ50" s="136"/>
      <c r="MBK50" s="136"/>
      <c r="MBL50" s="136"/>
      <c r="MBM50" s="136"/>
      <c r="MBN50" s="136"/>
      <c r="MBO50" s="136"/>
      <c r="MBP50" s="136"/>
      <c r="MBQ50" s="136"/>
      <c r="MBR50" s="136"/>
      <c r="MBS50" s="136"/>
      <c r="MBT50" s="136"/>
      <c r="MBU50" s="136"/>
      <c r="MBV50" s="136"/>
      <c r="MBW50" s="136"/>
      <c r="MBX50" s="136"/>
      <c r="MBY50" s="136"/>
      <c r="MBZ50" s="136"/>
      <c r="MCA50" s="136"/>
      <c r="MCB50" s="136"/>
      <c r="MCC50" s="136"/>
      <c r="MCD50" s="136"/>
      <c r="MCE50" s="136"/>
      <c r="MCF50" s="136"/>
      <c r="MCG50" s="136"/>
      <c r="MCH50" s="136"/>
      <c r="MCI50" s="136"/>
      <c r="MCJ50" s="136"/>
      <c r="MCK50" s="136"/>
      <c r="MCL50" s="136"/>
      <c r="MCM50" s="136"/>
      <c r="MCN50" s="136"/>
      <c r="MCO50" s="136"/>
      <c r="MCP50" s="136"/>
      <c r="MCQ50" s="136"/>
      <c r="MCR50" s="136"/>
      <c r="MCS50" s="136"/>
      <c r="MCT50" s="136"/>
      <c r="MCU50" s="136"/>
      <c r="MCV50" s="136"/>
      <c r="MCW50" s="136"/>
      <c r="MCX50" s="136"/>
      <c r="MCY50" s="136"/>
      <c r="MCZ50" s="136"/>
      <c r="MDA50" s="136"/>
      <c r="MDB50" s="136"/>
      <c r="MDC50" s="136"/>
      <c r="MDD50" s="136"/>
      <c r="MDE50" s="136"/>
      <c r="MDF50" s="136"/>
      <c r="MDG50" s="136"/>
      <c r="MDH50" s="136"/>
      <c r="MDI50" s="136"/>
      <c r="MDJ50" s="136"/>
      <c r="MDK50" s="136"/>
      <c r="MDL50" s="136"/>
      <c r="MDM50" s="136"/>
      <c r="MDN50" s="136"/>
      <c r="MDO50" s="136"/>
      <c r="MDP50" s="136"/>
      <c r="MDQ50" s="136"/>
      <c r="MDR50" s="136"/>
      <c r="MDS50" s="136"/>
      <c r="MDT50" s="136"/>
      <c r="MDU50" s="136"/>
      <c r="MDV50" s="136"/>
      <c r="MDW50" s="136"/>
      <c r="MDX50" s="136"/>
      <c r="MDY50" s="136"/>
      <c r="MDZ50" s="136"/>
      <c r="MEA50" s="136"/>
      <c r="MEB50" s="136"/>
      <c r="MEC50" s="136"/>
      <c r="MED50" s="136"/>
      <c r="MEE50" s="136"/>
      <c r="MEF50" s="136"/>
      <c r="MEG50" s="136"/>
      <c r="MEH50" s="136"/>
      <c r="MEI50" s="136"/>
      <c r="MEJ50" s="136"/>
      <c r="MEK50" s="136"/>
      <c r="MEL50" s="136"/>
      <c r="MEM50" s="136"/>
      <c r="MEN50" s="136"/>
      <c r="MEO50" s="136"/>
      <c r="MEP50" s="136"/>
      <c r="MEQ50" s="136"/>
      <c r="MER50" s="136"/>
      <c r="MES50" s="136"/>
      <c r="MET50" s="136"/>
      <c r="MEU50" s="136"/>
      <c r="MEV50" s="136"/>
      <c r="MEW50" s="136"/>
      <c r="MEX50" s="136"/>
      <c r="MEY50" s="136"/>
      <c r="MEZ50" s="136"/>
      <c r="MFA50" s="136"/>
      <c r="MFB50" s="136"/>
      <c r="MFC50" s="136"/>
      <c r="MFD50" s="136"/>
      <c r="MFE50" s="136"/>
      <c r="MFF50" s="136"/>
      <c r="MFG50" s="136"/>
      <c r="MFH50" s="136"/>
      <c r="MFI50" s="136"/>
      <c r="MFJ50" s="136"/>
      <c r="MFK50" s="136"/>
      <c r="MFL50" s="136"/>
      <c r="MFM50" s="136"/>
      <c r="MFN50" s="136"/>
      <c r="MFO50" s="136"/>
      <c r="MFP50" s="136"/>
      <c r="MFQ50" s="136"/>
      <c r="MFR50" s="136"/>
      <c r="MFS50" s="136"/>
      <c r="MFT50" s="136"/>
      <c r="MFU50" s="136"/>
      <c r="MFV50" s="136"/>
      <c r="MFW50" s="136"/>
      <c r="MFX50" s="136"/>
      <c r="MFY50" s="136"/>
      <c r="MFZ50" s="136"/>
      <c r="MGA50" s="136"/>
      <c r="MGB50" s="136"/>
      <c r="MGC50" s="136"/>
      <c r="MGD50" s="136"/>
      <c r="MGE50" s="136"/>
      <c r="MGF50" s="136"/>
      <c r="MGG50" s="136"/>
      <c r="MGH50" s="136"/>
      <c r="MGI50" s="136"/>
      <c r="MGJ50" s="136"/>
      <c r="MGK50" s="136"/>
      <c r="MGL50" s="136"/>
      <c r="MGM50" s="136"/>
      <c r="MGN50" s="136"/>
      <c r="MGO50" s="136"/>
      <c r="MGP50" s="136"/>
      <c r="MGQ50" s="136"/>
      <c r="MGR50" s="136"/>
      <c r="MGS50" s="136"/>
      <c r="MGT50" s="136"/>
      <c r="MGU50" s="136"/>
      <c r="MGV50" s="136"/>
      <c r="MGW50" s="136"/>
      <c r="MGX50" s="136"/>
      <c r="MGY50" s="136"/>
      <c r="MGZ50" s="136"/>
      <c r="MHA50" s="136"/>
      <c r="MHB50" s="136"/>
      <c r="MHC50" s="136"/>
      <c r="MHD50" s="136"/>
      <c r="MHE50" s="136"/>
      <c r="MHF50" s="136"/>
      <c r="MHG50" s="136"/>
      <c r="MHH50" s="136"/>
      <c r="MHI50" s="136"/>
      <c r="MHJ50" s="136"/>
      <c r="MHK50" s="136"/>
      <c r="MHL50" s="136"/>
      <c r="MHM50" s="136"/>
      <c r="MHN50" s="136"/>
      <c r="MHO50" s="136"/>
      <c r="MHP50" s="136"/>
      <c r="MHQ50" s="136"/>
      <c r="MHR50" s="136"/>
      <c r="MHS50" s="136"/>
      <c r="MHT50" s="136"/>
      <c r="MHU50" s="136"/>
      <c r="MHV50" s="136"/>
      <c r="MHW50" s="136"/>
      <c r="MHX50" s="136"/>
      <c r="MHY50" s="136"/>
      <c r="MHZ50" s="136"/>
      <c r="MIA50" s="136"/>
      <c r="MIB50" s="136"/>
      <c r="MIC50" s="136"/>
      <c r="MID50" s="136"/>
      <c r="MIE50" s="136"/>
      <c r="MIF50" s="136"/>
      <c r="MIG50" s="136"/>
      <c r="MIH50" s="136"/>
      <c r="MII50" s="136"/>
      <c r="MIJ50" s="136"/>
      <c r="MIK50" s="136"/>
      <c r="MIL50" s="136"/>
      <c r="MIM50" s="136"/>
      <c r="MIN50" s="136"/>
      <c r="MIO50" s="136"/>
      <c r="MIP50" s="136"/>
      <c r="MIQ50" s="136"/>
      <c r="MIR50" s="136"/>
      <c r="MIS50" s="136"/>
      <c r="MIT50" s="136"/>
      <c r="MIU50" s="136"/>
      <c r="MIV50" s="136"/>
      <c r="MIW50" s="136"/>
      <c r="MIX50" s="136"/>
      <c r="MIY50" s="136"/>
      <c r="MIZ50" s="136"/>
      <c r="MJA50" s="136"/>
      <c r="MJB50" s="136"/>
      <c r="MJC50" s="136"/>
      <c r="MJD50" s="136"/>
      <c r="MJE50" s="136"/>
      <c r="MJF50" s="136"/>
      <c r="MJG50" s="136"/>
      <c r="MJH50" s="136"/>
      <c r="MJI50" s="136"/>
      <c r="MJJ50" s="136"/>
      <c r="MJK50" s="136"/>
      <c r="MJL50" s="136"/>
      <c r="MJM50" s="136"/>
      <c r="MJN50" s="136"/>
      <c r="MJO50" s="136"/>
      <c r="MJP50" s="136"/>
      <c r="MJQ50" s="136"/>
      <c r="MJR50" s="136"/>
      <c r="MJS50" s="136"/>
      <c r="MJT50" s="136"/>
      <c r="MJU50" s="136"/>
      <c r="MJV50" s="136"/>
      <c r="MJW50" s="136"/>
      <c r="MJX50" s="136"/>
      <c r="MJY50" s="136"/>
      <c r="MJZ50" s="136"/>
      <c r="MKA50" s="136"/>
      <c r="MKB50" s="136"/>
      <c r="MKC50" s="136"/>
      <c r="MKD50" s="136"/>
      <c r="MKE50" s="136"/>
      <c r="MKF50" s="136"/>
      <c r="MKG50" s="136"/>
      <c r="MKH50" s="136"/>
      <c r="MKI50" s="136"/>
      <c r="MKJ50" s="136"/>
      <c r="MKK50" s="136"/>
      <c r="MKL50" s="136"/>
      <c r="MKM50" s="136"/>
      <c r="MKN50" s="136"/>
      <c r="MKO50" s="136"/>
      <c r="MKP50" s="136"/>
      <c r="MKQ50" s="136"/>
      <c r="MKR50" s="136"/>
      <c r="MKS50" s="136"/>
      <c r="MKT50" s="136"/>
      <c r="MKU50" s="136"/>
      <c r="MKV50" s="136"/>
      <c r="MKW50" s="136"/>
      <c r="MKX50" s="136"/>
      <c r="MKY50" s="136"/>
      <c r="MKZ50" s="136"/>
      <c r="MLA50" s="136"/>
      <c r="MLB50" s="136"/>
      <c r="MLC50" s="136"/>
      <c r="MLD50" s="136"/>
      <c r="MLE50" s="136"/>
      <c r="MLF50" s="136"/>
      <c r="MLG50" s="136"/>
      <c r="MLH50" s="136"/>
      <c r="MLI50" s="136"/>
      <c r="MLJ50" s="136"/>
      <c r="MLK50" s="136"/>
      <c r="MLL50" s="136"/>
      <c r="MLM50" s="136"/>
      <c r="MLN50" s="136"/>
      <c r="MLO50" s="136"/>
      <c r="MLP50" s="136"/>
      <c r="MLQ50" s="136"/>
      <c r="MLR50" s="136"/>
      <c r="MLS50" s="136"/>
      <c r="MLT50" s="136"/>
      <c r="MLU50" s="136"/>
      <c r="MLV50" s="136"/>
      <c r="MLW50" s="136"/>
      <c r="MLX50" s="136"/>
      <c r="MLY50" s="136"/>
      <c r="MLZ50" s="136"/>
      <c r="MMA50" s="136"/>
      <c r="MMB50" s="136"/>
      <c r="MMC50" s="136"/>
      <c r="MMD50" s="136"/>
      <c r="MME50" s="136"/>
      <c r="MMF50" s="136"/>
      <c r="MMG50" s="136"/>
      <c r="MMH50" s="136"/>
      <c r="MMI50" s="136"/>
      <c r="MMJ50" s="136"/>
      <c r="MMK50" s="136"/>
      <c r="MML50" s="136"/>
      <c r="MMM50" s="136"/>
      <c r="MMN50" s="136"/>
      <c r="MMO50" s="136"/>
      <c r="MMP50" s="136"/>
      <c r="MMQ50" s="136"/>
      <c r="MMR50" s="136"/>
      <c r="MMS50" s="136"/>
      <c r="MMT50" s="136"/>
      <c r="MMU50" s="136"/>
      <c r="MMV50" s="136"/>
      <c r="MMW50" s="136"/>
      <c r="MMX50" s="136"/>
      <c r="MMY50" s="136"/>
      <c r="MMZ50" s="136"/>
      <c r="MNA50" s="136"/>
      <c r="MNB50" s="136"/>
      <c r="MNC50" s="136"/>
      <c r="MND50" s="136"/>
      <c r="MNE50" s="136"/>
      <c r="MNF50" s="136"/>
      <c r="MNG50" s="136"/>
      <c r="MNH50" s="136"/>
      <c r="MNI50" s="136"/>
      <c r="MNJ50" s="136"/>
      <c r="MNK50" s="136"/>
      <c r="MNL50" s="136"/>
      <c r="MNM50" s="136"/>
      <c r="MNN50" s="136"/>
      <c r="MNO50" s="136"/>
      <c r="MNP50" s="136"/>
      <c r="MNQ50" s="136"/>
      <c r="MNR50" s="136"/>
      <c r="MNS50" s="136"/>
      <c r="MNT50" s="136"/>
      <c r="MNU50" s="136"/>
      <c r="MNV50" s="136"/>
      <c r="MNW50" s="136"/>
      <c r="MNX50" s="136"/>
      <c r="MNY50" s="136"/>
      <c r="MNZ50" s="136"/>
      <c r="MOA50" s="136"/>
      <c r="MOB50" s="136"/>
      <c r="MOC50" s="136"/>
      <c r="MOD50" s="136"/>
      <c r="MOE50" s="136"/>
      <c r="MOF50" s="136"/>
      <c r="MOG50" s="136"/>
      <c r="MOH50" s="136"/>
      <c r="MOI50" s="136"/>
      <c r="MOJ50" s="136"/>
      <c r="MOK50" s="136"/>
      <c r="MOL50" s="136"/>
      <c r="MOM50" s="136"/>
      <c r="MON50" s="136"/>
      <c r="MOO50" s="136"/>
      <c r="MOP50" s="136"/>
      <c r="MOQ50" s="136"/>
      <c r="MOR50" s="136"/>
      <c r="MOS50" s="136"/>
      <c r="MOT50" s="136"/>
      <c r="MOU50" s="136"/>
      <c r="MOV50" s="136"/>
      <c r="MOW50" s="136"/>
      <c r="MOX50" s="136"/>
      <c r="MOY50" s="136"/>
      <c r="MOZ50" s="136"/>
      <c r="MPA50" s="136"/>
      <c r="MPB50" s="136"/>
      <c r="MPC50" s="136"/>
      <c r="MPD50" s="136"/>
      <c r="MPE50" s="136"/>
      <c r="MPF50" s="136"/>
      <c r="MPG50" s="136"/>
      <c r="MPH50" s="136"/>
      <c r="MPI50" s="136"/>
      <c r="MPJ50" s="136"/>
      <c r="MPK50" s="136"/>
      <c r="MPL50" s="136"/>
      <c r="MPM50" s="136"/>
      <c r="MPN50" s="136"/>
      <c r="MPO50" s="136"/>
      <c r="MPP50" s="136"/>
      <c r="MPQ50" s="136"/>
      <c r="MPR50" s="136"/>
      <c r="MPS50" s="136"/>
      <c r="MPT50" s="136"/>
      <c r="MPU50" s="136"/>
      <c r="MPV50" s="136"/>
      <c r="MPW50" s="136"/>
      <c r="MPX50" s="136"/>
      <c r="MPY50" s="136"/>
      <c r="MPZ50" s="136"/>
      <c r="MQA50" s="136"/>
      <c r="MQB50" s="136"/>
      <c r="MQC50" s="136"/>
      <c r="MQD50" s="136"/>
      <c r="MQE50" s="136"/>
      <c r="MQF50" s="136"/>
      <c r="MQG50" s="136"/>
      <c r="MQH50" s="136"/>
      <c r="MQI50" s="136"/>
      <c r="MQJ50" s="136"/>
      <c r="MQK50" s="136"/>
      <c r="MQL50" s="136"/>
      <c r="MQM50" s="136"/>
      <c r="MQN50" s="136"/>
      <c r="MQO50" s="136"/>
      <c r="MQP50" s="136"/>
      <c r="MQQ50" s="136"/>
      <c r="MQR50" s="136"/>
      <c r="MQS50" s="136"/>
      <c r="MQT50" s="136"/>
      <c r="MQU50" s="136"/>
      <c r="MQV50" s="136"/>
      <c r="MQW50" s="136"/>
      <c r="MQX50" s="136"/>
      <c r="MQY50" s="136"/>
      <c r="MQZ50" s="136"/>
      <c r="MRA50" s="136"/>
      <c r="MRB50" s="136"/>
      <c r="MRC50" s="136"/>
      <c r="MRD50" s="136"/>
      <c r="MRE50" s="136"/>
      <c r="MRF50" s="136"/>
      <c r="MRG50" s="136"/>
      <c r="MRH50" s="136"/>
      <c r="MRI50" s="136"/>
      <c r="MRJ50" s="136"/>
      <c r="MRK50" s="136"/>
      <c r="MRL50" s="136"/>
      <c r="MRM50" s="136"/>
      <c r="MRN50" s="136"/>
      <c r="MRO50" s="136"/>
      <c r="MRP50" s="136"/>
      <c r="MRQ50" s="136"/>
      <c r="MRR50" s="136"/>
      <c r="MRS50" s="136"/>
      <c r="MRT50" s="136"/>
      <c r="MRU50" s="136"/>
      <c r="MRV50" s="136"/>
      <c r="MRW50" s="136"/>
      <c r="MRX50" s="136"/>
      <c r="MRY50" s="136"/>
      <c r="MRZ50" s="136"/>
      <c r="MSA50" s="136"/>
      <c r="MSB50" s="136"/>
      <c r="MSC50" s="136"/>
      <c r="MSD50" s="136"/>
      <c r="MSE50" s="136"/>
      <c r="MSF50" s="136"/>
      <c r="MSG50" s="136"/>
      <c r="MSH50" s="136"/>
      <c r="MSI50" s="136"/>
      <c r="MSJ50" s="136"/>
      <c r="MSK50" s="136"/>
      <c r="MSL50" s="136"/>
      <c r="MSM50" s="136"/>
      <c r="MSN50" s="136"/>
      <c r="MSO50" s="136"/>
      <c r="MSP50" s="136"/>
      <c r="MSQ50" s="136"/>
      <c r="MSR50" s="136"/>
      <c r="MSS50" s="136"/>
      <c r="MST50" s="136"/>
      <c r="MSU50" s="136"/>
      <c r="MSV50" s="136"/>
      <c r="MSW50" s="136"/>
      <c r="MSX50" s="136"/>
      <c r="MSY50" s="136"/>
      <c r="MSZ50" s="136"/>
      <c r="MTA50" s="136"/>
      <c r="MTB50" s="136"/>
      <c r="MTC50" s="136"/>
      <c r="MTD50" s="136"/>
      <c r="MTE50" s="136"/>
      <c r="MTF50" s="136"/>
      <c r="MTG50" s="136"/>
      <c r="MTH50" s="136"/>
      <c r="MTI50" s="136"/>
      <c r="MTJ50" s="136"/>
      <c r="MTK50" s="136"/>
      <c r="MTL50" s="136"/>
      <c r="MTM50" s="136"/>
      <c r="MTN50" s="136"/>
      <c r="MTO50" s="136"/>
      <c r="MTP50" s="136"/>
      <c r="MTQ50" s="136"/>
      <c r="MTR50" s="136"/>
      <c r="MTS50" s="136"/>
      <c r="MTT50" s="136"/>
      <c r="MTU50" s="136"/>
      <c r="MTV50" s="136"/>
      <c r="MTW50" s="136"/>
      <c r="MTX50" s="136"/>
      <c r="MTY50" s="136"/>
      <c r="MTZ50" s="136"/>
      <c r="MUA50" s="136"/>
      <c r="MUB50" s="136"/>
      <c r="MUC50" s="136"/>
      <c r="MUD50" s="136"/>
      <c r="MUE50" s="136"/>
      <c r="MUF50" s="136"/>
      <c r="MUG50" s="136"/>
      <c r="MUH50" s="136"/>
      <c r="MUI50" s="136"/>
      <c r="MUJ50" s="136"/>
      <c r="MUK50" s="136"/>
      <c r="MUL50" s="136"/>
      <c r="MUM50" s="136"/>
      <c r="MUN50" s="136"/>
      <c r="MUO50" s="136"/>
      <c r="MUP50" s="136"/>
      <c r="MUQ50" s="136"/>
      <c r="MUR50" s="136"/>
      <c r="MUS50" s="136"/>
      <c r="MUT50" s="136"/>
      <c r="MUU50" s="136"/>
      <c r="MUV50" s="136"/>
      <c r="MUW50" s="136"/>
      <c r="MUX50" s="136"/>
      <c r="MUY50" s="136"/>
      <c r="MUZ50" s="136"/>
      <c r="MVA50" s="136"/>
      <c r="MVB50" s="136"/>
      <c r="MVC50" s="136"/>
      <c r="MVD50" s="136"/>
      <c r="MVE50" s="136"/>
      <c r="MVF50" s="136"/>
      <c r="MVG50" s="136"/>
      <c r="MVH50" s="136"/>
      <c r="MVI50" s="136"/>
      <c r="MVJ50" s="136"/>
      <c r="MVK50" s="136"/>
      <c r="MVL50" s="136"/>
      <c r="MVM50" s="136"/>
      <c r="MVN50" s="136"/>
      <c r="MVO50" s="136"/>
      <c r="MVP50" s="136"/>
      <c r="MVQ50" s="136"/>
      <c r="MVR50" s="136"/>
      <c r="MVS50" s="136"/>
      <c r="MVT50" s="136"/>
      <c r="MVU50" s="136"/>
      <c r="MVV50" s="136"/>
      <c r="MVW50" s="136"/>
      <c r="MVX50" s="136"/>
      <c r="MVY50" s="136"/>
      <c r="MVZ50" s="136"/>
      <c r="MWA50" s="136"/>
      <c r="MWB50" s="136"/>
      <c r="MWC50" s="136"/>
      <c r="MWD50" s="136"/>
      <c r="MWE50" s="136"/>
      <c r="MWF50" s="136"/>
      <c r="MWG50" s="136"/>
      <c r="MWH50" s="136"/>
      <c r="MWI50" s="136"/>
      <c r="MWJ50" s="136"/>
      <c r="MWK50" s="136"/>
      <c r="MWL50" s="136"/>
      <c r="MWM50" s="136"/>
      <c r="MWN50" s="136"/>
      <c r="MWO50" s="136"/>
      <c r="MWP50" s="136"/>
      <c r="MWQ50" s="136"/>
      <c r="MWR50" s="136"/>
      <c r="MWS50" s="136"/>
      <c r="MWT50" s="136"/>
      <c r="MWU50" s="136"/>
      <c r="MWV50" s="136"/>
      <c r="MWW50" s="136"/>
      <c r="MWX50" s="136"/>
      <c r="MWY50" s="136"/>
      <c r="MWZ50" s="136"/>
      <c r="MXA50" s="136"/>
      <c r="MXB50" s="136"/>
      <c r="MXC50" s="136"/>
      <c r="MXD50" s="136"/>
      <c r="MXE50" s="136"/>
      <c r="MXF50" s="136"/>
      <c r="MXG50" s="136"/>
      <c r="MXH50" s="136"/>
      <c r="MXI50" s="136"/>
      <c r="MXJ50" s="136"/>
      <c r="MXK50" s="136"/>
      <c r="MXL50" s="136"/>
      <c r="MXM50" s="136"/>
      <c r="MXN50" s="136"/>
      <c r="MXO50" s="136"/>
      <c r="MXP50" s="136"/>
      <c r="MXQ50" s="136"/>
      <c r="MXR50" s="136"/>
      <c r="MXS50" s="136"/>
      <c r="MXT50" s="136"/>
      <c r="MXU50" s="136"/>
      <c r="MXV50" s="136"/>
      <c r="MXW50" s="136"/>
      <c r="MXX50" s="136"/>
      <c r="MXY50" s="136"/>
      <c r="MXZ50" s="136"/>
      <c r="MYA50" s="136"/>
      <c r="MYB50" s="136"/>
      <c r="MYC50" s="136"/>
      <c r="MYD50" s="136"/>
      <c r="MYE50" s="136"/>
      <c r="MYF50" s="136"/>
      <c r="MYG50" s="136"/>
      <c r="MYH50" s="136"/>
      <c r="MYI50" s="136"/>
      <c r="MYJ50" s="136"/>
      <c r="MYK50" s="136"/>
      <c r="MYL50" s="136"/>
      <c r="MYM50" s="136"/>
      <c r="MYN50" s="136"/>
      <c r="MYO50" s="136"/>
      <c r="MYP50" s="136"/>
      <c r="MYQ50" s="136"/>
      <c r="MYR50" s="136"/>
      <c r="MYS50" s="136"/>
      <c r="MYT50" s="136"/>
      <c r="MYU50" s="136"/>
      <c r="MYV50" s="136"/>
      <c r="MYW50" s="136"/>
      <c r="MYX50" s="136"/>
      <c r="MYY50" s="136"/>
      <c r="MYZ50" s="136"/>
      <c r="MZA50" s="136"/>
      <c r="MZB50" s="136"/>
      <c r="MZC50" s="136"/>
      <c r="MZD50" s="136"/>
      <c r="MZE50" s="136"/>
      <c r="MZF50" s="136"/>
      <c r="MZG50" s="136"/>
      <c r="MZH50" s="136"/>
      <c r="MZI50" s="136"/>
      <c r="MZJ50" s="136"/>
      <c r="MZK50" s="136"/>
      <c r="MZL50" s="136"/>
      <c r="MZM50" s="136"/>
      <c r="MZN50" s="136"/>
      <c r="MZO50" s="136"/>
      <c r="MZP50" s="136"/>
      <c r="MZQ50" s="136"/>
      <c r="MZR50" s="136"/>
      <c r="MZS50" s="136"/>
      <c r="MZT50" s="136"/>
      <c r="MZU50" s="136"/>
      <c r="MZV50" s="136"/>
      <c r="MZW50" s="136"/>
      <c r="MZX50" s="136"/>
      <c r="MZY50" s="136"/>
      <c r="MZZ50" s="136"/>
      <c r="NAA50" s="136"/>
      <c r="NAB50" s="136"/>
      <c r="NAC50" s="136"/>
      <c r="NAD50" s="136"/>
      <c r="NAE50" s="136"/>
      <c r="NAF50" s="136"/>
      <c r="NAG50" s="136"/>
      <c r="NAH50" s="136"/>
      <c r="NAI50" s="136"/>
      <c r="NAJ50" s="136"/>
      <c r="NAK50" s="136"/>
      <c r="NAL50" s="136"/>
      <c r="NAM50" s="136"/>
      <c r="NAN50" s="136"/>
      <c r="NAO50" s="136"/>
      <c r="NAP50" s="136"/>
      <c r="NAQ50" s="136"/>
      <c r="NAR50" s="136"/>
      <c r="NAS50" s="136"/>
      <c r="NAT50" s="136"/>
      <c r="NAU50" s="136"/>
      <c r="NAV50" s="136"/>
      <c r="NAW50" s="136"/>
      <c r="NAX50" s="136"/>
      <c r="NAY50" s="136"/>
      <c r="NAZ50" s="136"/>
      <c r="NBA50" s="136"/>
      <c r="NBB50" s="136"/>
      <c r="NBC50" s="136"/>
      <c r="NBD50" s="136"/>
      <c r="NBE50" s="136"/>
      <c r="NBF50" s="136"/>
      <c r="NBG50" s="136"/>
      <c r="NBH50" s="136"/>
      <c r="NBI50" s="136"/>
      <c r="NBJ50" s="136"/>
      <c r="NBK50" s="136"/>
      <c r="NBL50" s="136"/>
      <c r="NBM50" s="136"/>
      <c r="NBN50" s="136"/>
      <c r="NBO50" s="136"/>
      <c r="NBP50" s="136"/>
      <c r="NBQ50" s="136"/>
      <c r="NBR50" s="136"/>
      <c r="NBS50" s="136"/>
      <c r="NBT50" s="136"/>
      <c r="NBU50" s="136"/>
      <c r="NBV50" s="136"/>
      <c r="NBW50" s="136"/>
      <c r="NBX50" s="136"/>
      <c r="NBY50" s="136"/>
      <c r="NBZ50" s="136"/>
      <c r="NCA50" s="136"/>
      <c r="NCB50" s="136"/>
      <c r="NCC50" s="136"/>
      <c r="NCD50" s="136"/>
      <c r="NCE50" s="136"/>
      <c r="NCF50" s="136"/>
      <c r="NCG50" s="136"/>
      <c r="NCH50" s="136"/>
      <c r="NCI50" s="136"/>
      <c r="NCJ50" s="136"/>
      <c r="NCK50" s="136"/>
      <c r="NCL50" s="136"/>
      <c r="NCM50" s="136"/>
      <c r="NCN50" s="136"/>
      <c r="NCO50" s="136"/>
      <c r="NCP50" s="136"/>
      <c r="NCQ50" s="136"/>
      <c r="NCR50" s="136"/>
      <c r="NCS50" s="136"/>
      <c r="NCT50" s="136"/>
      <c r="NCU50" s="136"/>
      <c r="NCV50" s="136"/>
      <c r="NCW50" s="136"/>
      <c r="NCX50" s="136"/>
      <c r="NCY50" s="136"/>
      <c r="NCZ50" s="136"/>
      <c r="NDA50" s="136"/>
      <c r="NDB50" s="136"/>
      <c r="NDC50" s="136"/>
      <c r="NDD50" s="136"/>
      <c r="NDE50" s="136"/>
      <c r="NDF50" s="136"/>
      <c r="NDG50" s="136"/>
      <c r="NDH50" s="136"/>
      <c r="NDI50" s="136"/>
      <c r="NDJ50" s="136"/>
      <c r="NDK50" s="136"/>
      <c r="NDL50" s="136"/>
      <c r="NDM50" s="136"/>
      <c r="NDN50" s="136"/>
      <c r="NDO50" s="136"/>
      <c r="NDP50" s="136"/>
      <c r="NDQ50" s="136"/>
      <c r="NDR50" s="136"/>
      <c r="NDS50" s="136"/>
      <c r="NDT50" s="136"/>
      <c r="NDU50" s="136"/>
      <c r="NDV50" s="136"/>
      <c r="NDW50" s="136"/>
      <c r="NDX50" s="136"/>
      <c r="NDY50" s="136"/>
      <c r="NDZ50" s="136"/>
      <c r="NEA50" s="136"/>
      <c r="NEB50" s="136"/>
      <c r="NEC50" s="136"/>
      <c r="NED50" s="136"/>
      <c r="NEE50" s="136"/>
      <c r="NEF50" s="136"/>
      <c r="NEG50" s="136"/>
      <c r="NEH50" s="136"/>
      <c r="NEI50" s="136"/>
      <c r="NEJ50" s="136"/>
      <c r="NEK50" s="136"/>
      <c r="NEL50" s="136"/>
      <c r="NEM50" s="136"/>
      <c r="NEN50" s="136"/>
      <c r="NEO50" s="136"/>
      <c r="NEP50" s="136"/>
      <c r="NEQ50" s="136"/>
      <c r="NER50" s="136"/>
      <c r="NES50" s="136"/>
      <c r="NET50" s="136"/>
      <c r="NEU50" s="136"/>
      <c r="NEV50" s="136"/>
      <c r="NEW50" s="136"/>
      <c r="NEX50" s="136"/>
      <c r="NEY50" s="136"/>
      <c r="NEZ50" s="136"/>
      <c r="NFA50" s="136"/>
      <c r="NFB50" s="136"/>
      <c r="NFC50" s="136"/>
      <c r="NFD50" s="136"/>
      <c r="NFE50" s="136"/>
      <c r="NFF50" s="136"/>
      <c r="NFG50" s="136"/>
      <c r="NFH50" s="136"/>
      <c r="NFI50" s="136"/>
      <c r="NFJ50" s="136"/>
      <c r="NFK50" s="136"/>
      <c r="NFL50" s="136"/>
      <c r="NFM50" s="136"/>
      <c r="NFN50" s="136"/>
      <c r="NFO50" s="136"/>
      <c r="NFP50" s="136"/>
      <c r="NFQ50" s="136"/>
      <c r="NFR50" s="136"/>
      <c r="NFS50" s="136"/>
      <c r="NFT50" s="136"/>
      <c r="NFU50" s="136"/>
      <c r="NFV50" s="136"/>
      <c r="NFW50" s="136"/>
      <c r="NFX50" s="136"/>
      <c r="NFY50" s="136"/>
      <c r="NFZ50" s="136"/>
      <c r="NGA50" s="136"/>
      <c r="NGB50" s="136"/>
      <c r="NGC50" s="136"/>
      <c r="NGD50" s="136"/>
      <c r="NGE50" s="136"/>
      <c r="NGF50" s="136"/>
      <c r="NGG50" s="136"/>
      <c r="NGH50" s="136"/>
      <c r="NGI50" s="136"/>
      <c r="NGJ50" s="136"/>
      <c r="NGK50" s="136"/>
      <c r="NGL50" s="136"/>
      <c r="NGM50" s="136"/>
      <c r="NGN50" s="136"/>
      <c r="NGO50" s="136"/>
      <c r="NGP50" s="136"/>
      <c r="NGQ50" s="136"/>
      <c r="NGR50" s="136"/>
      <c r="NGS50" s="136"/>
      <c r="NGT50" s="136"/>
      <c r="NGU50" s="136"/>
      <c r="NGV50" s="136"/>
      <c r="NGW50" s="136"/>
      <c r="NGX50" s="136"/>
      <c r="NGY50" s="136"/>
      <c r="NGZ50" s="136"/>
      <c r="NHA50" s="136"/>
      <c r="NHB50" s="136"/>
      <c r="NHC50" s="136"/>
      <c r="NHD50" s="136"/>
      <c r="NHE50" s="136"/>
      <c r="NHF50" s="136"/>
      <c r="NHG50" s="136"/>
      <c r="NHH50" s="136"/>
      <c r="NHI50" s="136"/>
      <c r="NHJ50" s="136"/>
      <c r="NHK50" s="136"/>
      <c r="NHL50" s="136"/>
      <c r="NHM50" s="136"/>
      <c r="NHN50" s="136"/>
      <c r="NHO50" s="136"/>
      <c r="NHP50" s="136"/>
      <c r="NHQ50" s="136"/>
      <c r="NHR50" s="136"/>
      <c r="NHS50" s="136"/>
      <c r="NHT50" s="136"/>
      <c r="NHU50" s="136"/>
      <c r="NHV50" s="136"/>
      <c r="NHW50" s="136"/>
      <c r="NHX50" s="136"/>
      <c r="NHY50" s="136"/>
      <c r="NHZ50" s="136"/>
      <c r="NIA50" s="136"/>
      <c r="NIB50" s="136"/>
      <c r="NIC50" s="136"/>
      <c r="NID50" s="136"/>
      <c r="NIE50" s="136"/>
      <c r="NIF50" s="136"/>
      <c r="NIG50" s="136"/>
      <c r="NIH50" s="136"/>
      <c r="NII50" s="136"/>
      <c r="NIJ50" s="136"/>
      <c r="NIK50" s="136"/>
      <c r="NIL50" s="136"/>
      <c r="NIM50" s="136"/>
      <c r="NIN50" s="136"/>
      <c r="NIO50" s="136"/>
      <c r="NIP50" s="136"/>
      <c r="NIQ50" s="136"/>
      <c r="NIR50" s="136"/>
      <c r="NIS50" s="136"/>
      <c r="NIT50" s="136"/>
      <c r="NIU50" s="136"/>
      <c r="NIV50" s="136"/>
      <c r="NIW50" s="136"/>
      <c r="NIX50" s="136"/>
      <c r="NIY50" s="136"/>
      <c r="NIZ50" s="136"/>
      <c r="NJA50" s="136"/>
      <c r="NJB50" s="136"/>
      <c r="NJC50" s="136"/>
      <c r="NJD50" s="136"/>
      <c r="NJE50" s="136"/>
      <c r="NJF50" s="136"/>
      <c r="NJG50" s="136"/>
      <c r="NJH50" s="136"/>
      <c r="NJI50" s="136"/>
      <c r="NJJ50" s="136"/>
      <c r="NJK50" s="136"/>
      <c r="NJL50" s="136"/>
      <c r="NJM50" s="136"/>
      <c r="NJN50" s="136"/>
      <c r="NJO50" s="136"/>
      <c r="NJP50" s="136"/>
      <c r="NJQ50" s="136"/>
      <c r="NJR50" s="136"/>
      <c r="NJS50" s="136"/>
      <c r="NJT50" s="136"/>
      <c r="NJU50" s="136"/>
      <c r="NJV50" s="136"/>
      <c r="NJW50" s="136"/>
      <c r="NJX50" s="136"/>
      <c r="NJY50" s="136"/>
      <c r="NJZ50" s="136"/>
      <c r="NKA50" s="136"/>
      <c r="NKB50" s="136"/>
      <c r="NKC50" s="136"/>
      <c r="NKD50" s="136"/>
      <c r="NKE50" s="136"/>
      <c r="NKF50" s="136"/>
      <c r="NKG50" s="136"/>
      <c r="NKH50" s="136"/>
      <c r="NKI50" s="136"/>
      <c r="NKJ50" s="136"/>
      <c r="NKK50" s="136"/>
      <c r="NKL50" s="136"/>
      <c r="NKM50" s="136"/>
      <c r="NKN50" s="136"/>
      <c r="NKO50" s="136"/>
      <c r="NKP50" s="136"/>
      <c r="NKQ50" s="136"/>
      <c r="NKR50" s="136"/>
      <c r="NKS50" s="136"/>
      <c r="NKT50" s="136"/>
      <c r="NKU50" s="136"/>
      <c r="NKV50" s="136"/>
      <c r="NKW50" s="136"/>
      <c r="NKX50" s="136"/>
      <c r="NKY50" s="136"/>
      <c r="NKZ50" s="136"/>
      <c r="NLA50" s="136"/>
      <c r="NLB50" s="136"/>
      <c r="NLC50" s="136"/>
      <c r="NLD50" s="136"/>
      <c r="NLE50" s="136"/>
      <c r="NLF50" s="136"/>
      <c r="NLG50" s="136"/>
      <c r="NLH50" s="136"/>
      <c r="NLI50" s="136"/>
      <c r="NLJ50" s="136"/>
      <c r="NLK50" s="136"/>
      <c r="NLL50" s="136"/>
      <c r="NLM50" s="136"/>
      <c r="NLN50" s="136"/>
      <c r="NLO50" s="136"/>
      <c r="NLP50" s="136"/>
      <c r="NLQ50" s="136"/>
      <c r="NLR50" s="136"/>
      <c r="NLS50" s="136"/>
      <c r="NLT50" s="136"/>
      <c r="NLU50" s="136"/>
      <c r="NLV50" s="136"/>
      <c r="NLW50" s="136"/>
      <c r="NLX50" s="136"/>
      <c r="NLY50" s="136"/>
      <c r="NLZ50" s="136"/>
      <c r="NMA50" s="136"/>
      <c r="NMB50" s="136"/>
      <c r="NMC50" s="136"/>
      <c r="NMD50" s="136"/>
      <c r="NME50" s="136"/>
      <c r="NMF50" s="136"/>
      <c r="NMG50" s="136"/>
      <c r="NMH50" s="136"/>
      <c r="NMI50" s="136"/>
      <c r="NMJ50" s="136"/>
      <c r="NMK50" s="136"/>
      <c r="NML50" s="136"/>
      <c r="NMM50" s="136"/>
      <c r="NMN50" s="136"/>
      <c r="NMO50" s="136"/>
      <c r="NMP50" s="136"/>
      <c r="NMQ50" s="136"/>
      <c r="NMR50" s="136"/>
      <c r="NMS50" s="136"/>
      <c r="NMT50" s="136"/>
      <c r="NMU50" s="136"/>
      <c r="NMV50" s="136"/>
      <c r="NMW50" s="136"/>
      <c r="NMX50" s="136"/>
      <c r="NMY50" s="136"/>
      <c r="NMZ50" s="136"/>
      <c r="NNA50" s="136"/>
      <c r="NNB50" s="136"/>
      <c r="NNC50" s="136"/>
      <c r="NND50" s="136"/>
      <c r="NNE50" s="136"/>
      <c r="NNF50" s="136"/>
      <c r="NNG50" s="136"/>
      <c r="NNH50" s="136"/>
      <c r="NNI50" s="136"/>
      <c r="NNJ50" s="136"/>
      <c r="NNK50" s="136"/>
      <c r="NNL50" s="136"/>
      <c r="NNM50" s="136"/>
      <c r="NNN50" s="136"/>
      <c r="NNO50" s="136"/>
      <c r="NNP50" s="136"/>
      <c r="NNQ50" s="136"/>
      <c r="NNR50" s="136"/>
      <c r="NNS50" s="136"/>
      <c r="NNT50" s="136"/>
      <c r="NNU50" s="136"/>
      <c r="NNV50" s="136"/>
      <c r="NNW50" s="136"/>
      <c r="NNX50" s="136"/>
      <c r="NNY50" s="136"/>
      <c r="NNZ50" s="136"/>
      <c r="NOA50" s="136"/>
      <c r="NOB50" s="136"/>
      <c r="NOC50" s="136"/>
      <c r="NOD50" s="136"/>
      <c r="NOE50" s="136"/>
      <c r="NOF50" s="136"/>
      <c r="NOG50" s="136"/>
      <c r="NOH50" s="136"/>
      <c r="NOI50" s="136"/>
      <c r="NOJ50" s="136"/>
      <c r="NOK50" s="136"/>
      <c r="NOL50" s="136"/>
      <c r="NOM50" s="136"/>
      <c r="NON50" s="136"/>
      <c r="NOO50" s="136"/>
      <c r="NOP50" s="136"/>
      <c r="NOQ50" s="136"/>
      <c r="NOR50" s="136"/>
      <c r="NOS50" s="136"/>
      <c r="NOT50" s="136"/>
      <c r="NOU50" s="136"/>
      <c r="NOV50" s="136"/>
      <c r="NOW50" s="136"/>
      <c r="NOX50" s="136"/>
      <c r="NOY50" s="136"/>
      <c r="NOZ50" s="136"/>
      <c r="NPA50" s="136"/>
      <c r="NPB50" s="136"/>
      <c r="NPC50" s="136"/>
      <c r="NPD50" s="136"/>
      <c r="NPE50" s="136"/>
      <c r="NPF50" s="136"/>
      <c r="NPG50" s="136"/>
      <c r="NPH50" s="136"/>
      <c r="NPI50" s="136"/>
      <c r="NPJ50" s="136"/>
      <c r="NPK50" s="136"/>
      <c r="NPL50" s="136"/>
      <c r="NPM50" s="136"/>
      <c r="NPN50" s="136"/>
      <c r="NPO50" s="136"/>
      <c r="NPP50" s="136"/>
      <c r="NPQ50" s="136"/>
      <c r="NPR50" s="136"/>
      <c r="NPS50" s="136"/>
      <c r="NPT50" s="136"/>
      <c r="NPU50" s="136"/>
      <c r="NPV50" s="136"/>
      <c r="NPW50" s="136"/>
      <c r="NPX50" s="136"/>
      <c r="NPY50" s="136"/>
      <c r="NPZ50" s="136"/>
      <c r="NQA50" s="136"/>
      <c r="NQB50" s="136"/>
      <c r="NQC50" s="136"/>
      <c r="NQD50" s="136"/>
      <c r="NQE50" s="136"/>
      <c r="NQF50" s="136"/>
      <c r="NQG50" s="136"/>
      <c r="NQH50" s="136"/>
      <c r="NQI50" s="136"/>
      <c r="NQJ50" s="136"/>
      <c r="NQK50" s="136"/>
      <c r="NQL50" s="136"/>
      <c r="NQM50" s="136"/>
      <c r="NQN50" s="136"/>
      <c r="NQO50" s="136"/>
      <c r="NQP50" s="136"/>
      <c r="NQQ50" s="136"/>
      <c r="NQR50" s="136"/>
      <c r="NQS50" s="136"/>
      <c r="NQT50" s="136"/>
      <c r="NQU50" s="136"/>
      <c r="NQV50" s="136"/>
      <c r="NQW50" s="136"/>
      <c r="NQX50" s="136"/>
      <c r="NQY50" s="136"/>
      <c r="NQZ50" s="136"/>
      <c r="NRA50" s="136"/>
      <c r="NRB50" s="136"/>
      <c r="NRC50" s="136"/>
      <c r="NRD50" s="136"/>
      <c r="NRE50" s="136"/>
      <c r="NRF50" s="136"/>
      <c r="NRG50" s="136"/>
      <c r="NRH50" s="136"/>
      <c r="NRI50" s="136"/>
      <c r="NRJ50" s="136"/>
      <c r="NRK50" s="136"/>
      <c r="NRL50" s="136"/>
      <c r="NRM50" s="136"/>
      <c r="NRN50" s="136"/>
      <c r="NRO50" s="136"/>
      <c r="NRP50" s="136"/>
      <c r="NRQ50" s="136"/>
      <c r="NRR50" s="136"/>
      <c r="NRS50" s="136"/>
      <c r="NRT50" s="136"/>
      <c r="NRU50" s="136"/>
      <c r="NRV50" s="136"/>
      <c r="NRW50" s="136"/>
      <c r="NRX50" s="136"/>
      <c r="NRY50" s="136"/>
      <c r="NRZ50" s="136"/>
      <c r="NSA50" s="136"/>
      <c r="NSB50" s="136"/>
      <c r="NSC50" s="136"/>
      <c r="NSD50" s="136"/>
      <c r="NSE50" s="136"/>
      <c r="NSF50" s="136"/>
      <c r="NSG50" s="136"/>
      <c r="NSH50" s="136"/>
      <c r="NSI50" s="136"/>
      <c r="NSJ50" s="136"/>
      <c r="NSK50" s="136"/>
      <c r="NSL50" s="136"/>
      <c r="NSM50" s="136"/>
      <c r="NSN50" s="136"/>
      <c r="NSO50" s="136"/>
      <c r="NSP50" s="136"/>
      <c r="NSQ50" s="136"/>
      <c r="NSR50" s="136"/>
      <c r="NSS50" s="136"/>
      <c r="NST50" s="136"/>
      <c r="NSU50" s="136"/>
      <c r="NSV50" s="136"/>
      <c r="NSW50" s="136"/>
      <c r="NSX50" s="136"/>
      <c r="NSY50" s="136"/>
      <c r="NSZ50" s="136"/>
      <c r="NTA50" s="136"/>
      <c r="NTB50" s="136"/>
      <c r="NTC50" s="136"/>
      <c r="NTD50" s="136"/>
      <c r="NTE50" s="136"/>
      <c r="NTF50" s="136"/>
      <c r="NTG50" s="136"/>
      <c r="NTH50" s="136"/>
      <c r="NTI50" s="136"/>
      <c r="NTJ50" s="136"/>
      <c r="NTK50" s="136"/>
      <c r="NTL50" s="136"/>
      <c r="NTM50" s="136"/>
      <c r="NTN50" s="136"/>
      <c r="NTO50" s="136"/>
      <c r="NTP50" s="136"/>
      <c r="NTQ50" s="136"/>
      <c r="NTR50" s="136"/>
      <c r="NTS50" s="136"/>
      <c r="NTT50" s="136"/>
      <c r="NTU50" s="136"/>
      <c r="NTV50" s="136"/>
      <c r="NTW50" s="136"/>
      <c r="NTX50" s="136"/>
      <c r="NTY50" s="136"/>
      <c r="NTZ50" s="136"/>
      <c r="NUA50" s="136"/>
      <c r="NUB50" s="136"/>
      <c r="NUC50" s="136"/>
      <c r="NUD50" s="136"/>
      <c r="NUE50" s="136"/>
      <c r="NUF50" s="136"/>
      <c r="NUG50" s="136"/>
      <c r="NUH50" s="136"/>
      <c r="NUI50" s="136"/>
      <c r="NUJ50" s="136"/>
      <c r="NUK50" s="136"/>
      <c r="NUL50" s="136"/>
      <c r="NUM50" s="136"/>
      <c r="NUN50" s="136"/>
      <c r="NUO50" s="136"/>
      <c r="NUP50" s="136"/>
      <c r="NUQ50" s="136"/>
      <c r="NUR50" s="136"/>
      <c r="NUS50" s="136"/>
      <c r="NUT50" s="136"/>
      <c r="NUU50" s="136"/>
      <c r="NUV50" s="136"/>
      <c r="NUW50" s="136"/>
      <c r="NUX50" s="136"/>
      <c r="NUY50" s="136"/>
      <c r="NUZ50" s="136"/>
      <c r="NVA50" s="136"/>
      <c r="NVB50" s="136"/>
      <c r="NVC50" s="136"/>
      <c r="NVD50" s="136"/>
      <c r="NVE50" s="136"/>
      <c r="NVF50" s="136"/>
      <c r="NVG50" s="136"/>
      <c r="NVH50" s="136"/>
      <c r="NVI50" s="136"/>
      <c r="NVJ50" s="136"/>
      <c r="NVK50" s="136"/>
      <c r="NVL50" s="136"/>
      <c r="NVM50" s="136"/>
      <c r="NVN50" s="136"/>
      <c r="NVO50" s="136"/>
      <c r="NVP50" s="136"/>
      <c r="NVQ50" s="136"/>
      <c r="NVR50" s="136"/>
      <c r="NVS50" s="136"/>
      <c r="NVT50" s="136"/>
      <c r="NVU50" s="136"/>
      <c r="NVV50" s="136"/>
      <c r="NVW50" s="136"/>
      <c r="NVX50" s="136"/>
      <c r="NVY50" s="136"/>
      <c r="NVZ50" s="136"/>
      <c r="NWA50" s="136"/>
      <c r="NWB50" s="136"/>
      <c r="NWC50" s="136"/>
      <c r="NWD50" s="136"/>
      <c r="NWE50" s="136"/>
      <c r="NWF50" s="136"/>
      <c r="NWG50" s="136"/>
      <c r="NWH50" s="136"/>
      <c r="NWI50" s="136"/>
      <c r="NWJ50" s="136"/>
      <c r="NWK50" s="136"/>
      <c r="NWL50" s="136"/>
      <c r="NWM50" s="136"/>
      <c r="NWN50" s="136"/>
      <c r="NWO50" s="136"/>
      <c r="NWP50" s="136"/>
      <c r="NWQ50" s="136"/>
      <c r="NWR50" s="136"/>
      <c r="NWS50" s="136"/>
      <c r="NWT50" s="136"/>
      <c r="NWU50" s="136"/>
      <c r="NWV50" s="136"/>
      <c r="NWW50" s="136"/>
      <c r="NWX50" s="136"/>
      <c r="NWY50" s="136"/>
      <c r="NWZ50" s="136"/>
      <c r="NXA50" s="136"/>
      <c r="NXB50" s="136"/>
      <c r="NXC50" s="136"/>
      <c r="NXD50" s="136"/>
      <c r="NXE50" s="136"/>
      <c r="NXF50" s="136"/>
      <c r="NXG50" s="136"/>
      <c r="NXH50" s="136"/>
      <c r="NXI50" s="136"/>
      <c r="NXJ50" s="136"/>
      <c r="NXK50" s="136"/>
      <c r="NXL50" s="136"/>
      <c r="NXM50" s="136"/>
      <c r="NXN50" s="136"/>
      <c r="NXO50" s="136"/>
      <c r="NXP50" s="136"/>
      <c r="NXQ50" s="136"/>
      <c r="NXR50" s="136"/>
      <c r="NXS50" s="136"/>
      <c r="NXT50" s="136"/>
      <c r="NXU50" s="136"/>
      <c r="NXV50" s="136"/>
      <c r="NXW50" s="136"/>
      <c r="NXX50" s="136"/>
      <c r="NXY50" s="136"/>
      <c r="NXZ50" s="136"/>
      <c r="NYA50" s="136"/>
      <c r="NYB50" s="136"/>
      <c r="NYC50" s="136"/>
      <c r="NYD50" s="136"/>
      <c r="NYE50" s="136"/>
      <c r="NYF50" s="136"/>
      <c r="NYG50" s="136"/>
      <c r="NYH50" s="136"/>
      <c r="NYI50" s="136"/>
      <c r="NYJ50" s="136"/>
      <c r="NYK50" s="136"/>
      <c r="NYL50" s="136"/>
      <c r="NYM50" s="136"/>
      <c r="NYN50" s="136"/>
      <c r="NYO50" s="136"/>
      <c r="NYP50" s="136"/>
      <c r="NYQ50" s="136"/>
      <c r="NYR50" s="136"/>
      <c r="NYS50" s="136"/>
      <c r="NYT50" s="136"/>
      <c r="NYU50" s="136"/>
      <c r="NYV50" s="136"/>
      <c r="NYW50" s="136"/>
      <c r="NYX50" s="136"/>
      <c r="NYY50" s="136"/>
      <c r="NYZ50" s="136"/>
      <c r="NZA50" s="136"/>
      <c r="NZB50" s="136"/>
      <c r="NZC50" s="136"/>
      <c r="NZD50" s="136"/>
      <c r="NZE50" s="136"/>
      <c r="NZF50" s="136"/>
      <c r="NZG50" s="136"/>
      <c r="NZH50" s="136"/>
      <c r="NZI50" s="136"/>
      <c r="NZJ50" s="136"/>
      <c r="NZK50" s="136"/>
      <c r="NZL50" s="136"/>
      <c r="NZM50" s="136"/>
      <c r="NZN50" s="136"/>
      <c r="NZO50" s="136"/>
      <c r="NZP50" s="136"/>
      <c r="NZQ50" s="136"/>
      <c r="NZR50" s="136"/>
      <c r="NZS50" s="136"/>
      <c r="NZT50" s="136"/>
      <c r="NZU50" s="136"/>
      <c r="NZV50" s="136"/>
      <c r="NZW50" s="136"/>
      <c r="NZX50" s="136"/>
      <c r="NZY50" s="136"/>
      <c r="NZZ50" s="136"/>
      <c r="OAA50" s="136"/>
      <c r="OAB50" s="136"/>
      <c r="OAC50" s="136"/>
      <c r="OAD50" s="136"/>
      <c r="OAE50" s="136"/>
      <c r="OAF50" s="136"/>
      <c r="OAG50" s="136"/>
      <c r="OAH50" s="136"/>
      <c r="OAI50" s="136"/>
      <c r="OAJ50" s="136"/>
      <c r="OAK50" s="136"/>
      <c r="OAL50" s="136"/>
      <c r="OAM50" s="136"/>
      <c r="OAN50" s="136"/>
      <c r="OAO50" s="136"/>
      <c r="OAP50" s="136"/>
      <c r="OAQ50" s="136"/>
      <c r="OAR50" s="136"/>
      <c r="OAS50" s="136"/>
      <c r="OAT50" s="136"/>
      <c r="OAU50" s="136"/>
      <c r="OAV50" s="136"/>
      <c r="OAW50" s="136"/>
      <c r="OAX50" s="136"/>
      <c r="OAY50" s="136"/>
      <c r="OAZ50" s="136"/>
      <c r="OBA50" s="136"/>
      <c r="OBB50" s="136"/>
      <c r="OBC50" s="136"/>
      <c r="OBD50" s="136"/>
      <c r="OBE50" s="136"/>
      <c r="OBF50" s="136"/>
      <c r="OBG50" s="136"/>
      <c r="OBH50" s="136"/>
      <c r="OBI50" s="136"/>
      <c r="OBJ50" s="136"/>
      <c r="OBK50" s="136"/>
      <c r="OBL50" s="136"/>
      <c r="OBM50" s="136"/>
      <c r="OBN50" s="136"/>
      <c r="OBO50" s="136"/>
      <c r="OBP50" s="136"/>
      <c r="OBQ50" s="136"/>
      <c r="OBR50" s="136"/>
      <c r="OBS50" s="136"/>
      <c r="OBT50" s="136"/>
      <c r="OBU50" s="136"/>
      <c r="OBV50" s="136"/>
      <c r="OBW50" s="136"/>
      <c r="OBX50" s="136"/>
      <c r="OBY50" s="136"/>
      <c r="OBZ50" s="136"/>
      <c r="OCA50" s="136"/>
      <c r="OCB50" s="136"/>
      <c r="OCC50" s="136"/>
      <c r="OCD50" s="136"/>
      <c r="OCE50" s="136"/>
      <c r="OCF50" s="136"/>
      <c r="OCG50" s="136"/>
      <c r="OCH50" s="136"/>
      <c r="OCI50" s="136"/>
      <c r="OCJ50" s="136"/>
      <c r="OCK50" s="136"/>
      <c r="OCL50" s="136"/>
      <c r="OCM50" s="136"/>
      <c r="OCN50" s="136"/>
      <c r="OCO50" s="136"/>
      <c r="OCP50" s="136"/>
      <c r="OCQ50" s="136"/>
      <c r="OCR50" s="136"/>
      <c r="OCS50" s="136"/>
      <c r="OCT50" s="136"/>
      <c r="OCU50" s="136"/>
      <c r="OCV50" s="136"/>
      <c r="OCW50" s="136"/>
      <c r="OCX50" s="136"/>
      <c r="OCY50" s="136"/>
      <c r="OCZ50" s="136"/>
      <c r="ODA50" s="136"/>
      <c r="ODB50" s="136"/>
      <c r="ODC50" s="136"/>
      <c r="ODD50" s="136"/>
      <c r="ODE50" s="136"/>
      <c r="ODF50" s="136"/>
      <c r="ODG50" s="136"/>
      <c r="ODH50" s="136"/>
      <c r="ODI50" s="136"/>
      <c r="ODJ50" s="136"/>
      <c r="ODK50" s="136"/>
      <c r="ODL50" s="136"/>
      <c r="ODM50" s="136"/>
      <c r="ODN50" s="136"/>
      <c r="ODO50" s="136"/>
      <c r="ODP50" s="136"/>
      <c r="ODQ50" s="136"/>
      <c r="ODR50" s="136"/>
      <c r="ODS50" s="136"/>
      <c r="ODT50" s="136"/>
      <c r="ODU50" s="136"/>
      <c r="ODV50" s="136"/>
      <c r="ODW50" s="136"/>
      <c r="ODX50" s="136"/>
      <c r="ODY50" s="136"/>
      <c r="ODZ50" s="136"/>
      <c r="OEA50" s="136"/>
      <c r="OEB50" s="136"/>
      <c r="OEC50" s="136"/>
      <c r="OED50" s="136"/>
      <c r="OEE50" s="136"/>
      <c r="OEF50" s="136"/>
      <c r="OEG50" s="136"/>
      <c r="OEH50" s="136"/>
      <c r="OEI50" s="136"/>
      <c r="OEJ50" s="136"/>
      <c r="OEK50" s="136"/>
      <c r="OEL50" s="136"/>
      <c r="OEM50" s="136"/>
      <c r="OEN50" s="136"/>
      <c r="OEO50" s="136"/>
      <c r="OEP50" s="136"/>
      <c r="OEQ50" s="136"/>
      <c r="OER50" s="136"/>
      <c r="OES50" s="136"/>
      <c r="OET50" s="136"/>
      <c r="OEU50" s="136"/>
      <c r="OEV50" s="136"/>
      <c r="OEW50" s="136"/>
      <c r="OEX50" s="136"/>
      <c r="OEY50" s="136"/>
      <c r="OEZ50" s="136"/>
      <c r="OFA50" s="136"/>
      <c r="OFB50" s="136"/>
      <c r="OFC50" s="136"/>
      <c r="OFD50" s="136"/>
      <c r="OFE50" s="136"/>
      <c r="OFF50" s="136"/>
      <c r="OFG50" s="136"/>
      <c r="OFH50" s="136"/>
      <c r="OFI50" s="136"/>
      <c r="OFJ50" s="136"/>
      <c r="OFK50" s="136"/>
      <c r="OFL50" s="136"/>
      <c r="OFM50" s="136"/>
      <c r="OFN50" s="136"/>
      <c r="OFO50" s="136"/>
      <c r="OFP50" s="136"/>
      <c r="OFQ50" s="136"/>
      <c r="OFR50" s="136"/>
      <c r="OFS50" s="136"/>
      <c r="OFT50" s="136"/>
      <c r="OFU50" s="136"/>
      <c r="OFV50" s="136"/>
      <c r="OFW50" s="136"/>
      <c r="OFX50" s="136"/>
      <c r="OFY50" s="136"/>
      <c r="OFZ50" s="136"/>
      <c r="OGA50" s="136"/>
      <c r="OGB50" s="136"/>
      <c r="OGC50" s="136"/>
      <c r="OGD50" s="136"/>
      <c r="OGE50" s="136"/>
      <c r="OGF50" s="136"/>
      <c r="OGG50" s="136"/>
      <c r="OGH50" s="136"/>
      <c r="OGI50" s="136"/>
      <c r="OGJ50" s="136"/>
      <c r="OGK50" s="136"/>
      <c r="OGL50" s="136"/>
      <c r="OGM50" s="136"/>
      <c r="OGN50" s="136"/>
      <c r="OGO50" s="136"/>
      <c r="OGP50" s="136"/>
      <c r="OGQ50" s="136"/>
      <c r="OGR50" s="136"/>
      <c r="OGS50" s="136"/>
      <c r="OGT50" s="136"/>
      <c r="OGU50" s="136"/>
      <c r="OGV50" s="136"/>
      <c r="OGW50" s="136"/>
      <c r="OGX50" s="136"/>
      <c r="OGY50" s="136"/>
      <c r="OGZ50" s="136"/>
      <c r="OHA50" s="136"/>
      <c r="OHB50" s="136"/>
      <c r="OHC50" s="136"/>
      <c r="OHD50" s="136"/>
      <c r="OHE50" s="136"/>
      <c r="OHF50" s="136"/>
      <c r="OHG50" s="136"/>
      <c r="OHH50" s="136"/>
      <c r="OHI50" s="136"/>
      <c r="OHJ50" s="136"/>
      <c r="OHK50" s="136"/>
      <c r="OHL50" s="136"/>
      <c r="OHM50" s="136"/>
      <c r="OHN50" s="136"/>
      <c r="OHO50" s="136"/>
      <c r="OHP50" s="136"/>
      <c r="OHQ50" s="136"/>
      <c r="OHR50" s="136"/>
      <c r="OHS50" s="136"/>
      <c r="OHT50" s="136"/>
      <c r="OHU50" s="136"/>
      <c r="OHV50" s="136"/>
      <c r="OHW50" s="136"/>
      <c r="OHX50" s="136"/>
      <c r="OHY50" s="136"/>
      <c r="OHZ50" s="136"/>
      <c r="OIA50" s="136"/>
      <c r="OIB50" s="136"/>
      <c r="OIC50" s="136"/>
      <c r="OID50" s="136"/>
      <c r="OIE50" s="136"/>
      <c r="OIF50" s="136"/>
      <c r="OIG50" s="136"/>
      <c r="OIH50" s="136"/>
      <c r="OII50" s="136"/>
      <c r="OIJ50" s="136"/>
      <c r="OIK50" s="136"/>
      <c r="OIL50" s="136"/>
      <c r="OIM50" s="136"/>
      <c r="OIN50" s="136"/>
      <c r="OIO50" s="136"/>
      <c r="OIP50" s="136"/>
      <c r="OIQ50" s="136"/>
      <c r="OIR50" s="136"/>
      <c r="OIS50" s="136"/>
      <c r="OIT50" s="136"/>
      <c r="OIU50" s="136"/>
      <c r="OIV50" s="136"/>
      <c r="OIW50" s="136"/>
      <c r="OIX50" s="136"/>
      <c r="OIY50" s="136"/>
      <c r="OIZ50" s="136"/>
      <c r="OJA50" s="136"/>
      <c r="OJB50" s="136"/>
      <c r="OJC50" s="136"/>
      <c r="OJD50" s="136"/>
      <c r="OJE50" s="136"/>
      <c r="OJF50" s="136"/>
      <c r="OJG50" s="136"/>
      <c r="OJH50" s="136"/>
      <c r="OJI50" s="136"/>
      <c r="OJJ50" s="136"/>
      <c r="OJK50" s="136"/>
      <c r="OJL50" s="136"/>
      <c r="OJM50" s="136"/>
      <c r="OJN50" s="136"/>
      <c r="OJO50" s="136"/>
      <c r="OJP50" s="136"/>
      <c r="OJQ50" s="136"/>
      <c r="OJR50" s="136"/>
      <c r="OJS50" s="136"/>
      <c r="OJT50" s="136"/>
      <c r="OJU50" s="136"/>
      <c r="OJV50" s="136"/>
      <c r="OJW50" s="136"/>
      <c r="OJX50" s="136"/>
      <c r="OJY50" s="136"/>
      <c r="OJZ50" s="136"/>
      <c r="OKA50" s="136"/>
      <c r="OKB50" s="136"/>
      <c r="OKC50" s="136"/>
      <c r="OKD50" s="136"/>
      <c r="OKE50" s="136"/>
      <c r="OKF50" s="136"/>
      <c r="OKG50" s="136"/>
      <c r="OKH50" s="136"/>
      <c r="OKI50" s="136"/>
      <c r="OKJ50" s="136"/>
      <c r="OKK50" s="136"/>
      <c r="OKL50" s="136"/>
      <c r="OKM50" s="136"/>
      <c r="OKN50" s="136"/>
      <c r="OKO50" s="136"/>
      <c r="OKP50" s="136"/>
      <c r="OKQ50" s="136"/>
      <c r="OKR50" s="136"/>
      <c r="OKS50" s="136"/>
      <c r="OKT50" s="136"/>
      <c r="OKU50" s="136"/>
      <c r="OKV50" s="136"/>
      <c r="OKW50" s="136"/>
      <c r="OKX50" s="136"/>
      <c r="OKY50" s="136"/>
      <c r="OKZ50" s="136"/>
      <c r="OLA50" s="136"/>
      <c r="OLB50" s="136"/>
      <c r="OLC50" s="136"/>
      <c r="OLD50" s="136"/>
      <c r="OLE50" s="136"/>
      <c r="OLF50" s="136"/>
      <c r="OLG50" s="136"/>
      <c r="OLH50" s="136"/>
      <c r="OLI50" s="136"/>
      <c r="OLJ50" s="136"/>
      <c r="OLK50" s="136"/>
      <c r="OLL50" s="136"/>
      <c r="OLM50" s="136"/>
      <c r="OLN50" s="136"/>
      <c r="OLO50" s="136"/>
      <c r="OLP50" s="136"/>
      <c r="OLQ50" s="136"/>
      <c r="OLR50" s="136"/>
      <c r="OLS50" s="136"/>
      <c r="OLT50" s="136"/>
      <c r="OLU50" s="136"/>
      <c r="OLV50" s="136"/>
      <c r="OLW50" s="136"/>
      <c r="OLX50" s="136"/>
      <c r="OLY50" s="136"/>
      <c r="OLZ50" s="136"/>
      <c r="OMA50" s="136"/>
      <c r="OMB50" s="136"/>
      <c r="OMC50" s="136"/>
      <c r="OMD50" s="136"/>
      <c r="OME50" s="136"/>
      <c r="OMF50" s="136"/>
      <c r="OMG50" s="136"/>
      <c r="OMH50" s="136"/>
      <c r="OMI50" s="136"/>
      <c r="OMJ50" s="136"/>
      <c r="OMK50" s="136"/>
      <c r="OML50" s="136"/>
      <c r="OMM50" s="136"/>
      <c r="OMN50" s="136"/>
      <c r="OMO50" s="136"/>
      <c r="OMP50" s="136"/>
      <c r="OMQ50" s="136"/>
      <c r="OMR50" s="136"/>
      <c r="OMS50" s="136"/>
      <c r="OMT50" s="136"/>
      <c r="OMU50" s="136"/>
      <c r="OMV50" s="136"/>
      <c r="OMW50" s="136"/>
      <c r="OMX50" s="136"/>
      <c r="OMY50" s="136"/>
      <c r="OMZ50" s="136"/>
      <c r="ONA50" s="136"/>
      <c r="ONB50" s="136"/>
      <c r="ONC50" s="136"/>
      <c r="OND50" s="136"/>
      <c r="ONE50" s="136"/>
      <c r="ONF50" s="136"/>
      <c r="ONG50" s="136"/>
      <c r="ONH50" s="136"/>
      <c r="ONI50" s="136"/>
      <c r="ONJ50" s="136"/>
      <c r="ONK50" s="136"/>
      <c r="ONL50" s="136"/>
      <c r="ONM50" s="136"/>
      <c r="ONN50" s="136"/>
      <c r="ONO50" s="136"/>
      <c r="ONP50" s="136"/>
      <c r="ONQ50" s="136"/>
      <c r="ONR50" s="136"/>
      <c r="ONS50" s="136"/>
      <c r="ONT50" s="136"/>
      <c r="ONU50" s="136"/>
      <c r="ONV50" s="136"/>
      <c r="ONW50" s="136"/>
      <c r="ONX50" s="136"/>
      <c r="ONY50" s="136"/>
      <c r="ONZ50" s="136"/>
      <c r="OOA50" s="136"/>
      <c r="OOB50" s="136"/>
      <c r="OOC50" s="136"/>
      <c r="OOD50" s="136"/>
      <c r="OOE50" s="136"/>
      <c r="OOF50" s="136"/>
      <c r="OOG50" s="136"/>
      <c r="OOH50" s="136"/>
      <c r="OOI50" s="136"/>
      <c r="OOJ50" s="136"/>
      <c r="OOK50" s="136"/>
      <c r="OOL50" s="136"/>
      <c r="OOM50" s="136"/>
      <c r="OON50" s="136"/>
      <c r="OOO50" s="136"/>
      <c r="OOP50" s="136"/>
      <c r="OOQ50" s="136"/>
      <c r="OOR50" s="136"/>
      <c r="OOS50" s="136"/>
      <c r="OOT50" s="136"/>
      <c r="OOU50" s="136"/>
      <c r="OOV50" s="136"/>
      <c r="OOW50" s="136"/>
      <c r="OOX50" s="136"/>
      <c r="OOY50" s="136"/>
      <c r="OOZ50" s="136"/>
      <c r="OPA50" s="136"/>
      <c r="OPB50" s="136"/>
      <c r="OPC50" s="136"/>
      <c r="OPD50" s="136"/>
      <c r="OPE50" s="136"/>
      <c r="OPF50" s="136"/>
      <c r="OPG50" s="136"/>
      <c r="OPH50" s="136"/>
      <c r="OPI50" s="136"/>
      <c r="OPJ50" s="136"/>
      <c r="OPK50" s="136"/>
      <c r="OPL50" s="136"/>
      <c r="OPM50" s="136"/>
      <c r="OPN50" s="136"/>
      <c r="OPO50" s="136"/>
      <c r="OPP50" s="136"/>
      <c r="OPQ50" s="136"/>
      <c r="OPR50" s="136"/>
      <c r="OPS50" s="136"/>
      <c r="OPT50" s="136"/>
      <c r="OPU50" s="136"/>
      <c r="OPV50" s="136"/>
      <c r="OPW50" s="136"/>
      <c r="OPX50" s="136"/>
      <c r="OPY50" s="136"/>
      <c r="OPZ50" s="136"/>
      <c r="OQA50" s="136"/>
      <c r="OQB50" s="136"/>
      <c r="OQC50" s="136"/>
      <c r="OQD50" s="136"/>
      <c r="OQE50" s="136"/>
      <c r="OQF50" s="136"/>
      <c r="OQG50" s="136"/>
      <c r="OQH50" s="136"/>
      <c r="OQI50" s="136"/>
      <c r="OQJ50" s="136"/>
      <c r="OQK50" s="136"/>
      <c r="OQL50" s="136"/>
      <c r="OQM50" s="136"/>
      <c r="OQN50" s="136"/>
      <c r="OQO50" s="136"/>
      <c r="OQP50" s="136"/>
      <c r="OQQ50" s="136"/>
      <c r="OQR50" s="136"/>
      <c r="OQS50" s="136"/>
      <c r="OQT50" s="136"/>
      <c r="OQU50" s="136"/>
      <c r="OQV50" s="136"/>
      <c r="OQW50" s="136"/>
      <c r="OQX50" s="136"/>
      <c r="OQY50" s="136"/>
      <c r="OQZ50" s="136"/>
      <c r="ORA50" s="136"/>
      <c r="ORB50" s="136"/>
      <c r="ORC50" s="136"/>
      <c r="ORD50" s="136"/>
      <c r="ORE50" s="136"/>
      <c r="ORF50" s="136"/>
      <c r="ORG50" s="136"/>
      <c r="ORH50" s="136"/>
      <c r="ORI50" s="136"/>
      <c r="ORJ50" s="136"/>
      <c r="ORK50" s="136"/>
      <c r="ORL50" s="136"/>
      <c r="ORM50" s="136"/>
      <c r="ORN50" s="136"/>
      <c r="ORO50" s="136"/>
      <c r="ORP50" s="136"/>
      <c r="ORQ50" s="136"/>
      <c r="ORR50" s="136"/>
      <c r="ORS50" s="136"/>
      <c r="ORT50" s="136"/>
      <c r="ORU50" s="136"/>
      <c r="ORV50" s="136"/>
      <c r="ORW50" s="136"/>
      <c r="ORX50" s="136"/>
      <c r="ORY50" s="136"/>
      <c r="ORZ50" s="136"/>
      <c r="OSA50" s="136"/>
      <c r="OSB50" s="136"/>
      <c r="OSC50" s="136"/>
      <c r="OSD50" s="136"/>
      <c r="OSE50" s="136"/>
      <c r="OSF50" s="136"/>
      <c r="OSG50" s="136"/>
      <c r="OSH50" s="136"/>
      <c r="OSI50" s="136"/>
      <c r="OSJ50" s="136"/>
      <c r="OSK50" s="136"/>
      <c r="OSL50" s="136"/>
      <c r="OSM50" s="136"/>
      <c r="OSN50" s="136"/>
      <c r="OSO50" s="136"/>
      <c r="OSP50" s="136"/>
      <c r="OSQ50" s="136"/>
      <c r="OSR50" s="136"/>
      <c r="OSS50" s="136"/>
      <c r="OST50" s="136"/>
      <c r="OSU50" s="136"/>
      <c r="OSV50" s="136"/>
      <c r="OSW50" s="136"/>
      <c r="OSX50" s="136"/>
      <c r="OSY50" s="136"/>
      <c r="OSZ50" s="136"/>
      <c r="OTA50" s="136"/>
      <c r="OTB50" s="136"/>
      <c r="OTC50" s="136"/>
      <c r="OTD50" s="136"/>
      <c r="OTE50" s="136"/>
      <c r="OTF50" s="136"/>
      <c r="OTG50" s="136"/>
      <c r="OTH50" s="136"/>
      <c r="OTI50" s="136"/>
      <c r="OTJ50" s="136"/>
      <c r="OTK50" s="136"/>
      <c r="OTL50" s="136"/>
      <c r="OTM50" s="136"/>
      <c r="OTN50" s="136"/>
      <c r="OTO50" s="136"/>
      <c r="OTP50" s="136"/>
      <c r="OTQ50" s="136"/>
      <c r="OTR50" s="136"/>
      <c r="OTS50" s="136"/>
      <c r="OTT50" s="136"/>
      <c r="OTU50" s="136"/>
      <c r="OTV50" s="136"/>
      <c r="OTW50" s="136"/>
      <c r="OTX50" s="136"/>
      <c r="OTY50" s="136"/>
      <c r="OTZ50" s="136"/>
      <c r="OUA50" s="136"/>
      <c r="OUB50" s="136"/>
      <c r="OUC50" s="136"/>
      <c r="OUD50" s="136"/>
      <c r="OUE50" s="136"/>
      <c r="OUF50" s="136"/>
      <c r="OUG50" s="136"/>
      <c r="OUH50" s="136"/>
      <c r="OUI50" s="136"/>
      <c r="OUJ50" s="136"/>
      <c r="OUK50" s="136"/>
      <c r="OUL50" s="136"/>
      <c r="OUM50" s="136"/>
      <c r="OUN50" s="136"/>
      <c r="OUO50" s="136"/>
      <c r="OUP50" s="136"/>
      <c r="OUQ50" s="136"/>
      <c r="OUR50" s="136"/>
      <c r="OUS50" s="136"/>
      <c r="OUT50" s="136"/>
      <c r="OUU50" s="136"/>
      <c r="OUV50" s="136"/>
      <c r="OUW50" s="136"/>
      <c r="OUX50" s="136"/>
      <c r="OUY50" s="136"/>
      <c r="OUZ50" s="136"/>
      <c r="OVA50" s="136"/>
      <c r="OVB50" s="136"/>
      <c r="OVC50" s="136"/>
      <c r="OVD50" s="136"/>
      <c r="OVE50" s="136"/>
      <c r="OVF50" s="136"/>
      <c r="OVG50" s="136"/>
      <c r="OVH50" s="136"/>
      <c r="OVI50" s="136"/>
      <c r="OVJ50" s="136"/>
      <c r="OVK50" s="136"/>
      <c r="OVL50" s="136"/>
      <c r="OVM50" s="136"/>
      <c r="OVN50" s="136"/>
      <c r="OVO50" s="136"/>
      <c r="OVP50" s="136"/>
      <c r="OVQ50" s="136"/>
      <c r="OVR50" s="136"/>
      <c r="OVS50" s="136"/>
      <c r="OVT50" s="136"/>
      <c r="OVU50" s="136"/>
      <c r="OVV50" s="136"/>
      <c r="OVW50" s="136"/>
      <c r="OVX50" s="136"/>
      <c r="OVY50" s="136"/>
      <c r="OVZ50" s="136"/>
      <c r="OWA50" s="136"/>
      <c r="OWB50" s="136"/>
      <c r="OWC50" s="136"/>
      <c r="OWD50" s="136"/>
      <c r="OWE50" s="136"/>
      <c r="OWF50" s="136"/>
      <c r="OWG50" s="136"/>
      <c r="OWH50" s="136"/>
      <c r="OWI50" s="136"/>
      <c r="OWJ50" s="136"/>
      <c r="OWK50" s="136"/>
      <c r="OWL50" s="136"/>
      <c r="OWM50" s="136"/>
      <c r="OWN50" s="136"/>
      <c r="OWO50" s="136"/>
      <c r="OWP50" s="136"/>
      <c r="OWQ50" s="136"/>
      <c r="OWR50" s="136"/>
      <c r="OWS50" s="136"/>
      <c r="OWT50" s="136"/>
      <c r="OWU50" s="136"/>
      <c r="OWV50" s="136"/>
      <c r="OWW50" s="136"/>
      <c r="OWX50" s="136"/>
      <c r="OWY50" s="136"/>
      <c r="OWZ50" s="136"/>
      <c r="OXA50" s="136"/>
      <c r="OXB50" s="136"/>
      <c r="OXC50" s="136"/>
      <c r="OXD50" s="136"/>
      <c r="OXE50" s="136"/>
      <c r="OXF50" s="136"/>
      <c r="OXG50" s="136"/>
      <c r="OXH50" s="136"/>
      <c r="OXI50" s="136"/>
      <c r="OXJ50" s="136"/>
      <c r="OXK50" s="136"/>
      <c r="OXL50" s="136"/>
      <c r="OXM50" s="136"/>
      <c r="OXN50" s="136"/>
      <c r="OXO50" s="136"/>
      <c r="OXP50" s="136"/>
      <c r="OXQ50" s="136"/>
      <c r="OXR50" s="136"/>
      <c r="OXS50" s="136"/>
      <c r="OXT50" s="136"/>
      <c r="OXU50" s="136"/>
      <c r="OXV50" s="136"/>
      <c r="OXW50" s="136"/>
      <c r="OXX50" s="136"/>
      <c r="OXY50" s="136"/>
      <c r="OXZ50" s="136"/>
      <c r="OYA50" s="136"/>
      <c r="OYB50" s="136"/>
      <c r="OYC50" s="136"/>
      <c r="OYD50" s="136"/>
      <c r="OYE50" s="136"/>
      <c r="OYF50" s="136"/>
      <c r="OYG50" s="136"/>
      <c r="OYH50" s="136"/>
      <c r="OYI50" s="136"/>
      <c r="OYJ50" s="136"/>
      <c r="OYK50" s="136"/>
      <c r="OYL50" s="136"/>
      <c r="OYM50" s="136"/>
      <c r="OYN50" s="136"/>
      <c r="OYO50" s="136"/>
      <c r="OYP50" s="136"/>
      <c r="OYQ50" s="136"/>
      <c r="OYR50" s="136"/>
      <c r="OYS50" s="136"/>
      <c r="OYT50" s="136"/>
      <c r="OYU50" s="136"/>
      <c r="OYV50" s="136"/>
      <c r="OYW50" s="136"/>
      <c r="OYX50" s="136"/>
      <c r="OYY50" s="136"/>
      <c r="OYZ50" s="136"/>
      <c r="OZA50" s="136"/>
      <c r="OZB50" s="136"/>
      <c r="OZC50" s="136"/>
      <c r="OZD50" s="136"/>
      <c r="OZE50" s="136"/>
      <c r="OZF50" s="136"/>
      <c r="OZG50" s="136"/>
      <c r="OZH50" s="136"/>
      <c r="OZI50" s="136"/>
      <c r="OZJ50" s="136"/>
      <c r="OZK50" s="136"/>
      <c r="OZL50" s="136"/>
      <c r="OZM50" s="136"/>
      <c r="OZN50" s="136"/>
      <c r="OZO50" s="136"/>
      <c r="OZP50" s="136"/>
      <c r="OZQ50" s="136"/>
      <c r="OZR50" s="136"/>
      <c r="OZS50" s="136"/>
      <c r="OZT50" s="136"/>
      <c r="OZU50" s="136"/>
      <c r="OZV50" s="136"/>
      <c r="OZW50" s="136"/>
      <c r="OZX50" s="136"/>
      <c r="OZY50" s="136"/>
      <c r="OZZ50" s="136"/>
      <c r="PAA50" s="136"/>
      <c r="PAB50" s="136"/>
      <c r="PAC50" s="136"/>
      <c r="PAD50" s="136"/>
      <c r="PAE50" s="136"/>
      <c r="PAF50" s="136"/>
      <c r="PAG50" s="136"/>
      <c r="PAH50" s="136"/>
      <c r="PAI50" s="136"/>
      <c r="PAJ50" s="136"/>
      <c r="PAK50" s="136"/>
      <c r="PAL50" s="136"/>
      <c r="PAM50" s="136"/>
      <c r="PAN50" s="136"/>
      <c r="PAO50" s="136"/>
      <c r="PAP50" s="136"/>
      <c r="PAQ50" s="136"/>
      <c r="PAR50" s="136"/>
      <c r="PAS50" s="136"/>
      <c r="PAT50" s="136"/>
      <c r="PAU50" s="136"/>
      <c r="PAV50" s="136"/>
      <c r="PAW50" s="136"/>
      <c r="PAX50" s="136"/>
      <c r="PAY50" s="136"/>
      <c r="PAZ50" s="136"/>
      <c r="PBA50" s="136"/>
      <c r="PBB50" s="136"/>
      <c r="PBC50" s="136"/>
      <c r="PBD50" s="136"/>
      <c r="PBE50" s="136"/>
      <c r="PBF50" s="136"/>
      <c r="PBG50" s="136"/>
      <c r="PBH50" s="136"/>
      <c r="PBI50" s="136"/>
      <c r="PBJ50" s="136"/>
      <c r="PBK50" s="136"/>
      <c r="PBL50" s="136"/>
      <c r="PBM50" s="136"/>
      <c r="PBN50" s="136"/>
      <c r="PBO50" s="136"/>
      <c r="PBP50" s="136"/>
      <c r="PBQ50" s="136"/>
      <c r="PBR50" s="136"/>
      <c r="PBS50" s="136"/>
      <c r="PBT50" s="136"/>
      <c r="PBU50" s="136"/>
      <c r="PBV50" s="136"/>
      <c r="PBW50" s="136"/>
      <c r="PBX50" s="136"/>
      <c r="PBY50" s="136"/>
      <c r="PBZ50" s="136"/>
      <c r="PCA50" s="136"/>
      <c r="PCB50" s="136"/>
      <c r="PCC50" s="136"/>
      <c r="PCD50" s="136"/>
      <c r="PCE50" s="136"/>
      <c r="PCF50" s="136"/>
      <c r="PCG50" s="136"/>
      <c r="PCH50" s="136"/>
      <c r="PCI50" s="136"/>
      <c r="PCJ50" s="136"/>
      <c r="PCK50" s="136"/>
      <c r="PCL50" s="136"/>
      <c r="PCM50" s="136"/>
      <c r="PCN50" s="136"/>
      <c r="PCO50" s="136"/>
      <c r="PCP50" s="136"/>
      <c r="PCQ50" s="136"/>
      <c r="PCR50" s="136"/>
      <c r="PCS50" s="136"/>
      <c r="PCT50" s="136"/>
      <c r="PCU50" s="136"/>
      <c r="PCV50" s="136"/>
      <c r="PCW50" s="136"/>
      <c r="PCX50" s="136"/>
      <c r="PCY50" s="136"/>
      <c r="PCZ50" s="136"/>
      <c r="PDA50" s="136"/>
      <c r="PDB50" s="136"/>
      <c r="PDC50" s="136"/>
      <c r="PDD50" s="136"/>
      <c r="PDE50" s="136"/>
      <c r="PDF50" s="136"/>
      <c r="PDG50" s="136"/>
      <c r="PDH50" s="136"/>
      <c r="PDI50" s="136"/>
      <c r="PDJ50" s="136"/>
      <c r="PDK50" s="136"/>
      <c r="PDL50" s="136"/>
      <c r="PDM50" s="136"/>
      <c r="PDN50" s="136"/>
      <c r="PDO50" s="136"/>
      <c r="PDP50" s="136"/>
      <c r="PDQ50" s="136"/>
      <c r="PDR50" s="136"/>
      <c r="PDS50" s="136"/>
      <c r="PDT50" s="136"/>
      <c r="PDU50" s="136"/>
      <c r="PDV50" s="136"/>
      <c r="PDW50" s="136"/>
      <c r="PDX50" s="136"/>
      <c r="PDY50" s="136"/>
      <c r="PDZ50" s="136"/>
      <c r="PEA50" s="136"/>
      <c r="PEB50" s="136"/>
      <c r="PEC50" s="136"/>
      <c r="PED50" s="136"/>
      <c r="PEE50" s="136"/>
      <c r="PEF50" s="136"/>
      <c r="PEG50" s="136"/>
      <c r="PEH50" s="136"/>
      <c r="PEI50" s="136"/>
      <c r="PEJ50" s="136"/>
      <c r="PEK50" s="136"/>
      <c r="PEL50" s="136"/>
      <c r="PEM50" s="136"/>
      <c r="PEN50" s="136"/>
      <c r="PEO50" s="136"/>
      <c r="PEP50" s="136"/>
      <c r="PEQ50" s="136"/>
      <c r="PER50" s="136"/>
      <c r="PES50" s="136"/>
      <c r="PET50" s="136"/>
      <c r="PEU50" s="136"/>
      <c r="PEV50" s="136"/>
      <c r="PEW50" s="136"/>
      <c r="PEX50" s="136"/>
      <c r="PEY50" s="136"/>
      <c r="PEZ50" s="136"/>
      <c r="PFA50" s="136"/>
      <c r="PFB50" s="136"/>
      <c r="PFC50" s="136"/>
      <c r="PFD50" s="136"/>
      <c r="PFE50" s="136"/>
      <c r="PFF50" s="136"/>
      <c r="PFG50" s="136"/>
      <c r="PFH50" s="136"/>
      <c r="PFI50" s="136"/>
      <c r="PFJ50" s="136"/>
      <c r="PFK50" s="136"/>
      <c r="PFL50" s="136"/>
      <c r="PFM50" s="136"/>
      <c r="PFN50" s="136"/>
      <c r="PFO50" s="136"/>
      <c r="PFP50" s="136"/>
      <c r="PFQ50" s="136"/>
      <c r="PFR50" s="136"/>
      <c r="PFS50" s="136"/>
      <c r="PFT50" s="136"/>
      <c r="PFU50" s="136"/>
      <c r="PFV50" s="136"/>
      <c r="PFW50" s="136"/>
      <c r="PFX50" s="136"/>
      <c r="PFY50" s="136"/>
      <c r="PFZ50" s="136"/>
      <c r="PGA50" s="136"/>
      <c r="PGB50" s="136"/>
      <c r="PGC50" s="136"/>
      <c r="PGD50" s="136"/>
      <c r="PGE50" s="136"/>
      <c r="PGF50" s="136"/>
      <c r="PGG50" s="136"/>
      <c r="PGH50" s="136"/>
      <c r="PGI50" s="136"/>
      <c r="PGJ50" s="136"/>
      <c r="PGK50" s="136"/>
      <c r="PGL50" s="136"/>
      <c r="PGM50" s="136"/>
      <c r="PGN50" s="136"/>
      <c r="PGO50" s="136"/>
      <c r="PGP50" s="136"/>
      <c r="PGQ50" s="136"/>
      <c r="PGR50" s="136"/>
      <c r="PGS50" s="136"/>
      <c r="PGT50" s="136"/>
      <c r="PGU50" s="136"/>
      <c r="PGV50" s="136"/>
      <c r="PGW50" s="136"/>
      <c r="PGX50" s="136"/>
      <c r="PGY50" s="136"/>
      <c r="PGZ50" s="136"/>
      <c r="PHA50" s="136"/>
      <c r="PHB50" s="136"/>
      <c r="PHC50" s="136"/>
      <c r="PHD50" s="136"/>
      <c r="PHE50" s="136"/>
      <c r="PHF50" s="136"/>
      <c r="PHG50" s="136"/>
      <c r="PHH50" s="136"/>
      <c r="PHI50" s="136"/>
      <c r="PHJ50" s="136"/>
      <c r="PHK50" s="136"/>
      <c r="PHL50" s="136"/>
      <c r="PHM50" s="136"/>
      <c r="PHN50" s="136"/>
      <c r="PHO50" s="136"/>
      <c r="PHP50" s="136"/>
      <c r="PHQ50" s="136"/>
      <c r="PHR50" s="136"/>
      <c r="PHS50" s="136"/>
      <c r="PHT50" s="136"/>
      <c r="PHU50" s="136"/>
      <c r="PHV50" s="136"/>
      <c r="PHW50" s="136"/>
      <c r="PHX50" s="136"/>
      <c r="PHY50" s="136"/>
      <c r="PHZ50" s="136"/>
      <c r="PIA50" s="136"/>
      <c r="PIB50" s="136"/>
      <c r="PIC50" s="136"/>
      <c r="PID50" s="136"/>
      <c r="PIE50" s="136"/>
      <c r="PIF50" s="136"/>
      <c r="PIG50" s="136"/>
      <c r="PIH50" s="136"/>
      <c r="PII50" s="136"/>
      <c r="PIJ50" s="136"/>
      <c r="PIK50" s="136"/>
      <c r="PIL50" s="136"/>
      <c r="PIM50" s="136"/>
      <c r="PIN50" s="136"/>
      <c r="PIO50" s="136"/>
      <c r="PIP50" s="136"/>
      <c r="PIQ50" s="136"/>
      <c r="PIR50" s="136"/>
      <c r="PIS50" s="136"/>
      <c r="PIT50" s="136"/>
      <c r="PIU50" s="136"/>
      <c r="PIV50" s="136"/>
      <c r="PIW50" s="136"/>
      <c r="PIX50" s="136"/>
      <c r="PIY50" s="136"/>
      <c r="PIZ50" s="136"/>
      <c r="PJA50" s="136"/>
      <c r="PJB50" s="136"/>
      <c r="PJC50" s="136"/>
      <c r="PJD50" s="136"/>
      <c r="PJE50" s="136"/>
      <c r="PJF50" s="136"/>
      <c r="PJG50" s="136"/>
      <c r="PJH50" s="136"/>
      <c r="PJI50" s="136"/>
      <c r="PJJ50" s="136"/>
      <c r="PJK50" s="136"/>
      <c r="PJL50" s="136"/>
      <c r="PJM50" s="136"/>
      <c r="PJN50" s="136"/>
      <c r="PJO50" s="136"/>
      <c r="PJP50" s="136"/>
      <c r="PJQ50" s="136"/>
      <c r="PJR50" s="136"/>
      <c r="PJS50" s="136"/>
      <c r="PJT50" s="136"/>
      <c r="PJU50" s="136"/>
      <c r="PJV50" s="136"/>
      <c r="PJW50" s="136"/>
      <c r="PJX50" s="136"/>
      <c r="PJY50" s="136"/>
      <c r="PJZ50" s="136"/>
      <c r="PKA50" s="136"/>
      <c r="PKB50" s="136"/>
      <c r="PKC50" s="136"/>
      <c r="PKD50" s="136"/>
      <c r="PKE50" s="136"/>
      <c r="PKF50" s="136"/>
      <c r="PKG50" s="136"/>
      <c r="PKH50" s="136"/>
      <c r="PKI50" s="136"/>
      <c r="PKJ50" s="136"/>
      <c r="PKK50" s="136"/>
      <c r="PKL50" s="136"/>
      <c r="PKM50" s="136"/>
      <c r="PKN50" s="136"/>
      <c r="PKO50" s="136"/>
      <c r="PKP50" s="136"/>
      <c r="PKQ50" s="136"/>
      <c r="PKR50" s="136"/>
      <c r="PKS50" s="136"/>
      <c r="PKT50" s="136"/>
      <c r="PKU50" s="136"/>
      <c r="PKV50" s="136"/>
      <c r="PKW50" s="136"/>
      <c r="PKX50" s="136"/>
      <c r="PKY50" s="136"/>
      <c r="PKZ50" s="136"/>
      <c r="PLA50" s="136"/>
      <c r="PLB50" s="136"/>
      <c r="PLC50" s="136"/>
      <c r="PLD50" s="136"/>
      <c r="PLE50" s="136"/>
      <c r="PLF50" s="136"/>
      <c r="PLG50" s="136"/>
      <c r="PLH50" s="136"/>
      <c r="PLI50" s="136"/>
      <c r="PLJ50" s="136"/>
      <c r="PLK50" s="136"/>
      <c r="PLL50" s="136"/>
      <c r="PLM50" s="136"/>
      <c r="PLN50" s="136"/>
      <c r="PLO50" s="136"/>
      <c r="PLP50" s="136"/>
      <c r="PLQ50" s="136"/>
      <c r="PLR50" s="136"/>
      <c r="PLS50" s="136"/>
      <c r="PLT50" s="136"/>
      <c r="PLU50" s="136"/>
      <c r="PLV50" s="136"/>
      <c r="PLW50" s="136"/>
      <c r="PLX50" s="136"/>
      <c r="PLY50" s="136"/>
      <c r="PLZ50" s="136"/>
      <c r="PMA50" s="136"/>
      <c r="PMB50" s="136"/>
      <c r="PMC50" s="136"/>
      <c r="PMD50" s="136"/>
      <c r="PME50" s="136"/>
      <c r="PMF50" s="136"/>
      <c r="PMG50" s="136"/>
      <c r="PMH50" s="136"/>
      <c r="PMI50" s="136"/>
      <c r="PMJ50" s="136"/>
      <c r="PMK50" s="136"/>
      <c r="PML50" s="136"/>
      <c r="PMM50" s="136"/>
      <c r="PMN50" s="136"/>
      <c r="PMO50" s="136"/>
      <c r="PMP50" s="136"/>
      <c r="PMQ50" s="136"/>
      <c r="PMR50" s="136"/>
      <c r="PMS50" s="136"/>
      <c r="PMT50" s="136"/>
      <c r="PMU50" s="136"/>
      <c r="PMV50" s="136"/>
      <c r="PMW50" s="136"/>
      <c r="PMX50" s="136"/>
      <c r="PMY50" s="136"/>
      <c r="PMZ50" s="136"/>
      <c r="PNA50" s="136"/>
      <c r="PNB50" s="136"/>
      <c r="PNC50" s="136"/>
      <c r="PND50" s="136"/>
      <c r="PNE50" s="136"/>
      <c r="PNF50" s="136"/>
      <c r="PNG50" s="136"/>
      <c r="PNH50" s="136"/>
      <c r="PNI50" s="136"/>
      <c r="PNJ50" s="136"/>
      <c r="PNK50" s="136"/>
      <c r="PNL50" s="136"/>
      <c r="PNM50" s="136"/>
      <c r="PNN50" s="136"/>
      <c r="PNO50" s="136"/>
      <c r="PNP50" s="136"/>
      <c r="PNQ50" s="136"/>
      <c r="PNR50" s="136"/>
      <c r="PNS50" s="136"/>
      <c r="PNT50" s="136"/>
      <c r="PNU50" s="136"/>
      <c r="PNV50" s="136"/>
      <c r="PNW50" s="136"/>
      <c r="PNX50" s="136"/>
      <c r="PNY50" s="136"/>
      <c r="PNZ50" s="136"/>
      <c r="POA50" s="136"/>
      <c r="POB50" s="136"/>
      <c r="POC50" s="136"/>
      <c r="POD50" s="136"/>
      <c r="POE50" s="136"/>
      <c r="POF50" s="136"/>
      <c r="POG50" s="136"/>
      <c r="POH50" s="136"/>
      <c r="POI50" s="136"/>
      <c r="POJ50" s="136"/>
      <c r="POK50" s="136"/>
      <c r="POL50" s="136"/>
      <c r="POM50" s="136"/>
      <c r="PON50" s="136"/>
      <c r="POO50" s="136"/>
      <c r="POP50" s="136"/>
      <c r="POQ50" s="136"/>
      <c r="POR50" s="136"/>
      <c r="POS50" s="136"/>
      <c r="POT50" s="136"/>
      <c r="POU50" s="136"/>
      <c r="POV50" s="136"/>
      <c r="POW50" s="136"/>
      <c r="POX50" s="136"/>
      <c r="POY50" s="136"/>
      <c r="POZ50" s="136"/>
      <c r="PPA50" s="136"/>
      <c r="PPB50" s="136"/>
      <c r="PPC50" s="136"/>
      <c r="PPD50" s="136"/>
      <c r="PPE50" s="136"/>
      <c r="PPF50" s="136"/>
      <c r="PPG50" s="136"/>
      <c r="PPH50" s="136"/>
      <c r="PPI50" s="136"/>
      <c r="PPJ50" s="136"/>
      <c r="PPK50" s="136"/>
      <c r="PPL50" s="136"/>
      <c r="PPM50" s="136"/>
      <c r="PPN50" s="136"/>
      <c r="PPO50" s="136"/>
      <c r="PPP50" s="136"/>
      <c r="PPQ50" s="136"/>
      <c r="PPR50" s="136"/>
      <c r="PPS50" s="136"/>
      <c r="PPT50" s="136"/>
      <c r="PPU50" s="136"/>
      <c r="PPV50" s="136"/>
      <c r="PPW50" s="136"/>
      <c r="PPX50" s="136"/>
      <c r="PPY50" s="136"/>
      <c r="PPZ50" s="136"/>
      <c r="PQA50" s="136"/>
      <c r="PQB50" s="136"/>
      <c r="PQC50" s="136"/>
      <c r="PQD50" s="136"/>
      <c r="PQE50" s="136"/>
      <c r="PQF50" s="136"/>
      <c r="PQG50" s="136"/>
      <c r="PQH50" s="136"/>
      <c r="PQI50" s="136"/>
      <c r="PQJ50" s="136"/>
      <c r="PQK50" s="136"/>
      <c r="PQL50" s="136"/>
      <c r="PQM50" s="136"/>
      <c r="PQN50" s="136"/>
      <c r="PQO50" s="136"/>
      <c r="PQP50" s="136"/>
      <c r="PQQ50" s="136"/>
      <c r="PQR50" s="136"/>
      <c r="PQS50" s="136"/>
      <c r="PQT50" s="136"/>
      <c r="PQU50" s="136"/>
      <c r="PQV50" s="136"/>
      <c r="PQW50" s="136"/>
      <c r="PQX50" s="136"/>
      <c r="PQY50" s="136"/>
      <c r="PQZ50" s="136"/>
      <c r="PRA50" s="136"/>
      <c r="PRB50" s="136"/>
      <c r="PRC50" s="136"/>
      <c r="PRD50" s="136"/>
      <c r="PRE50" s="136"/>
      <c r="PRF50" s="136"/>
      <c r="PRG50" s="136"/>
      <c r="PRH50" s="136"/>
      <c r="PRI50" s="136"/>
      <c r="PRJ50" s="136"/>
      <c r="PRK50" s="136"/>
      <c r="PRL50" s="136"/>
      <c r="PRM50" s="136"/>
      <c r="PRN50" s="136"/>
      <c r="PRO50" s="136"/>
      <c r="PRP50" s="136"/>
      <c r="PRQ50" s="136"/>
      <c r="PRR50" s="136"/>
      <c r="PRS50" s="136"/>
      <c r="PRT50" s="136"/>
      <c r="PRU50" s="136"/>
      <c r="PRV50" s="136"/>
      <c r="PRW50" s="136"/>
      <c r="PRX50" s="136"/>
      <c r="PRY50" s="136"/>
      <c r="PRZ50" s="136"/>
      <c r="PSA50" s="136"/>
      <c r="PSB50" s="136"/>
      <c r="PSC50" s="136"/>
      <c r="PSD50" s="136"/>
      <c r="PSE50" s="136"/>
      <c r="PSF50" s="136"/>
      <c r="PSG50" s="136"/>
      <c r="PSH50" s="136"/>
      <c r="PSI50" s="136"/>
      <c r="PSJ50" s="136"/>
      <c r="PSK50" s="136"/>
      <c r="PSL50" s="136"/>
      <c r="PSM50" s="136"/>
      <c r="PSN50" s="136"/>
      <c r="PSO50" s="136"/>
      <c r="PSP50" s="136"/>
      <c r="PSQ50" s="136"/>
      <c r="PSR50" s="136"/>
      <c r="PSS50" s="136"/>
      <c r="PST50" s="136"/>
      <c r="PSU50" s="136"/>
      <c r="PSV50" s="136"/>
      <c r="PSW50" s="136"/>
      <c r="PSX50" s="136"/>
      <c r="PSY50" s="136"/>
      <c r="PSZ50" s="136"/>
      <c r="PTA50" s="136"/>
      <c r="PTB50" s="136"/>
      <c r="PTC50" s="136"/>
      <c r="PTD50" s="136"/>
      <c r="PTE50" s="136"/>
      <c r="PTF50" s="136"/>
      <c r="PTG50" s="136"/>
      <c r="PTH50" s="136"/>
      <c r="PTI50" s="136"/>
      <c r="PTJ50" s="136"/>
      <c r="PTK50" s="136"/>
      <c r="PTL50" s="136"/>
      <c r="PTM50" s="136"/>
      <c r="PTN50" s="136"/>
      <c r="PTO50" s="136"/>
      <c r="PTP50" s="136"/>
      <c r="PTQ50" s="136"/>
      <c r="PTR50" s="136"/>
      <c r="PTS50" s="136"/>
      <c r="PTT50" s="136"/>
      <c r="PTU50" s="136"/>
      <c r="PTV50" s="136"/>
      <c r="PTW50" s="136"/>
      <c r="PTX50" s="136"/>
      <c r="PTY50" s="136"/>
      <c r="PTZ50" s="136"/>
      <c r="PUA50" s="136"/>
      <c r="PUB50" s="136"/>
      <c r="PUC50" s="136"/>
      <c r="PUD50" s="136"/>
      <c r="PUE50" s="136"/>
      <c r="PUF50" s="136"/>
      <c r="PUG50" s="136"/>
      <c r="PUH50" s="136"/>
      <c r="PUI50" s="136"/>
      <c r="PUJ50" s="136"/>
      <c r="PUK50" s="136"/>
      <c r="PUL50" s="136"/>
      <c r="PUM50" s="136"/>
      <c r="PUN50" s="136"/>
      <c r="PUO50" s="136"/>
      <c r="PUP50" s="136"/>
      <c r="PUQ50" s="136"/>
      <c r="PUR50" s="136"/>
      <c r="PUS50" s="136"/>
      <c r="PUT50" s="136"/>
      <c r="PUU50" s="136"/>
      <c r="PUV50" s="136"/>
      <c r="PUW50" s="136"/>
      <c r="PUX50" s="136"/>
      <c r="PUY50" s="136"/>
      <c r="PUZ50" s="136"/>
      <c r="PVA50" s="136"/>
      <c r="PVB50" s="136"/>
      <c r="PVC50" s="136"/>
      <c r="PVD50" s="136"/>
      <c r="PVE50" s="136"/>
      <c r="PVF50" s="136"/>
      <c r="PVG50" s="136"/>
      <c r="PVH50" s="136"/>
      <c r="PVI50" s="136"/>
      <c r="PVJ50" s="136"/>
      <c r="PVK50" s="136"/>
      <c r="PVL50" s="136"/>
      <c r="PVM50" s="136"/>
      <c r="PVN50" s="136"/>
      <c r="PVO50" s="136"/>
      <c r="PVP50" s="136"/>
      <c r="PVQ50" s="136"/>
      <c r="PVR50" s="136"/>
      <c r="PVS50" s="136"/>
      <c r="PVT50" s="136"/>
      <c r="PVU50" s="136"/>
      <c r="PVV50" s="136"/>
      <c r="PVW50" s="136"/>
      <c r="PVX50" s="136"/>
      <c r="PVY50" s="136"/>
      <c r="PVZ50" s="136"/>
      <c r="PWA50" s="136"/>
      <c r="PWB50" s="136"/>
      <c r="PWC50" s="136"/>
      <c r="PWD50" s="136"/>
      <c r="PWE50" s="136"/>
      <c r="PWF50" s="136"/>
      <c r="PWG50" s="136"/>
      <c r="PWH50" s="136"/>
      <c r="PWI50" s="136"/>
      <c r="PWJ50" s="136"/>
      <c r="PWK50" s="136"/>
      <c r="PWL50" s="136"/>
      <c r="PWM50" s="136"/>
      <c r="PWN50" s="136"/>
      <c r="PWO50" s="136"/>
      <c r="PWP50" s="136"/>
      <c r="PWQ50" s="136"/>
      <c r="PWR50" s="136"/>
      <c r="PWS50" s="136"/>
      <c r="PWT50" s="136"/>
      <c r="PWU50" s="136"/>
      <c r="PWV50" s="136"/>
      <c r="PWW50" s="136"/>
      <c r="PWX50" s="136"/>
      <c r="PWY50" s="136"/>
      <c r="PWZ50" s="136"/>
      <c r="PXA50" s="136"/>
      <c r="PXB50" s="136"/>
      <c r="PXC50" s="136"/>
      <c r="PXD50" s="136"/>
      <c r="PXE50" s="136"/>
      <c r="PXF50" s="136"/>
      <c r="PXG50" s="136"/>
      <c r="PXH50" s="136"/>
      <c r="PXI50" s="136"/>
      <c r="PXJ50" s="136"/>
      <c r="PXK50" s="136"/>
      <c r="PXL50" s="136"/>
      <c r="PXM50" s="136"/>
      <c r="PXN50" s="136"/>
      <c r="PXO50" s="136"/>
      <c r="PXP50" s="136"/>
      <c r="PXQ50" s="136"/>
      <c r="PXR50" s="136"/>
      <c r="PXS50" s="136"/>
      <c r="PXT50" s="136"/>
      <c r="PXU50" s="136"/>
      <c r="PXV50" s="136"/>
      <c r="PXW50" s="136"/>
      <c r="PXX50" s="136"/>
      <c r="PXY50" s="136"/>
      <c r="PXZ50" s="136"/>
      <c r="PYA50" s="136"/>
      <c r="PYB50" s="136"/>
      <c r="PYC50" s="136"/>
      <c r="PYD50" s="136"/>
      <c r="PYE50" s="136"/>
      <c r="PYF50" s="136"/>
      <c r="PYG50" s="136"/>
      <c r="PYH50" s="136"/>
      <c r="PYI50" s="136"/>
      <c r="PYJ50" s="136"/>
      <c r="PYK50" s="136"/>
      <c r="PYL50" s="136"/>
      <c r="PYM50" s="136"/>
      <c r="PYN50" s="136"/>
      <c r="PYO50" s="136"/>
      <c r="PYP50" s="136"/>
      <c r="PYQ50" s="136"/>
      <c r="PYR50" s="136"/>
      <c r="PYS50" s="136"/>
      <c r="PYT50" s="136"/>
      <c r="PYU50" s="136"/>
      <c r="PYV50" s="136"/>
      <c r="PYW50" s="136"/>
      <c r="PYX50" s="136"/>
      <c r="PYY50" s="136"/>
      <c r="PYZ50" s="136"/>
      <c r="PZA50" s="136"/>
      <c r="PZB50" s="136"/>
      <c r="PZC50" s="136"/>
      <c r="PZD50" s="136"/>
      <c r="PZE50" s="136"/>
      <c r="PZF50" s="136"/>
      <c r="PZG50" s="136"/>
      <c r="PZH50" s="136"/>
      <c r="PZI50" s="136"/>
      <c r="PZJ50" s="136"/>
      <c r="PZK50" s="136"/>
      <c r="PZL50" s="136"/>
      <c r="PZM50" s="136"/>
      <c r="PZN50" s="136"/>
      <c r="PZO50" s="136"/>
      <c r="PZP50" s="136"/>
      <c r="PZQ50" s="136"/>
      <c r="PZR50" s="136"/>
      <c r="PZS50" s="136"/>
      <c r="PZT50" s="136"/>
      <c r="PZU50" s="136"/>
      <c r="PZV50" s="136"/>
      <c r="PZW50" s="136"/>
      <c r="PZX50" s="136"/>
      <c r="PZY50" s="136"/>
      <c r="PZZ50" s="136"/>
      <c r="QAA50" s="136"/>
      <c r="QAB50" s="136"/>
      <c r="QAC50" s="136"/>
      <c r="QAD50" s="136"/>
      <c r="QAE50" s="136"/>
      <c r="QAF50" s="136"/>
      <c r="QAG50" s="136"/>
      <c r="QAH50" s="136"/>
      <c r="QAI50" s="136"/>
      <c r="QAJ50" s="136"/>
      <c r="QAK50" s="136"/>
      <c r="QAL50" s="136"/>
      <c r="QAM50" s="136"/>
      <c r="QAN50" s="136"/>
      <c r="QAO50" s="136"/>
      <c r="QAP50" s="136"/>
      <c r="QAQ50" s="136"/>
      <c r="QAR50" s="136"/>
      <c r="QAS50" s="136"/>
      <c r="QAT50" s="136"/>
      <c r="QAU50" s="136"/>
      <c r="QAV50" s="136"/>
      <c r="QAW50" s="136"/>
      <c r="QAX50" s="136"/>
      <c r="QAY50" s="136"/>
      <c r="QAZ50" s="136"/>
      <c r="QBA50" s="136"/>
      <c r="QBB50" s="136"/>
      <c r="QBC50" s="136"/>
      <c r="QBD50" s="136"/>
      <c r="QBE50" s="136"/>
      <c r="QBF50" s="136"/>
      <c r="QBG50" s="136"/>
      <c r="QBH50" s="136"/>
      <c r="QBI50" s="136"/>
      <c r="QBJ50" s="136"/>
      <c r="QBK50" s="136"/>
      <c r="QBL50" s="136"/>
      <c r="QBM50" s="136"/>
      <c r="QBN50" s="136"/>
      <c r="QBO50" s="136"/>
      <c r="QBP50" s="136"/>
      <c r="QBQ50" s="136"/>
      <c r="QBR50" s="136"/>
      <c r="QBS50" s="136"/>
      <c r="QBT50" s="136"/>
      <c r="QBU50" s="136"/>
      <c r="QBV50" s="136"/>
      <c r="QBW50" s="136"/>
      <c r="QBX50" s="136"/>
      <c r="QBY50" s="136"/>
      <c r="QBZ50" s="136"/>
      <c r="QCA50" s="136"/>
      <c r="QCB50" s="136"/>
      <c r="QCC50" s="136"/>
      <c r="QCD50" s="136"/>
      <c r="QCE50" s="136"/>
      <c r="QCF50" s="136"/>
      <c r="QCG50" s="136"/>
      <c r="QCH50" s="136"/>
      <c r="QCI50" s="136"/>
      <c r="QCJ50" s="136"/>
      <c r="QCK50" s="136"/>
      <c r="QCL50" s="136"/>
      <c r="QCM50" s="136"/>
      <c r="QCN50" s="136"/>
      <c r="QCO50" s="136"/>
      <c r="QCP50" s="136"/>
      <c r="QCQ50" s="136"/>
      <c r="QCR50" s="136"/>
      <c r="QCS50" s="136"/>
      <c r="QCT50" s="136"/>
      <c r="QCU50" s="136"/>
      <c r="QCV50" s="136"/>
      <c r="QCW50" s="136"/>
      <c r="QCX50" s="136"/>
      <c r="QCY50" s="136"/>
      <c r="QCZ50" s="136"/>
      <c r="QDA50" s="136"/>
      <c r="QDB50" s="136"/>
      <c r="QDC50" s="136"/>
      <c r="QDD50" s="136"/>
      <c r="QDE50" s="136"/>
      <c r="QDF50" s="136"/>
      <c r="QDG50" s="136"/>
      <c r="QDH50" s="136"/>
      <c r="QDI50" s="136"/>
      <c r="QDJ50" s="136"/>
      <c r="QDK50" s="136"/>
      <c r="QDL50" s="136"/>
      <c r="QDM50" s="136"/>
      <c r="QDN50" s="136"/>
      <c r="QDO50" s="136"/>
      <c r="QDP50" s="136"/>
      <c r="QDQ50" s="136"/>
      <c r="QDR50" s="136"/>
      <c r="QDS50" s="136"/>
      <c r="QDT50" s="136"/>
      <c r="QDU50" s="136"/>
      <c r="QDV50" s="136"/>
      <c r="QDW50" s="136"/>
      <c r="QDX50" s="136"/>
      <c r="QDY50" s="136"/>
      <c r="QDZ50" s="136"/>
      <c r="QEA50" s="136"/>
      <c r="QEB50" s="136"/>
      <c r="QEC50" s="136"/>
      <c r="QED50" s="136"/>
      <c r="QEE50" s="136"/>
      <c r="QEF50" s="136"/>
      <c r="QEG50" s="136"/>
      <c r="QEH50" s="136"/>
      <c r="QEI50" s="136"/>
      <c r="QEJ50" s="136"/>
      <c r="QEK50" s="136"/>
      <c r="QEL50" s="136"/>
      <c r="QEM50" s="136"/>
      <c r="QEN50" s="136"/>
      <c r="QEO50" s="136"/>
      <c r="QEP50" s="136"/>
      <c r="QEQ50" s="136"/>
      <c r="QER50" s="136"/>
      <c r="QES50" s="136"/>
      <c r="QET50" s="136"/>
      <c r="QEU50" s="136"/>
      <c r="QEV50" s="136"/>
      <c r="QEW50" s="136"/>
      <c r="QEX50" s="136"/>
      <c r="QEY50" s="136"/>
      <c r="QEZ50" s="136"/>
      <c r="QFA50" s="136"/>
      <c r="QFB50" s="136"/>
      <c r="QFC50" s="136"/>
      <c r="QFD50" s="136"/>
      <c r="QFE50" s="136"/>
      <c r="QFF50" s="136"/>
      <c r="QFG50" s="136"/>
      <c r="QFH50" s="136"/>
      <c r="QFI50" s="136"/>
      <c r="QFJ50" s="136"/>
      <c r="QFK50" s="136"/>
      <c r="QFL50" s="136"/>
      <c r="QFM50" s="136"/>
      <c r="QFN50" s="136"/>
      <c r="QFO50" s="136"/>
      <c r="QFP50" s="136"/>
      <c r="QFQ50" s="136"/>
      <c r="QFR50" s="136"/>
      <c r="QFS50" s="136"/>
      <c r="QFT50" s="136"/>
      <c r="QFU50" s="136"/>
      <c r="QFV50" s="136"/>
      <c r="QFW50" s="136"/>
      <c r="QFX50" s="136"/>
      <c r="QFY50" s="136"/>
      <c r="QFZ50" s="136"/>
      <c r="QGA50" s="136"/>
      <c r="QGB50" s="136"/>
      <c r="QGC50" s="136"/>
      <c r="QGD50" s="136"/>
      <c r="QGE50" s="136"/>
      <c r="QGF50" s="136"/>
      <c r="QGG50" s="136"/>
      <c r="QGH50" s="136"/>
      <c r="QGI50" s="136"/>
      <c r="QGJ50" s="136"/>
      <c r="QGK50" s="136"/>
      <c r="QGL50" s="136"/>
      <c r="QGM50" s="136"/>
      <c r="QGN50" s="136"/>
      <c r="QGO50" s="136"/>
      <c r="QGP50" s="136"/>
      <c r="QGQ50" s="136"/>
      <c r="QGR50" s="136"/>
      <c r="QGS50" s="136"/>
      <c r="QGT50" s="136"/>
      <c r="QGU50" s="136"/>
      <c r="QGV50" s="136"/>
      <c r="QGW50" s="136"/>
      <c r="QGX50" s="136"/>
      <c r="QGY50" s="136"/>
      <c r="QGZ50" s="136"/>
      <c r="QHA50" s="136"/>
      <c r="QHB50" s="136"/>
      <c r="QHC50" s="136"/>
      <c r="QHD50" s="136"/>
      <c r="QHE50" s="136"/>
      <c r="QHF50" s="136"/>
      <c r="QHG50" s="136"/>
      <c r="QHH50" s="136"/>
      <c r="QHI50" s="136"/>
      <c r="QHJ50" s="136"/>
      <c r="QHK50" s="136"/>
      <c r="QHL50" s="136"/>
      <c r="QHM50" s="136"/>
      <c r="QHN50" s="136"/>
      <c r="QHO50" s="136"/>
      <c r="QHP50" s="136"/>
      <c r="QHQ50" s="136"/>
      <c r="QHR50" s="136"/>
      <c r="QHS50" s="136"/>
      <c r="QHT50" s="136"/>
      <c r="QHU50" s="136"/>
      <c r="QHV50" s="136"/>
      <c r="QHW50" s="136"/>
      <c r="QHX50" s="136"/>
      <c r="QHY50" s="136"/>
      <c r="QHZ50" s="136"/>
      <c r="QIA50" s="136"/>
      <c r="QIB50" s="136"/>
      <c r="QIC50" s="136"/>
      <c r="QID50" s="136"/>
      <c r="QIE50" s="136"/>
      <c r="QIF50" s="136"/>
      <c r="QIG50" s="136"/>
      <c r="QIH50" s="136"/>
      <c r="QII50" s="136"/>
      <c r="QIJ50" s="136"/>
      <c r="QIK50" s="136"/>
      <c r="QIL50" s="136"/>
      <c r="QIM50" s="136"/>
      <c r="QIN50" s="136"/>
      <c r="QIO50" s="136"/>
      <c r="QIP50" s="136"/>
      <c r="QIQ50" s="136"/>
      <c r="QIR50" s="136"/>
      <c r="QIS50" s="136"/>
      <c r="QIT50" s="136"/>
      <c r="QIU50" s="136"/>
      <c r="QIV50" s="136"/>
      <c r="QIW50" s="136"/>
      <c r="QIX50" s="136"/>
      <c r="QIY50" s="136"/>
      <c r="QIZ50" s="136"/>
      <c r="QJA50" s="136"/>
      <c r="QJB50" s="136"/>
      <c r="QJC50" s="136"/>
      <c r="QJD50" s="136"/>
      <c r="QJE50" s="136"/>
      <c r="QJF50" s="136"/>
      <c r="QJG50" s="136"/>
      <c r="QJH50" s="136"/>
      <c r="QJI50" s="136"/>
      <c r="QJJ50" s="136"/>
      <c r="QJK50" s="136"/>
      <c r="QJL50" s="136"/>
      <c r="QJM50" s="136"/>
      <c r="QJN50" s="136"/>
      <c r="QJO50" s="136"/>
      <c r="QJP50" s="136"/>
      <c r="QJQ50" s="136"/>
      <c r="QJR50" s="136"/>
      <c r="QJS50" s="136"/>
      <c r="QJT50" s="136"/>
      <c r="QJU50" s="136"/>
      <c r="QJV50" s="136"/>
      <c r="QJW50" s="136"/>
      <c r="QJX50" s="136"/>
      <c r="QJY50" s="136"/>
      <c r="QJZ50" s="136"/>
      <c r="QKA50" s="136"/>
      <c r="QKB50" s="136"/>
      <c r="QKC50" s="136"/>
      <c r="QKD50" s="136"/>
      <c r="QKE50" s="136"/>
      <c r="QKF50" s="136"/>
      <c r="QKG50" s="136"/>
      <c r="QKH50" s="136"/>
      <c r="QKI50" s="136"/>
      <c r="QKJ50" s="136"/>
      <c r="QKK50" s="136"/>
      <c r="QKL50" s="136"/>
      <c r="QKM50" s="136"/>
      <c r="QKN50" s="136"/>
      <c r="QKO50" s="136"/>
      <c r="QKP50" s="136"/>
      <c r="QKQ50" s="136"/>
      <c r="QKR50" s="136"/>
      <c r="QKS50" s="136"/>
      <c r="QKT50" s="136"/>
      <c r="QKU50" s="136"/>
      <c r="QKV50" s="136"/>
      <c r="QKW50" s="136"/>
      <c r="QKX50" s="136"/>
      <c r="QKY50" s="136"/>
      <c r="QKZ50" s="136"/>
      <c r="QLA50" s="136"/>
      <c r="QLB50" s="136"/>
      <c r="QLC50" s="136"/>
      <c r="QLD50" s="136"/>
      <c r="QLE50" s="136"/>
      <c r="QLF50" s="136"/>
      <c r="QLG50" s="136"/>
      <c r="QLH50" s="136"/>
      <c r="QLI50" s="136"/>
      <c r="QLJ50" s="136"/>
      <c r="QLK50" s="136"/>
      <c r="QLL50" s="136"/>
      <c r="QLM50" s="136"/>
      <c r="QLN50" s="136"/>
      <c r="QLO50" s="136"/>
      <c r="QLP50" s="136"/>
      <c r="QLQ50" s="136"/>
      <c r="QLR50" s="136"/>
      <c r="QLS50" s="136"/>
      <c r="QLT50" s="136"/>
      <c r="QLU50" s="136"/>
      <c r="QLV50" s="136"/>
      <c r="QLW50" s="136"/>
      <c r="QLX50" s="136"/>
      <c r="QLY50" s="136"/>
      <c r="QLZ50" s="136"/>
      <c r="QMA50" s="136"/>
      <c r="QMB50" s="136"/>
      <c r="QMC50" s="136"/>
      <c r="QMD50" s="136"/>
      <c r="QME50" s="136"/>
      <c r="QMF50" s="136"/>
      <c r="QMG50" s="136"/>
      <c r="QMH50" s="136"/>
      <c r="QMI50" s="136"/>
      <c r="QMJ50" s="136"/>
      <c r="QMK50" s="136"/>
      <c r="QML50" s="136"/>
      <c r="QMM50" s="136"/>
      <c r="QMN50" s="136"/>
      <c r="QMO50" s="136"/>
      <c r="QMP50" s="136"/>
      <c r="QMQ50" s="136"/>
      <c r="QMR50" s="136"/>
      <c r="QMS50" s="136"/>
      <c r="QMT50" s="136"/>
      <c r="QMU50" s="136"/>
      <c r="QMV50" s="136"/>
      <c r="QMW50" s="136"/>
      <c r="QMX50" s="136"/>
      <c r="QMY50" s="136"/>
      <c r="QMZ50" s="136"/>
      <c r="QNA50" s="136"/>
      <c r="QNB50" s="136"/>
      <c r="QNC50" s="136"/>
      <c r="QND50" s="136"/>
      <c r="QNE50" s="136"/>
      <c r="QNF50" s="136"/>
      <c r="QNG50" s="136"/>
      <c r="QNH50" s="136"/>
      <c r="QNI50" s="136"/>
      <c r="QNJ50" s="136"/>
      <c r="QNK50" s="136"/>
      <c r="QNL50" s="136"/>
      <c r="QNM50" s="136"/>
      <c r="QNN50" s="136"/>
      <c r="QNO50" s="136"/>
      <c r="QNP50" s="136"/>
      <c r="QNQ50" s="136"/>
      <c r="QNR50" s="136"/>
      <c r="QNS50" s="136"/>
      <c r="QNT50" s="136"/>
      <c r="QNU50" s="136"/>
      <c r="QNV50" s="136"/>
      <c r="QNW50" s="136"/>
      <c r="QNX50" s="136"/>
      <c r="QNY50" s="136"/>
      <c r="QNZ50" s="136"/>
      <c r="QOA50" s="136"/>
      <c r="QOB50" s="136"/>
      <c r="QOC50" s="136"/>
      <c r="QOD50" s="136"/>
      <c r="QOE50" s="136"/>
      <c r="QOF50" s="136"/>
      <c r="QOG50" s="136"/>
      <c r="QOH50" s="136"/>
      <c r="QOI50" s="136"/>
      <c r="QOJ50" s="136"/>
      <c r="QOK50" s="136"/>
      <c r="QOL50" s="136"/>
      <c r="QOM50" s="136"/>
      <c r="QON50" s="136"/>
      <c r="QOO50" s="136"/>
      <c r="QOP50" s="136"/>
      <c r="QOQ50" s="136"/>
      <c r="QOR50" s="136"/>
      <c r="QOS50" s="136"/>
      <c r="QOT50" s="136"/>
      <c r="QOU50" s="136"/>
      <c r="QOV50" s="136"/>
      <c r="QOW50" s="136"/>
      <c r="QOX50" s="136"/>
      <c r="QOY50" s="136"/>
      <c r="QOZ50" s="136"/>
      <c r="QPA50" s="136"/>
      <c r="QPB50" s="136"/>
      <c r="QPC50" s="136"/>
      <c r="QPD50" s="136"/>
      <c r="QPE50" s="136"/>
      <c r="QPF50" s="136"/>
      <c r="QPG50" s="136"/>
      <c r="QPH50" s="136"/>
      <c r="QPI50" s="136"/>
      <c r="QPJ50" s="136"/>
      <c r="QPK50" s="136"/>
      <c r="QPL50" s="136"/>
      <c r="QPM50" s="136"/>
      <c r="QPN50" s="136"/>
      <c r="QPO50" s="136"/>
      <c r="QPP50" s="136"/>
      <c r="QPQ50" s="136"/>
      <c r="QPR50" s="136"/>
      <c r="QPS50" s="136"/>
      <c r="QPT50" s="136"/>
      <c r="QPU50" s="136"/>
      <c r="QPV50" s="136"/>
      <c r="QPW50" s="136"/>
      <c r="QPX50" s="136"/>
      <c r="QPY50" s="136"/>
      <c r="QPZ50" s="136"/>
      <c r="QQA50" s="136"/>
      <c r="QQB50" s="136"/>
      <c r="QQC50" s="136"/>
      <c r="QQD50" s="136"/>
      <c r="QQE50" s="136"/>
      <c r="QQF50" s="136"/>
      <c r="QQG50" s="136"/>
      <c r="QQH50" s="136"/>
      <c r="QQI50" s="136"/>
      <c r="QQJ50" s="136"/>
      <c r="QQK50" s="136"/>
      <c r="QQL50" s="136"/>
      <c r="QQM50" s="136"/>
      <c r="QQN50" s="136"/>
      <c r="QQO50" s="136"/>
      <c r="QQP50" s="136"/>
      <c r="QQQ50" s="136"/>
      <c r="QQR50" s="136"/>
      <c r="QQS50" s="136"/>
      <c r="QQT50" s="136"/>
      <c r="QQU50" s="136"/>
      <c r="QQV50" s="136"/>
      <c r="QQW50" s="136"/>
      <c r="QQX50" s="136"/>
      <c r="QQY50" s="136"/>
      <c r="QQZ50" s="136"/>
      <c r="QRA50" s="136"/>
      <c r="QRB50" s="136"/>
      <c r="QRC50" s="136"/>
      <c r="QRD50" s="136"/>
      <c r="QRE50" s="136"/>
      <c r="QRF50" s="136"/>
      <c r="QRG50" s="136"/>
      <c r="QRH50" s="136"/>
      <c r="QRI50" s="136"/>
      <c r="QRJ50" s="136"/>
      <c r="QRK50" s="136"/>
      <c r="QRL50" s="136"/>
      <c r="QRM50" s="136"/>
      <c r="QRN50" s="136"/>
      <c r="QRO50" s="136"/>
      <c r="QRP50" s="136"/>
      <c r="QRQ50" s="136"/>
      <c r="QRR50" s="136"/>
      <c r="QRS50" s="136"/>
      <c r="QRT50" s="136"/>
      <c r="QRU50" s="136"/>
      <c r="QRV50" s="136"/>
      <c r="QRW50" s="136"/>
      <c r="QRX50" s="136"/>
      <c r="QRY50" s="136"/>
      <c r="QRZ50" s="136"/>
      <c r="QSA50" s="136"/>
      <c r="QSB50" s="136"/>
      <c r="QSC50" s="136"/>
      <c r="QSD50" s="136"/>
      <c r="QSE50" s="136"/>
      <c r="QSF50" s="136"/>
      <c r="QSG50" s="136"/>
      <c r="QSH50" s="136"/>
      <c r="QSI50" s="136"/>
      <c r="QSJ50" s="136"/>
      <c r="QSK50" s="136"/>
      <c r="QSL50" s="136"/>
      <c r="QSM50" s="136"/>
      <c r="QSN50" s="136"/>
      <c r="QSO50" s="136"/>
      <c r="QSP50" s="136"/>
      <c r="QSQ50" s="136"/>
      <c r="QSR50" s="136"/>
      <c r="QSS50" s="136"/>
      <c r="QST50" s="136"/>
      <c r="QSU50" s="136"/>
      <c r="QSV50" s="136"/>
      <c r="QSW50" s="136"/>
      <c r="QSX50" s="136"/>
      <c r="QSY50" s="136"/>
      <c r="QSZ50" s="136"/>
      <c r="QTA50" s="136"/>
      <c r="QTB50" s="136"/>
      <c r="QTC50" s="136"/>
      <c r="QTD50" s="136"/>
      <c r="QTE50" s="136"/>
      <c r="QTF50" s="136"/>
      <c r="QTG50" s="136"/>
      <c r="QTH50" s="136"/>
      <c r="QTI50" s="136"/>
      <c r="QTJ50" s="136"/>
      <c r="QTK50" s="136"/>
      <c r="QTL50" s="136"/>
      <c r="QTM50" s="136"/>
      <c r="QTN50" s="136"/>
      <c r="QTO50" s="136"/>
      <c r="QTP50" s="136"/>
      <c r="QTQ50" s="136"/>
      <c r="QTR50" s="136"/>
      <c r="QTS50" s="136"/>
      <c r="QTT50" s="136"/>
      <c r="QTU50" s="136"/>
      <c r="QTV50" s="136"/>
      <c r="QTW50" s="136"/>
      <c r="QTX50" s="136"/>
      <c r="QTY50" s="136"/>
      <c r="QTZ50" s="136"/>
      <c r="QUA50" s="136"/>
      <c r="QUB50" s="136"/>
      <c r="QUC50" s="136"/>
      <c r="QUD50" s="136"/>
      <c r="QUE50" s="136"/>
      <c r="QUF50" s="136"/>
      <c r="QUG50" s="136"/>
      <c r="QUH50" s="136"/>
      <c r="QUI50" s="136"/>
      <c r="QUJ50" s="136"/>
      <c r="QUK50" s="136"/>
      <c r="QUL50" s="136"/>
      <c r="QUM50" s="136"/>
      <c r="QUN50" s="136"/>
      <c r="QUO50" s="136"/>
      <c r="QUP50" s="136"/>
      <c r="QUQ50" s="136"/>
      <c r="QUR50" s="136"/>
      <c r="QUS50" s="136"/>
      <c r="QUT50" s="136"/>
      <c r="QUU50" s="136"/>
      <c r="QUV50" s="136"/>
      <c r="QUW50" s="136"/>
      <c r="QUX50" s="136"/>
      <c r="QUY50" s="136"/>
      <c r="QUZ50" s="136"/>
      <c r="QVA50" s="136"/>
      <c r="QVB50" s="136"/>
      <c r="QVC50" s="136"/>
      <c r="QVD50" s="136"/>
      <c r="QVE50" s="136"/>
      <c r="QVF50" s="136"/>
      <c r="QVG50" s="136"/>
      <c r="QVH50" s="136"/>
      <c r="QVI50" s="136"/>
      <c r="QVJ50" s="136"/>
      <c r="QVK50" s="136"/>
      <c r="QVL50" s="136"/>
      <c r="QVM50" s="136"/>
      <c r="QVN50" s="136"/>
      <c r="QVO50" s="136"/>
      <c r="QVP50" s="136"/>
      <c r="QVQ50" s="136"/>
      <c r="QVR50" s="136"/>
      <c r="QVS50" s="136"/>
      <c r="QVT50" s="136"/>
      <c r="QVU50" s="136"/>
      <c r="QVV50" s="136"/>
      <c r="QVW50" s="136"/>
      <c r="QVX50" s="136"/>
      <c r="QVY50" s="136"/>
      <c r="QVZ50" s="136"/>
      <c r="QWA50" s="136"/>
      <c r="QWB50" s="136"/>
      <c r="QWC50" s="136"/>
      <c r="QWD50" s="136"/>
      <c r="QWE50" s="136"/>
      <c r="QWF50" s="136"/>
      <c r="QWG50" s="136"/>
      <c r="QWH50" s="136"/>
      <c r="QWI50" s="136"/>
      <c r="QWJ50" s="136"/>
      <c r="QWK50" s="136"/>
      <c r="QWL50" s="136"/>
      <c r="QWM50" s="136"/>
      <c r="QWN50" s="136"/>
      <c r="QWO50" s="136"/>
      <c r="QWP50" s="136"/>
      <c r="QWQ50" s="136"/>
      <c r="QWR50" s="136"/>
      <c r="QWS50" s="136"/>
      <c r="QWT50" s="136"/>
      <c r="QWU50" s="136"/>
      <c r="QWV50" s="136"/>
      <c r="QWW50" s="136"/>
      <c r="QWX50" s="136"/>
      <c r="QWY50" s="136"/>
      <c r="QWZ50" s="136"/>
      <c r="QXA50" s="136"/>
      <c r="QXB50" s="136"/>
      <c r="QXC50" s="136"/>
      <c r="QXD50" s="136"/>
      <c r="QXE50" s="136"/>
      <c r="QXF50" s="136"/>
      <c r="QXG50" s="136"/>
      <c r="QXH50" s="136"/>
      <c r="QXI50" s="136"/>
      <c r="QXJ50" s="136"/>
      <c r="QXK50" s="136"/>
      <c r="QXL50" s="136"/>
      <c r="QXM50" s="136"/>
      <c r="QXN50" s="136"/>
      <c r="QXO50" s="136"/>
      <c r="QXP50" s="136"/>
      <c r="QXQ50" s="136"/>
      <c r="QXR50" s="136"/>
      <c r="QXS50" s="136"/>
      <c r="QXT50" s="136"/>
      <c r="QXU50" s="136"/>
      <c r="QXV50" s="136"/>
      <c r="QXW50" s="136"/>
      <c r="QXX50" s="136"/>
      <c r="QXY50" s="136"/>
      <c r="QXZ50" s="136"/>
      <c r="QYA50" s="136"/>
      <c r="QYB50" s="136"/>
      <c r="QYC50" s="136"/>
      <c r="QYD50" s="136"/>
      <c r="QYE50" s="136"/>
      <c r="QYF50" s="136"/>
      <c r="QYG50" s="136"/>
      <c r="QYH50" s="136"/>
      <c r="QYI50" s="136"/>
      <c r="QYJ50" s="136"/>
      <c r="QYK50" s="136"/>
      <c r="QYL50" s="136"/>
      <c r="QYM50" s="136"/>
      <c r="QYN50" s="136"/>
      <c r="QYO50" s="136"/>
      <c r="QYP50" s="136"/>
      <c r="QYQ50" s="136"/>
      <c r="QYR50" s="136"/>
      <c r="QYS50" s="136"/>
      <c r="QYT50" s="136"/>
      <c r="QYU50" s="136"/>
      <c r="QYV50" s="136"/>
      <c r="QYW50" s="136"/>
      <c r="QYX50" s="136"/>
      <c r="QYY50" s="136"/>
      <c r="QYZ50" s="136"/>
      <c r="QZA50" s="136"/>
      <c r="QZB50" s="136"/>
      <c r="QZC50" s="136"/>
      <c r="QZD50" s="136"/>
      <c r="QZE50" s="136"/>
      <c r="QZF50" s="136"/>
      <c r="QZG50" s="136"/>
      <c r="QZH50" s="136"/>
      <c r="QZI50" s="136"/>
      <c r="QZJ50" s="136"/>
      <c r="QZK50" s="136"/>
      <c r="QZL50" s="136"/>
      <c r="QZM50" s="136"/>
      <c r="QZN50" s="136"/>
      <c r="QZO50" s="136"/>
      <c r="QZP50" s="136"/>
      <c r="QZQ50" s="136"/>
      <c r="QZR50" s="136"/>
      <c r="QZS50" s="136"/>
      <c r="QZT50" s="136"/>
      <c r="QZU50" s="136"/>
      <c r="QZV50" s="136"/>
      <c r="QZW50" s="136"/>
      <c r="QZX50" s="136"/>
      <c r="QZY50" s="136"/>
      <c r="QZZ50" s="136"/>
      <c r="RAA50" s="136"/>
      <c r="RAB50" s="136"/>
      <c r="RAC50" s="136"/>
      <c r="RAD50" s="136"/>
      <c r="RAE50" s="136"/>
      <c r="RAF50" s="136"/>
      <c r="RAG50" s="136"/>
      <c r="RAH50" s="136"/>
      <c r="RAI50" s="136"/>
      <c r="RAJ50" s="136"/>
      <c r="RAK50" s="136"/>
      <c r="RAL50" s="136"/>
      <c r="RAM50" s="136"/>
      <c r="RAN50" s="136"/>
      <c r="RAO50" s="136"/>
      <c r="RAP50" s="136"/>
      <c r="RAQ50" s="136"/>
      <c r="RAR50" s="136"/>
      <c r="RAS50" s="136"/>
      <c r="RAT50" s="136"/>
      <c r="RAU50" s="136"/>
      <c r="RAV50" s="136"/>
      <c r="RAW50" s="136"/>
      <c r="RAX50" s="136"/>
      <c r="RAY50" s="136"/>
      <c r="RAZ50" s="136"/>
      <c r="RBA50" s="136"/>
      <c r="RBB50" s="136"/>
      <c r="RBC50" s="136"/>
      <c r="RBD50" s="136"/>
      <c r="RBE50" s="136"/>
      <c r="RBF50" s="136"/>
      <c r="RBG50" s="136"/>
      <c r="RBH50" s="136"/>
      <c r="RBI50" s="136"/>
      <c r="RBJ50" s="136"/>
      <c r="RBK50" s="136"/>
      <c r="RBL50" s="136"/>
      <c r="RBM50" s="136"/>
      <c r="RBN50" s="136"/>
      <c r="RBO50" s="136"/>
      <c r="RBP50" s="136"/>
      <c r="RBQ50" s="136"/>
      <c r="RBR50" s="136"/>
      <c r="RBS50" s="136"/>
      <c r="RBT50" s="136"/>
      <c r="RBU50" s="136"/>
      <c r="RBV50" s="136"/>
      <c r="RBW50" s="136"/>
      <c r="RBX50" s="136"/>
      <c r="RBY50" s="136"/>
      <c r="RBZ50" s="136"/>
      <c r="RCA50" s="136"/>
      <c r="RCB50" s="136"/>
      <c r="RCC50" s="136"/>
      <c r="RCD50" s="136"/>
      <c r="RCE50" s="136"/>
      <c r="RCF50" s="136"/>
      <c r="RCG50" s="136"/>
      <c r="RCH50" s="136"/>
      <c r="RCI50" s="136"/>
      <c r="RCJ50" s="136"/>
      <c r="RCK50" s="136"/>
      <c r="RCL50" s="136"/>
      <c r="RCM50" s="136"/>
      <c r="RCN50" s="136"/>
      <c r="RCO50" s="136"/>
      <c r="RCP50" s="136"/>
      <c r="RCQ50" s="136"/>
      <c r="RCR50" s="136"/>
      <c r="RCS50" s="136"/>
      <c r="RCT50" s="136"/>
      <c r="RCU50" s="136"/>
      <c r="RCV50" s="136"/>
      <c r="RCW50" s="136"/>
      <c r="RCX50" s="136"/>
      <c r="RCY50" s="136"/>
      <c r="RCZ50" s="136"/>
      <c r="RDA50" s="136"/>
      <c r="RDB50" s="136"/>
      <c r="RDC50" s="136"/>
      <c r="RDD50" s="136"/>
      <c r="RDE50" s="136"/>
      <c r="RDF50" s="136"/>
      <c r="RDG50" s="136"/>
      <c r="RDH50" s="136"/>
      <c r="RDI50" s="136"/>
      <c r="RDJ50" s="136"/>
      <c r="RDK50" s="136"/>
      <c r="RDL50" s="136"/>
      <c r="RDM50" s="136"/>
      <c r="RDN50" s="136"/>
      <c r="RDO50" s="136"/>
      <c r="RDP50" s="136"/>
      <c r="RDQ50" s="136"/>
      <c r="RDR50" s="136"/>
      <c r="RDS50" s="136"/>
      <c r="RDT50" s="136"/>
      <c r="RDU50" s="136"/>
      <c r="RDV50" s="136"/>
      <c r="RDW50" s="136"/>
      <c r="RDX50" s="136"/>
      <c r="RDY50" s="136"/>
      <c r="RDZ50" s="136"/>
      <c r="REA50" s="136"/>
      <c r="REB50" s="136"/>
      <c r="REC50" s="136"/>
      <c r="RED50" s="136"/>
      <c r="REE50" s="136"/>
      <c r="REF50" s="136"/>
      <c r="REG50" s="136"/>
      <c r="REH50" s="136"/>
      <c r="REI50" s="136"/>
      <c r="REJ50" s="136"/>
      <c r="REK50" s="136"/>
      <c r="REL50" s="136"/>
      <c r="REM50" s="136"/>
      <c r="REN50" s="136"/>
      <c r="REO50" s="136"/>
      <c r="REP50" s="136"/>
      <c r="REQ50" s="136"/>
      <c r="RER50" s="136"/>
      <c r="RES50" s="136"/>
      <c r="RET50" s="136"/>
      <c r="REU50" s="136"/>
      <c r="REV50" s="136"/>
      <c r="REW50" s="136"/>
      <c r="REX50" s="136"/>
      <c r="REY50" s="136"/>
      <c r="REZ50" s="136"/>
      <c r="RFA50" s="136"/>
      <c r="RFB50" s="136"/>
      <c r="RFC50" s="136"/>
      <c r="RFD50" s="136"/>
      <c r="RFE50" s="136"/>
      <c r="RFF50" s="136"/>
      <c r="RFG50" s="136"/>
      <c r="RFH50" s="136"/>
      <c r="RFI50" s="136"/>
      <c r="RFJ50" s="136"/>
      <c r="RFK50" s="136"/>
      <c r="RFL50" s="136"/>
      <c r="RFM50" s="136"/>
      <c r="RFN50" s="136"/>
      <c r="RFO50" s="136"/>
      <c r="RFP50" s="136"/>
      <c r="RFQ50" s="136"/>
      <c r="RFR50" s="136"/>
      <c r="RFS50" s="136"/>
      <c r="RFT50" s="136"/>
      <c r="RFU50" s="136"/>
      <c r="RFV50" s="136"/>
      <c r="RFW50" s="136"/>
      <c r="RFX50" s="136"/>
      <c r="RFY50" s="136"/>
      <c r="RFZ50" s="136"/>
      <c r="RGA50" s="136"/>
      <c r="RGB50" s="136"/>
      <c r="RGC50" s="136"/>
      <c r="RGD50" s="136"/>
      <c r="RGE50" s="136"/>
      <c r="RGF50" s="136"/>
      <c r="RGG50" s="136"/>
      <c r="RGH50" s="136"/>
      <c r="RGI50" s="136"/>
      <c r="RGJ50" s="136"/>
      <c r="RGK50" s="136"/>
      <c r="RGL50" s="136"/>
      <c r="RGM50" s="136"/>
      <c r="RGN50" s="136"/>
      <c r="RGO50" s="136"/>
      <c r="RGP50" s="136"/>
      <c r="RGQ50" s="136"/>
      <c r="RGR50" s="136"/>
      <c r="RGS50" s="136"/>
      <c r="RGT50" s="136"/>
      <c r="RGU50" s="136"/>
      <c r="RGV50" s="136"/>
      <c r="RGW50" s="136"/>
      <c r="RGX50" s="136"/>
      <c r="RGY50" s="136"/>
      <c r="RGZ50" s="136"/>
      <c r="RHA50" s="136"/>
      <c r="RHB50" s="136"/>
      <c r="RHC50" s="136"/>
      <c r="RHD50" s="136"/>
      <c r="RHE50" s="136"/>
      <c r="RHF50" s="136"/>
      <c r="RHG50" s="136"/>
      <c r="RHH50" s="136"/>
      <c r="RHI50" s="136"/>
      <c r="RHJ50" s="136"/>
      <c r="RHK50" s="136"/>
      <c r="RHL50" s="136"/>
      <c r="RHM50" s="136"/>
      <c r="RHN50" s="136"/>
      <c r="RHO50" s="136"/>
      <c r="RHP50" s="136"/>
      <c r="RHQ50" s="136"/>
      <c r="RHR50" s="136"/>
      <c r="RHS50" s="136"/>
      <c r="RHT50" s="136"/>
      <c r="RHU50" s="136"/>
      <c r="RHV50" s="136"/>
      <c r="RHW50" s="136"/>
      <c r="RHX50" s="136"/>
      <c r="RHY50" s="136"/>
      <c r="RHZ50" s="136"/>
      <c r="RIA50" s="136"/>
      <c r="RIB50" s="136"/>
      <c r="RIC50" s="136"/>
      <c r="RID50" s="136"/>
      <c r="RIE50" s="136"/>
      <c r="RIF50" s="136"/>
      <c r="RIG50" s="136"/>
      <c r="RIH50" s="136"/>
      <c r="RII50" s="136"/>
      <c r="RIJ50" s="136"/>
      <c r="RIK50" s="136"/>
      <c r="RIL50" s="136"/>
      <c r="RIM50" s="136"/>
      <c r="RIN50" s="136"/>
      <c r="RIO50" s="136"/>
      <c r="RIP50" s="136"/>
      <c r="RIQ50" s="136"/>
      <c r="RIR50" s="136"/>
      <c r="RIS50" s="136"/>
      <c r="RIT50" s="136"/>
      <c r="RIU50" s="136"/>
      <c r="RIV50" s="136"/>
      <c r="RIW50" s="136"/>
      <c r="RIX50" s="136"/>
      <c r="RIY50" s="136"/>
      <c r="RIZ50" s="136"/>
      <c r="RJA50" s="136"/>
      <c r="RJB50" s="136"/>
      <c r="RJC50" s="136"/>
      <c r="RJD50" s="136"/>
      <c r="RJE50" s="136"/>
      <c r="RJF50" s="136"/>
      <c r="RJG50" s="136"/>
      <c r="RJH50" s="136"/>
      <c r="RJI50" s="136"/>
      <c r="RJJ50" s="136"/>
      <c r="RJK50" s="136"/>
      <c r="RJL50" s="136"/>
      <c r="RJM50" s="136"/>
      <c r="RJN50" s="136"/>
      <c r="RJO50" s="136"/>
      <c r="RJP50" s="136"/>
      <c r="RJQ50" s="136"/>
      <c r="RJR50" s="136"/>
      <c r="RJS50" s="136"/>
      <c r="RJT50" s="136"/>
      <c r="RJU50" s="136"/>
      <c r="RJV50" s="136"/>
      <c r="RJW50" s="136"/>
      <c r="RJX50" s="136"/>
      <c r="RJY50" s="136"/>
      <c r="RJZ50" s="136"/>
      <c r="RKA50" s="136"/>
      <c r="RKB50" s="136"/>
      <c r="RKC50" s="136"/>
      <c r="RKD50" s="136"/>
      <c r="RKE50" s="136"/>
      <c r="RKF50" s="136"/>
      <c r="RKG50" s="136"/>
      <c r="RKH50" s="136"/>
      <c r="RKI50" s="136"/>
      <c r="RKJ50" s="136"/>
      <c r="RKK50" s="136"/>
      <c r="RKL50" s="136"/>
      <c r="RKM50" s="136"/>
      <c r="RKN50" s="136"/>
      <c r="RKO50" s="136"/>
      <c r="RKP50" s="136"/>
      <c r="RKQ50" s="136"/>
      <c r="RKR50" s="136"/>
      <c r="RKS50" s="136"/>
      <c r="RKT50" s="136"/>
      <c r="RKU50" s="136"/>
      <c r="RKV50" s="136"/>
      <c r="RKW50" s="136"/>
      <c r="RKX50" s="136"/>
      <c r="RKY50" s="136"/>
      <c r="RKZ50" s="136"/>
      <c r="RLA50" s="136"/>
      <c r="RLB50" s="136"/>
      <c r="RLC50" s="136"/>
      <c r="RLD50" s="136"/>
      <c r="RLE50" s="136"/>
      <c r="RLF50" s="136"/>
      <c r="RLG50" s="136"/>
      <c r="RLH50" s="136"/>
      <c r="RLI50" s="136"/>
      <c r="RLJ50" s="136"/>
      <c r="RLK50" s="136"/>
      <c r="RLL50" s="136"/>
      <c r="RLM50" s="136"/>
      <c r="RLN50" s="136"/>
      <c r="RLO50" s="136"/>
      <c r="RLP50" s="136"/>
      <c r="RLQ50" s="136"/>
      <c r="RLR50" s="136"/>
      <c r="RLS50" s="136"/>
      <c r="RLT50" s="136"/>
      <c r="RLU50" s="136"/>
      <c r="RLV50" s="136"/>
      <c r="RLW50" s="136"/>
      <c r="RLX50" s="136"/>
      <c r="RLY50" s="136"/>
      <c r="RLZ50" s="136"/>
      <c r="RMA50" s="136"/>
      <c r="RMB50" s="136"/>
      <c r="RMC50" s="136"/>
      <c r="RMD50" s="136"/>
      <c r="RME50" s="136"/>
      <c r="RMF50" s="136"/>
      <c r="RMG50" s="136"/>
      <c r="RMH50" s="136"/>
      <c r="RMI50" s="136"/>
      <c r="RMJ50" s="136"/>
      <c r="RMK50" s="136"/>
      <c r="RML50" s="136"/>
      <c r="RMM50" s="136"/>
      <c r="RMN50" s="136"/>
      <c r="RMO50" s="136"/>
      <c r="RMP50" s="136"/>
      <c r="RMQ50" s="136"/>
      <c r="RMR50" s="136"/>
      <c r="RMS50" s="136"/>
      <c r="RMT50" s="136"/>
      <c r="RMU50" s="136"/>
      <c r="RMV50" s="136"/>
      <c r="RMW50" s="136"/>
      <c r="RMX50" s="136"/>
      <c r="RMY50" s="136"/>
      <c r="RMZ50" s="136"/>
      <c r="RNA50" s="136"/>
      <c r="RNB50" s="136"/>
      <c r="RNC50" s="136"/>
      <c r="RND50" s="136"/>
      <c r="RNE50" s="136"/>
      <c r="RNF50" s="136"/>
      <c r="RNG50" s="136"/>
      <c r="RNH50" s="136"/>
      <c r="RNI50" s="136"/>
      <c r="RNJ50" s="136"/>
      <c r="RNK50" s="136"/>
      <c r="RNL50" s="136"/>
      <c r="RNM50" s="136"/>
      <c r="RNN50" s="136"/>
      <c r="RNO50" s="136"/>
      <c r="RNP50" s="136"/>
      <c r="RNQ50" s="136"/>
      <c r="RNR50" s="136"/>
      <c r="RNS50" s="136"/>
      <c r="RNT50" s="136"/>
      <c r="RNU50" s="136"/>
      <c r="RNV50" s="136"/>
      <c r="RNW50" s="136"/>
      <c r="RNX50" s="136"/>
      <c r="RNY50" s="136"/>
      <c r="RNZ50" s="136"/>
      <c r="ROA50" s="136"/>
      <c r="ROB50" s="136"/>
      <c r="ROC50" s="136"/>
      <c r="ROD50" s="136"/>
      <c r="ROE50" s="136"/>
      <c r="ROF50" s="136"/>
      <c r="ROG50" s="136"/>
      <c r="ROH50" s="136"/>
      <c r="ROI50" s="136"/>
      <c r="ROJ50" s="136"/>
      <c r="ROK50" s="136"/>
      <c r="ROL50" s="136"/>
      <c r="ROM50" s="136"/>
      <c r="RON50" s="136"/>
      <c r="ROO50" s="136"/>
      <c r="ROP50" s="136"/>
      <c r="ROQ50" s="136"/>
      <c r="ROR50" s="136"/>
      <c r="ROS50" s="136"/>
      <c r="ROT50" s="136"/>
      <c r="ROU50" s="136"/>
      <c r="ROV50" s="136"/>
      <c r="ROW50" s="136"/>
      <c r="ROX50" s="136"/>
      <c r="ROY50" s="136"/>
      <c r="ROZ50" s="136"/>
      <c r="RPA50" s="136"/>
      <c r="RPB50" s="136"/>
      <c r="RPC50" s="136"/>
      <c r="RPD50" s="136"/>
      <c r="RPE50" s="136"/>
      <c r="RPF50" s="136"/>
      <c r="RPG50" s="136"/>
      <c r="RPH50" s="136"/>
      <c r="RPI50" s="136"/>
      <c r="RPJ50" s="136"/>
      <c r="RPK50" s="136"/>
      <c r="RPL50" s="136"/>
      <c r="RPM50" s="136"/>
      <c r="RPN50" s="136"/>
      <c r="RPO50" s="136"/>
      <c r="RPP50" s="136"/>
      <c r="RPQ50" s="136"/>
      <c r="RPR50" s="136"/>
      <c r="RPS50" s="136"/>
      <c r="RPT50" s="136"/>
      <c r="RPU50" s="136"/>
      <c r="RPV50" s="136"/>
      <c r="RPW50" s="136"/>
      <c r="RPX50" s="136"/>
      <c r="RPY50" s="136"/>
      <c r="RPZ50" s="136"/>
      <c r="RQA50" s="136"/>
      <c r="RQB50" s="136"/>
      <c r="RQC50" s="136"/>
      <c r="RQD50" s="136"/>
      <c r="RQE50" s="136"/>
      <c r="RQF50" s="136"/>
      <c r="RQG50" s="136"/>
      <c r="RQH50" s="136"/>
      <c r="RQI50" s="136"/>
      <c r="RQJ50" s="136"/>
      <c r="RQK50" s="136"/>
      <c r="RQL50" s="136"/>
      <c r="RQM50" s="136"/>
      <c r="RQN50" s="136"/>
      <c r="RQO50" s="136"/>
      <c r="RQP50" s="136"/>
      <c r="RQQ50" s="136"/>
      <c r="RQR50" s="136"/>
      <c r="RQS50" s="136"/>
      <c r="RQT50" s="136"/>
      <c r="RQU50" s="136"/>
      <c r="RQV50" s="136"/>
      <c r="RQW50" s="136"/>
      <c r="RQX50" s="136"/>
      <c r="RQY50" s="136"/>
      <c r="RQZ50" s="136"/>
      <c r="RRA50" s="136"/>
      <c r="RRB50" s="136"/>
      <c r="RRC50" s="136"/>
      <c r="RRD50" s="136"/>
      <c r="RRE50" s="136"/>
      <c r="RRF50" s="136"/>
      <c r="RRG50" s="136"/>
      <c r="RRH50" s="136"/>
      <c r="RRI50" s="136"/>
      <c r="RRJ50" s="136"/>
      <c r="RRK50" s="136"/>
      <c r="RRL50" s="136"/>
      <c r="RRM50" s="136"/>
      <c r="RRN50" s="136"/>
      <c r="RRO50" s="136"/>
      <c r="RRP50" s="136"/>
      <c r="RRQ50" s="136"/>
      <c r="RRR50" s="136"/>
      <c r="RRS50" s="136"/>
      <c r="RRT50" s="136"/>
      <c r="RRU50" s="136"/>
      <c r="RRV50" s="136"/>
      <c r="RRW50" s="136"/>
      <c r="RRX50" s="136"/>
      <c r="RRY50" s="136"/>
      <c r="RRZ50" s="136"/>
      <c r="RSA50" s="136"/>
      <c r="RSB50" s="136"/>
      <c r="RSC50" s="136"/>
      <c r="RSD50" s="136"/>
      <c r="RSE50" s="136"/>
      <c r="RSF50" s="136"/>
      <c r="RSG50" s="136"/>
      <c r="RSH50" s="136"/>
      <c r="RSI50" s="136"/>
      <c r="RSJ50" s="136"/>
      <c r="RSK50" s="136"/>
      <c r="RSL50" s="136"/>
      <c r="RSM50" s="136"/>
      <c r="RSN50" s="136"/>
      <c r="RSO50" s="136"/>
      <c r="RSP50" s="136"/>
      <c r="RSQ50" s="136"/>
      <c r="RSR50" s="136"/>
      <c r="RSS50" s="136"/>
      <c r="RST50" s="136"/>
      <c r="RSU50" s="136"/>
      <c r="RSV50" s="136"/>
      <c r="RSW50" s="136"/>
      <c r="RSX50" s="136"/>
      <c r="RSY50" s="136"/>
      <c r="RSZ50" s="136"/>
      <c r="RTA50" s="136"/>
      <c r="RTB50" s="136"/>
      <c r="RTC50" s="136"/>
      <c r="RTD50" s="136"/>
      <c r="RTE50" s="136"/>
      <c r="RTF50" s="136"/>
      <c r="RTG50" s="136"/>
      <c r="RTH50" s="136"/>
      <c r="RTI50" s="136"/>
      <c r="RTJ50" s="136"/>
      <c r="RTK50" s="136"/>
      <c r="RTL50" s="136"/>
      <c r="RTM50" s="136"/>
      <c r="RTN50" s="136"/>
      <c r="RTO50" s="136"/>
      <c r="RTP50" s="136"/>
      <c r="RTQ50" s="136"/>
      <c r="RTR50" s="136"/>
      <c r="RTS50" s="136"/>
      <c r="RTT50" s="136"/>
      <c r="RTU50" s="136"/>
      <c r="RTV50" s="136"/>
      <c r="RTW50" s="136"/>
      <c r="RTX50" s="136"/>
      <c r="RTY50" s="136"/>
      <c r="RTZ50" s="136"/>
      <c r="RUA50" s="136"/>
      <c r="RUB50" s="136"/>
      <c r="RUC50" s="136"/>
      <c r="RUD50" s="136"/>
      <c r="RUE50" s="136"/>
      <c r="RUF50" s="136"/>
      <c r="RUG50" s="136"/>
      <c r="RUH50" s="136"/>
      <c r="RUI50" s="136"/>
      <c r="RUJ50" s="136"/>
      <c r="RUK50" s="136"/>
      <c r="RUL50" s="136"/>
      <c r="RUM50" s="136"/>
      <c r="RUN50" s="136"/>
      <c r="RUO50" s="136"/>
      <c r="RUP50" s="136"/>
      <c r="RUQ50" s="136"/>
      <c r="RUR50" s="136"/>
      <c r="RUS50" s="136"/>
      <c r="RUT50" s="136"/>
      <c r="RUU50" s="136"/>
      <c r="RUV50" s="136"/>
      <c r="RUW50" s="136"/>
      <c r="RUX50" s="136"/>
      <c r="RUY50" s="136"/>
      <c r="RUZ50" s="136"/>
      <c r="RVA50" s="136"/>
      <c r="RVB50" s="136"/>
      <c r="RVC50" s="136"/>
      <c r="RVD50" s="136"/>
      <c r="RVE50" s="136"/>
      <c r="RVF50" s="136"/>
      <c r="RVG50" s="136"/>
      <c r="RVH50" s="136"/>
      <c r="RVI50" s="136"/>
      <c r="RVJ50" s="136"/>
      <c r="RVK50" s="136"/>
      <c r="RVL50" s="136"/>
      <c r="RVM50" s="136"/>
      <c r="RVN50" s="136"/>
      <c r="RVO50" s="136"/>
      <c r="RVP50" s="136"/>
      <c r="RVQ50" s="136"/>
      <c r="RVR50" s="136"/>
      <c r="RVS50" s="136"/>
      <c r="RVT50" s="136"/>
      <c r="RVU50" s="136"/>
      <c r="RVV50" s="136"/>
      <c r="RVW50" s="136"/>
      <c r="RVX50" s="136"/>
      <c r="RVY50" s="136"/>
      <c r="RVZ50" s="136"/>
      <c r="RWA50" s="136"/>
      <c r="RWB50" s="136"/>
      <c r="RWC50" s="136"/>
      <c r="RWD50" s="136"/>
      <c r="RWE50" s="136"/>
      <c r="RWF50" s="136"/>
      <c r="RWG50" s="136"/>
      <c r="RWH50" s="136"/>
      <c r="RWI50" s="136"/>
      <c r="RWJ50" s="136"/>
      <c r="RWK50" s="136"/>
      <c r="RWL50" s="136"/>
      <c r="RWM50" s="136"/>
      <c r="RWN50" s="136"/>
      <c r="RWO50" s="136"/>
      <c r="RWP50" s="136"/>
      <c r="RWQ50" s="136"/>
      <c r="RWR50" s="136"/>
      <c r="RWS50" s="136"/>
      <c r="RWT50" s="136"/>
      <c r="RWU50" s="136"/>
      <c r="RWV50" s="136"/>
      <c r="RWW50" s="136"/>
      <c r="RWX50" s="136"/>
      <c r="RWY50" s="136"/>
      <c r="RWZ50" s="136"/>
      <c r="RXA50" s="136"/>
      <c r="RXB50" s="136"/>
      <c r="RXC50" s="136"/>
      <c r="RXD50" s="136"/>
      <c r="RXE50" s="136"/>
      <c r="RXF50" s="136"/>
      <c r="RXG50" s="136"/>
      <c r="RXH50" s="136"/>
      <c r="RXI50" s="136"/>
      <c r="RXJ50" s="136"/>
      <c r="RXK50" s="136"/>
      <c r="RXL50" s="136"/>
      <c r="RXM50" s="136"/>
      <c r="RXN50" s="136"/>
      <c r="RXO50" s="136"/>
      <c r="RXP50" s="136"/>
      <c r="RXQ50" s="136"/>
      <c r="RXR50" s="136"/>
      <c r="RXS50" s="136"/>
      <c r="RXT50" s="136"/>
      <c r="RXU50" s="136"/>
      <c r="RXV50" s="136"/>
      <c r="RXW50" s="136"/>
      <c r="RXX50" s="136"/>
      <c r="RXY50" s="136"/>
      <c r="RXZ50" s="136"/>
      <c r="RYA50" s="136"/>
      <c r="RYB50" s="136"/>
      <c r="RYC50" s="136"/>
      <c r="RYD50" s="136"/>
      <c r="RYE50" s="136"/>
      <c r="RYF50" s="136"/>
      <c r="RYG50" s="136"/>
      <c r="RYH50" s="136"/>
      <c r="RYI50" s="136"/>
      <c r="RYJ50" s="136"/>
      <c r="RYK50" s="136"/>
      <c r="RYL50" s="136"/>
      <c r="RYM50" s="136"/>
      <c r="RYN50" s="136"/>
      <c r="RYO50" s="136"/>
      <c r="RYP50" s="136"/>
      <c r="RYQ50" s="136"/>
      <c r="RYR50" s="136"/>
      <c r="RYS50" s="136"/>
      <c r="RYT50" s="136"/>
      <c r="RYU50" s="136"/>
      <c r="RYV50" s="136"/>
      <c r="RYW50" s="136"/>
      <c r="RYX50" s="136"/>
      <c r="RYY50" s="136"/>
      <c r="RYZ50" s="136"/>
      <c r="RZA50" s="136"/>
      <c r="RZB50" s="136"/>
      <c r="RZC50" s="136"/>
      <c r="RZD50" s="136"/>
      <c r="RZE50" s="136"/>
      <c r="RZF50" s="136"/>
      <c r="RZG50" s="136"/>
      <c r="RZH50" s="136"/>
      <c r="RZI50" s="136"/>
      <c r="RZJ50" s="136"/>
      <c r="RZK50" s="136"/>
      <c r="RZL50" s="136"/>
      <c r="RZM50" s="136"/>
      <c r="RZN50" s="136"/>
      <c r="RZO50" s="136"/>
      <c r="RZP50" s="136"/>
      <c r="RZQ50" s="136"/>
      <c r="RZR50" s="136"/>
      <c r="RZS50" s="136"/>
      <c r="RZT50" s="136"/>
      <c r="RZU50" s="136"/>
      <c r="RZV50" s="136"/>
      <c r="RZW50" s="136"/>
      <c r="RZX50" s="136"/>
      <c r="RZY50" s="136"/>
      <c r="RZZ50" s="136"/>
      <c r="SAA50" s="136"/>
      <c r="SAB50" s="136"/>
      <c r="SAC50" s="136"/>
      <c r="SAD50" s="136"/>
      <c r="SAE50" s="136"/>
      <c r="SAF50" s="136"/>
      <c r="SAG50" s="136"/>
      <c r="SAH50" s="136"/>
      <c r="SAI50" s="136"/>
      <c r="SAJ50" s="136"/>
      <c r="SAK50" s="136"/>
      <c r="SAL50" s="136"/>
      <c r="SAM50" s="136"/>
      <c r="SAN50" s="136"/>
      <c r="SAO50" s="136"/>
      <c r="SAP50" s="136"/>
      <c r="SAQ50" s="136"/>
      <c r="SAR50" s="136"/>
      <c r="SAS50" s="136"/>
      <c r="SAT50" s="136"/>
      <c r="SAU50" s="136"/>
      <c r="SAV50" s="136"/>
      <c r="SAW50" s="136"/>
      <c r="SAX50" s="136"/>
      <c r="SAY50" s="136"/>
      <c r="SAZ50" s="136"/>
      <c r="SBA50" s="136"/>
      <c r="SBB50" s="136"/>
      <c r="SBC50" s="136"/>
      <c r="SBD50" s="136"/>
      <c r="SBE50" s="136"/>
      <c r="SBF50" s="136"/>
      <c r="SBG50" s="136"/>
      <c r="SBH50" s="136"/>
      <c r="SBI50" s="136"/>
      <c r="SBJ50" s="136"/>
      <c r="SBK50" s="136"/>
      <c r="SBL50" s="136"/>
      <c r="SBM50" s="136"/>
      <c r="SBN50" s="136"/>
      <c r="SBO50" s="136"/>
      <c r="SBP50" s="136"/>
      <c r="SBQ50" s="136"/>
      <c r="SBR50" s="136"/>
      <c r="SBS50" s="136"/>
      <c r="SBT50" s="136"/>
      <c r="SBU50" s="136"/>
      <c r="SBV50" s="136"/>
      <c r="SBW50" s="136"/>
      <c r="SBX50" s="136"/>
      <c r="SBY50" s="136"/>
      <c r="SBZ50" s="136"/>
      <c r="SCA50" s="136"/>
      <c r="SCB50" s="136"/>
      <c r="SCC50" s="136"/>
      <c r="SCD50" s="136"/>
      <c r="SCE50" s="136"/>
      <c r="SCF50" s="136"/>
      <c r="SCG50" s="136"/>
      <c r="SCH50" s="136"/>
      <c r="SCI50" s="136"/>
      <c r="SCJ50" s="136"/>
      <c r="SCK50" s="136"/>
      <c r="SCL50" s="136"/>
      <c r="SCM50" s="136"/>
      <c r="SCN50" s="136"/>
      <c r="SCO50" s="136"/>
      <c r="SCP50" s="136"/>
      <c r="SCQ50" s="136"/>
      <c r="SCR50" s="136"/>
      <c r="SCS50" s="136"/>
      <c r="SCT50" s="136"/>
      <c r="SCU50" s="136"/>
      <c r="SCV50" s="136"/>
      <c r="SCW50" s="136"/>
      <c r="SCX50" s="136"/>
      <c r="SCY50" s="136"/>
      <c r="SCZ50" s="136"/>
      <c r="SDA50" s="136"/>
      <c r="SDB50" s="136"/>
      <c r="SDC50" s="136"/>
      <c r="SDD50" s="136"/>
      <c r="SDE50" s="136"/>
      <c r="SDF50" s="136"/>
      <c r="SDG50" s="136"/>
      <c r="SDH50" s="136"/>
      <c r="SDI50" s="136"/>
      <c r="SDJ50" s="136"/>
      <c r="SDK50" s="136"/>
      <c r="SDL50" s="136"/>
      <c r="SDM50" s="136"/>
      <c r="SDN50" s="136"/>
      <c r="SDO50" s="136"/>
      <c r="SDP50" s="136"/>
      <c r="SDQ50" s="136"/>
      <c r="SDR50" s="136"/>
      <c r="SDS50" s="136"/>
      <c r="SDT50" s="136"/>
      <c r="SDU50" s="136"/>
      <c r="SDV50" s="136"/>
      <c r="SDW50" s="136"/>
      <c r="SDX50" s="136"/>
      <c r="SDY50" s="136"/>
      <c r="SDZ50" s="136"/>
      <c r="SEA50" s="136"/>
      <c r="SEB50" s="136"/>
      <c r="SEC50" s="136"/>
      <c r="SED50" s="136"/>
      <c r="SEE50" s="136"/>
      <c r="SEF50" s="136"/>
      <c r="SEG50" s="136"/>
      <c r="SEH50" s="136"/>
      <c r="SEI50" s="136"/>
      <c r="SEJ50" s="136"/>
      <c r="SEK50" s="136"/>
      <c r="SEL50" s="136"/>
      <c r="SEM50" s="136"/>
      <c r="SEN50" s="136"/>
      <c r="SEO50" s="136"/>
      <c r="SEP50" s="136"/>
      <c r="SEQ50" s="136"/>
      <c r="SER50" s="136"/>
      <c r="SES50" s="136"/>
      <c r="SET50" s="136"/>
      <c r="SEU50" s="136"/>
      <c r="SEV50" s="136"/>
      <c r="SEW50" s="136"/>
      <c r="SEX50" s="136"/>
      <c r="SEY50" s="136"/>
      <c r="SEZ50" s="136"/>
      <c r="SFA50" s="136"/>
      <c r="SFB50" s="136"/>
      <c r="SFC50" s="136"/>
      <c r="SFD50" s="136"/>
      <c r="SFE50" s="136"/>
      <c r="SFF50" s="136"/>
      <c r="SFG50" s="136"/>
      <c r="SFH50" s="136"/>
      <c r="SFI50" s="136"/>
      <c r="SFJ50" s="136"/>
      <c r="SFK50" s="136"/>
      <c r="SFL50" s="136"/>
      <c r="SFM50" s="136"/>
      <c r="SFN50" s="136"/>
      <c r="SFO50" s="136"/>
      <c r="SFP50" s="136"/>
      <c r="SFQ50" s="136"/>
      <c r="SFR50" s="136"/>
      <c r="SFS50" s="136"/>
      <c r="SFT50" s="136"/>
      <c r="SFU50" s="136"/>
      <c r="SFV50" s="136"/>
      <c r="SFW50" s="136"/>
      <c r="SFX50" s="136"/>
      <c r="SFY50" s="136"/>
      <c r="SFZ50" s="136"/>
      <c r="SGA50" s="136"/>
      <c r="SGB50" s="136"/>
      <c r="SGC50" s="136"/>
      <c r="SGD50" s="136"/>
      <c r="SGE50" s="136"/>
      <c r="SGF50" s="136"/>
      <c r="SGG50" s="136"/>
      <c r="SGH50" s="136"/>
      <c r="SGI50" s="136"/>
      <c r="SGJ50" s="136"/>
      <c r="SGK50" s="136"/>
      <c r="SGL50" s="136"/>
      <c r="SGM50" s="136"/>
      <c r="SGN50" s="136"/>
      <c r="SGO50" s="136"/>
      <c r="SGP50" s="136"/>
      <c r="SGQ50" s="136"/>
      <c r="SGR50" s="136"/>
      <c r="SGS50" s="136"/>
      <c r="SGT50" s="136"/>
      <c r="SGU50" s="136"/>
      <c r="SGV50" s="136"/>
      <c r="SGW50" s="136"/>
      <c r="SGX50" s="136"/>
      <c r="SGY50" s="136"/>
      <c r="SGZ50" s="136"/>
      <c r="SHA50" s="136"/>
      <c r="SHB50" s="136"/>
      <c r="SHC50" s="136"/>
      <c r="SHD50" s="136"/>
      <c r="SHE50" s="136"/>
      <c r="SHF50" s="136"/>
      <c r="SHG50" s="136"/>
      <c r="SHH50" s="136"/>
      <c r="SHI50" s="136"/>
      <c r="SHJ50" s="136"/>
      <c r="SHK50" s="136"/>
      <c r="SHL50" s="136"/>
      <c r="SHM50" s="136"/>
      <c r="SHN50" s="136"/>
      <c r="SHO50" s="136"/>
      <c r="SHP50" s="136"/>
      <c r="SHQ50" s="136"/>
      <c r="SHR50" s="136"/>
      <c r="SHS50" s="136"/>
      <c r="SHT50" s="136"/>
      <c r="SHU50" s="136"/>
      <c r="SHV50" s="136"/>
      <c r="SHW50" s="136"/>
      <c r="SHX50" s="136"/>
      <c r="SHY50" s="136"/>
      <c r="SHZ50" s="136"/>
      <c r="SIA50" s="136"/>
      <c r="SIB50" s="136"/>
      <c r="SIC50" s="136"/>
      <c r="SID50" s="136"/>
      <c r="SIE50" s="136"/>
      <c r="SIF50" s="136"/>
      <c r="SIG50" s="136"/>
      <c r="SIH50" s="136"/>
      <c r="SII50" s="136"/>
      <c r="SIJ50" s="136"/>
      <c r="SIK50" s="136"/>
      <c r="SIL50" s="136"/>
      <c r="SIM50" s="136"/>
      <c r="SIN50" s="136"/>
      <c r="SIO50" s="136"/>
      <c r="SIP50" s="136"/>
      <c r="SIQ50" s="136"/>
      <c r="SIR50" s="136"/>
      <c r="SIS50" s="136"/>
      <c r="SIT50" s="136"/>
      <c r="SIU50" s="136"/>
      <c r="SIV50" s="136"/>
      <c r="SIW50" s="136"/>
      <c r="SIX50" s="136"/>
      <c r="SIY50" s="136"/>
      <c r="SIZ50" s="136"/>
      <c r="SJA50" s="136"/>
      <c r="SJB50" s="136"/>
      <c r="SJC50" s="136"/>
      <c r="SJD50" s="136"/>
      <c r="SJE50" s="136"/>
      <c r="SJF50" s="136"/>
      <c r="SJG50" s="136"/>
      <c r="SJH50" s="136"/>
      <c r="SJI50" s="136"/>
      <c r="SJJ50" s="136"/>
      <c r="SJK50" s="136"/>
      <c r="SJL50" s="136"/>
      <c r="SJM50" s="136"/>
      <c r="SJN50" s="136"/>
      <c r="SJO50" s="136"/>
      <c r="SJP50" s="136"/>
      <c r="SJQ50" s="136"/>
      <c r="SJR50" s="136"/>
      <c r="SJS50" s="136"/>
      <c r="SJT50" s="136"/>
      <c r="SJU50" s="136"/>
      <c r="SJV50" s="136"/>
      <c r="SJW50" s="136"/>
      <c r="SJX50" s="136"/>
      <c r="SJY50" s="136"/>
      <c r="SJZ50" s="136"/>
      <c r="SKA50" s="136"/>
      <c r="SKB50" s="136"/>
      <c r="SKC50" s="136"/>
      <c r="SKD50" s="136"/>
      <c r="SKE50" s="136"/>
      <c r="SKF50" s="136"/>
      <c r="SKG50" s="136"/>
      <c r="SKH50" s="136"/>
      <c r="SKI50" s="136"/>
      <c r="SKJ50" s="136"/>
      <c r="SKK50" s="136"/>
      <c r="SKL50" s="136"/>
      <c r="SKM50" s="136"/>
      <c r="SKN50" s="136"/>
      <c r="SKO50" s="136"/>
      <c r="SKP50" s="136"/>
      <c r="SKQ50" s="136"/>
      <c r="SKR50" s="136"/>
      <c r="SKS50" s="136"/>
      <c r="SKT50" s="136"/>
      <c r="SKU50" s="136"/>
      <c r="SKV50" s="136"/>
      <c r="SKW50" s="136"/>
      <c r="SKX50" s="136"/>
      <c r="SKY50" s="136"/>
      <c r="SKZ50" s="136"/>
      <c r="SLA50" s="136"/>
      <c r="SLB50" s="136"/>
      <c r="SLC50" s="136"/>
      <c r="SLD50" s="136"/>
      <c r="SLE50" s="136"/>
      <c r="SLF50" s="136"/>
      <c r="SLG50" s="136"/>
      <c r="SLH50" s="136"/>
      <c r="SLI50" s="136"/>
      <c r="SLJ50" s="136"/>
      <c r="SLK50" s="136"/>
      <c r="SLL50" s="136"/>
      <c r="SLM50" s="136"/>
      <c r="SLN50" s="136"/>
      <c r="SLO50" s="136"/>
      <c r="SLP50" s="136"/>
      <c r="SLQ50" s="136"/>
      <c r="SLR50" s="136"/>
      <c r="SLS50" s="136"/>
      <c r="SLT50" s="136"/>
      <c r="SLU50" s="136"/>
      <c r="SLV50" s="136"/>
      <c r="SLW50" s="136"/>
      <c r="SLX50" s="136"/>
      <c r="SLY50" s="136"/>
      <c r="SLZ50" s="136"/>
      <c r="SMA50" s="136"/>
      <c r="SMB50" s="136"/>
      <c r="SMC50" s="136"/>
      <c r="SMD50" s="136"/>
      <c r="SME50" s="136"/>
      <c r="SMF50" s="136"/>
      <c r="SMG50" s="136"/>
      <c r="SMH50" s="136"/>
      <c r="SMI50" s="136"/>
      <c r="SMJ50" s="136"/>
      <c r="SMK50" s="136"/>
      <c r="SML50" s="136"/>
      <c r="SMM50" s="136"/>
      <c r="SMN50" s="136"/>
      <c r="SMO50" s="136"/>
      <c r="SMP50" s="136"/>
      <c r="SMQ50" s="136"/>
      <c r="SMR50" s="136"/>
      <c r="SMS50" s="136"/>
      <c r="SMT50" s="136"/>
      <c r="SMU50" s="136"/>
      <c r="SMV50" s="136"/>
      <c r="SMW50" s="136"/>
      <c r="SMX50" s="136"/>
      <c r="SMY50" s="136"/>
      <c r="SMZ50" s="136"/>
      <c r="SNA50" s="136"/>
      <c r="SNB50" s="136"/>
      <c r="SNC50" s="136"/>
      <c r="SND50" s="136"/>
      <c r="SNE50" s="136"/>
      <c r="SNF50" s="136"/>
      <c r="SNG50" s="136"/>
      <c r="SNH50" s="136"/>
      <c r="SNI50" s="136"/>
      <c r="SNJ50" s="136"/>
      <c r="SNK50" s="136"/>
      <c r="SNL50" s="136"/>
      <c r="SNM50" s="136"/>
      <c r="SNN50" s="136"/>
      <c r="SNO50" s="136"/>
      <c r="SNP50" s="136"/>
      <c r="SNQ50" s="136"/>
      <c r="SNR50" s="136"/>
      <c r="SNS50" s="136"/>
      <c r="SNT50" s="136"/>
      <c r="SNU50" s="136"/>
      <c r="SNV50" s="136"/>
      <c r="SNW50" s="136"/>
      <c r="SNX50" s="136"/>
      <c r="SNY50" s="136"/>
      <c r="SNZ50" s="136"/>
      <c r="SOA50" s="136"/>
      <c r="SOB50" s="136"/>
      <c r="SOC50" s="136"/>
      <c r="SOD50" s="136"/>
      <c r="SOE50" s="136"/>
      <c r="SOF50" s="136"/>
      <c r="SOG50" s="136"/>
      <c r="SOH50" s="136"/>
      <c r="SOI50" s="136"/>
      <c r="SOJ50" s="136"/>
      <c r="SOK50" s="136"/>
      <c r="SOL50" s="136"/>
      <c r="SOM50" s="136"/>
      <c r="SON50" s="136"/>
      <c r="SOO50" s="136"/>
      <c r="SOP50" s="136"/>
      <c r="SOQ50" s="136"/>
      <c r="SOR50" s="136"/>
      <c r="SOS50" s="136"/>
      <c r="SOT50" s="136"/>
      <c r="SOU50" s="136"/>
      <c r="SOV50" s="136"/>
      <c r="SOW50" s="136"/>
      <c r="SOX50" s="136"/>
      <c r="SOY50" s="136"/>
      <c r="SOZ50" s="136"/>
      <c r="SPA50" s="136"/>
      <c r="SPB50" s="136"/>
      <c r="SPC50" s="136"/>
      <c r="SPD50" s="136"/>
      <c r="SPE50" s="136"/>
      <c r="SPF50" s="136"/>
      <c r="SPG50" s="136"/>
      <c r="SPH50" s="136"/>
      <c r="SPI50" s="136"/>
      <c r="SPJ50" s="136"/>
      <c r="SPK50" s="136"/>
      <c r="SPL50" s="136"/>
      <c r="SPM50" s="136"/>
      <c r="SPN50" s="136"/>
      <c r="SPO50" s="136"/>
      <c r="SPP50" s="136"/>
      <c r="SPQ50" s="136"/>
      <c r="SPR50" s="136"/>
      <c r="SPS50" s="136"/>
      <c r="SPT50" s="136"/>
      <c r="SPU50" s="136"/>
      <c r="SPV50" s="136"/>
      <c r="SPW50" s="136"/>
      <c r="SPX50" s="136"/>
      <c r="SPY50" s="136"/>
      <c r="SPZ50" s="136"/>
      <c r="SQA50" s="136"/>
      <c r="SQB50" s="136"/>
      <c r="SQC50" s="136"/>
      <c r="SQD50" s="136"/>
      <c r="SQE50" s="136"/>
      <c r="SQF50" s="136"/>
      <c r="SQG50" s="136"/>
      <c r="SQH50" s="136"/>
      <c r="SQI50" s="136"/>
      <c r="SQJ50" s="136"/>
      <c r="SQK50" s="136"/>
      <c r="SQL50" s="136"/>
      <c r="SQM50" s="136"/>
      <c r="SQN50" s="136"/>
      <c r="SQO50" s="136"/>
      <c r="SQP50" s="136"/>
      <c r="SQQ50" s="136"/>
      <c r="SQR50" s="136"/>
      <c r="SQS50" s="136"/>
      <c r="SQT50" s="136"/>
      <c r="SQU50" s="136"/>
      <c r="SQV50" s="136"/>
      <c r="SQW50" s="136"/>
      <c r="SQX50" s="136"/>
      <c r="SQY50" s="136"/>
      <c r="SQZ50" s="136"/>
      <c r="SRA50" s="136"/>
      <c r="SRB50" s="136"/>
      <c r="SRC50" s="136"/>
      <c r="SRD50" s="136"/>
      <c r="SRE50" s="136"/>
      <c r="SRF50" s="136"/>
      <c r="SRG50" s="136"/>
      <c r="SRH50" s="136"/>
      <c r="SRI50" s="136"/>
      <c r="SRJ50" s="136"/>
      <c r="SRK50" s="136"/>
      <c r="SRL50" s="136"/>
      <c r="SRM50" s="136"/>
      <c r="SRN50" s="136"/>
      <c r="SRO50" s="136"/>
      <c r="SRP50" s="136"/>
      <c r="SRQ50" s="136"/>
      <c r="SRR50" s="136"/>
      <c r="SRS50" s="136"/>
      <c r="SRT50" s="136"/>
      <c r="SRU50" s="136"/>
      <c r="SRV50" s="136"/>
      <c r="SRW50" s="136"/>
      <c r="SRX50" s="136"/>
      <c r="SRY50" s="136"/>
      <c r="SRZ50" s="136"/>
      <c r="SSA50" s="136"/>
      <c r="SSB50" s="136"/>
      <c r="SSC50" s="136"/>
      <c r="SSD50" s="136"/>
      <c r="SSE50" s="136"/>
      <c r="SSF50" s="136"/>
      <c r="SSG50" s="136"/>
      <c r="SSH50" s="136"/>
      <c r="SSI50" s="136"/>
      <c r="SSJ50" s="136"/>
      <c r="SSK50" s="136"/>
      <c r="SSL50" s="136"/>
      <c r="SSM50" s="136"/>
      <c r="SSN50" s="136"/>
      <c r="SSO50" s="136"/>
      <c r="SSP50" s="136"/>
      <c r="SSQ50" s="136"/>
      <c r="SSR50" s="136"/>
      <c r="SSS50" s="136"/>
      <c r="SST50" s="136"/>
      <c r="SSU50" s="136"/>
      <c r="SSV50" s="136"/>
      <c r="SSW50" s="136"/>
      <c r="SSX50" s="136"/>
      <c r="SSY50" s="136"/>
      <c r="SSZ50" s="136"/>
      <c r="STA50" s="136"/>
      <c r="STB50" s="136"/>
      <c r="STC50" s="136"/>
      <c r="STD50" s="136"/>
      <c r="STE50" s="136"/>
      <c r="STF50" s="136"/>
      <c r="STG50" s="136"/>
      <c r="STH50" s="136"/>
      <c r="STI50" s="136"/>
      <c r="STJ50" s="136"/>
      <c r="STK50" s="136"/>
      <c r="STL50" s="136"/>
      <c r="STM50" s="136"/>
      <c r="STN50" s="136"/>
      <c r="STO50" s="136"/>
      <c r="STP50" s="136"/>
      <c r="STQ50" s="136"/>
      <c r="STR50" s="136"/>
      <c r="STS50" s="136"/>
      <c r="STT50" s="136"/>
      <c r="STU50" s="136"/>
      <c r="STV50" s="136"/>
      <c r="STW50" s="136"/>
      <c r="STX50" s="136"/>
      <c r="STY50" s="136"/>
      <c r="STZ50" s="136"/>
      <c r="SUA50" s="136"/>
      <c r="SUB50" s="136"/>
      <c r="SUC50" s="136"/>
      <c r="SUD50" s="136"/>
      <c r="SUE50" s="136"/>
      <c r="SUF50" s="136"/>
      <c r="SUG50" s="136"/>
      <c r="SUH50" s="136"/>
      <c r="SUI50" s="136"/>
      <c r="SUJ50" s="136"/>
      <c r="SUK50" s="136"/>
      <c r="SUL50" s="136"/>
      <c r="SUM50" s="136"/>
      <c r="SUN50" s="136"/>
      <c r="SUO50" s="136"/>
      <c r="SUP50" s="136"/>
      <c r="SUQ50" s="136"/>
      <c r="SUR50" s="136"/>
      <c r="SUS50" s="136"/>
      <c r="SUT50" s="136"/>
      <c r="SUU50" s="136"/>
      <c r="SUV50" s="136"/>
      <c r="SUW50" s="136"/>
      <c r="SUX50" s="136"/>
      <c r="SUY50" s="136"/>
      <c r="SUZ50" s="136"/>
      <c r="SVA50" s="136"/>
      <c r="SVB50" s="136"/>
      <c r="SVC50" s="136"/>
      <c r="SVD50" s="136"/>
      <c r="SVE50" s="136"/>
      <c r="SVF50" s="136"/>
      <c r="SVG50" s="136"/>
      <c r="SVH50" s="136"/>
      <c r="SVI50" s="136"/>
      <c r="SVJ50" s="136"/>
      <c r="SVK50" s="136"/>
      <c r="SVL50" s="136"/>
      <c r="SVM50" s="136"/>
      <c r="SVN50" s="136"/>
      <c r="SVO50" s="136"/>
      <c r="SVP50" s="136"/>
      <c r="SVQ50" s="136"/>
      <c r="SVR50" s="136"/>
      <c r="SVS50" s="136"/>
      <c r="SVT50" s="136"/>
      <c r="SVU50" s="136"/>
      <c r="SVV50" s="136"/>
      <c r="SVW50" s="136"/>
      <c r="SVX50" s="136"/>
      <c r="SVY50" s="136"/>
      <c r="SVZ50" s="136"/>
      <c r="SWA50" s="136"/>
      <c r="SWB50" s="136"/>
      <c r="SWC50" s="136"/>
      <c r="SWD50" s="136"/>
      <c r="SWE50" s="136"/>
      <c r="SWF50" s="136"/>
      <c r="SWG50" s="136"/>
      <c r="SWH50" s="136"/>
      <c r="SWI50" s="136"/>
      <c r="SWJ50" s="136"/>
      <c r="SWK50" s="136"/>
      <c r="SWL50" s="136"/>
      <c r="SWM50" s="136"/>
      <c r="SWN50" s="136"/>
      <c r="SWO50" s="136"/>
      <c r="SWP50" s="136"/>
      <c r="SWQ50" s="136"/>
      <c r="SWR50" s="136"/>
      <c r="SWS50" s="136"/>
      <c r="SWT50" s="136"/>
      <c r="SWU50" s="136"/>
      <c r="SWV50" s="136"/>
      <c r="SWW50" s="136"/>
      <c r="SWX50" s="136"/>
      <c r="SWY50" s="136"/>
      <c r="SWZ50" s="136"/>
      <c r="SXA50" s="136"/>
      <c r="SXB50" s="136"/>
      <c r="SXC50" s="136"/>
      <c r="SXD50" s="136"/>
      <c r="SXE50" s="136"/>
      <c r="SXF50" s="136"/>
      <c r="SXG50" s="136"/>
      <c r="SXH50" s="136"/>
      <c r="SXI50" s="136"/>
      <c r="SXJ50" s="136"/>
      <c r="SXK50" s="136"/>
      <c r="SXL50" s="136"/>
      <c r="SXM50" s="136"/>
      <c r="SXN50" s="136"/>
      <c r="SXO50" s="136"/>
      <c r="SXP50" s="136"/>
      <c r="SXQ50" s="136"/>
      <c r="SXR50" s="136"/>
      <c r="SXS50" s="136"/>
      <c r="SXT50" s="136"/>
      <c r="SXU50" s="136"/>
      <c r="SXV50" s="136"/>
      <c r="SXW50" s="136"/>
      <c r="SXX50" s="136"/>
      <c r="SXY50" s="136"/>
      <c r="SXZ50" s="136"/>
      <c r="SYA50" s="136"/>
      <c r="SYB50" s="136"/>
      <c r="SYC50" s="136"/>
      <c r="SYD50" s="136"/>
      <c r="SYE50" s="136"/>
      <c r="SYF50" s="136"/>
      <c r="SYG50" s="136"/>
      <c r="SYH50" s="136"/>
      <c r="SYI50" s="136"/>
      <c r="SYJ50" s="136"/>
      <c r="SYK50" s="136"/>
      <c r="SYL50" s="136"/>
      <c r="SYM50" s="136"/>
      <c r="SYN50" s="136"/>
      <c r="SYO50" s="136"/>
      <c r="SYP50" s="136"/>
      <c r="SYQ50" s="136"/>
      <c r="SYR50" s="136"/>
      <c r="SYS50" s="136"/>
      <c r="SYT50" s="136"/>
      <c r="SYU50" s="136"/>
      <c r="SYV50" s="136"/>
      <c r="SYW50" s="136"/>
      <c r="SYX50" s="136"/>
      <c r="SYY50" s="136"/>
      <c r="SYZ50" s="136"/>
      <c r="SZA50" s="136"/>
      <c r="SZB50" s="136"/>
      <c r="SZC50" s="136"/>
      <c r="SZD50" s="136"/>
      <c r="SZE50" s="136"/>
      <c r="SZF50" s="136"/>
      <c r="SZG50" s="136"/>
      <c r="SZH50" s="136"/>
      <c r="SZI50" s="136"/>
      <c r="SZJ50" s="136"/>
      <c r="SZK50" s="136"/>
      <c r="SZL50" s="136"/>
      <c r="SZM50" s="136"/>
      <c r="SZN50" s="136"/>
      <c r="SZO50" s="136"/>
      <c r="SZP50" s="136"/>
      <c r="SZQ50" s="136"/>
      <c r="SZR50" s="136"/>
      <c r="SZS50" s="136"/>
      <c r="SZT50" s="136"/>
      <c r="SZU50" s="136"/>
      <c r="SZV50" s="136"/>
      <c r="SZW50" s="136"/>
      <c r="SZX50" s="136"/>
      <c r="SZY50" s="136"/>
      <c r="SZZ50" s="136"/>
      <c r="TAA50" s="136"/>
      <c r="TAB50" s="136"/>
      <c r="TAC50" s="136"/>
      <c r="TAD50" s="136"/>
      <c r="TAE50" s="136"/>
      <c r="TAF50" s="136"/>
      <c r="TAG50" s="136"/>
      <c r="TAH50" s="136"/>
      <c r="TAI50" s="136"/>
      <c r="TAJ50" s="136"/>
      <c r="TAK50" s="136"/>
      <c r="TAL50" s="136"/>
      <c r="TAM50" s="136"/>
      <c r="TAN50" s="136"/>
      <c r="TAO50" s="136"/>
      <c r="TAP50" s="136"/>
      <c r="TAQ50" s="136"/>
      <c r="TAR50" s="136"/>
      <c r="TAS50" s="136"/>
      <c r="TAT50" s="136"/>
      <c r="TAU50" s="136"/>
      <c r="TAV50" s="136"/>
      <c r="TAW50" s="136"/>
      <c r="TAX50" s="136"/>
      <c r="TAY50" s="136"/>
      <c r="TAZ50" s="136"/>
      <c r="TBA50" s="136"/>
      <c r="TBB50" s="136"/>
      <c r="TBC50" s="136"/>
      <c r="TBD50" s="136"/>
      <c r="TBE50" s="136"/>
      <c r="TBF50" s="136"/>
      <c r="TBG50" s="136"/>
      <c r="TBH50" s="136"/>
      <c r="TBI50" s="136"/>
      <c r="TBJ50" s="136"/>
      <c r="TBK50" s="136"/>
      <c r="TBL50" s="136"/>
      <c r="TBM50" s="136"/>
      <c r="TBN50" s="136"/>
      <c r="TBO50" s="136"/>
      <c r="TBP50" s="136"/>
      <c r="TBQ50" s="136"/>
      <c r="TBR50" s="136"/>
      <c r="TBS50" s="136"/>
      <c r="TBT50" s="136"/>
      <c r="TBU50" s="136"/>
      <c r="TBV50" s="136"/>
      <c r="TBW50" s="136"/>
      <c r="TBX50" s="136"/>
      <c r="TBY50" s="136"/>
      <c r="TBZ50" s="136"/>
      <c r="TCA50" s="136"/>
      <c r="TCB50" s="136"/>
      <c r="TCC50" s="136"/>
      <c r="TCD50" s="136"/>
      <c r="TCE50" s="136"/>
      <c r="TCF50" s="136"/>
      <c r="TCG50" s="136"/>
      <c r="TCH50" s="136"/>
      <c r="TCI50" s="136"/>
      <c r="TCJ50" s="136"/>
      <c r="TCK50" s="136"/>
      <c r="TCL50" s="136"/>
      <c r="TCM50" s="136"/>
      <c r="TCN50" s="136"/>
      <c r="TCO50" s="136"/>
      <c r="TCP50" s="136"/>
      <c r="TCQ50" s="136"/>
      <c r="TCR50" s="136"/>
      <c r="TCS50" s="136"/>
      <c r="TCT50" s="136"/>
      <c r="TCU50" s="136"/>
      <c r="TCV50" s="136"/>
      <c r="TCW50" s="136"/>
      <c r="TCX50" s="136"/>
      <c r="TCY50" s="136"/>
      <c r="TCZ50" s="136"/>
      <c r="TDA50" s="136"/>
      <c r="TDB50" s="136"/>
      <c r="TDC50" s="136"/>
      <c r="TDD50" s="136"/>
      <c r="TDE50" s="136"/>
      <c r="TDF50" s="136"/>
      <c r="TDG50" s="136"/>
      <c r="TDH50" s="136"/>
      <c r="TDI50" s="136"/>
      <c r="TDJ50" s="136"/>
      <c r="TDK50" s="136"/>
      <c r="TDL50" s="136"/>
      <c r="TDM50" s="136"/>
      <c r="TDN50" s="136"/>
      <c r="TDO50" s="136"/>
      <c r="TDP50" s="136"/>
      <c r="TDQ50" s="136"/>
      <c r="TDR50" s="136"/>
      <c r="TDS50" s="136"/>
      <c r="TDT50" s="136"/>
      <c r="TDU50" s="136"/>
      <c r="TDV50" s="136"/>
      <c r="TDW50" s="136"/>
      <c r="TDX50" s="136"/>
      <c r="TDY50" s="136"/>
      <c r="TDZ50" s="136"/>
      <c r="TEA50" s="136"/>
      <c r="TEB50" s="136"/>
      <c r="TEC50" s="136"/>
      <c r="TED50" s="136"/>
      <c r="TEE50" s="136"/>
      <c r="TEF50" s="136"/>
      <c r="TEG50" s="136"/>
      <c r="TEH50" s="136"/>
      <c r="TEI50" s="136"/>
      <c r="TEJ50" s="136"/>
      <c r="TEK50" s="136"/>
      <c r="TEL50" s="136"/>
      <c r="TEM50" s="136"/>
      <c r="TEN50" s="136"/>
      <c r="TEO50" s="136"/>
      <c r="TEP50" s="136"/>
      <c r="TEQ50" s="136"/>
      <c r="TER50" s="136"/>
      <c r="TES50" s="136"/>
      <c r="TET50" s="136"/>
      <c r="TEU50" s="136"/>
      <c r="TEV50" s="136"/>
      <c r="TEW50" s="136"/>
      <c r="TEX50" s="136"/>
      <c r="TEY50" s="136"/>
      <c r="TEZ50" s="136"/>
      <c r="TFA50" s="136"/>
      <c r="TFB50" s="136"/>
      <c r="TFC50" s="136"/>
      <c r="TFD50" s="136"/>
      <c r="TFE50" s="136"/>
      <c r="TFF50" s="136"/>
      <c r="TFG50" s="136"/>
      <c r="TFH50" s="136"/>
      <c r="TFI50" s="136"/>
      <c r="TFJ50" s="136"/>
      <c r="TFK50" s="136"/>
      <c r="TFL50" s="136"/>
      <c r="TFM50" s="136"/>
      <c r="TFN50" s="136"/>
      <c r="TFO50" s="136"/>
      <c r="TFP50" s="136"/>
      <c r="TFQ50" s="136"/>
      <c r="TFR50" s="136"/>
      <c r="TFS50" s="136"/>
      <c r="TFT50" s="136"/>
      <c r="TFU50" s="136"/>
      <c r="TFV50" s="136"/>
      <c r="TFW50" s="136"/>
      <c r="TFX50" s="136"/>
      <c r="TFY50" s="136"/>
      <c r="TFZ50" s="136"/>
      <c r="TGA50" s="136"/>
      <c r="TGB50" s="136"/>
      <c r="TGC50" s="136"/>
      <c r="TGD50" s="136"/>
      <c r="TGE50" s="136"/>
      <c r="TGF50" s="136"/>
      <c r="TGG50" s="136"/>
      <c r="TGH50" s="136"/>
      <c r="TGI50" s="136"/>
      <c r="TGJ50" s="136"/>
      <c r="TGK50" s="136"/>
      <c r="TGL50" s="136"/>
      <c r="TGM50" s="136"/>
      <c r="TGN50" s="136"/>
      <c r="TGO50" s="136"/>
      <c r="TGP50" s="136"/>
      <c r="TGQ50" s="136"/>
      <c r="TGR50" s="136"/>
      <c r="TGS50" s="136"/>
      <c r="TGT50" s="136"/>
      <c r="TGU50" s="136"/>
      <c r="TGV50" s="136"/>
      <c r="TGW50" s="136"/>
      <c r="TGX50" s="136"/>
      <c r="TGY50" s="136"/>
      <c r="TGZ50" s="136"/>
      <c r="THA50" s="136"/>
      <c r="THB50" s="136"/>
      <c r="THC50" s="136"/>
      <c r="THD50" s="136"/>
      <c r="THE50" s="136"/>
      <c r="THF50" s="136"/>
      <c r="THG50" s="136"/>
      <c r="THH50" s="136"/>
      <c r="THI50" s="136"/>
      <c r="THJ50" s="136"/>
      <c r="THK50" s="136"/>
      <c r="THL50" s="136"/>
      <c r="THM50" s="136"/>
      <c r="THN50" s="136"/>
      <c r="THO50" s="136"/>
      <c r="THP50" s="136"/>
      <c r="THQ50" s="136"/>
      <c r="THR50" s="136"/>
      <c r="THS50" s="136"/>
      <c r="THT50" s="136"/>
      <c r="THU50" s="136"/>
      <c r="THV50" s="136"/>
      <c r="THW50" s="136"/>
      <c r="THX50" s="136"/>
      <c r="THY50" s="136"/>
      <c r="THZ50" s="136"/>
      <c r="TIA50" s="136"/>
      <c r="TIB50" s="136"/>
      <c r="TIC50" s="136"/>
      <c r="TID50" s="136"/>
      <c r="TIE50" s="136"/>
      <c r="TIF50" s="136"/>
      <c r="TIG50" s="136"/>
      <c r="TIH50" s="136"/>
      <c r="TII50" s="136"/>
      <c r="TIJ50" s="136"/>
      <c r="TIK50" s="136"/>
      <c r="TIL50" s="136"/>
      <c r="TIM50" s="136"/>
      <c r="TIN50" s="136"/>
      <c r="TIO50" s="136"/>
      <c r="TIP50" s="136"/>
      <c r="TIQ50" s="136"/>
      <c r="TIR50" s="136"/>
      <c r="TIS50" s="136"/>
      <c r="TIT50" s="136"/>
      <c r="TIU50" s="136"/>
      <c r="TIV50" s="136"/>
      <c r="TIW50" s="136"/>
      <c r="TIX50" s="136"/>
      <c r="TIY50" s="136"/>
      <c r="TIZ50" s="136"/>
      <c r="TJA50" s="136"/>
      <c r="TJB50" s="136"/>
      <c r="TJC50" s="136"/>
      <c r="TJD50" s="136"/>
      <c r="TJE50" s="136"/>
      <c r="TJF50" s="136"/>
      <c r="TJG50" s="136"/>
      <c r="TJH50" s="136"/>
      <c r="TJI50" s="136"/>
      <c r="TJJ50" s="136"/>
      <c r="TJK50" s="136"/>
      <c r="TJL50" s="136"/>
      <c r="TJM50" s="136"/>
      <c r="TJN50" s="136"/>
      <c r="TJO50" s="136"/>
      <c r="TJP50" s="136"/>
      <c r="TJQ50" s="136"/>
      <c r="TJR50" s="136"/>
      <c r="TJS50" s="136"/>
      <c r="TJT50" s="136"/>
      <c r="TJU50" s="136"/>
      <c r="TJV50" s="136"/>
      <c r="TJW50" s="136"/>
      <c r="TJX50" s="136"/>
      <c r="TJY50" s="136"/>
      <c r="TJZ50" s="136"/>
      <c r="TKA50" s="136"/>
      <c r="TKB50" s="136"/>
      <c r="TKC50" s="136"/>
      <c r="TKD50" s="136"/>
      <c r="TKE50" s="136"/>
      <c r="TKF50" s="136"/>
      <c r="TKG50" s="136"/>
      <c r="TKH50" s="136"/>
      <c r="TKI50" s="136"/>
      <c r="TKJ50" s="136"/>
      <c r="TKK50" s="136"/>
      <c r="TKL50" s="136"/>
      <c r="TKM50" s="136"/>
      <c r="TKN50" s="136"/>
      <c r="TKO50" s="136"/>
      <c r="TKP50" s="136"/>
      <c r="TKQ50" s="136"/>
      <c r="TKR50" s="136"/>
      <c r="TKS50" s="136"/>
      <c r="TKT50" s="136"/>
      <c r="TKU50" s="136"/>
      <c r="TKV50" s="136"/>
      <c r="TKW50" s="136"/>
      <c r="TKX50" s="136"/>
      <c r="TKY50" s="136"/>
      <c r="TKZ50" s="136"/>
      <c r="TLA50" s="136"/>
      <c r="TLB50" s="136"/>
      <c r="TLC50" s="136"/>
      <c r="TLD50" s="136"/>
      <c r="TLE50" s="136"/>
      <c r="TLF50" s="136"/>
      <c r="TLG50" s="136"/>
      <c r="TLH50" s="136"/>
      <c r="TLI50" s="136"/>
      <c r="TLJ50" s="136"/>
      <c r="TLK50" s="136"/>
      <c r="TLL50" s="136"/>
      <c r="TLM50" s="136"/>
      <c r="TLN50" s="136"/>
      <c r="TLO50" s="136"/>
      <c r="TLP50" s="136"/>
      <c r="TLQ50" s="136"/>
      <c r="TLR50" s="136"/>
      <c r="TLS50" s="136"/>
      <c r="TLT50" s="136"/>
      <c r="TLU50" s="136"/>
      <c r="TLV50" s="136"/>
      <c r="TLW50" s="136"/>
      <c r="TLX50" s="136"/>
      <c r="TLY50" s="136"/>
      <c r="TLZ50" s="136"/>
      <c r="TMA50" s="136"/>
      <c r="TMB50" s="136"/>
      <c r="TMC50" s="136"/>
      <c r="TMD50" s="136"/>
      <c r="TME50" s="136"/>
      <c r="TMF50" s="136"/>
      <c r="TMG50" s="136"/>
      <c r="TMH50" s="136"/>
      <c r="TMI50" s="136"/>
      <c r="TMJ50" s="136"/>
      <c r="TMK50" s="136"/>
      <c r="TML50" s="136"/>
      <c r="TMM50" s="136"/>
      <c r="TMN50" s="136"/>
      <c r="TMO50" s="136"/>
      <c r="TMP50" s="136"/>
      <c r="TMQ50" s="136"/>
      <c r="TMR50" s="136"/>
      <c r="TMS50" s="136"/>
      <c r="TMT50" s="136"/>
      <c r="TMU50" s="136"/>
      <c r="TMV50" s="136"/>
      <c r="TMW50" s="136"/>
      <c r="TMX50" s="136"/>
      <c r="TMY50" s="136"/>
      <c r="TMZ50" s="136"/>
      <c r="TNA50" s="136"/>
      <c r="TNB50" s="136"/>
      <c r="TNC50" s="136"/>
      <c r="TND50" s="136"/>
      <c r="TNE50" s="136"/>
      <c r="TNF50" s="136"/>
      <c r="TNG50" s="136"/>
      <c r="TNH50" s="136"/>
      <c r="TNI50" s="136"/>
      <c r="TNJ50" s="136"/>
      <c r="TNK50" s="136"/>
      <c r="TNL50" s="136"/>
      <c r="TNM50" s="136"/>
      <c r="TNN50" s="136"/>
      <c r="TNO50" s="136"/>
      <c r="TNP50" s="136"/>
      <c r="TNQ50" s="136"/>
      <c r="TNR50" s="136"/>
      <c r="TNS50" s="136"/>
      <c r="TNT50" s="136"/>
      <c r="TNU50" s="136"/>
      <c r="TNV50" s="136"/>
      <c r="TNW50" s="136"/>
      <c r="TNX50" s="136"/>
      <c r="TNY50" s="136"/>
      <c r="TNZ50" s="136"/>
      <c r="TOA50" s="136"/>
      <c r="TOB50" s="136"/>
      <c r="TOC50" s="136"/>
      <c r="TOD50" s="136"/>
      <c r="TOE50" s="136"/>
      <c r="TOF50" s="136"/>
      <c r="TOG50" s="136"/>
      <c r="TOH50" s="136"/>
      <c r="TOI50" s="136"/>
      <c r="TOJ50" s="136"/>
      <c r="TOK50" s="136"/>
      <c r="TOL50" s="136"/>
      <c r="TOM50" s="136"/>
      <c r="TON50" s="136"/>
      <c r="TOO50" s="136"/>
      <c r="TOP50" s="136"/>
      <c r="TOQ50" s="136"/>
      <c r="TOR50" s="136"/>
      <c r="TOS50" s="136"/>
      <c r="TOT50" s="136"/>
      <c r="TOU50" s="136"/>
      <c r="TOV50" s="136"/>
      <c r="TOW50" s="136"/>
      <c r="TOX50" s="136"/>
      <c r="TOY50" s="136"/>
      <c r="TOZ50" s="136"/>
      <c r="TPA50" s="136"/>
      <c r="TPB50" s="136"/>
      <c r="TPC50" s="136"/>
      <c r="TPD50" s="136"/>
      <c r="TPE50" s="136"/>
      <c r="TPF50" s="136"/>
      <c r="TPG50" s="136"/>
      <c r="TPH50" s="136"/>
      <c r="TPI50" s="136"/>
      <c r="TPJ50" s="136"/>
      <c r="TPK50" s="136"/>
      <c r="TPL50" s="136"/>
      <c r="TPM50" s="136"/>
      <c r="TPN50" s="136"/>
      <c r="TPO50" s="136"/>
      <c r="TPP50" s="136"/>
      <c r="TPQ50" s="136"/>
      <c r="TPR50" s="136"/>
      <c r="TPS50" s="136"/>
      <c r="TPT50" s="136"/>
      <c r="TPU50" s="136"/>
      <c r="TPV50" s="136"/>
      <c r="TPW50" s="136"/>
      <c r="TPX50" s="136"/>
      <c r="TPY50" s="136"/>
      <c r="TPZ50" s="136"/>
      <c r="TQA50" s="136"/>
      <c r="TQB50" s="136"/>
      <c r="TQC50" s="136"/>
      <c r="TQD50" s="136"/>
      <c r="TQE50" s="136"/>
      <c r="TQF50" s="136"/>
      <c r="TQG50" s="136"/>
      <c r="TQH50" s="136"/>
      <c r="TQI50" s="136"/>
      <c r="TQJ50" s="136"/>
      <c r="TQK50" s="136"/>
      <c r="TQL50" s="136"/>
      <c r="TQM50" s="136"/>
      <c r="TQN50" s="136"/>
      <c r="TQO50" s="136"/>
      <c r="TQP50" s="136"/>
      <c r="TQQ50" s="136"/>
      <c r="TQR50" s="136"/>
      <c r="TQS50" s="136"/>
      <c r="TQT50" s="136"/>
      <c r="TQU50" s="136"/>
      <c r="TQV50" s="136"/>
      <c r="TQW50" s="136"/>
      <c r="TQX50" s="136"/>
      <c r="TQY50" s="136"/>
      <c r="TQZ50" s="136"/>
      <c r="TRA50" s="136"/>
      <c r="TRB50" s="136"/>
      <c r="TRC50" s="136"/>
      <c r="TRD50" s="136"/>
      <c r="TRE50" s="136"/>
      <c r="TRF50" s="136"/>
      <c r="TRG50" s="136"/>
      <c r="TRH50" s="136"/>
      <c r="TRI50" s="136"/>
      <c r="TRJ50" s="136"/>
      <c r="TRK50" s="136"/>
      <c r="TRL50" s="136"/>
      <c r="TRM50" s="136"/>
      <c r="TRN50" s="136"/>
      <c r="TRO50" s="136"/>
      <c r="TRP50" s="136"/>
      <c r="TRQ50" s="136"/>
      <c r="TRR50" s="136"/>
      <c r="TRS50" s="136"/>
      <c r="TRT50" s="136"/>
      <c r="TRU50" s="136"/>
      <c r="TRV50" s="136"/>
      <c r="TRW50" s="136"/>
      <c r="TRX50" s="136"/>
      <c r="TRY50" s="136"/>
      <c r="TRZ50" s="136"/>
      <c r="TSA50" s="136"/>
      <c r="TSB50" s="136"/>
      <c r="TSC50" s="136"/>
      <c r="TSD50" s="136"/>
      <c r="TSE50" s="136"/>
      <c r="TSF50" s="136"/>
      <c r="TSG50" s="136"/>
      <c r="TSH50" s="136"/>
      <c r="TSI50" s="136"/>
      <c r="TSJ50" s="136"/>
      <c r="TSK50" s="136"/>
      <c r="TSL50" s="136"/>
      <c r="TSM50" s="136"/>
      <c r="TSN50" s="136"/>
      <c r="TSO50" s="136"/>
      <c r="TSP50" s="136"/>
      <c r="TSQ50" s="136"/>
      <c r="TSR50" s="136"/>
      <c r="TSS50" s="136"/>
      <c r="TST50" s="136"/>
      <c r="TSU50" s="136"/>
      <c r="TSV50" s="136"/>
      <c r="TSW50" s="136"/>
      <c r="TSX50" s="136"/>
      <c r="TSY50" s="136"/>
      <c r="TSZ50" s="136"/>
      <c r="TTA50" s="136"/>
      <c r="TTB50" s="136"/>
      <c r="TTC50" s="136"/>
      <c r="TTD50" s="136"/>
      <c r="TTE50" s="136"/>
      <c r="TTF50" s="136"/>
      <c r="TTG50" s="136"/>
      <c r="TTH50" s="136"/>
      <c r="TTI50" s="136"/>
      <c r="TTJ50" s="136"/>
      <c r="TTK50" s="136"/>
      <c r="TTL50" s="136"/>
      <c r="TTM50" s="136"/>
      <c r="TTN50" s="136"/>
      <c r="TTO50" s="136"/>
      <c r="TTP50" s="136"/>
      <c r="TTQ50" s="136"/>
      <c r="TTR50" s="136"/>
      <c r="TTS50" s="136"/>
      <c r="TTT50" s="136"/>
      <c r="TTU50" s="136"/>
      <c r="TTV50" s="136"/>
      <c r="TTW50" s="136"/>
      <c r="TTX50" s="136"/>
      <c r="TTY50" s="136"/>
      <c r="TTZ50" s="136"/>
      <c r="TUA50" s="136"/>
      <c r="TUB50" s="136"/>
      <c r="TUC50" s="136"/>
      <c r="TUD50" s="136"/>
      <c r="TUE50" s="136"/>
      <c r="TUF50" s="136"/>
      <c r="TUG50" s="136"/>
      <c r="TUH50" s="136"/>
      <c r="TUI50" s="136"/>
      <c r="TUJ50" s="136"/>
      <c r="TUK50" s="136"/>
      <c r="TUL50" s="136"/>
      <c r="TUM50" s="136"/>
      <c r="TUN50" s="136"/>
      <c r="TUO50" s="136"/>
      <c r="TUP50" s="136"/>
      <c r="TUQ50" s="136"/>
      <c r="TUR50" s="136"/>
      <c r="TUS50" s="136"/>
      <c r="TUT50" s="136"/>
      <c r="TUU50" s="136"/>
      <c r="TUV50" s="136"/>
      <c r="TUW50" s="136"/>
      <c r="TUX50" s="136"/>
      <c r="TUY50" s="136"/>
      <c r="TUZ50" s="136"/>
      <c r="TVA50" s="136"/>
      <c r="TVB50" s="136"/>
      <c r="TVC50" s="136"/>
      <c r="TVD50" s="136"/>
      <c r="TVE50" s="136"/>
      <c r="TVF50" s="136"/>
      <c r="TVG50" s="136"/>
      <c r="TVH50" s="136"/>
      <c r="TVI50" s="136"/>
      <c r="TVJ50" s="136"/>
      <c r="TVK50" s="136"/>
      <c r="TVL50" s="136"/>
      <c r="TVM50" s="136"/>
      <c r="TVN50" s="136"/>
      <c r="TVO50" s="136"/>
      <c r="TVP50" s="136"/>
      <c r="TVQ50" s="136"/>
      <c r="TVR50" s="136"/>
      <c r="TVS50" s="136"/>
      <c r="TVT50" s="136"/>
      <c r="TVU50" s="136"/>
      <c r="TVV50" s="136"/>
      <c r="TVW50" s="136"/>
      <c r="TVX50" s="136"/>
      <c r="TVY50" s="136"/>
      <c r="TVZ50" s="136"/>
      <c r="TWA50" s="136"/>
      <c r="TWB50" s="136"/>
      <c r="TWC50" s="136"/>
      <c r="TWD50" s="136"/>
      <c r="TWE50" s="136"/>
      <c r="TWF50" s="136"/>
      <c r="TWG50" s="136"/>
      <c r="TWH50" s="136"/>
      <c r="TWI50" s="136"/>
      <c r="TWJ50" s="136"/>
      <c r="TWK50" s="136"/>
      <c r="TWL50" s="136"/>
      <c r="TWM50" s="136"/>
      <c r="TWN50" s="136"/>
      <c r="TWO50" s="136"/>
      <c r="TWP50" s="136"/>
      <c r="TWQ50" s="136"/>
      <c r="TWR50" s="136"/>
      <c r="TWS50" s="136"/>
      <c r="TWT50" s="136"/>
      <c r="TWU50" s="136"/>
      <c r="TWV50" s="136"/>
      <c r="TWW50" s="136"/>
      <c r="TWX50" s="136"/>
      <c r="TWY50" s="136"/>
      <c r="TWZ50" s="136"/>
      <c r="TXA50" s="136"/>
      <c r="TXB50" s="136"/>
      <c r="TXC50" s="136"/>
      <c r="TXD50" s="136"/>
      <c r="TXE50" s="136"/>
      <c r="TXF50" s="136"/>
      <c r="TXG50" s="136"/>
      <c r="TXH50" s="136"/>
      <c r="TXI50" s="136"/>
      <c r="TXJ50" s="136"/>
      <c r="TXK50" s="136"/>
      <c r="TXL50" s="136"/>
      <c r="TXM50" s="136"/>
      <c r="TXN50" s="136"/>
      <c r="TXO50" s="136"/>
      <c r="TXP50" s="136"/>
      <c r="TXQ50" s="136"/>
      <c r="TXR50" s="136"/>
      <c r="TXS50" s="136"/>
      <c r="TXT50" s="136"/>
      <c r="TXU50" s="136"/>
      <c r="TXV50" s="136"/>
      <c r="TXW50" s="136"/>
      <c r="TXX50" s="136"/>
      <c r="TXY50" s="136"/>
      <c r="TXZ50" s="136"/>
      <c r="TYA50" s="136"/>
      <c r="TYB50" s="136"/>
      <c r="TYC50" s="136"/>
      <c r="TYD50" s="136"/>
      <c r="TYE50" s="136"/>
      <c r="TYF50" s="136"/>
      <c r="TYG50" s="136"/>
      <c r="TYH50" s="136"/>
      <c r="TYI50" s="136"/>
      <c r="TYJ50" s="136"/>
      <c r="TYK50" s="136"/>
      <c r="TYL50" s="136"/>
      <c r="TYM50" s="136"/>
      <c r="TYN50" s="136"/>
      <c r="TYO50" s="136"/>
      <c r="TYP50" s="136"/>
      <c r="TYQ50" s="136"/>
      <c r="TYR50" s="136"/>
      <c r="TYS50" s="136"/>
      <c r="TYT50" s="136"/>
      <c r="TYU50" s="136"/>
      <c r="TYV50" s="136"/>
      <c r="TYW50" s="136"/>
      <c r="TYX50" s="136"/>
      <c r="TYY50" s="136"/>
      <c r="TYZ50" s="136"/>
      <c r="TZA50" s="136"/>
      <c r="TZB50" s="136"/>
      <c r="TZC50" s="136"/>
      <c r="TZD50" s="136"/>
      <c r="TZE50" s="136"/>
      <c r="TZF50" s="136"/>
      <c r="TZG50" s="136"/>
      <c r="TZH50" s="136"/>
      <c r="TZI50" s="136"/>
      <c r="TZJ50" s="136"/>
      <c r="TZK50" s="136"/>
      <c r="TZL50" s="136"/>
      <c r="TZM50" s="136"/>
      <c r="TZN50" s="136"/>
      <c r="TZO50" s="136"/>
      <c r="TZP50" s="136"/>
      <c r="TZQ50" s="136"/>
      <c r="TZR50" s="136"/>
      <c r="TZS50" s="136"/>
      <c r="TZT50" s="136"/>
      <c r="TZU50" s="136"/>
      <c r="TZV50" s="136"/>
      <c r="TZW50" s="136"/>
      <c r="TZX50" s="136"/>
      <c r="TZY50" s="136"/>
      <c r="TZZ50" s="136"/>
      <c r="UAA50" s="136"/>
      <c r="UAB50" s="136"/>
      <c r="UAC50" s="136"/>
      <c r="UAD50" s="136"/>
      <c r="UAE50" s="136"/>
      <c r="UAF50" s="136"/>
      <c r="UAG50" s="136"/>
      <c r="UAH50" s="136"/>
      <c r="UAI50" s="136"/>
      <c r="UAJ50" s="136"/>
      <c r="UAK50" s="136"/>
      <c r="UAL50" s="136"/>
      <c r="UAM50" s="136"/>
      <c r="UAN50" s="136"/>
      <c r="UAO50" s="136"/>
      <c r="UAP50" s="136"/>
      <c r="UAQ50" s="136"/>
      <c r="UAR50" s="136"/>
      <c r="UAS50" s="136"/>
      <c r="UAT50" s="136"/>
      <c r="UAU50" s="136"/>
      <c r="UAV50" s="136"/>
      <c r="UAW50" s="136"/>
      <c r="UAX50" s="136"/>
      <c r="UAY50" s="136"/>
      <c r="UAZ50" s="136"/>
      <c r="UBA50" s="136"/>
      <c r="UBB50" s="136"/>
      <c r="UBC50" s="136"/>
      <c r="UBD50" s="136"/>
      <c r="UBE50" s="136"/>
      <c r="UBF50" s="136"/>
      <c r="UBG50" s="136"/>
      <c r="UBH50" s="136"/>
      <c r="UBI50" s="136"/>
      <c r="UBJ50" s="136"/>
      <c r="UBK50" s="136"/>
      <c r="UBL50" s="136"/>
      <c r="UBM50" s="136"/>
      <c r="UBN50" s="136"/>
      <c r="UBO50" s="136"/>
      <c r="UBP50" s="136"/>
      <c r="UBQ50" s="136"/>
      <c r="UBR50" s="136"/>
      <c r="UBS50" s="136"/>
      <c r="UBT50" s="136"/>
      <c r="UBU50" s="136"/>
      <c r="UBV50" s="136"/>
      <c r="UBW50" s="136"/>
      <c r="UBX50" s="136"/>
      <c r="UBY50" s="136"/>
      <c r="UBZ50" s="136"/>
      <c r="UCA50" s="136"/>
      <c r="UCB50" s="136"/>
      <c r="UCC50" s="136"/>
      <c r="UCD50" s="136"/>
      <c r="UCE50" s="136"/>
      <c r="UCF50" s="136"/>
      <c r="UCG50" s="136"/>
      <c r="UCH50" s="136"/>
      <c r="UCI50" s="136"/>
      <c r="UCJ50" s="136"/>
      <c r="UCK50" s="136"/>
      <c r="UCL50" s="136"/>
      <c r="UCM50" s="136"/>
      <c r="UCN50" s="136"/>
      <c r="UCO50" s="136"/>
      <c r="UCP50" s="136"/>
      <c r="UCQ50" s="136"/>
      <c r="UCR50" s="136"/>
      <c r="UCS50" s="136"/>
      <c r="UCT50" s="136"/>
      <c r="UCU50" s="136"/>
      <c r="UCV50" s="136"/>
      <c r="UCW50" s="136"/>
      <c r="UCX50" s="136"/>
      <c r="UCY50" s="136"/>
      <c r="UCZ50" s="136"/>
      <c r="UDA50" s="136"/>
      <c r="UDB50" s="136"/>
      <c r="UDC50" s="136"/>
      <c r="UDD50" s="136"/>
      <c r="UDE50" s="136"/>
      <c r="UDF50" s="136"/>
      <c r="UDG50" s="136"/>
      <c r="UDH50" s="136"/>
      <c r="UDI50" s="136"/>
      <c r="UDJ50" s="136"/>
      <c r="UDK50" s="136"/>
      <c r="UDL50" s="136"/>
      <c r="UDM50" s="136"/>
      <c r="UDN50" s="136"/>
      <c r="UDO50" s="136"/>
      <c r="UDP50" s="136"/>
      <c r="UDQ50" s="136"/>
      <c r="UDR50" s="136"/>
      <c r="UDS50" s="136"/>
      <c r="UDT50" s="136"/>
      <c r="UDU50" s="136"/>
      <c r="UDV50" s="136"/>
      <c r="UDW50" s="136"/>
      <c r="UDX50" s="136"/>
      <c r="UDY50" s="136"/>
      <c r="UDZ50" s="136"/>
      <c r="UEA50" s="136"/>
      <c r="UEB50" s="136"/>
      <c r="UEC50" s="136"/>
      <c r="UED50" s="136"/>
      <c r="UEE50" s="136"/>
      <c r="UEF50" s="136"/>
      <c r="UEG50" s="136"/>
      <c r="UEH50" s="136"/>
      <c r="UEI50" s="136"/>
      <c r="UEJ50" s="136"/>
      <c r="UEK50" s="136"/>
      <c r="UEL50" s="136"/>
      <c r="UEM50" s="136"/>
      <c r="UEN50" s="136"/>
      <c r="UEO50" s="136"/>
      <c r="UEP50" s="136"/>
      <c r="UEQ50" s="136"/>
      <c r="UER50" s="136"/>
      <c r="UES50" s="136"/>
      <c r="UET50" s="136"/>
      <c r="UEU50" s="136"/>
      <c r="UEV50" s="136"/>
      <c r="UEW50" s="136"/>
      <c r="UEX50" s="136"/>
      <c r="UEY50" s="136"/>
      <c r="UEZ50" s="136"/>
      <c r="UFA50" s="136"/>
      <c r="UFB50" s="136"/>
      <c r="UFC50" s="136"/>
      <c r="UFD50" s="136"/>
      <c r="UFE50" s="136"/>
      <c r="UFF50" s="136"/>
      <c r="UFG50" s="136"/>
      <c r="UFH50" s="136"/>
      <c r="UFI50" s="136"/>
      <c r="UFJ50" s="136"/>
      <c r="UFK50" s="136"/>
      <c r="UFL50" s="136"/>
      <c r="UFM50" s="136"/>
      <c r="UFN50" s="136"/>
      <c r="UFO50" s="136"/>
      <c r="UFP50" s="136"/>
      <c r="UFQ50" s="136"/>
      <c r="UFR50" s="136"/>
      <c r="UFS50" s="136"/>
      <c r="UFT50" s="136"/>
      <c r="UFU50" s="136"/>
      <c r="UFV50" s="136"/>
      <c r="UFW50" s="136"/>
      <c r="UFX50" s="136"/>
      <c r="UFY50" s="136"/>
      <c r="UFZ50" s="136"/>
      <c r="UGA50" s="136"/>
      <c r="UGB50" s="136"/>
      <c r="UGC50" s="136"/>
      <c r="UGD50" s="136"/>
      <c r="UGE50" s="136"/>
      <c r="UGF50" s="136"/>
      <c r="UGG50" s="136"/>
      <c r="UGH50" s="136"/>
      <c r="UGI50" s="136"/>
      <c r="UGJ50" s="136"/>
      <c r="UGK50" s="136"/>
      <c r="UGL50" s="136"/>
      <c r="UGM50" s="136"/>
      <c r="UGN50" s="136"/>
      <c r="UGO50" s="136"/>
      <c r="UGP50" s="136"/>
      <c r="UGQ50" s="136"/>
      <c r="UGR50" s="136"/>
      <c r="UGS50" s="136"/>
      <c r="UGT50" s="136"/>
      <c r="UGU50" s="136"/>
      <c r="UGV50" s="136"/>
      <c r="UGW50" s="136"/>
      <c r="UGX50" s="136"/>
      <c r="UGY50" s="136"/>
      <c r="UGZ50" s="136"/>
      <c r="UHA50" s="136"/>
      <c r="UHB50" s="136"/>
      <c r="UHC50" s="136"/>
      <c r="UHD50" s="136"/>
      <c r="UHE50" s="136"/>
      <c r="UHF50" s="136"/>
      <c r="UHG50" s="136"/>
      <c r="UHH50" s="136"/>
      <c r="UHI50" s="136"/>
      <c r="UHJ50" s="136"/>
      <c r="UHK50" s="136"/>
      <c r="UHL50" s="136"/>
      <c r="UHM50" s="136"/>
      <c r="UHN50" s="136"/>
      <c r="UHO50" s="136"/>
      <c r="UHP50" s="136"/>
      <c r="UHQ50" s="136"/>
      <c r="UHR50" s="136"/>
      <c r="UHS50" s="136"/>
      <c r="UHT50" s="136"/>
      <c r="UHU50" s="136"/>
      <c r="UHV50" s="136"/>
      <c r="UHW50" s="136"/>
      <c r="UHX50" s="136"/>
      <c r="UHY50" s="136"/>
      <c r="UHZ50" s="136"/>
      <c r="UIA50" s="136"/>
      <c r="UIB50" s="136"/>
      <c r="UIC50" s="136"/>
      <c r="UID50" s="136"/>
      <c r="UIE50" s="136"/>
      <c r="UIF50" s="136"/>
      <c r="UIG50" s="136"/>
      <c r="UIH50" s="136"/>
      <c r="UII50" s="136"/>
      <c r="UIJ50" s="136"/>
      <c r="UIK50" s="136"/>
      <c r="UIL50" s="136"/>
      <c r="UIM50" s="136"/>
      <c r="UIN50" s="136"/>
      <c r="UIO50" s="136"/>
      <c r="UIP50" s="136"/>
      <c r="UIQ50" s="136"/>
      <c r="UIR50" s="136"/>
      <c r="UIS50" s="136"/>
      <c r="UIT50" s="136"/>
      <c r="UIU50" s="136"/>
      <c r="UIV50" s="136"/>
      <c r="UIW50" s="136"/>
      <c r="UIX50" s="136"/>
      <c r="UIY50" s="136"/>
      <c r="UIZ50" s="136"/>
      <c r="UJA50" s="136"/>
      <c r="UJB50" s="136"/>
      <c r="UJC50" s="136"/>
      <c r="UJD50" s="136"/>
      <c r="UJE50" s="136"/>
      <c r="UJF50" s="136"/>
      <c r="UJG50" s="136"/>
      <c r="UJH50" s="136"/>
      <c r="UJI50" s="136"/>
      <c r="UJJ50" s="136"/>
      <c r="UJK50" s="136"/>
      <c r="UJL50" s="136"/>
      <c r="UJM50" s="136"/>
      <c r="UJN50" s="136"/>
      <c r="UJO50" s="136"/>
      <c r="UJP50" s="136"/>
      <c r="UJQ50" s="136"/>
      <c r="UJR50" s="136"/>
      <c r="UJS50" s="136"/>
      <c r="UJT50" s="136"/>
      <c r="UJU50" s="136"/>
      <c r="UJV50" s="136"/>
      <c r="UJW50" s="136"/>
      <c r="UJX50" s="136"/>
      <c r="UJY50" s="136"/>
      <c r="UJZ50" s="136"/>
      <c r="UKA50" s="136"/>
      <c r="UKB50" s="136"/>
      <c r="UKC50" s="136"/>
      <c r="UKD50" s="136"/>
      <c r="UKE50" s="136"/>
      <c r="UKF50" s="136"/>
      <c r="UKG50" s="136"/>
      <c r="UKH50" s="136"/>
      <c r="UKI50" s="136"/>
      <c r="UKJ50" s="136"/>
      <c r="UKK50" s="136"/>
      <c r="UKL50" s="136"/>
      <c r="UKM50" s="136"/>
      <c r="UKN50" s="136"/>
      <c r="UKO50" s="136"/>
      <c r="UKP50" s="136"/>
      <c r="UKQ50" s="136"/>
      <c r="UKR50" s="136"/>
      <c r="UKS50" s="136"/>
      <c r="UKT50" s="136"/>
      <c r="UKU50" s="136"/>
      <c r="UKV50" s="136"/>
      <c r="UKW50" s="136"/>
      <c r="UKX50" s="136"/>
      <c r="UKY50" s="136"/>
      <c r="UKZ50" s="136"/>
      <c r="ULA50" s="136"/>
      <c r="ULB50" s="136"/>
      <c r="ULC50" s="136"/>
      <c r="ULD50" s="136"/>
      <c r="ULE50" s="136"/>
      <c r="ULF50" s="136"/>
      <c r="ULG50" s="136"/>
      <c r="ULH50" s="136"/>
      <c r="ULI50" s="136"/>
      <c r="ULJ50" s="136"/>
      <c r="ULK50" s="136"/>
      <c r="ULL50" s="136"/>
      <c r="ULM50" s="136"/>
      <c r="ULN50" s="136"/>
      <c r="ULO50" s="136"/>
      <c r="ULP50" s="136"/>
      <c r="ULQ50" s="136"/>
      <c r="ULR50" s="136"/>
      <c r="ULS50" s="136"/>
      <c r="ULT50" s="136"/>
      <c r="ULU50" s="136"/>
      <c r="ULV50" s="136"/>
      <c r="ULW50" s="136"/>
      <c r="ULX50" s="136"/>
      <c r="ULY50" s="136"/>
      <c r="ULZ50" s="136"/>
      <c r="UMA50" s="136"/>
      <c r="UMB50" s="136"/>
      <c r="UMC50" s="136"/>
      <c r="UMD50" s="136"/>
      <c r="UME50" s="136"/>
      <c r="UMF50" s="136"/>
      <c r="UMG50" s="136"/>
      <c r="UMH50" s="136"/>
      <c r="UMI50" s="136"/>
      <c r="UMJ50" s="136"/>
      <c r="UMK50" s="136"/>
      <c r="UML50" s="136"/>
      <c r="UMM50" s="136"/>
      <c r="UMN50" s="136"/>
      <c r="UMO50" s="136"/>
      <c r="UMP50" s="136"/>
      <c r="UMQ50" s="136"/>
      <c r="UMR50" s="136"/>
      <c r="UMS50" s="136"/>
      <c r="UMT50" s="136"/>
      <c r="UMU50" s="136"/>
      <c r="UMV50" s="136"/>
      <c r="UMW50" s="136"/>
      <c r="UMX50" s="136"/>
      <c r="UMY50" s="136"/>
      <c r="UMZ50" s="136"/>
      <c r="UNA50" s="136"/>
      <c r="UNB50" s="136"/>
      <c r="UNC50" s="136"/>
      <c r="UND50" s="136"/>
      <c r="UNE50" s="136"/>
      <c r="UNF50" s="136"/>
      <c r="UNG50" s="136"/>
      <c r="UNH50" s="136"/>
      <c r="UNI50" s="136"/>
      <c r="UNJ50" s="136"/>
      <c r="UNK50" s="136"/>
      <c r="UNL50" s="136"/>
      <c r="UNM50" s="136"/>
      <c r="UNN50" s="136"/>
      <c r="UNO50" s="136"/>
      <c r="UNP50" s="136"/>
      <c r="UNQ50" s="136"/>
      <c r="UNR50" s="136"/>
      <c r="UNS50" s="136"/>
      <c r="UNT50" s="136"/>
      <c r="UNU50" s="136"/>
      <c r="UNV50" s="136"/>
      <c r="UNW50" s="136"/>
      <c r="UNX50" s="136"/>
      <c r="UNY50" s="136"/>
      <c r="UNZ50" s="136"/>
      <c r="UOA50" s="136"/>
      <c r="UOB50" s="136"/>
      <c r="UOC50" s="136"/>
      <c r="UOD50" s="136"/>
      <c r="UOE50" s="136"/>
      <c r="UOF50" s="136"/>
      <c r="UOG50" s="136"/>
      <c r="UOH50" s="136"/>
      <c r="UOI50" s="136"/>
      <c r="UOJ50" s="136"/>
      <c r="UOK50" s="136"/>
      <c r="UOL50" s="136"/>
      <c r="UOM50" s="136"/>
      <c r="UON50" s="136"/>
      <c r="UOO50" s="136"/>
      <c r="UOP50" s="136"/>
      <c r="UOQ50" s="136"/>
      <c r="UOR50" s="136"/>
      <c r="UOS50" s="136"/>
      <c r="UOT50" s="136"/>
      <c r="UOU50" s="136"/>
      <c r="UOV50" s="136"/>
      <c r="UOW50" s="136"/>
      <c r="UOX50" s="136"/>
      <c r="UOY50" s="136"/>
      <c r="UOZ50" s="136"/>
      <c r="UPA50" s="136"/>
      <c r="UPB50" s="136"/>
      <c r="UPC50" s="136"/>
      <c r="UPD50" s="136"/>
      <c r="UPE50" s="136"/>
      <c r="UPF50" s="136"/>
      <c r="UPG50" s="136"/>
      <c r="UPH50" s="136"/>
      <c r="UPI50" s="136"/>
      <c r="UPJ50" s="136"/>
      <c r="UPK50" s="136"/>
      <c r="UPL50" s="136"/>
      <c r="UPM50" s="136"/>
      <c r="UPN50" s="136"/>
      <c r="UPO50" s="136"/>
      <c r="UPP50" s="136"/>
      <c r="UPQ50" s="136"/>
      <c r="UPR50" s="136"/>
      <c r="UPS50" s="136"/>
      <c r="UPT50" s="136"/>
      <c r="UPU50" s="136"/>
      <c r="UPV50" s="136"/>
      <c r="UPW50" s="136"/>
      <c r="UPX50" s="136"/>
      <c r="UPY50" s="136"/>
      <c r="UPZ50" s="136"/>
      <c r="UQA50" s="136"/>
      <c r="UQB50" s="136"/>
      <c r="UQC50" s="136"/>
      <c r="UQD50" s="136"/>
      <c r="UQE50" s="136"/>
      <c r="UQF50" s="136"/>
      <c r="UQG50" s="136"/>
      <c r="UQH50" s="136"/>
      <c r="UQI50" s="136"/>
      <c r="UQJ50" s="136"/>
      <c r="UQK50" s="136"/>
      <c r="UQL50" s="136"/>
      <c r="UQM50" s="136"/>
      <c r="UQN50" s="136"/>
      <c r="UQO50" s="136"/>
      <c r="UQP50" s="136"/>
      <c r="UQQ50" s="136"/>
      <c r="UQR50" s="136"/>
      <c r="UQS50" s="136"/>
      <c r="UQT50" s="136"/>
      <c r="UQU50" s="136"/>
      <c r="UQV50" s="136"/>
      <c r="UQW50" s="136"/>
      <c r="UQX50" s="136"/>
      <c r="UQY50" s="136"/>
      <c r="UQZ50" s="136"/>
      <c r="URA50" s="136"/>
      <c r="URB50" s="136"/>
      <c r="URC50" s="136"/>
      <c r="URD50" s="136"/>
      <c r="URE50" s="136"/>
      <c r="URF50" s="136"/>
      <c r="URG50" s="136"/>
      <c r="URH50" s="136"/>
      <c r="URI50" s="136"/>
      <c r="URJ50" s="136"/>
      <c r="URK50" s="136"/>
      <c r="URL50" s="136"/>
      <c r="URM50" s="136"/>
      <c r="URN50" s="136"/>
      <c r="URO50" s="136"/>
      <c r="URP50" s="136"/>
      <c r="URQ50" s="136"/>
      <c r="URR50" s="136"/>
      <c r="URS50" s="136"/>
      <c r="URT50" s="136"/>
      <c r="URU50" s="136"/>
      <c r="URV50" s="136"/>
      <c r="URW50" s="136"/>
      <c r="URX50" s="136"/>
      <c r="URY50" s="136"/>
      <c r="URZ50" s="136"/>
      <c r="USA50" s="136"/>
      <c r="USB50" s="136"/>
      <c r="USC50" s="136"/>
      <c r="USD50" s="136"/>
      <c r="USE50" s="136"/>
      <c r="USF50" s="136"/>
      <c r="USG50" s="136"/>
      <c r="USH50" s="136"/>
      <c r="USI50" s="136"/>
      <c r="USJ50" s="136"/>
      <c r="USK50" s="136"/>
      <c r="USL50" s="136"/>
      <c r="USM50" s="136"/>
      <c r="USN50" s="136"/>
      <c r="USO50" s="136"/>
      <c r="USP50" s="136"/>
      <c r="USQ50" s="136"/>
      <c r="USR50" s="136"/>
      <c r="USS50" s="136"/>
      <c r="UST50" s="136"/>
      <c r="USU50" s="136"/>
      <c r="USV50" s="136"/>
      <c r="USW50" s="136"/>
      <c r="USX50" s="136"/>
      <c r="USY50" s="136"/>
      <c r="USZ50" s="136"/>
      <c r="UTA50" s="136"/>
      <c r="UTB50" s="136"/>
      <c r="UTC50" s="136"/>
      <c r="UTD50" s="136"/>
      <c r="UTE50" s="136"/>
      <c r="UTF50" s="136"/>
      <c r="UTG50" s="136"/>
      <c r="UTH50" s="136"/>
      <c r="UTI50" s="136"/>
      <c r="UTJ50" s="136"/>
      <c r="UTK50" s="136"/>
      <c r="UTL50" s="136"/>
      <c r="UTM50" s="136"/>
      <c r="UTN50" s="136"/>
      <c r="UTO50" s="136"/>
      <c r="UTP50" s="136"/>
      <c r="UTQ50" s="136"/>
      <c r="UTR50" s="136"/>
      <c r="UTS50" s="136"/>
      <c r="UTT50" s="136"/>
      <c r="UTU50" s="136"/>
      <c r="UTV50" s="136"/>
      <c r="UTW50" s="136"/>
      <c r="UTX50" s="136"/>
      <c r="UTY50" s="136"/>
      <c r="UTZ50" s="136"/>
      <c r="UUA50" s="136"/>
      <c r="UUB50" s="136"/>
      <c r="UUC50" s="136"/>
      <c r="UUD50" s="136"/>
      <c r="UUE50" s="136"/>
      <c r="UUF50" s="136"/>
      <c r="UUG50" s="136"/>
      <c r="UUH50" s="136"/>
      <c r="UUI50" s="136"/>
      <c r="UUJ50" s="136"/>
      <c r="UUK50" s="136"/>
      <c r="UUL50" s="136"/>
      <c r="UUM50" s="136"/>
      <c r="UUN50" s="136"/>
      <c r="UUO50" s="136"/>
      <c r="UUP50" s="136"/>
      <c r="UUQ50" s="136"/>
      <c r="UUR50" s="136"/>
      <c r="UUS50" s="136"/>
      <c r="UUT50" s="136"/>
      <c r="UUU50" s="136"/>
      <c r="UUV50" s="136"/>
      <c r="UUW50" s="136"/>
      <c r="UUX50" s="136"/>
      <c r="UUY50" s="136"/>
      <c r="UUZ50" s="136"/>
      <c r="UVA50" s="136"/>
      <c r="UVB50" s="136"/>
      <c r="UVC50" s="136"/>
      <c r="UVD50" s="136"/>
      <c r="UVE50" s="136"/>
      <c r="UVF50" s="136"/>
      <c r="UVG50" s="136"/>
      <c r="UVH50" s="136"/>
      <c r="UVI50" s="136"/>
      <c r="UVJ50" s="136"/>
      <c r="UVK50" s="136"/>
      <c r="UVL50" s="136"/>
      <c r="UVM50" s="136"/>
      <c r="UVN50" s="136"/>
      <c r="UVO50" s="136"/>
      <c r="UVP50" s="136"/>
      <c r="UVQ50" s="136"/>
      <c r="UVR50" s="136"/>
      <c r="UVS50" s="136"/>
      <c r="UVT50" s="136"/>
      <c r="UVU50" s="136"/>
      <c r="UVV50" s="136"/>
      <c r="UVW50" s="136"/>
      <c r="UVX50" s="136"/>
      <c r="UVY50" s="136"/>
      <c r="UVZ50" s="136"/>
      <c r="UWA50" s="136"/>
      <c r="UWB50" s="136"/>
      <c r="UWC50" s="136"/>
      <c r="UWD50" s="136"/>
      <c r="UWE50" s="136"/>
      <c r="UWF50" s="136"/>
      <c r="UWG50" s="136"/>
      <c r="UWH50" s="136"/>
      <c r="UWI50" s="136"/>
      <c r="UWJ50" s="136"/>
      <c r="UWK50" s="136"/>
      <c r="UWL50" s="136"/>
      <c r="UWM50" s="136"/>
      <c r="UWN50" s="136"/>
      <c r="UWO50" s="136"/>
      <c r="UWP50" s="136"/>
      <c r="UWQ50" s="136"/>
      <c r="UWR50" s="136"/>
      <c r="UWS50" s="136"/>
      <c r="UWT50" s="136"/>
      <c r="UWU50" s="136"/>
      <c r="UWV50" s="136"/>
      <c r="UWW50" s="136"/>
      <c r="UWX50" s="136"/>
      <c r="UWY50" s="136"/>
      <c r="UWZ50" s="136"/>
      <c r="UXA50" s="136"/>
      <c r="UXB50" s="136"/>
      <c r="UXC50" s="136"/>
      <c r="UXD50" s="136"/>
      <c r="UXE50" s="136"/>
      <c r="UXF50" s="136"/>
      <c r="UXG50" s="136"/>
      <c r="UXH50" s="136"/>
      <c r="UXI50" s="136"/>
      <c r="UXJ50" s="136"/>
      <c r="UXK50" s="136"/>
      <c r="UXL50" s="136"/>
      <c r="UXM50" s="136"/>
      <c r="UXN50" s="136"/>
      <c r="UXO50" s="136"/>
      <c r="UXP50" s="136"/>
      <c r="UXQ50" s="136"/>
      <c r="UXR50" s="136"/>
      <c r="UXS50" s="136"/>
      <c r="UXT50" s="136"/>
      <c r="UXU50" s="136"/>
      <c r="UXV50" s="136"/>
      <c r="UXW50" s="136"/>
      <c r="UXX50" s="136"/>
      <c r="UXY50" s="136"/>
      <c r="UXZ50" s="136"/>
      <c r="UYA50" s="136"/>
      <c r="UYB50" s="136"/>
      <c r="UYC50" s="136"/>
      <c r="UYD50" s="136"/>
      <c r="UYE50" s="136"/>
      <c r="UYF50" s="136"/>
      <c r="UYG50" s="136"/>
      <c r="UYH50" s="136"/>
      <c r="UYI50" s="136"/>
      <c r="UYJ50" s="136"/>
      <c r="UYK50" s="136"/>
      <c r="UYL50" s="136"/>
      <c r="UYM50" s="136"/>
      <c r="UYN50" s="136"/>
      <c r="UYO50" s="136"/>
      <c r="UYP50" s="136"/>
      <c r="UYQ50" s="136"/>
      <c r="UYR50" s="136"/>
      <c r="UYS50" s="136"/>
      <c r="UYT50" s="136"/>
      <c r="UYU50" s="136"/>
      <c r="UYV50" s="136"/>
      <c r="UYW50" s="136"/>
      <c r="UYX50" s="136"/>
      <c r="UYY50" s="136"/>
      <c r="UYZ50" s="136"/>
      <c r="UZA50" s="136"/>
      <c r="UZB50" s="136"/>
      <c r="UZC50" s="136"/>
      <c r="UZD50" s="136"/>
      <c r="UZE50" s="136"/>
      <c r="UZF50" s="136"/>
      <c r="UZG50" s="136"/>
      <c r="UZH50" s="136"/>
      <c r="UZI50" s="136"/>
      <c r="UZJ50" s="136"/>
      <c r="UZK50" s="136"/>
      <c r="UZL50" s="136"/>
      <c r="UZM50" s="136"/>
      <c r="UZN50" s="136"/>
      <c r="UZO50" s="136"/>
      <c r="UZP50" s="136"/>
      <c r="UZQ50" s="136"/>
      <c r="UZR50" s="136"/>
      <c r="UZS50" s="136"/>
      <c r="UZT50" s="136"/>
      <c r="UZU50" s="136"/>
      <c r="UZV50" s="136"/>
      <c r="UZW50" s="136"/>
      <c r="UZX50" s="136"/>
      <c r="UZY50" s="136"/>
      <c r="UZZ50" s="136"/>
      <c r="VAA50" s="136"/>
      <c r="VAB50" s="136"/>
      <c r="VAC50" s="136"/>
      <c r="VAD50" s="136"/>
      <c r="VAE50" s="136"/>
      <c r="VAF50" s="136"/>
      <c r="VAG50" s="136"/>
      <c r="VAH50" s="136"/>
      <c r="VAI50" s="136"/>
      <c r="VAJ50" s="136"/>
      <c r="VAK50" s="136"/>
      <c r="VAL50" s="136"/>
      <c r="VAM50" s="136"/>
      <c r="VAN50" s="136"/>
      <c r="VAO50" s="136"/>
      <c r="VAP50" s="136"/>
      <c r="VAQ50" s="136"/>
      <c r="VAR50" s="136"/>
      <c r="VAS50" s="136"/>
      <c r="VAT50" s="136"/>
      <c r="VAU50" s="136"/>
      <c r="VAV50" s="136"/>
      <c r="VAW50" s="136"/>
      <c r="VAX50" s="136"/>
      <c r="VAY50" s="136"/>
      <c r="VAZ50" s="136"/>
      <c r="VBA50" s="136"/>
      <c r="VBB50" s="136"/>
      <c r="VBC50" s="136"/>
      <c r="VBD50" s="136"/>
      <c r="VBE50" s="136"/>
      <c r="VBF50" s="136"/>
      <c r="VBG50" s="136"/>
      <c r="VBH50" s="136"/>
      <c r="VBI50" s="136"/>
      <c r="VBJ50" s="136"/>
      <c r="VBK50" s="136"/>
      <c r="VBL50" s="136"/>
      <c r="VBM50" s="136"/>
      <c r="VBN50" s="136"/>
      <c r="VBO50" s="136"/>
      <c r="VBP50" s="136"/>
      <c r="VBQ50" s="136"/>
      <c r="VBR50" s="136"/>
      <c r="VBS50" s="136"/>
      <c r="VBT50" s="136"/>
      <c r="VBU50" s="136"/>
      <c r="VBV50" s="136"/>
      <c r="VBW50" s="136"/>
      <c r="VBX50" s="136"/>
      <c r="VBY50" s="136"/>
      <c r="VBZ50" s="136"/>
      <c r="VCA50" s="136"/>
      <c r="VCB50" s="136"/>
      <c r="VCC50" s="136"/>
      <c r="VCD50" s="136"/>
      <c r="VCE50" s="136"/>
      <c r="VCF50" s="136"/>
      <c r="VCG50" s="136"/>
      <c r="VCH50" s="136"/>
      <c r="VCI50" s="136"/>
      <c r="VCJ50" s="136"/>
      <c r="VCK50" s="136"/>
      <c r="VCL50" s="136"/>
      <c r="VCM50" s="136"/>
      <c r="VCN50" s="136"/>
      <c r="VCO50" s="136"/>
      <c r="VCP50" s="136"/>
      <c r="VCQ50" s="136"/>
      <c r="VCR50" s="136"/>
      <c r="VCS50" s="136"/>
      <c r="VCT50" s="136"/>
      <c r="VCU50" s="136"/>
      <c r="VCV50" s="136"/>
      <c r="VCW50" s="136"/>
      <c r="VCX50" s="136"/>
      <c r="VCY50" s="136"/>
      <c r="VCZ50" s="136"/>
      <c r="VDA50" s="136"/>
      <c r="VDB50" s="136"/>
      <c r="VDC50" s="136"/>
      <c r="VDD50" s="136"/>
      <c r="VDE50" s="136"/>
      <c r="VDF50" s="136"/>
      <c r="VDG50" s="136"/>
      <c r="VDH50" s="136"/>
      <c r="VDI50" s="136"/>
      <c r="VDJ50" s="136"/>
      <c r="VDK50" s="136"/>
      <c r="VDL50" s="136"/>
      <c r="VDM50" s="136"/>
      <c r="VDN50" s="136"/>
      <c r="VDO50" s="136"/>
      <c r="VDP50" s="136"/>
      <c r="VDQ50" s="136"/>
      <c r="VDR50" s="136"/>
      <c r="VDS50" s="136"/>
      <c r="VDT50" s="136"/>
      <c r="VDU50" s="136"/>
      <c r="VDV50" s="136"/>
      <c r="VDW50" s="136"/>
      <c r="VDX50" s="136"/>
      <c r="VDY50" s="136"/>
      <c r="VDZ50" s="136"/>
      <c r="VEA50" s="136"/>
      <c r="VEB50" s="136"/>
      <c r="VEC50" s="136"/>
      <c r="VED50" s="136"/>
      <c r="VEE50" s="136"/>
      <c r="VEF50" s="136"/>
      <c r="VEG50" s="136"/>
      <c r="VEH50" s="136"/>
      <c r="VEI50" s="136"/>
      <c r="VEJ50" s="136"/>
      <c r="VEK50" s="136"/>
      <c r="VEL50" s="136"/>
      <c r="VEM50" s="136"/>
      <c r="VEN50" s="136"/>
      <c r="VEO50" s="136"/>
      <c r="VEP50" s="136"/>
      <c r="VEQ50" s="136"/>
      <c r="VER50" s="136"/>
      <c r="VES50" s="136"/>
      <c r="VET50" s="136"/>
      <c r="VEU50" s="136"/>
      <c r="VEV50" s="136"/>
      <c r="VEW50" s="136"/>
      <c r="VEX50" s="136"/>
      <c r="VEY50" s="136"/>
      <c r="VEZ50" s="136"/>
      <c r="VFA50" s="136"/>
      <c r="VFB50" s="136"/>
      <c r="VFC50" s="136"/>
      <c r="VFD50" s="136"/>
      <c r="VFE50" s="136"/>
      <c r="VFF50" s="136"/>
      <c r="VFG50" s="136"/>
      <c r="VFH50" s="136"/>
      <c r="VFI50" s="136"/>
      <c r="VFJ50" s="136"/>
      <c r="VFK50" s="136"/>
      <c r="VFL50" s="136"/>
      <c r="VFM50" s="136"/>
      <c r="VFN50" s="136"/>
      <c r="VFO50" s="136"/>
      <c r="VFP50" s="136"/>
      <c r="VFQ50" s="136"/>
      <c r="VFR50" s="136"/>
      <c r="VFS50" s="136"/>
      <c r="VFT50" s="136"/>
      <c r="VFU50" s="136"/>
      <c r="VFV50" s="136"/>
      <c r="VFW50" s="136"/>
      <c r="VFX50" s="136"/>
      <c r="VFY50" s="136"/>
      <c r="VFZ50" s="136"/>
      <c r="VGA50" s="136"/>
      <c r="VGB50" s="136"/>
      <c r="VGC50" s="136"/>
      <c r="VGD50" s="136"/>
      <c r="VGE50" s="136"/>
      <c r="VGF50" s="136"/>
      <c r="VGG50" s="136"/>
      <c r="VGH50" s="136"/>
      <c r="VGI50" s="136"/>
      <c r="VGJ50" s="136"/>
      <c r="VGK50" s="136"/>
      <c r="VGL50" s="136"/>
      <c r="VGM50" s="136"/>
      <c r="VGN50" s="136"/>
      <c r="VGO50" s="136"/>
      <c r="VGP50" s="136"/>
      <c r="VGQ50" s="136"/>
      <c r="VGR50" s="136"/>
      <c r="VGS50" s="136"/>
      <c r="VGT50" s="136"/>
      <c r="VGU50" s="136"/>
      <c r="VGV50" s="136"/>
      <c r="VGW50" s="136"/>
      <c r="VGX50" s="136"/>
      <c r="VGY50" s="136"/>
      <c r="VGZ50" s="136"/>
      <c r="VHA50" s="136"/>
      <c r="VHB50" s="136"/>
      <c r="VHC50" s="136"/>
      <c r="VHD50" s="136"/>
      <c r="VHE50" s="136"/>
      <c r="VHF50" s="136"/>
      <c r="VHG50" s="136"/>
      <c r="VHH50" s="136"/>
      <c r="VHI50" s="136"/>
      <c r="VHJ50" s="136"/>
      <c r="VHK50" s="136"/>
      <c r="VHL50" s="136"/>
      <c r="VHM50" s="136"/>
      <c r="VHN50" s="136"/>
      <c r="VHO50" s="136"/>
      <c r="VHP50" s="136"/>
      <c r="VHQ50" s="136"/>
      <c r="VHR50" s="136"/>
      <c r="VHS50" s="136"/>
      <c r="VHT50" s="136"/>
      <c r="VHU50" s="136"/>
      <c r="VHV50" s="136"/>
      <c r="VHW50" s="136"/>
      <c r="VHX50" s="136"/>
      <c r="VHY50" s="136"/>
      <c r="VHZ50" s="136"/>
      <c r="VIA50" s="136"/>
      <c r="VIB50" s="136"/>
      <c r="VIC50" s="136"/>
      <c r="VID50" s="136"/>
      <c r="VIE50" s="136"/>
      <c r="VIF50" s="136"/>
      <c r="VIG50" s="136"/>
      <c r="VIH50" s="136"/>
      <c r="VII50" s="136"/>
      <c r="VIJ50" s="136"/>
      <c r="VIK50" s="136"/>
      <c r="VIL50" s="136"/>
      <c r="VIM50" s="136"/>
      <c r="VIN50" s="136"/>
      <c r="VIO50" s="136"/>
      <c r="VIP50" s="136"/>
      <c r="VIQ50" s="136"/>
      <c r="VIR50" s="136"/>
      <c r="VIS50" s="136"/>
      <c r="VIT50" s="136"/>
      <c r="VIU50" s="136"/>
      <c r="VIV50" s="136"/>
      <c r="VIW50" s="136"/>
      <c r="VIX50" s="136"/>
      <c r="VIY50" s="136"/>
      <c r="VIZ50" s="136"/>
      <c r="VJA50" s="136"/>
      <c r="VJB50" s="136"/>
      <c r="VJC50" s="136"/>
      <c r="VJD50" s="136"/>
      <c r="VJE50" s="136"/>
      <c r="VJF50" s="136"/>
      <c r="VJG50" s="136"/>
      <c r="VJH50" s="136"/>
      <c r="VJI50" s="136"/>
      <c r="VJJ50" s="136"/>
      <c r="VJK50" s="136"/>
      <c r="VJL50" s="136"/>
      <c r="VJM50" s="136"/>
      <c r="VJN50" s="136"/>
      <c r="VJO50" s="136"/>
      <c r="VJP50" s="136"/>
      <c r="VJQ50" s="136"/>
      <c r="VJR50" s="136"/>
      <c r="VJS50" s="136"/>
      <c r="VJT50" s="136"/>
      <c r="VJU50" s="136"/>
      <c r="VJV50" s="136"/>
      <c r="VJW50" s="136"/>
      <c r="VJX50" s="136"/>
      <c r="VJY50" s="136"/>
      <c r="VJZ50" s="136"/>
      <c r="VKA50" s="136"/>
      <c r="VKB50" s="136"/>
      <c r="VKC50" s="136"/>
      <c r="VKD50" s="136"/>
      <c r="VKE50" s="136"/>
      <c r="VKF50" s="136"/>
      <c r="VKG50" s="136"/>
      <c r="VKH50" s="136"/>
      <c r="VKI50" s="136"/>
      <c r="VKJ50" s="136"/>
      <c r="VKK50" s="136"/>
      <c r="VKL50" s="136"/>
      <c r="VKM50" s="136"/>
      <c r="VKN50" s="136"/>
      <c r="VKO50" s="136"/>
      <c r="VKP50" s="136"/>
      <c r="VKQ50" s="136"/>
      <c r="VKR50" s="136"/>
      <c r="VKS50" s="136"/>
      <c r="VKT50" s="136"/>
      <c r="VKU50" s="136"/>
      <c r="VKV50" s="136"/>
      <c r="VKW50" s="136"/>
      <c r="VKX50" s="136"/>
      <c r="VKY50" s="136"/>
      <c r="VKZ50" s="136"/>
      <c r="VLA50" s="136"/>
      <c r="VLB50" s="136"/>
      <c r="VLC50" s="136"/>
      <c r="VLD50" s="136"/>
      <c r="VLE50" s="136"/>
      <c r="VLF50" s="136"/>
      <c r="VLG50" s="136"/>
      <c r="VLH50" s="136"/>
      <c r="VLI50" s="136"/>
      <c r="VLJ50" s="136"/>
      <c r="VLK50" s="136"/>
      <c r="VLL50" s="136"/>
      <c r="VLM50" s="136"/>
      <c r="VLN50" s="136"/>
      <c r="VLO50" s="136"/>
      <c r="VLP50" s="136"/>
      <c r="VLQ50" s="136"/>
      <c r="VLR50" s="136"/>
      <c r="VLS50" s="136"/>
      <c r="VLT50" s="136"/>
      <c r="VLU50" s="136"/>
      <c r="VLV50" s="136"/>
      <c r="VLW50" s="136"/>
      <c r="VLX50" s="136"/>
      <c r="VLY50" s="136"/>
      <c r="VLZ50" s="136"/>
      <c r="VMA50" s="136"/>
      <c r="VMB50" s="136"/>
      <c r="VMC50" s="136"/>
      <c r="VMD50" s="136"/>
      <c r="VME50" s="136"/>
      <c r="VMF50" s="136"/>
      <c r="VMG50" s="136"/>
      <c r="VMH50" s="136"/>
      <c r="VMI50" s="136"/>
      <c r="VMJ50" s="136"/>
      <c r="VMK50" s="136"/>
      <c r="VML50" s="136"/>
      <c r="VMM50" s="136"/>
      <c r="VMN50" s="136"/>
      <c r="VMO50" s="136"/>
      <c r="VMP50" s="136"/>
      <c r="VMQ50" s="136"/>
      <c r="VMR50" s="136"/>
      <c r="VMS50" s="136"/>
      <c r="VMT50" s="136"/>
      <c r="VMU50" s="136"/>
      <c r="VMV50" s="136"/>
      <c r="VMW50" s="136"/>
      <c r="VMX50" s="136"/>
      <c r="VMY50" s="136"/>
      <c r="VMZ50" s="136"/>
      <c r="VNA50" s="136"/>
      <c r="VNB50" s="136"/>
      <c r="VNC50" s="136"/>
      <c r="VND50" s="136"/>
      <c r="VNE50" s="136"/>
      <c r="VNF50" s="136"/>
      <c r="VNG50" s="136"/>
      <c r="VNH50" s="136"/>
      <c r="VNI50" s="136"/>
      <c r="VNJ50" s="136"/>
      <c r="VNK50" s="136"/>
      <c r="VNL50" s="136"/>
      <c r="VNM50" s="136"/>
      <c r="VNN50" s="136"/>
      <c r="VNO50" s="136"/>
      <c r="VNP50" s="136"/>
      <c r="VNQ50" s="136"/>
      <c r="VNR50" s="136"/>
      <c r="VNS50" s="136"/>
      <c r="VNT50" s="136"/>
      <c r="VNU50" s="136"/>
      <c r="VNV50" s="136"/>
      <c r="VNW50" s="136"/>
      <c r="VNX50" s="136"/>
      <c r="VNY50" s="136"/>
      <c r="VNZ50" s="136"/>
      <c r="VOA50" s="136"/>
      <c r="VOB50" s="136"/>
      <c r="VOC50" s="136"/>
      <c r="VOD50" s="136"/>
      <c r="VOE50" s="136"/>
      <c r="VOF50" s="136"/>
      <c r="VOG50" s="136"/>
      <c r="VOH50" s="136"/>
      <c r="VOI50" s="136"/>
      <c r="VOJ50" s="136"/>
      <c r="VOK50" s="136"/>
      <c r="VOL50" s="136"/>
      <c r="VOM50" s="136"/>
      <c r="VON50" s="136"/>
      <c r="VOO50" s="136"/>
      <c r="VOP50" s="136"/>
      <c r="VOQ50" s="136"/>
      <c r="VOR50" s="136"/>
      <c r="VOS50" s="136"/>
      <c r="VOT50" s="136"/>
      <c r="VOU50" s="136"/>
      <c r="VOV50" s="136"/>
      <c r="VOW50" s="136"/>
      <c r="VOX50" s="136"/>
      <c r="VOY50" s="136"/>
      <c r="VOZ50" s="136"/>
      <c r="VPA50" s="136"/>
      <c r="VPB50" s="136"/>
      <c r="VPC50" s="136"/>
      <c r="VPD50" s="136"/>
      <c r="VPE50" s="136"/>
      <c r="VPF50" s="136"/>
      <c r="VPG50" s="136"/>
      <c r="VPH50" s="136"/>
      <c r="VPI50" s="136"/>
      <c r="VPJ50" s="136"/>
      <c r="VPK50" s="136"/>
      <c r="VPL50" s="136"/>
      <c r="VPM50" s="136"/>
      <c r="VPN50" s="136"/>
      <c r="VPO50" s="136"/>
      <c r="VPP50" s="136"/>
      <c r="VPQ50" s="136"/>
      <c r="VPR50" s="136"/>
      <c r="VPS50" s="136"/>
      <c r="VPT50" s="136"/>
      <c r="VPU50" s="136"/>
      <c r="VPV50" s="136"/>
      <c r="VPW50" s="136"/>
      <c r="VPX50" s="136"/>
      <c r="VPY50" s="136"/>
      <c r="VPZ50" s="136"/>
      <c r="VQA50" s="136"/>
      <c r="VQB50" s="136"/>
      <c r="VQC50" s="136"/>
      <c r="VQD50" s="136"/>
      <c r="VQE50" s="136"/>
      <c r="VQF50" s="136"/>
      <c r="VQG50" s="136"/>
      <c r="VQH50" s="136"/>
      <c r="VQI50" s="136"/>
      <c r="VQJ50" s="136"/>
      <c r="VQK50" s="136"/>
      <c r="VQL50" s="136"/>
      <c r="VQM50" s="136"/>
      <c r="VQN50" s="136"/>
      <c r="VQO50" s="136"/>
      <c r="VQP50" s="136"/>
      <c r="VQQ50" s="136"/>
      <c r="VQR50" s="136"/>
      <c r="VQS50" s="136"/>
      <c r="VQT50" s="136"/>
      <c r="VQU50" s="136"/>
      <c r="VQV50" s="136"/>
      <c r="VQW50" s="136"/>
      <c r="VQX50" s="136"/>
      <c r="VQY50" s="136"/>
      <c r="VQZ50" s="136"/>
      <c r="VRA50" s="136"/>
      <c r="VRB50" s="136"/>
      <c r="VRC50" s="136"/>
      <c r="VRD50" s="136"/>
      <c r="VRE50" s="136"/>
      <c r="VRF50" s="136"/>
      <c r="VRG50" s="136"/>
      <c r="VRH50" s="136"/>
      <c r="VRI50" s="136"/>
      <c r="VRJ50" s="136"/>
      <c r="VRK50" s="136"/>
      <c r="VRL50" s="136"/>
      <c r="VRM50" s="136"/>
      <c r="VRN50" s="136"/>
      <c r="VRO50" s="136"/>
      <c r="VRP50" s="136"/>
      <c r="VRQ50" s="136"/>
      <c r="VRR50" s="136"/>
      <c r="VRS50" s="136"/>
      <c r="VRT50" s="136"/>
      <c r="VRU50" s="136"/>
      <c r="VRV50" s="136"/>
      <c r="VRW50" s="136"/>
      <c r="VRX50" s="136"/>
      <c r="VRY50" s="136"/>
      <c r="VRZ50" s="136"/>
      <c r="VSA50" s="136"/>
      <c r="VSB50" s="136"/>
      <c r="VSC50" s="136"/>
      <c r="VSD50" s="136"/>
      <c r="VSE50" s="136"/>
      <c r="VSF50" s="136"/>
      <c r="VSG50" s="136"/>
      <c r="VSH50" s="136"/>
      <c r="VSI50" s="136"/>
      <c r="VSJ50" s="136"/>
      <c r="VSK50" s="136"/>
      <c r="VSL50" s="136"/>
      <c r="VSM50" s="136"/>
      <c r="VSN50" s="136"/>
      <c r="VSO50" s="136"/>
      <c r="VSP50" s="136"/>
      <c r="VSQ50" s="136"/>
      <c r="VSR50" s="136"/>
      <c r="VSS50" s="136"/>
      <c r="VST50" s="136"/>
      <c r="VSU50" s="136"/>
      <c r="VSV50" s="136"/>
      <c r="VSW50" s="136"/>
      <c r="VSX50" s="136"/>
      <c r="VSY50" s="136"/>
      <c r="VSZ50" s="136"/>
      <c r="VTA50" s="136"/>
      <c r="VTB50" s="136"/>
      <c r="VTC50" s="136"/>
      <c r="VTD50" s="136"/>
      <c r="VTE50" s="136"/>
      <c r="VTF50" s="136"/>
      <c r="VTG50" s="136"/>
      <c r="VTH50" s="136"/>
      <c r="VTI50" s="136"/>
      <c r="VTJ50" s="136"/>
      <c r="VTK50" s="136"/>
      <c r="VTL50" s="136"/>
      <c r="VTM50" s="136"/>
      <c r="VTN50" s="136"/>
      <c r="VTO50" s="136"/>
      <c r="VTP50" s="136"/>
      <c r="VTQ50" s="136"/>
      <c r="VTR50" s="136"/>
      <c r="VTS50" s="136"/>
      <c r="VTT50" s="136"/>
      <c r="VTU50" s="136"/>
      <c r="VTV50" s="136"/>
      <c r="VTW50" s="136"/>
      <c r="VTX50" s="136"/>
      <c r="VTY50" s="136"/>
      <c r="VTZ50" s="136"/>
      <c r="VUA50" s="136"/>
      <c r="VUB50" s="136"/>
      <c r="VUC50" s="136"/>
      <c r="VUD50" s="136"/>
      <c r="VUE50" s="136"/>
      <c r="VUF50" s="136"/>
      <c r="VUG50" s="136"/>
      <c r="VUH50" s="136"/>
      <c r="VUI50" s="136"/>
      <c r="VUJ50" s="136"/>
      <c r="VUK50" s="136"/>
      <c r="VUL50" s="136"/>
      <c r="VUM50" s="136"/>
      <c r="VUN50" s="136"/>
      <c r="VUO50" s="136"/>
      <c r="VUP50" s="136"/>
      <c r="VUQ50" s="136"/>
      <c r="VUR50" s="136"/>
      <c r="VUS50" s="136"/>
      <c r="VUT50" s="136"/>
      <c r="VUU50" s="136"/>
      <c r="VUV50" s="136"/>
      <c r="VUW50" s="136"/>
      <c r="VUX50" s="136"/>
      <c r="VUY50" s="136"/>
      <c r="VUZ50" s="136"/>
      <c r="VVA50" s="136"/>
      <c r="VVB50" s="136"/>
      <c r="VVC50" s="136"/>
      <c r="VVD50" s="136"/>
      <c r="VVE50" s="136"/>
      <c r="VVF50" s="136"/>
      <c r="VVG50" s="136"/>
      <c r="VVH50" s="136"/>
      <c r="VVI50" s="136"/>
      <c r="VVJ50" s="136"/>
      <c r="VVK50" s="136"/>
      <c r="VVL50" s="136"/>
      <c r="VVM50" s="136"/>
      <c r="VVN50" s="136"/>
      <c r="VVO50" s="136"/>
      <c r="VVP50" s="136"/>
      <c r="VVQ50" s="136"/>
      <c r="VVR50" s="136"/>
      <c r="VVS50" s="136"/>
      <c r="VVT50" s="136"/>
      <c r="VVU50" s="136"/>
      <c r="VVV50" s="136"/>
      <c r="VVW50" s="136"/>
      <c r="VVX50" s="136"/>
      <c r="VVY50" s="136"/>
      <c r="VVZ50" s="136"/>
      <c r="VWA50" s="136"/>
      <c r="VWB50" s="136"/>
      <c r="VWC50" s="136"/>
      <c r="VWD50" s="136"/>
      <c r="VWE50" s="136"/>
      <c r="VWF50" s="136"/>
      <c r="VWG50" s="136"/>
      <c r="VWH50" s="136"/>
      <c r="VWI50" s="136"/>
      <c r="VWJ50" s="136"/>
      <c r="VWK50" s="136"/>
      <c r="VWL50" s="136"/>
      <c r="VWM50" s="136"/>
      <c r="VWN50" s="136"/>
      <c r="VWO50" s="136"/>
      <c r="VWP50" s="136"/>
      <c r="VWQ50" s="136"/>
      <c r="VWR50" s="136"/>
      <c r="VWS50" s="136"/>
      <c r="VWT50" s="136"/>
      <c r="VWU50" s="136"/>
      <c r="VWV50" s="136"/>
      <c r="VWW50" s="136"/>
      <c r="VWX50" s="136"/>
      <c r="VWY50" s="136"/>
      <c r="VWZ50" s="136"/>
      <c r="VXA50" s="136"/>
      <c r="VXB50" s="136"/>
      <c r="VXC50" s="136"/>
      <c r="VXD50" s="136"/>
      <c r="VXE50" s="136"/>
      <c r="VXF50" s="136"/>
      <c r="VXG50" s="136"/>
      <c r="VXH50" s="136"/>
      <c r="VXI50" s="136"/>
      <c r="VXJ50" s="136"/>
      <c r="VXK50" s="136"/>
      <c r="VXL50" s="136"/>
      <c r="VXM50" s="136"/>
      <c r="VXN50" s="136"/>
      <c r="VXO50" s="136"/>
      <c r="VXP50" s="136"/>
      <c r="VXQ50" s="136"/>
      <c r="VXR50" s="136"/>
      <c r="VXS50" s="136"/>
      <c r="VXT50" s="136"/>
      <c r="VXU50" s="136"/>
      <c r="VXV50" s="136"/>
      <c r="VXW50" s="136"/>
      <c r="VXX50" s="136"/>
      <c r="VXY50" s="136"/>
      <c r="VXZ50" s="136"/>
      <c r="VYA50" s="136"/>
      <c r="VYB50" s="136"/>
      <c r="VYC50" s="136"/>
      <c r="VYD50" s="136"/>
      <c r="VYE50" s="136"/>
      <c r="VYF50" s="136"/>
      <c r="VYG50" s="136"/>
      <c r="VYH50" s="136"/>
      <c r="VYI50" s="136"/>
      <c r="VYJ50" s="136"/>
      <c r="VYK50" s="136"/>
      <c r="VYL50" s="136"/>
      <c r="VYM50" s="136"/>
      <c r="VYN50" s="136"/>
      <c r="VYO50" s="136"/>
      <c r="VYP50" s="136"/>
      <c r="VYQ50" s="136"/>
      <c r="VYR50" s="136"/>
      <c r="VYS50" s="136"/>
      <c r="VYT50" s="136"/>
      <c r="VYU50" s="136"/>
      <c r="VYV50" s="136"/>
      <c r="VYW50" s="136"/>
      <c r="VYX50" s="136"/>
      <c r="VYY50" s="136"/>
      <c r="VYZ50" s="136"/>
      <c r="VZA50" s="136"/>
      <c r="VZB50" s="136"/>
      <c r="VZC50" s="136"/>
      <c r="VZD50" s="136"/>
      <c r="VZE50" s="136"/>
      <c r="VZF50" s="136"/>
      <c r="VZG50" s="136"/>
      <c r="VZH50" s="136"/>
      <c r="VZI50" s="136"/>
      <c r="VZJ50" s="136"/>
      <c r="VZK50" s="136"/>
      <c r="VZL50" s="136"/>
      <c r="VZM50" s="136"/>
      <c r="VZN50" s="136"/>
      <c r="VZO50" s="136"/>
      <c r="VZP50" s="136"/>
      <c r="VZQ50" s="136"/>
      <c r="VZR50" s="136"/>
      <c r="VZS50" s="136"/>
      <c r="VZT50" s="136"/>
      <c r="VZU50" s="136"/>
      <c r="VZV50" s="136"/>
      <c r="VZW50" s="136"/>
      <c r="VZX50" s="136"/>
      <c r="VZY50" s="136"/>
      <c r="VZZ50" s="136"/>
      <c r="WAA50" s="136"/>
      <c r="WAB50" s="136"/>
      <c r="WAC50" s="136"/>
      <c r="WAD50" s="136"/>
      <c r="WAE50" s="136"/>
      <c r="WAF50" s="136"/>
      <c r="WAG50" s="136"/>
      <c r="WAH50" s="136"/>
      <c r="WAI50" s="136"/>
      <c r="WAJ50" s="136"/>
      <c r="WAK50" s="136"/>
      <c r="WAL50" s="136"/>
      <c r="WAM50" s="136"/>
      <c r="WAN50" s="136"/>
      <c r="WAO50" s="136"/>
      <c r="WAP50" s="136"/>
      <c r="WAQ50" s="136"/>
      <c r="WAR50" s="136"/>
      <c r="WAS50" s="136"/>
      <c r="WAT50" s="136"/>
      <c r="WAU50" s="136"/>
      <c r="WAV50" s="136"/>
      <c r="WAW50" s="136"/>
      <c r="WAX50" s="136"/>
      <c r="WAY50" s="136"/>
      <c r="WAZ50" s="136"/>
      <c r="WBA50" s="136"/>
      <c r="WBB50" s="136"/>
      <c r="WBC50" s="136"/>
      <c r="WBD50" s="136"/>
      <c r="WBE50" s="136"/>
      <c r="WBF50" s="136"/>
      <c r="WBG50" s="136"/>
      <c r="WBH50" s="136"/>
      <c r="WBI50" s="136"/>
      <c r="WBJ50" s="136"/>
      <c r="WBK50" s="136"/>
      <c r="WBL50" s="136"/>
      <c r="WBM50" s="136"/>
      <c r="WBN50" s="136"/>
      <c r="WBO50" s="136"/>
      <c r="WBP50" s="136"/>
      <c r="WBQ50" s="136"/>
      <c r="WBR50" s="136"/>
      <c r="WBS50" s="136"/>
      <c r="WBT50" s="136"/>
      <c r="WBU50" s="136"/>
      <c r="WBV50" s="136"/>
      <c r="WBW50" s="136"/>
      <c r="WBX50" s="136"/>
      <c r="WBY50" s="136"/>
      <c r="WBZ50" s="136"/>
      <c r="WCA50" s="136"/>
      <c r="WCB50" s="136"/>
      <c r="WCC50" s="136"/>
      <c r="WCD50" s="136"/>
      <c r="WCE50" s="136"/>
      <c r="WCF50" s="136"/>
      <c r="WCG50" s="136"/>
      <c r="WCH50" s="136"/>
      <c r="WCI50" s="136"/>
      <c r="WCJ50" s="136"/>
      <c r="WCK50" s="136"/>
      <c r="WCL50" s="136"/>
      <c r="WCM50" s="136"/>
      <c r="WCN50" s="136"/>
      <c r="WCO50" s="136"/>
      <c r="WCP50" s="136"/>
      <c r="WCQ50" s="136"/>
      <c r="WCR50" s="136"/>
      <c r="WCS50" s="136"/>
      <c r="WCT50" s="136"/>
      <c r="WCU50" s="136"/>
      <c r="WCV50" s="136"/>
      <c r="WCW50" s="136"/>
      <c r="WCX50" s="136"/>
      <c r="WCY50" s="136"/>
      <c r="WCZ50" s="136"/>
      <c r="WDA50" s="136"/>
      <c r="WDB50" s="136"/>
      <c r="WDC50" s="136"/>
      <c r="WDD50" s="136"/>
      <c r="WDE50" s="136"/>
      <c r="WDF50" s="136"/>
      <c r="WDG50" s="136"/>
      <c r="WDH50" s="136"/>
      <c r="WDI50" s="136"/>
      <c r="WDJ50" s="136"/>
      <c r="WDK50" s="136"/>
      <c r="WDL50" s="136"/>
      <c r="WDM50" s="136"/>
      <c r="WDN50" s="136"/>
      <c r="WDO50" s="136"/>
      <c r="WDP50" s="136"/>
      <c r="WDQ50" s="136"/>
      <c r="WDR50" s="136"/>
      <c r="WDS50" s="136"/>
      <c r="WDT50" s="136"/>
      <c r="WDU50" s="136"/>
      <c r="WDV50" s="136"/>
      <c r="WDW50" s="136"/>
      <c r="WDX50" s="136"/>
      <c r="WDY50" s="136"/>
      <c r="WDZ50" s="136"/>
      <c r="WEA50" s="136"/>
      <c r="WEB50" s="136"/>
      <c r="WEC50" s="136"/>
      <c r="WED50" s="136"/>
      <c r="WEE50" s="136"/>
      <c r="WEF50" s="136"/>
      <c r="WEG50" s="136"/>
      <c r="WEH50" s="136"/>
      <c r="WEI50" s="136"/>
      <c r="WEJ50" s="136"/>
      <c r="WEK50" s="136"/>
      <c r="WEL50" s="136"/>
      <c r="WEM50" s="136"/>
      <c r="WEN50" s="136"/>
      <c r="WEO50" s="136"/>
      <c r="WEP50" s="136"/>
      <c r="WEQ50" s="136"/>
      <c r="WER50" s="136"/>
      <c r="WES50" s="136"/>
      <c r="WET50" s="136"/>
      <c r="WEU50" s="136"/>
      <c r="WEV50" s="136"/>
      <c r="WEW50" s="136"/>
      <c r="WEX50" s="136"/>
      <c r="WEY50" s="136"/>
      <c r="WEZ50" s="136"/>
      <c r="WFA50" s="136"/>
      <c r="WFB50" s="136"/>
      <c r="WFC50" s="136"/>
      <c r="WFD50" s="136"/>
      <c r="WFE50" s="136"/>
      <c r="WFF50" s="136"/>
      <c r="WFG50" s="136"/>
      <c r="WFH50" s="136"/>
      <c r="WFI50" s="136"/>
      <c r="WFJ50" s="136"/>
      <c r="WFK50" s="136"/>
      <c r="WFL50" s="136"/>
      <c r="WFM50" s="136"/>
      <c r="WFN50" s="136"/>
      <c r="WFO50" s="136"/>
      <c r="WFP50" s="136"/>
      <c r="WFQ50" s="136"/>
      <c r="WFR50" s="136"/>
      <c r="WFS50" s="136"/>
      <c r="WFT50" s="136"/>
      <c r="WFU50" s="136"/>
      <c r="WFV50" s="136"/>
      <c r="WFW50" s="136"/>
      <c r="WFX50" s="136"/>
      <c r="WFY50" s="136"/>
      <c r="WFZ50" s="136"/>
      <c r="WGA50" s="136"/>
      <c r="WGB50" s="136"/>
      <c r="WGC50" s="136"/>
      <c r="WGD50" s="136"/>
      <c r="WGE50" s="136"/>
      <c r="WGF50" s="136"/>
      <c r="WGG50" s="136"/>
      <c r="WGH50" s="136"/>
      <c r="WGI50" s="136"/>
      <c r="WGJ50" s="136"/>
      <c r="WGK50" s="136"/>
      <c r="WGL50" s="136"/>
      <c r="WGM50" s="136"/>
      <c r="WGN50" s="136"/>
      <c r="WGO50" s="136"/>
      <c r="WGP50" s="136"/>
      <c r="WGQ50" s="136"/>
      <c r="WGR50" s="136"/>
      <c r="WGS50" s="136"/>
      <c r="WGT50" s="136"/>
      <c r="WGU50" s="136"/>
      <c r="WGV50" s="136"/>
      <c r="WGW50" s="136"/>
      <c r="WGX50" s="136"/>
      <c r="WGY50" s="136"/>
      <c r="WGZ50" s="136"/>
      <c r="WHA50" s="136"/>
      <c r="WHB50" s="136"/>
      <c r="WHC50" s="136"/>
      <c r="WHD50" s="136"/>
      <c r="WHE50" s="136"/>
      <c r="WHF50" s="136"/>
      <c r="WHG50" s="136"/>
      <c r="WHH50" s="136"/>
      <c r="WHI50" s="136"/>
      <c r="WHJ50" s="136"/>
      <c r="WHK50" s="136"/>
      <c r="WHL50" s="136"/>
      <c r="WHM50" s="136"/>
      <c r="WHN50" s="136"/>
      <c r="WHO50" s="136"/>
      <c r="WHP50" s="136"/>
      <c r="WHQ50" s="136"/>
      <c r="WHR50" s="136"/>
      <c r="WHS50" s="136"/>
      <c r="WHT50" s="136"/>
      <c r="WHU50" s="136"/>
      <c r="WHV50" s="136"/>
      <c r="WHW50" s="136"/>
      <c r="WHX50" s="136"/>
      <c r="WHY50" s="136"/>
      <c r="WHZ50" s="136"/>
      <c r="WIA50" s="136"/>
      <c r="WIB50" s="136"/>
      <c r="WIC50" s="136"/>
      <c r="WID50" s="136"/>
      <c r="WIE50" s="136"/>
      <c r="WIF50" s="136"/>
      <c r="WIG50" s="136"/>
      <c r="WIH50" s="136"/>
      <c r="WII50" s="136"/>
      <c r="WIJ50" s="136"/>
      <c r="WIK50" s="136"/>
      <c r="WIL50" s="136"/>
      <c r="WIM50" s="136"/>
      <c r="WIN50" s="136"/>
      <c r="WIO50" s="136"/>
      <c r="WIP50" s="136"/>
      <c r="WIQ50" s="136"/>
      <c r="WIR50" s="136"/>
      <c r="WIS50" s="136"/>
      <c r="WIT50" s="136"/>
      <c r="WIU50" s="136"/>
      <c r="WIV50" s="136"/>
      <c r="WIW50" s="136"/>
      <c r="WIX50" s="136"/>
      <c r="WIY50" s="136"/>
      <c r="WIZ50" s="136"/>
      <c r="WJA50" s="136"/>
      <c r="WJB50" s="136"/>
      <c r="WJC50" s="136"/>
      <c r="WJD50" s="136"/>
      <c r="WJE50" s="136"/>
      <c r="WJF50" s="136"/>
      <c r="WJG50" s="136"/>
      <c r="WJH50" s="136"/>
      <c r="WJI50" s="136"/>
      <c r="WJJ50" s="136"/>
      <c r="WJK50" s="136"/>
      <c r="WJL50" s="136"/>
      <c r="WJM50" s="136"/>
      <c r="WJN50" s="136"/>
      <c r="WJO50" s="136"/>
      <c r="WJP50" s="136"/>
      <c r="WJQ50" s="136"/>
      <c r="WJR50" s="136"/>
      <c r="WJS50" s="136"/>
      <c r="WJT50" s="136"/>
      <c r="WJU50" s="136"/>
      <c r="WJV50" s="136"/>
      <c r="WJW50" s="136"/>
      <c r="WJX50" s="136"/>
      <c r="WJY50" s="136"/>
      <c r="WJZ50" s="136"/>
      <c r="WKA50" s="136"/>
      <c r="WKB50" s="136"/>
      <c r="WKC50" s="136"/>
      <c r="WKD50" s="136"/>
      <c r="WKE50" s="136"/>
      <c r="WKF50" s="136"/>
      <c r="WKG50" s="136"/>
      <c r="WKH50" s="136"/>
      <c r="WKI50" s="136"/>
      <c r="WKJ50" s="136"/>
      <c r="WKK50" s="136"/>
      <c r="WKL50" s="136"/>
      <c r="WKM50" s="136"/>
      <c r="WKN50" s="136"/>
      <c r="WKO50" s="136"/>
      <c r="WKP50" s="136"/>
      <c r="WKQ50" s="136"/>
      <c r="WKR50" s="136"/>
      <c r="WKS50" s="136"/>
      <c r="WKT50" s="136"/>
      <c r="WKU50" s="136"/>
      <c r="WKV50" s="136"/>
      <c r="WKW50" s="136"/>
      <c r="WKX50" s="136"/>
      <c r="WKY50" s="136"/>
      <c r="WKZ50" s="136"/>
      <c r="WLA50" s="136"/>
      <c r="WLB50" s="136"/>
      <c r="WLC50" s="136"/>
      <c r="WLD50" s="136"/>
      <c r="WLE50" s="136"/>
      <c r="WLF50" s="136"/>
      <c r="WLG50" s="136"/>
      <c r="WLH50" s="136"/>
      <c r="WLI50" s="136"/>
      <c r="WLJ50" s="136"/>
      <c r="WLK50" s="136"/>
      <c r="WLL50" s="136"/>
      <c r="WLM50" s="136"/>
      <c r="WLN50" s="136"/>
      <c r="WLO50" s="136"/>
      <c r="WLP50" s="136"/>
      <c r="WLQ50" s="136"/>
      <c r="WLR50" s="136"/>
      <c r="WLS50" s="136"/>
      <c r="WLT50" s="136"/>
      <c r="WLU50" s="136"/>
      <c r="WLV50" s="136"/>
      <c r="WLW50" s="136"/>
      <c r="WLX50" s="136"/>
      <c r="WLY50" s="136"/>
      <c r="WLZ50" s="136"/>
      <c r="WMA50" s="136"/>
      <c r="WMB50" s="136"/>
      <c r="WMC50" s="136"/>
      <c r="WMD50" s="136"/>
      <c r="WME50" s="136"/>
      <c r="WMF50" s="136"/>
      <c r="WMG50" s="136"/>
      <c r="WMH50" s="136"/>
      <c r="WMI50" s="136"/>
      <c r="WMJ50" s="136"/>
      <c r="WMK50" s="136"/>
      <c r="WML50" s="136"/>
      <c r="WMM50" s="136"/>
      <c r="WMN50" s="136"/>
      <c r="WMO50" s="136"/>
      <c r="WMP50" s="136"/>
      <c r="WMQ50" s="136"/>
      <c r="WMR50" s="136"/>
      <c r="WMS50" s="136"/>
      <c r="WMT50" s="136"/>
      <c r="WMU50" s="136"/>
      <c r="WMV50" s="136"/>
      <c r="WMW50" s="136"/>
      <c r="WMX50" s="136"/>
      <c r="WMY50" s="136"/>
      <c r="WMZ50" s="136"/>
      <c r="WNA50" s="136"/>
      <c r="WNB50" s="136"/>
      <c r="WNC50" s="136"/>
      <c r="WND50" s="136"/>
      <c r="WNE50" s="136"/>
      <c r="WNF50" s="136"/>
      <c r="WNG50" s="136"/>
      <c r="WNH50" s="136"/>
      <c r="WNI50" s="136"/>
      <c r="WNJ50" s="136"/>
      <c r="WNK50" s="136"/>
      <c r="WNL50" s="136"/>
      <c r="WNM50" s="136"/>
      <c r="WNN50" s="136"/>
      <c r="WNO50" s="136"/>
      <c r="WNP50" s="136"/>
      <c r="WNQ50" s="136"/>
      <c r="WNR50" s="136"/>
      <c r="WNS50" s="136"/>
      <c r="WNT50" s="136"/>
      <c r="WNU50" s="136"/>
      <c r="WNV50" s="136"/>
      <c r="WNW50" s="136"/>
      <c r="WNX50" s="136"/>
      <c r="WNY50" s="136"/>
      <c r="WNZ50" s="136"/>
      <c r="WOA50" s="136"/>
      <c r="WOB50" s="136"/>
      <c r="WOC50" s="136"/>
      <c r="WOD50" s="136"/>
      <c r="WOE50" s="136"/>
      <c r="WOF50" s="136"/>
      <c r="WOG50" s="136"/>
      <c r="WOH50" s="136"/>
      <c r="WOI50" s="136"/>
      <c r="WOJ50" s="136"/>
      <c r="WOK50" s="136"/>
      <c r="WOL50" s="136"/>
      <c r="WOM50" s="136"/>
      <c r="WON50" s="136"/>
      <c r="WOO50" s="136"/>
      <c r="WOP50" s="136"/>
      <c r="WOQ50" s="136"/>
      <c r="WOR50" s="136"/>
      <c r="WOS50" s="136"/>
      <c r="WOT50" s="136"/>
      <c r="WOU50" s="136"/>
      <c r="WOV50" s="136"/>
      <c r="WOW50" s="136"/>
      <c r="WOX50" s="136"/>
      <c r="WOY50" s="136"/>
      <c r="WOZ50" s="136"/>
      <c r="WPA50" s="136"/>
      <c r="WPB50" s="136"/>
      <c r="WPC50" s="136"/>
      <c r="WPD50" s="136"/>
      <c r="WPE50" s="136"/>
      <c r="WPF50" s="136"/>
      <c r="WPG50" s="136"/>
      <c r="WPH50" s="136"/>
      <c r="WPI50" s="136"/>
      <c r="WPJ50" s="136"/>
      <c r="WPK50" s="136"/>
      <c r="WPL50" s="136"/>
      <c r="WPM50" s="136"/>
      <c r="WPN50" s="136"/>
      <c r="WPO50" s="136"/>
      <c r="WPP50" s="136"/>
      <c r="WPQ50" s="136"/>
      <c r="WPR50" s="136"/>
      <c r="WPS50" s="136"/>
      <c r="WPT50" s="136"/>
      <c r="WPU50" s="136"/>
      <c r="WPV50" s="136"/>
      <c r="WPW50" s="136"/>
      <c r="WPX50" s="136"/>
      <c r="WPY50" s="136"/>
      <c r="WPZ50" s="136"/>
      <c r="WQA50" s="136"/>
      <c r="WQB50" s="136"/>
      <c r="WQC50" s="136"/>
      <c r="WQD50" s="136"/>
      <c r="WQE50" s="136"/>
      <c r="WQF50" s="136"/>
      <c r="WQG50" s="136"/>
      <c r="WQH50" s="136"/>
      <c r="WQI50" s="136"/>
      <c r="WQJ50" s="136"/>
      <c r="WQK50" s="136"/>
      <c r="WQL50" s="136"/>
      <c r="WQM50" s="136"/>
      <c r="WQN50" s="136"/>
      <c r="WQO50" s="136"/>
      <c r="WQP50" s="136"/>
      <c r="WQQ50" s="136"/>
      <c r="WQR50" s="136"/>
      <c r="WQS50" s="136"/>
      <c r="WQT50" s="136"/>
      <c r="WQU50" s="136"/>
      <c r="WQV50" s="136"/>
      <c r="WQW50" s="136"/>
      <c r="WQX50" s="136"/>
      <c r="WQY50" s="136"/>
      <c r="WQZ50" s="136"/>
      <c r="WRA50" s="136"/>
      <c r="WRB50" s="136"/>
      <c r="WRC50" s="136"/>
      <c r="WRD50" s="136"/>
      <c r="WRE50" s="136"/>
      <c r="WRF50" s="136"/>
      <c r="WRG50" s="136"/>
      <c r="WRH50" s="136"/>
      <c r="WRI50" s="136"/>
      <c r="WRJ50" s="136"/>
      <c r="WRK50" s="136"/>
      <c r="WRL50" s="136"/>
      <c r="WRM50" s="136"/>
      <c r="WRN50" s="136"/>
      <c r="WRO50" s="136"/>
      <c r="WRP50" s="136"/>
      <c r="WRQ50" s="136"/>
      <c r="WRR50" s="136"/>
      <c r="WRS50" s="136"/>
      <c r="WRT50" s="136"/>
      <c r="WRU50" s="136"/>
      <c r="WRV50" s="136"/>
      <c r="WRW50" s="136"/>
      <c r="WRX50" s="136"/>
      <c r="WRY50" s="136"/>
      <c r="WRZ50" s="136"/>
      <c r="WSA50" s="136"/>
      <c r="WSB50" s="136"/>
      <c r="WSC50" s="136"/>
      <c r="WSD50" s="136"/>
      <c r="WSE50" s="136"/>
      <c r="WSF50" s="136"/>
      <c r="WSG50" s="136"/>
      <c r="WSH50" s="136"/>
      <c r="WSI50" s="136"/>
      <c r="WSJ50" s="136"/>
      <c r="WSK50" s="136"/>
      <c r="WSL50" s="136"/>
      <c r="WSM50" s="136"/>
      <c r="WSN50" s="136"/>
      <c r="WSO50" s="136"/>
      <c r="WSP50" s="136"/>
      <c r="WSQ50" s="136"/>
      <c r="WSR50" s="136"/>
      <c r="WSS50" s="136"/>
      <c r="WST50" s="136"/>
      <c r="WSU50" s="136"/>
      <c r="WSV50" s="136"/>
      <c r="WSW50" s="136"/>
      <c r="WSX50" s="136"/>
      <c r="WSY50" s="136"/>
      <c r="WSZ50" s="136"/>
      <c r="WTA50" s="136"/>
      <c r="WTB50" s="136"/>
      <c r="WTC50" s="136"/>
      <c r="WTD50" s="136"/>
      <c r="WTE50" s="136"/>
      <c r="WTF50" s="136"/>
      <c r="WTG50" s="136"/>
      <c r="WTH50" s="136"/>
      <c r="WTI50" s="136"/>
      <c r="WTJ50" s="136"/>
      <c r="WTK50" s="136"/>
      <c r="WTL50" s="136"/>
      <c r="WTM50" s="136"/>
      <c r="WTN50" s="136"/>
      <c r="WTO50" s="136"/>
      <c r="WTP50" s="136"/>
      <c r="WTQ50" s="136"/>
      <c r="WTR50" s="136"/>
      <c r="WTS50" s="136"/>
      <c r="WTT50" s="136"/>
      <c r="WTU50" s="136"/>
      <c r="WTV50" s="136"/>
      <c r="WTW50" s="136"/>
      <c r="WTX50" s="136"/>
      <c r="WTY50" s="136"/>
      <c r="WTZ50" s="136"/>
      <c r="WUA50" s="136"/>
      <c r="WUB50" s="136"/>
      <c r="WUC50" s="136"/>
      <c r="WUD50" s="136"/>
      <c r="WUE50" s="136"/>
      <c r="WUF50" s="136"/>
      <c r="WUG50" s="136"/>
      <c r="WUH50" s="136"/>
      <c r="WUI50" s="136"/>
      <c r="WUJ50" s="136"/>
      <c r="WUK50" s="136"/>
      <c r="WUL50" s="136"/>
      <c r="WUM50" s="136"/>
      <c r="WUN50" s="136"/>
      <c r="WUO50" s="136"/>
      <c r="WUP50" s="136"/>
      <c r="WUQ50" s="136"/>
      <c r="WUR50" s="136"/>
      <c r="WUS50" s="136"/>
      <c r="WUT50" s="136"/>
      <c r="WUU50" s="136"/>
      <c r="WUV50" s="136"/>
      <c r="WUW50" s="136"/>
      <c r="WUX50" s="136"/>
      <c r="WUY50" s="136"/>
      <c r="WUZ50" s="136"/>
      <c r="WVA50" s="136"/>
      <c r="WVB50" s="136"/>
      <c r="WVC50" s="136"/>
      <c r="WVD50" s="136"/>
      <c r="WVE50" s="136"/>
      <c r="WVF50" s="136"/>
      <c r="WVG50" s="136"/>
      <c r="WVH50" s="136"/>
      <c r="WVI50" s="136"/>
      <c r="WVJ50" s="136"/>
      <c r="WVK50" s="136"/>
      <c r="WVL50" s="136"/>
      <c r="WVM50" s="136"/>
      <c r="WVN50" s="136"/>
      <c r="WVO50" s="136"/>
      <c r="WVP50" s="136"/>
      <c r="WVQ50" s="136"/>
      <c r="WVR50" s="136"/>
      <c r="WVS50" s="136"/>
      <c r="WVT50" s="136"/>
      <c r="WVU50" s="136"/>
      <c r="WVV50" s="136"/>
      <c r="WVW50" s="136"/>
      <c r="WVX50" s="136"/>
      <c r="WVY50" s="136"/>
      <c r="WVZ50" s="136"/>
      <c r="WWA50" s="136"/>
      <c r="WWB50" s="136"/>
      <c r="WWC50" s="136"/>
      <c r="WWD50" s="136"/>
      <c r="WWE50" s="136"/>
      <c r="WWF50" s="136"/>
      <c r="WWG50" s="136"/>
      <c r="WWH50" s="136"/>
      <c r="WWI50" s="136"/>
      <c r="WWJ50" s="136"/>
      <c r="WWK50" s="136"/>
      <c r="WWL50" s="136"/>
      <c r="WWM50" s="136"/>
      <c r="WWN50" s="136"/>
      <c r="WWO50" s="136"/>
      <c r="WWP50" s="136"/>
      <c r="WWQ50" s="136"/>
      <c r="WWR50" s="136"/>
      <c r="WWS50" s="136"/>
      <c r="WWT50" s="136"/>
      <c r="WWU50" s="136"/>
      <c r="WWV50" s="136"/>
      <c r="WWW50" s="136"/>
      <c r="WWX50" s="136"/>
      <c r="WWY50" s="136"/>
      <c r="WWZ50" s="136"/>
      <c r="WXA50" s="136"/>
      <c r="WXB50" s="136"/>
      <c r="WXC50" s="136"/>
      <c r="WXD50" s="136"/>
      <c r="WXE50" s="136"/>
      <c r="WXF50" s="136"/>
      <c r="WXG50" s="136"/>
      <c r="WXH50" s="136"/>
      <c r="WXI50" s="136"/>
      <c r="WXJ50" s="136"/>
      <c r="WXK50" s="136"/>
      <c r="WXL50" s="136"/>
      <c r="WXM50" s="136"/>
      <c r="WXN50" s="136"/>
      <c r="WXO50" s="136"/>
      <c r="WXP50" s="136"/>
      <c r="WXQ50" s="136"/>
      <c r="WXR50" s="136"/>
      <c r="WXS50" s="136"/>
      <c r="WXT50" s="136"/>
      <c r="WXU50" s="136"/>
      <c r="WXV50" s="136"/>
      <c r="WXW50" s="136"/>
      <c r="WXX50" s="136"/>
      <c r="WXY50" s="136"/>
      <c r="WXZ50" s="136"/>
      <c r="WYA50" s="136"/>
      <c r="WYB50" s="136"/>
      <c r="WYC50" s="136"/>
      <c r="WYD50" s="136"/>
      <c r="WYE50" s="136"/>
      <c r="WYF50" s="136"/>
      <c r="WYG50" s="136"/>
      <c r="WYH50" s="136"/>
      <c r="WYI50" s="136"/>
      <c r="WYJ50" s="136"/>
      <c r="WYK50" s="136"/>
      <c r="WYL50" s="136"/>
      <c r="WYM50" s="136"/>
      <c r="WYN50" s="136"/>
      <c r="WYO50" s="136"/>
      <c r="WYP50" s="136"/>
      <c r="WYQ50" s="136"/>
      <c r="WYR50" s="136"/>
      <c r="WYS50" s="136"/>
      <c r="WYT50" s="136"/>
      <c r="WYU50" s="136"/>
      <c r="WYV50" s="136"/>
      <c r="WYW50" s="136"/>
      <c r="WYX50" s="136"/>
      <c r="WYY50" s="136"/>
      <c r="WYZ50" s="136"/>
      <c r="WZA50" s="136"/>
      <c r="WZB50" s="136"/>
      <c r="WZC50" s="136"/>
      <c r="WZD50" s="136"/>
      <c r="WZE50" s="136"/>
      <c r="WZF50" s="136"/>
      <c r="WZG50" s="136"/>
      <c r="WZH50" s="136"/>
      <c r="WZI50" s="136"/>
      <c r="WZJ50" s="136"/>
      <c r="WZK50" s="136"/>
      <c r="WZL50" s="136"/>
      <c r="WZM50" s="136"/>
      <c r="WZN50" s="136"/>
      <c r="WZO50" s="136"/>
      <c r="WZP50" s="136"/>
      <c r="WZQ50" s="136"/>
      <c r="WZR50" s="136"/>
      <c r="WZS50" s="136"/>
      <c r="WZT50" s="136"/>
      <c r="WZU50" s="136"/>
      <c r="WZV50" s="136"/>
      <c r="WZW50" s="136"/>
      <c r="WZX50" s="136"/>
      <c r="WZY50" s="136"/>
      <c r="WZZ50" s="136"/>
      <c r="XAA50" s="136"/>
      <c r="XAB50" s="136"/>
      <c r="XAC50" s="136"/>
      <c r="XAD50" s="136"/>
      <c r="XAE50" s="136"/>
      <c r="XAF50" s="136"/>
      <c r="XAG50" s="136"/>
      <c r="XAH50" s="136"/>
      <c r="XAI50" s="136"/>
      <c r="XAJ50" s="136"/>
      <c r="XAK50" s="136"/>
      <c r="XAL50" s="136"/>
      <c r="XAM50" s="136"/>
      <c r="XAN50" s="136"/>
      <c r="XAO50" s="136"/>
      <c r="XAP50" s="136"/>
      <c r="XAQ50" s="136"/>
      <c r="XAR50" s="136"/>
      <c r="XAS50" s="136"/>
      <c r="XAT50" s="136"/>
      <c r="XAU50" s="136"/>
      <c r="XAV50" s="136"/>
      <c r="XAW50" s="136"/>
      <c r="XAX50" s="136"/>
      <c r="XAY50" s="136"/>
      <c r="XAZ50" s="136"/>
      <c r="XBA50" s="136"/>
      <c r="XBB50" s="136"/>
      <c r="XBC50" s="136"/>
      <c r="XBD50" s="136"/>
      <c r="XBE50" s="136"/>
      <c r="XBF50" s="136"/>
      <c r="XBG50" s="136"/>
      <c r="XBH50" s="136"/>
      <c r="XBI50" s="136"/>
      <c r="XBJ50" s="136"/>
      <c r="XBK50" s="136"/>
      <c r="XBL50" s="136"/>
      <c r="XBM50" s="136"/>
      <c r="XBN50" s="136"/>
      <c r="XBO50" s="136"/>
      <c r="XBP50" s="136"/>
      <c r="XBQ50" s="136"/>
      <c r="XBR50" s="136"/>
      <c r="XBS50" s="136"/>
      <c r="XBT50" s="136"/>
      <c r="XBU50" s="136"/>
      <c r="XBV50" s="136"/>
      <c r="XBW50" s="136"/>
      <c r="XBX50" s="136"/>
      <c r="XBY50" s="136"/>
      <c r="XBZ50" s="136"/>
      <c r="XCA50" s="136"/>
      <c r="XCB50" s="136"/>
      <c r="XCC50" s="136"/>
      <c r="XCD50" s="136"/>
      <c r="XCE50" s="136"/>
      <c r="XCF50" s="136"/>
      <c r="XCG50" s="136"/>
      <c r="XCH50" s="136"/>
      <c r="XCI50" s="136"/>
      <c r="XCJ50" s="136"/>
      <c r="XCK50" s="136"/>
      <c r="XCL50" s="136"/>
      <c r="XCM50" s="136"/>
      <c r="XCN50" s="136"/>
      <c r="XCO50" s="136"/>
      <c r="XCP50" s="136"/>
      <c r="XCQ50" s="136"/>
      <c r="XCR50" s="136"/>
      <c r="XCS50" s="136"/>
      <c r="XCT50" s="136"/>
      <c r="XCU50" s="136"/>
      <c r="XCV50" s="136"/>
      <c r="XCW50" s="136"/>
      <c r="XCX50" s="136"/>
      <c r="XCY50" s="136"/>
      <c r="XCZ50" s="136"/>
      <c r="XDA50" s="136"/>
      <c r="XDB50" s="136"/>
      <c r="XDC50" s="136"/>
      <c r="XDD50" s="136"/>
      <c r="XDE50" s="136"/>
      <c r="XDF50" s="136"/>
      <c r="XDG50" s="136"/>
      <c r="XDH50" s="136"/>
      <c r="XDI50" s="136"/>
      <c r="XDJ50" s="136"/>
      <c r="XDK50" s="136"/>
      <c r="XDL50" s="136"/>
      <c r="XDM50" s="136"/>
      <c r="XDN50" s="136"/>
      <c r="XDO50" s="136"/>
      <c r="XDP50" s="136"/>
      <c r="XDQ50" s="136"/>
      <c r="XDR50" s="136"/>
      <c r="XDS50" s="136"/>
      <c r="XDT50" s="136"/>
      <c r="XDU50" s="136"/>
      <c r="XDV50" s="136"/>
      <c r="XDW50" s="136"/>
      <c r="XDX50" s="136"/>
      <c r="XDY50" s="136"/>
      <c r="XDZ50" s="136"/>
      <c r="XEA50" s="136"/>
      <c r="XEB50" s="136"/>
      <c r="XEC50" s="136"/>
      <c r="XED50" s="136"/>
      <c r="XEE50" s="136"/>
      <c r="XEF50" s="136"/>
      <c r="XEG50" s="136"/>
      <c r="XEH50" s="136"/>
      <c r="XEI50" s="136"/>
      <c r="XEJ50" s="136"/>
      <c r="XEK50" s="136"/>
      <c r="XEL50" s="136"/>
      <c r="XEM50" s="136"/>
      <c r="XEN50" s="136"/>
      <c r="XEO50" s="136"/>
      <c r="XEP50" s="136"/>
      <c r="XEQ50" s="136"/>
      <c r="XER50" s="136"/>
      <c r="XES50" s="136"/>
      <c r="XET50" s="136"/>
      <c r="XEU50" s="136"/>
      <c r="XEV50" s="136"/>
      <c r="XEW50" s="136"/>
      <c r="XEX50" s="136"/>
      <c r="XEY50" s="136"/>
      <c r="XEZ50" s="136"/>
      <c r="XFA50" s="136"/>
      <c r="XFB50" s="136"/>
      <c r="XFC50" s="136"/>
      <c r="XFD50" s="136"/>
    </row>
    <row r="51" spans="1:16384" s="134" customFormat="1" ht="37"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136"/>
      <c r="DV51" s="136"/>
      <c r="DW51" s="136"/>
      <c r="DX51" s="136"/>
      <c r="DY51" s="136"/>
      <c r="DZ51" s="136"/>
      <c r="EA51" s="136"/>
      <c r="EB51" s="136"/>
      <c r="EC51" s="136"/>
      <c r="ED51" s="136"/>
      <c r="EE51" s="136"/>
      <c r="EF51" s="136"/>
      <c r="EG51" s="136"/>
      <c r="EH51" s="136"/>
      <c r="EI51" s="136"/>
      <c r="EJ51" s="136"/>
      <c r="EK51" s="136"/>
      <c r="EL51" s="136"/>
      <c r="EM51" s="136"/>
      <c r="EN51" s="136"/>
      <c r="EO51" s="136"/>
      <c r="EP51" s="136"/>
      <c r="EQ51" s="136"/>
      <c r="ER51" s="136"/>
      <c r="ES51" s="136"/>
      <c r="ET51" s="136"/>
      <c r="EU51" s="136"/>
      <c r="EV51" s="136"/>
      <c r="EW51" s="136"/>
      <c r="EX51" s="136"/>
      <c r="EY51" s="136"/>
      <c r="EZ51" s="136"/>
      <c r="FA51" s="136"/>
      <c r="FB51" s="136"/>
      <c r="FC51" s="136"/>
      <c r="FD51" s="136"/>
      <c r="FE51" s="136"/>
      <c r="FF51" s="136"/>
      <c r="FG51" s="136"/>
      <c r="FH51" s="136"/>
      <c r="FI51" s="136"/>
      <c r="FJ51" s="136"/>
      <c r="FK51" s="136"/>
      <c r="FL51" s="136"/>
      <c r="FM51" s="136"/>
      <c r="FN51" s="136"/>
      <c r="FO51" s="136"/>
      <c r="FP51" s="136"/>
      <c r="FQ51" s="136"/>
      <c r="FR51" s="136"/>
      <c r="FS51" s="136"/>
      <c r="FT51" s="136"/>
      <c r="FU51" s="136"/>
      <c r="FV51" s="136"/>
      <c r="FW51" s="136"/>
      <c r="FX51" s="136"/>
      <c r="FY51" s="136"/>
      <c r="FZ51" s="136"/>
      <c r="GA51" s="136"/>
      <c r="GB51" s="136"/>
      <c r="GC51" s="136"/>
      <c r="GD51" s="136"/>
      <c r="GE51" s="136"/>
      <c r="GF51" s="136"/>
      <c r="GG51" s="136"/>
      <c r="GH51" s="136"/>
      <c r="GI51" s="136"/>
      <c r="GJ51" s="136"/>
      <c r="GK51" s="136"/>
      <c r="GL51" s="136"/>
      <c r="GM51" s="136"/>
      <c r="GN51" s="136"/>
      <c r="GO51" s="136"/>
      <c r="GP51" s="136"/>
      <c r="GQ51" s="136"/>
      <c r="GR51" s="136"/>
      <c r="GS51" s="136"/>
      <c r="GT51" s="136"/>
      <c r="GU51" s="136"/>
      <c r="GV51" s="136"/>
      <c r="GW51" s="136"/>
      <c r="GX51" s="136"/>
      <c r="GY51" s="136"/>
      <c r="GZ51" s="136"/>
      <c r="HA51" s="136"/>
      <c r="HB51" s="136"/>
      <c r="HC51" s="136"/>
      <c r="HD51" s="136"/>
      <c r="HE51" s="136"/>
      <c r="HF51" s="136"/>
      <c r="HG51" s="136"/>
      <c r="HH51" s="136"/>
      <c r="HI51" s="136"/>
      <c r="HJ51" s="136"/>
      <c r="HK51" s="136"/>
      <c r="HL51" s="136"/>
      <c r="HM51" s="136"/>
      <c r="HN51" s="136"/>
      <c r="HO51" s="136"/>
      <c r="HP51" s="136"/>
      <c r="HQ51" s="136"/>
      <c r="HR51" s="136"/>
      <c r="HS51" s="136"/>
      <c r="HT51" s="136"/>
      <c r="HU51" s="136"/>
      <c r="HV51" s="136"/>
      <c r="HW51" s="136"/>
      <c r="HX51" s="136"/>
      <c r="HY51" s="136"/>
      <c r="HZ51" s="136"/>
      <c r="IA51" s="136"/>
      <c r="IB51" s="136"/>
      <c r="IC51" s="136"/>
      <c r="ID51" s="136"/>
      <c r="IE51" s="136"/>
      <c r="IF51" s="136"/>
      <c r="IG51" s="136"/>
      <c r="IH51" s="136"/>
      <c r="II51" s="136"/>
      <c r="IJ51" s="136"/>
      <c r="IK51" s="136"/>
      <c r="IL51" s="136"/>
      <c r="IM51" s="136"/>
      <c r="IN51" s="136"/>
      <c r="IO51" s="136"/>
      <c r="IP51" s="136"/>
      <c r="IQ51" s="136"/>
      <c r="IR51" s="136"/>
      <c r="IS51" s="136"/>
      <c r="IT51" s="136"/>
      <c r="IU51" s="136"/>
      <c r="IV51" s="136"/>
      <c r="IW51" s="136"/>
      <c r="IX51" s="136"/>
      <c r="IY51" s="136"/>
      <c r="IZ51" s="136"/>
      <c r="JA51" s="136"/>
      <c r="JB51" s="136"/>
      <c r="JC51" s="136"/>
      <c r="JD51" s="136"/>
      <c r="JE51" s="136"/>
      <c r="JF51" s="136"/>
      <c r="JG51" s="136"/>
      <c r="JH51" s="136"/>
      <c r="JI51" s="136"/>
      <c r="JJ51" s="136"/>
      <c r="JK51" s="136"/>
      <c r="JL51" s="136"/>
      <c r="JM51" s="136"/>
      <c r="JN51" s="136"/>
      <c r="JO51" s="136"/>
      <c r="JP51" s="136"/>
      <c r="JQ51" s="136"/>
      <c r="JR51" s="136"/>
      <c r="JS51" s="136"/>
      <c r="JT51" s="136"/>
      <c r="JU51" s="136"/>
      <c r="JV51" s="136"/>
      <c r="JW51" s="136"/>
      <c r="JX51" s="136"/>
      <c r="JY51" s="136"/>
      <c r="JZ51" s="136"/>
      <c r="KA51" s="136"/>
      <c r="KB51" s="136"/>
      <c r="KC51" s="136"/>
      <c r="KD51" s="136"/>
      <c r="KE51" s="136"/>
      <c r="KF51" s="136"/>
      <c r="KG51" s="136"/>
      <c r="KH51" s="136"/>
      <c r="KI51" s="136"/>
      <c r="KJ51" s="136"/>
      <c r="KK51" s="136"/>
      <c r="KL51" s="136"/>
      <c r="KM51" s="136"/>
      <c r="KN51" s="136"/>
      <c r="KO51" s="136"/>
      <c r="KP51" s="136"/>
      <c r="KQ51" s="136"/>
      <c r="KR51" s="136"/>
      <c r="KS51" s="136"/>
      <c r="KT51" s="136"/>
      <c r="KU51" s="136"/>
      <c r="KV51" s="136"/>
      <c r="KW51" s="136"/>
      <c r="KX51" s="136"/>
      <c r="KY51" s="136"/>
      <c r="KZ51" s="136"/>
      <c r="LA51" s="136"/>
      <c r="LB51" s="136"/>
      <c r="LC51" s="136"/>
      <c r="LD51" s="136"/>
      <c r="LE51" s="136"/>
      <c r="LF51" s="136"/>
      <c r="LG51" s="136"/>
      <c r="LH51" s="136"/>
      <c r="LI51" s="136"/>
      <c r="LJ51" s="136"/>
      <c r="LK51" s="136"/>
      <c r="LL51" s="136"/>
      <c r="LM51" s="136"/>
      <c r="LN51" s="136"/>
      <c r="LO51" s="136"/>
      <c r="LP51" s="136"/>
      <c r="LQ51" s="136"/>
      <c r="LR51" s="136"/>
      <c r="LS51" s="136"/>
      <c r="LT51" s="136"/>
      <c r="LU51" s="136"/>
      <c r="LV51" s="136"/>
      <c r="LW51" s="136"/>
      <c r="LX51" s="136"/>
      <c r="LY51" s="136"/>
      <c r="LZ51" s="136"/>
      <c r="MA51" s="136"/>
      <c r="MB51" s="136"/>
      <c r="MC51" s="136"/>
      <c r="MD51" s="136"/>
      <c r="ME51" s="136"/>
      <c r="MF51" s="136"/>
      <c r="MG51" s="136"/>
      <c r="MH51" s="136"/>
      <c r="MI51" s="136"/>
      <c r="MJ51" s="136"/>
      <c r="MK51" s="136"/>
      <c r="ML51" s="136"/>
      <c r="MM51" s="136"/>
      <c r="MN51" s="136"/>
      <c r="MO51" s="136"/>
      <c r="MP51" s="136"/>
      <c r="MQ51" s="136"/>
      <c r="MR51" s="136"/>
      <c r="MS51" s="136"/>
      <c r="MT51" s="136"/>
      <c r="MU51" s="136"/>
      <c r="MV51" s="136"/>
      <c r="MW51" s="136"/>
      <c r="MX51" s="136"/>
      <c r="MY51" s="136"/>
      <c r="MZ51" s="136"/>
      <c r="NA51" s="136"/>
      <c r="NB51" s="136"/>
      <c r="NC51" s="136"/>
      <c r="ND51" s="136"/>
      <c r="NE51" s="136"/>
      <c r="NF51" s="136"/>
      <c r="NG51" s="136"/>
      <c r="NH51" s="136"/>
      <c r="NI51" s="136"/>
      <c r="NJ51" s="136"/>
      <c r="NK51" s="136"/>
      <c r="NL51" s="136"/>
      <c r="NM51" s="136"/>
      <c r="NN51" s="136"/>
      <c r="NO51" s="136"/>
      <c r="NP51" s="136"/>
      <c r="NQ51" s="136"/>
      <c r="NR51" s="136"/>
      <c r="NS51" s="136"/>
      <c r="NT51" s="136"/>
      <c r="NU51" s="136"/>
      <c r="NV51" s="136"/>
      <c r="NW51" s="136"/>
      <c r="NX51" s="136"/>
      <c r="NY51" s="136"/>
      <c r="NZ51" s="136"/>
      <c r="OA51" s="136"/>
      <c r="OB51" s="136"/>
      <c r="OC51" s="136"/>
      <c r="OD51" s="136"/>
      <c r="OE51" s="136"/>
      <c r="OF51" s="136"/>
      <c r="OG51" s="136"/>
      <c r="OH51" s="136"/>
      <c r="OI51" s="136"/>
      <c r="OJ51" s="136"/>
      <c r="OK51" s="136"/>
      <c r="OL51" s="136"/>
      <c r="OM51" s="136"/>
      <c r="ON51" s="136"/>
      <c r="OO51" s="136"/>
      <c r="OP51" s="136"/>
      <c r="OQ51" s="136"/>
      <c r="OR51" s="136"/>
      <c r="OS51" s="136"/>
      <c r="OT51" s="136"/>
      <c r="OU51" s="136"/>
      <c r="OV51" s="136"/>
      <c r="OW51" s="136"/>
      <c r="OX51" s="136"/>
      <c r="OY51" s="136"/>
      <c r="OZ51" s="136"/>
      <c r="PA51" s="136"/>
      <c r="PB51" s="136"/>
      <c r="PC51" s="136"/>
      <c r="PD51" s="136"/>
      <c r="PE51" s="136"/>
      <c r="PF51" s="136"/>
      <c r="PG51" s="136"/>
      <c r="PH51" s="136"/>
      <c r="PI51" s="136"/>
      <c r="PJ51" s="136"/>
      <c r="PK51" s="136"/>
      <c r="PL51" s="136"/>
      <c r="PM51" s="136"/>
      <c r="PN51" s="136"/>
      <c r="PO51" s="136"/>
      <c r="PP51" s="136"/>
      <c r="PQ51" s="136"/>
      <c r="PR51" s="136"/>
      <c r="PS51" s="136"/>
      <c r="PT51" s="136"/>
      <c r="PU51" s="136"/>
      <c r="PV51" s="136"/>
      <c r="PW51" s="136"/>
      <c r="PX51" s="136"/>
      <c r="PY51" s="136"/>
      <c r="PZ51" s="136"/>
      <c r="QA51" s="136"/>
      <c r="QB51" s="136"/>
      <c r="QC51" s="136"/>
      <c r="QD51" s="136"/>
      <c r="QE51" s="136"/>
      <c r="QF51" s="136"/>
      <c r="QG51" s="136"/>
      <c r="QH51" s="136"/>
      <c r="QI51" s="136"/>
      <c r="QJ51" s="136"/>
      <c r="QK51" s="136"/>
      <c r="QL51" s="136"/>
      <c r="QM51" s="136"/>
      <c r="QN51" s="136"/>
      <c r="QO51" s="136"/>
      <c r="QP51" s="136"/>
      <c r="QQ51" s="136"/>
      <c r="QR51" s="136"/>
      <c r="QS51" s="136"/>
      <c r="QT51" s="136"/>
      <c r="QU51" s="136"/>
      <c r="QV51" s="136"/>
      <c r="QW51" s="136"/>
      <c r="QX51" s="136"/>
      <c r="QY51" s="136"/>
      <c r="QZ51" s="136"/>
      <c r="RA51" s="136"/>
      <c r="RB51" s="136"/>
      <c r="RC51" s="136"/>
      <c r="RD51" s="136"/>
      <c r="RE51" s="136"/>
      <c r="RF51" s="136"/>
      <c r="RG51" s="136"/>
      <c r="RH51" s="136"/>
      <c r="RI51" s="136"/>
      <c r="RJ51" s="136"/>
      <c r="RK51" s="136"/>
      <c r="RL51" s="136"/>
      <c r="RM51" s="136"/>
      <c r="RN51" s="136"/>
      <c r="RO51" s="136"/>
      <c r="RP51" s="136"/>
      <c r="RQ51" s="136"/>
      <c r="RR51" s="136"/>
      <c r="RS51" s="136"/>
      <c r="RT51" s="136"/>
      <c r="RU51" s="136"/>
      <c r="RV51" s="136"/>
      <c r="RW51" s="136"/>
      <c r="RX51" s="136"/>
      <c r="RY51" s="136"/>
      <c r="RZ51" s="136"/>
      <c r="SA51" s="136"/>
      <c r="SB51" s="136"/>
      <c r="SC51" s="136"/>
      <c r="SD51" s="136"/>
      <c r="SE51" s="136"/>
      <c r="SF51" s="136"/>
      <c r="SG51" s="136"/>
      <c r="SH51" s="136"/>
      <c r="SI51" s="136"/>
      <c r="SJ51" s="136"/>
      <c r="SK51" s="136"/>
      <c r="SL51" s="136"/>
      <c r="SM51" s="136"/>
      <c r="SN51" s="136"/>
      <c r="SO51" s="136"/>
      <c r="SP51" s="136"/>
      <c r="SQ51" s="136"/>
      <c r="SR51" s="136"/>
      <c r="SS51" s="136"/>
      <c r="ST51" s="136"/>
      <c r="SU51" s="136"/>
      <c r="SV51" s="136"/>
      <c r="SW51" s="136"/>
      <c r="SX51" s="136"/>
      <c r="SY51" s="136"/>
      <c r="SZ51" s="136"/>
      <c r="TA51" s="136"/>
      <c r="TB51" s="136"/>
      <c r="TC51" s="136"/>
      <c r="TD51" s="136"/>
      <c r="TE51" s="136"/>
      <c r="TF51" s="136"/>
      <c r="TG51" s="136"/>
      <c r="TH51" s="136"/>
      <c r="TI51" s="136"/>
      <c r="TJ51" s="136"/>
      <c r="TK51" s="136"/>
      <c r="TL51" s="136"/>
      <c r="TM51" s="136"/>
      <c r="TN51" s="136"/>
      <c r="TO51" s="136"/>
      <c r="TP51" s="136"/>
      <c r="TQ51" s="136"/>
      <c r="TR51" s="136"/>
      <c r="TS51" s="136"/>
      <c r="TT51" s="136"/>
      <c r="TU51" s="136"/>
      <c r="TV51" s="136"/>
      <c r="TW51" s="136"/>
      <c r="TX51" s="136"/>
      <c r="TY51" s="136"/>
      <c r="TZ51" s="136"/>
      <c r="UA51" s="136"/>
      <c r="UB51" s="136"/>
      <c r="UC51" s="136"/>
      <c r="UD51" s="136"/>
      <c r="UE51" s="136"/>
      <c r="UF51" s="136"/>
      <c r="UG51" s="136"/>
      <c r="UH51" s="136"/>
      <c r="UI51" s="136"/>
      <c r="UJ51" s="136"/>
      <c r="UK51" s="136"/>
      <c r="UL51" s="136"/>
      <c r="UM51" s="136"/>
      <c r="UN51" s="136"/>
      <c r="UO51" s="136"/>
      <c r="UP51" s="136"/>
      <c r="UQ51" s="136"/>
      <c r="UR51" s="136"/>
      <c r="US51" s="136"/>
      <c r="UT51" s="136"/>
      <c r="UU51" s="136"/>
      <c r="UV51" s="136"/>
      <c r="UW51" s="136"/>
      <c r="UX51" s="136"/>
      <c r="UY51" s="136"/>
      <c r="UZ51" s="136"/>
      <c r="VA51" s="136"/>
      <c r="VB51" s="136"/>
      <c r="VC51" s="136"/>
      <c r="VD51" s="136"/>
      <c r="VE51" s="136"/>
      <c r="VF51" s="136"/>
      <c r="VG51" s="136"/>
      <c r="VH51" s="136"/>
      <c r="VI51" s="136"/>
      <c r="VJ51" s="136"/>
      <c r="VK51" s="136"/>
      <c r="VL51" s="136"/>
      <c r="VM51" s="136"/>
      <c r="VN51" s="136"/>
      <c r="VO51" s="136"/>
      <c r="VP51" s="136"/>
      <c r="VQ51" s="136"/>
      <c r="VR51" s="136"/>
      <c r="VS51" s="136"/>
      <c r="VT51" s="136"/>
      <c r="VU51" s="136"/>
      <c r="VV51" s="136"/>
      <c r="VW51" s="136"/>
      <c r="VX51" s="136"/>
      <c r="VY51" s="136"/>
      <c r="VZ51" s="136"/>
      <c r="WA51" s="136"/>
      <c r="WB51" s="136"/>
      <c r="WC51" s="136"/>
      <c r="WD51" s="136"/>
      <c r="WE51" s="136"/>
      <c r="WF51" s="136"/>
      <c r="WG51" s="136"/>
      <c r="WH51" s="136"/>
      <c r="WI51" s="136"/>
      <c r="WJ51" s="136"/>
      <c r="WK51" s="136"/>
      <c r="WL51" s="136"/>
      <c r="WM51" s="136"/>
      <c r="WN51" s="136"/>
      <c r="WO51" s="136"/>
      <c r="WP51" s="136"/>
      <c r="WQ51" s="136"/>
      <c r="WR51" s="136"/>
      <c r="WS51" s="136"/>
      <c r="WT51" s="136"/>
      <c r="WU51" s="136"/>
      <c r="WV51" s="136"/>
      <c r="WW51" s="136"/>
      <c r="WX51" s="136"/>
      <c r="WY51" s="136"/>
      <c r="WZ51" s="136"/>
      <c r="XA51" s="136"/>
      <c r="XB51" s="136"/>
      <c r="XC51" s="136"/>
      <c r="XD51" s="136"/>
      <c r="XE51" s="136"/>
      <c r="XF51" s="136"/>
      <c r="XG51" s="136"/>
      <c r="XH51" s="136"/>
      <c r="XI51" s="136"/>
      <c r="XJ51" s="136"/>
      <c r="XK51" s="136"/>
      <c r="XL51" s="136"/>
      <c r="XM51" s="136"/>
      <c r="XN51" s="136"/>
      <c r="XO51" s="136"/>
      <c r="XP51" s="136"/>
      <c r="XQ51" s="136"/>
      <c r="XR51" s="136"/>
      <c r="XS51" s="136"/>
      <c r="XT51" s="136"/>
      <c r="XU51" s="136"/>
      <c r="XV51" s="136"/>
      <c r="XW51" s="136"/>
      <c r="XX51" s="136"/>
      <c r="XY51" s="136"/>
      <c r="XZ51" s="136"/>
      <c r="YA51" s="136"/>
      <c r="YB51" s="136"/>
      <c r="YC51" s="136"/>
      <c r="YD51" s="136"/>
      <c r="YE51" s="136"/>
      <c r="YF51" s="136"/>
      <c r="YG51" s="136"/>
      <c r="YH51" s="136"/>
      <c r="YI51" s="136"/>
      <c r="YJ51" s="136"/>
      <c r="YK51" s="136"/>
      <c r="YL51" s="136"/>
      <c r="YM51" s="136"/>
      <c r="YN51" s="136"/>
      <c r="YO51" s="136"/>
      <c r="YP51" s="136"/>
      <c r="YQ51" s="136"/>
      <c r="YR51" s="136"/>
      <c r="YS51" s="136"/>
      <c r="YT51" s="136"/>
      <c r="YU51" s="136"/>
      <c r="YV51" s="136"/>
      <c r="YW51" s="136"/>
      <c r="YX51" s="136"/>
      <c r="YY51" s="136"/>
      <c r="YZ51" s="136"/>
      <c r="ZA51" s="136"/>
      <c r="ZB51" s="136"/>
      <c r="ZC51" s="136"/>
      <c r="ZD51" s="136"/>
      <c r="ZE51" s="136"/>
      <c r="ZF51" s="136"/>
      <c r="ZG51" s="136"/>
      <c r="ZH51" s="136"/>
      <c r="ZI51" s="136"/>
      <c r="ZJ51" s="136"/>
      <c r="ZK51" s="136"/>
      <c r="ZL51" s="136"/>
      <c r="ZM51" s="136"/>
      <c r="ZN51" s="136"/>
      <c r="ZO51" s="136"/>
      <c r="ZP51" s="136"/>
      <c r="ZQ51" s="136"/>
      <c r="ZR51" s="136"/>
      <c r="ZS51" s="136"/>
      <c r="ZT51" s="136"/>
      <c r="ZU51" s="136"/>
      <c r="ZV51" s="136"/>
      <c r="ZW51" s="136"/>
      <c r="ZX51" s="136"/>
      <c r="ZY51" s="136"/>
      <c r="ZZ51" s="136"/>
      <c r="AAA51" s="136"/>
      <c r="AAB51" s="136"/>
      <c r="AAC51" s="136"/>
      <c r="AAD51" s="136"/>
      <c r="AAE51" s="136"/>
      <c r="AAF51" s="136"/>
      <c r="AAG51" s="136"/>
      <c r="AAH51" s="136"/>
      <c r="AAI51" s="136"/>
      <c r="AAJ51" s="136"/>
      <c r="AAK51" s="136"/>
      <c r="AAL51" s="136"/>
      <c r="AAM51" s="136"/>
      <c r="AAN51" s="136"/>
      <c r="AAO51" s="136"/>
      <c r="AAP51" s="136"/>
      <c r="AAQ51" s="136"/>
      <c r="AAR51" s="136"/>
      <c r="AAS51" s="136"/>
      <c r="AAT51" s="136"/>
      <c r="AAU51" s="136"/>
      <c r="AAV51" s="136"/>
      <c r="AAW51" s="136"/>
      <c r="AAX51" s="136"/>
      <c r="AAY51" s="136"/>
      <c r="AAZ51" s="136"/>
      <c r="ABA51" s="136"/>
      <c r="ABB51" s="136"/>
      <c r="ABC51" s="136"/>
      <c r="ABD51" s="136"/>
      <c r="ABE51" s="136"/>
      <c r="ABF51" s="136"/>
      <c r="ABG51" s="136"/>
      <c r="ABH51" s="136"/>
      <c r="ABI51" s="136"/>
      <c r="ABJ51" s="136"/>
      <c r="ABK51" s="136"/>
      <c r="ABL51" s="136"/>
      <c r="ABM51" s="136"/>
      <c r="ABN51" s="136"/>
      <c r="ABO51" s="136"/>
      <c r="ABP51" s="136"/>
      <c r="ABQ51" s="136"/>
      <c r="ABR51" s="136"/>
      <c r="ABS51" s="136"/>
      <c r="ABT51" s="136"/>
      <c r="ABU51" s="136"/>
      <c r="ABV51" s="136"/>
      <c r="ABW51" s="136"/>
      <c r="ABX51" s="136"/>
      <c r="ABY51" s="136"/>
      <c r="ABZ51" s="136"/>
      <c r="ACA51" s="136"/>
      <c r="ACB51" s="136"/>
      <c r="ACC51" s="136"/>
      <c r="ACD51" s="136"/>
      <c r="ACE51" s="136"/>
      <c r="ACF51" s="136"/>
      <c r="ACG51" s="136"/>
      <c r="ACH51" s="136"/>
      <c r="ACI51" s="136"/>
      <c r="ACJ51" s="136"/>
      <c r="ACK51" s="136"/>
      <c r="ACL51" s="136"/>
      <c r="ACM51" s="136"/>
      <c r="ACN51" s="136"/>
      <c r="ACO51" s="136"/>
      <c r="ACP51" s="136"/>
      <c r="ACQ51" s="136"/>
      <c r="ACR51" s="136"/>
      <c r="ACS51" s="136"/>
      <c r="ACT51" s="136"/>
      <c r="ACU51" s="136"/>
      <c r="ACV51" s="136"/>
      <c r="ACW51" s="136"/>
      <c r="ACX51" s="136"/>
      <c r="ACY51" s="136"/>
      <c r="ACZ51" s="136"/>
      <c r="ADA51" s="136"/>
      <c r="ADB51" s="136"/>
      <c r="ADC51" s="136"/>
      <c r="ADD51" s="136"/>
      <c r="ADE51" s="136"/>
      <c r="ADF51" s="136"/>
      <c r="ADG51" s="136"/>
      <c r="ADH51" s="136"/>
      <c r="ADI51" s="136"/>
      <c r="ADJ51" s="136"/>
      <c r="ADK51" s="136"/>
      <c r="ADL51" s="136"/>
      <c r="ADM51" s="136"/>
      <c r="ADN51" s="136"/>
      <c r="ADO51" s="136"/>
      <c r="ADP51" s="136"/>
      <c r="ADQ51" s="136"/>
      <c r="ADR51" s="136"/>
      <c r="ADS51" s="136"/>
      <c r="ADT51" s="136"/>
      <c r="ADU51" s="136"/>
      <c r="ADV51" s="136"/>
      <c r="ADW51" s="136"/>
      <c r="ADX51" s="136"/>
      <c r="ADY51" s="136"/>
      <c r="ADZ51" s="136"/>
      <c r="AEA51" s="136"/>
      <c r="AEB51" s="136"/>
      <c r="AEC51" s="136"/>
      <c r="AED51" s="136"/>
      <c r="AEE51" s="136"/>
      <c r="AEF51" s="136"/>
      <c r="AEG51" s="136"/>
      <c r="AEH51" s="136"/>
      <c r="AEI51" s="136"/>
      <c r="AEJ51" s="136"/>
      <c r="AEK51" s="136"/>
      <c r="AEL51" s="136"/>
      <c r="AEM51" s="136"/>
      <c r="AEN51" s="136"/>
      <c r="AEO51" s="136"/>
      <c r="AEP51" s="136"/>
      <c r="AEQ51" s="136"/>
      <c r="AER51" s="136"/>
      <c r="AES51" s="136"/>
      <c r="AET51" s="136"/>
      <c r="AEU51" s="136"/>
      <c r="AEV51" s="136"/>
      <c r="AEW51" s="136"/>
      <c r="AEX51" s="136"/>
      <c r="AEY51" s="136"/>
      <c r="AEZ51" s="136"/>
      <c r="AFA51" s="136"/>
      <c r="AFB51" s="136"/>
      <c r="AFC51" s="136"/>
      <c r="AFD51" s="136"/>
      <c r="AFE51" s="136"/>
      <c r="AFF51" s="136"/>
      <c r="AFG51" s="136"/>
      <c r="AFH51" s="136"/>
      <c r="AFI51" s="136"/>
      <c r="AFJ51" s="136"/>
      <c r="AFK51" s="136"/>
      <c r="AFL51" s="136"/>
      <c r="AFM51" s="136"/>
      <c r="AFN51" s="136"/>
      <c r="AFO51" s="136"/>
      <c r="AFP51" s="136"/>
      <c r="AFQ51" s="136"/>
      <c r="AFR51" s="136"/>
      <c r="AFS51" s="136"/>
      <c r="AFT51" s="136"/>
      <c r="AFU51" s="136"/>
      <c r="AFV51" s="136"/>
      <c r="AFW51" s="136"/>
      <c r="AFX51" s="136"/>
      <c r="AFY51" s="136"/>
      <c r="AFZ51" s="136"/>
      <c r="AGA51" s="136"/>
      <c r="AGB51" s="136"/>
      <c r="AGC51" s="136"/>
      <c r="AGD51" s="136"/>
      <c r="AGE51" s="136"/>
      <c r="AGF51" s="136"/>
      <c r="AGG51" s="136"/>
      <c r="AGH51" s="136"/>
      <c r="AGI51" s="136"/>
      <c r="AGJ51" s="136"/>
      <c r="AGK51" s="136"/>
      <c r="AGL51" s="136"/>
      <c r="AGM51" s="136"/>
      <c r="AGN51" s="136"/>
      <c r="AGO51" s="136"/>
      <c r="AGP51" s="136"/>
      <c r="AGQ51" s="136"/>
      <c r="AGR51" s="136"/>
      <c r="AGS51" s="136"/>
      <c r="AGT51" s="136"/>
      <c r="AGU51" s="136"/>
      <c r="AGV51" s="136"/>
      <c r="AGW51" s="136"/>
      <c r="AGX51" s="136"/>
      <c r="AGY51" s="136"/>
      <c r="AGZ51" s="136"/>
      <c r="AHA51" s="136"/>
      <c r="AHB51" s="136"/>
      <c r="AHC51" s="136"/>
      <c r="AHD51" s="136"/>
      <c r="AHE51" s="136"/>
      <c r="AHF51" s="136"/>
      <c r="AHG51" s="136"/>
      <c r="AHH51" s="136"/>
      <c r="AHI51" s="136"/>
      <c r="AHJ51" s="136"/>
      <c r="AHK51" s="136"/>
      <c r="AHL51" s="136"/>
      <c r="AHM51" s="136"/>
      <c r="AHN51" s="136"/>
      <c r="AHO51" s="136"/>
      <c r="AHP51" s="136"/>
      <c r="AHQ51" s="136"/>
      <c r="AHR51" s="136"/>
      <c r="AHS51" s="136"/>
      <c r="AHT51" s="136"/>
      <c r="AHU51" s="136"/>
      <c r="AHV51" s="136"/>
      <c r="AHW51" s="136"/>
      <c r="AHX51" s="136"/>
      <c r="AHY51" s="136"/>
      <c r="AHZ51" s="136"/>
      <c r="AIA51" s="136"/>
      <c r="AIB51" s="136"/>
      <c r="AIC51" s="136"/>
      <c r="AID51" s="136"/>
      <c r="AIE51" s="136"/>
      <c r="AIF51" s="136"/>
      <c r="AIG51" s="136"/>
      <c r="AIH51" s="136"/>
      <c r="AII51" s="136"/>
      <c r="AIJ51" s="136"/>
      <c r="AIK51" s="136"/>
      <c r="AIL51" s="136"/>
      <c r="AIM51" s="136"/>
      <c r="AIN51" s="136"/>
      <c r="AIO51" s="136"/>
      <c r="AIP51" s="136"/>
      <c r="AIQ51" s="136"/>
      <c r="AIR51" s="136"/>
      <c r="AIS51" s="136"/>
      <c r="AIT51" s="136"/>
      <c r="AIU51" s="136"/>
      <c r="AIV51" s="136"/>
      <c r="AIW51" s="136"/>
      <c r="AIX51" s="136"/>
      <c r="AIY51" s="136"/>
      <c r="AIZ51" s="136"/>
      <c r="AJA51" s="136"/>
      <c r="AJB51" s="136"/>
      <c r="AJC51" s="136"/>
      <c r="AJD51" s="136"/>
      <c r="AJE51" s="136"/>
      <c r="AJF51" s="136"/>
      <c r="AJG51" s="136"/>
      <c r="AJH51" s="136"/>
      <c r="AJI51" s="136"/>
      <c r="AJJ51" s="136"/>
      <c r="AJK51" s="136"/>
      <c r="AJL51" s="136"/>
      <c r="AJM51" s="136"/>
      <c r="AJN51" s="136"/>
      <c r="AJO51" s="136"/>
      <c r="AJP51" s="136"/>
      <c r="AJQ51" s="136"/>
      <c r="AJR51" s="136"/>
      <c r="AJS51" s="136"/>
      <c r="AJT51" s="136"/>
      <c r="AJU51" s="136"/>
      <c r="AJV51" s="136"/>
      <c r="AJW51" s="136"/>
      <c r="AJX51" s="136"/>
      <c r="AJY51" s="136"/>
      <c r="AJZ51" s="136"/>
      <c r="AKA51" s="136"/>
      <c r="AKB51" s="136"/>
      <c r="AKC51" s="136"/>
      <c r="AKD51" s="136"/>
      <c r="AKE51" s="136"/>
      <c r="AKF51" s="136"/>
      <c r="AKG51" s="136"/>
      <c r="AKH51" s="136"/>
      <c r="AKI51" s="136"/>
      <c r="AKJ51" s="136"/>
      <c r="AKK51" s="136"/>
      <c r="AKL51" s="136"/>
      <c r="AKM51" s="136"/>
      <c r="AKN51" s="136"/>
      <c r="AKO51" s="136"/>
      <c r="AKP51" s="136"/>
      <c r="AKQ51" s="136"/>
      <c r="AKR51" s="136"/>
      <c r="AKS51" s="136"/>
      <c r="AKT51" s="136"/>
      <c r="AKU51" s="136"/>
      <c r="AKV51" s="136"/>
      <c r="AKW51" s="136"/>
      <c r="AKX51" s="136"/>
      <c r="AKY51" s="136"/>
      <c r="AKZ51" s="136"/>
      <c r="ALA51" s="136"/>
      <c r="ALB51" s="136"/>
      <c r="ALC51" s="136"/>
      <c r="ALD51" s="136"/>
      <c r="ALE51" s="136"/>
      <c r="ALF51" s="136"/>
      <c r="ALG51" s="136"/>
      <c r="ALH51" s="136"/>
      <c r="ALI51" s="136"/>
      <c r="ALJ51" s="136"/>
      <c r="ALK51" s="136"/>
      <c r="ALL51" s="136"/>
      <c r="ALM51" s="136"/>
      <c r="ALN51" s="136"/>
      <c r="ALO51" s="136"/>
      <c r="ALP51" s="136"/>
      <c r="ALQ51" s="136"/>
      <c r="ALR51" s="136"/>
      <c r="ALS51" s="136"/>
      <c r="ALT51" s="136"/>
      <c r="ALU51" s="136"/>
      <c r="ALV51" s="136"/>
      <c r="ALW51" s="136"/>
      <c r="ALX51" s="136"/>
      <c r="ALY51" s="136"/>
      <c r="ALZ51" s="136"/>
      <c r="AMA51" s="136"/>
      <c r="AMB51" s="136"/>
      <c r="AMC51" s="136"/>
      <c r="AMD51" s="136"/>
      <c r="AME51" s="136"/>
      <c r="AMF51" s="136"/>
      <c r="AMG51" s="136"/>
      <c r="AMH51" s="136"/>
      <c r="AMI51" s="136"/>
      <c r="AMJ51" s="136"/>
      <c r="AMK51" s="136"/>
      <c r="AML51" s="136"/>
      <c r="AMM51" s="136"/>
      <c r="AMN51" s="136"/>
      <c r="AMO51" s="136"/>
      <c r="AMP51" s="136"/>
      <c r="AMQ51" s="136"/>
      <c r="AMR51" s="136"/>
      <c r="AMS51" s="136"/>
      <c r="AMT51" s="136"/>
      <c r="AMU51" s="136"/>
      <c r="AMV51" s="136"/>
      <c r="AMW51" s="136"/>
      <c r="AMX51" s="136"/>
      <c r="AMY51" s="136"/>
      <c r="AMZ51" s="136"/>
      <c r="ANA51" s="136"/>
      <c r="ANB51" s="136"/>
      <c r="ANC51" s="136"/>
      <c r="AND51" s="136"/>
      <c r="ANE51" s="136"/>
      <c r="ANF51" s="136"/>
      <c r="ANG51" s="136"/>
      <c r="ANH51" s="136"/>
      <c r="ANI51" s="136"/>
      <c r="ANJ51" s="136"/>
      <c r="ANK51" s="136"/>
      <c r="ANL51" s="136"/>
      <c r="ANM51" s="136"/>
      <c r="ANN51" s="136"/>
      <c r="ANO51" s="136"/>
      <c r="ANP51" s="136"/>
      <c r="ANQ51" s="136"/>
      <c r="ANR51" s="136"/>
      <c r="ANS51" s="136"/>
      <c r="ANT51" s="136"/>
      <c r="ANU51" s="136"/>
      <c r="ANV51" s="136"/>
      <c r="ANW51" s="136"/>
      <c r="ANX51" s="136"/>
      <c r="ANY51" s="136"/>
      <c r="ANZ51" s="136"/>
      <c r="AOA51" s="136"/>
      <c r="AOB51" s="136"/>
      <c r="AOC51" s="136"/>
      <c r="AOD51" s="136"/>
      <c r="AOE51" s="136"/>
      <c r="AOF51" s="136"/>
      <c r="AOG51" s="136"/>
      <c r="AOH51" s="136"/>
      <c r="AOI51" s="136"/>
      <c r="AOJ51" s="136"/>
      <c r="AOK51" s="136"/>
      <c r="AOL51" s="136"/>
      <c r="AOM51" s="136"/>
      <c r="AON51" s="136"/>
      <c r="AOO51" s="136"/>
      <c r="AOP51" s="136"/>
      <c r="AOQ51" s="136"/>
      <c r="AOR51" s="136"/>
      <c r="AOS51" s="136"/>
      <c r="AOT51" s="136"/>
      <c r="AOU51" s="136"/>
      <c r="AOV51" s="136"/>
      <c r="AOW51" s="136"/>
      <c r="AOX51" s="136"/>
      <c r="AOY51" s="136"/>
      <c r="AOZ51" s="136"/>
      <c r="APA51" s="136"/>
      <c r="APB51" s="136"/>
      <c r="APC51" s="136"/>
      <c r="APD51" s="136"/>
      <c r="APE51" s="136"/>
      <c r="APF51" s="136"/>
      <c r="APG51" s="136"/>
      <c r="APH51" s="136"/>
      <c r="API51" s="136"/>
      <c r="APJ51" s="136"/>
      <c r="APK51" s="136"/>
      <c r="APL51" s="136"/>
      <c r="APM51" s="136"/>
      <c r="APN51" s="136"/>
      <c r="APO51" s="136"/>
      <c r="APP51" s="136"/>
      <c r="APQ51" s="136"/>
      <c r="APR51" s="136"/>
      <c r="APS51" s="136"/>
      <c r="APT51" s="136"/>
      <c r="APU51" s="136"/>
      <c r="APV51" s="136"/>
      <c r="APW51" s="136"/>
      <c r="APX51" s="136"/>
      <c r="APY51" s="136"/>
      <c r="APZ51" s="136"/>
      <c r="AQA51" s="136"/>
      <c r="AQB51" s="136"/>
      <c r="AQC51" s="136"/>
      <c r="AQD51" s="136"/>
      <c r="AQE51" s="136"/>
      <c r="AQF51" s="136"/>
      <c r="AQG51" s="136"/>
      <c r="AQH51" s="136"/>
      <c r="AQI51" s="136"/>
      <c r="AQJ51" s="136"/>
      <c r="AQK51" s="136"/>
      <c r="AQL51" s="136"/>
      <c r="AQM51" s="136"/>
      <c r="AQN51" s="136"/>
      <c r="AQO51" s="136"/>
      <c r="AQP51" s="136"/>
      <c r="AQQ51" s="136"/>
      <c r="AQR51" s="136"/>
      <c r="AQS51" s="136"/>
      <c r="AQT51" s="136"/>
      <c r="AQU51" s="136"/>
      <c r="AQV51" s="136"/>
      <c r="AQW51" s="136"/>
      <c r="AQX51" s="136"/>
      <c r="AQY51" s="136"/>
      <c r="AQZ51" s="136"/>
      <c r="ARA51" s="136"/>
      <c r="ARB51" s="136"/>
      <c r="ARC51" s="136"/>
      <c r="ARD51" s="136"/>
      <c r="ARE51" s="136"/>
      <c r="ARF51" s="136"/>
      <c r="ARG51" s="136"/>
      <c r="ARH51" s="136"/>
      <c r="ARI51" s="136"/>
      <c r="ARJ51" s="136"/>
      <c r="ARK51" s="136"/>
      <c r="ARL51" s="136"/>
      <c r="ARM51" s="136"/>
      <c r="ARN51" s="136"/>
      <c r="ARO51" s="136"/>
      <c r="ARP51" s="136"/>
      <c r="ARQ51" s="136"/>
      <c r="ARR51" s="136"/>
      <c r="ARS51" s="136"/>
      <c r="ART51" s="136"/>
      <c r="ARU51" s="136"/>
      <c r="ARV51" s="136"/>
      <c r="ARW51" s="136"/>
      <c r="ARX51" s="136"/>
      <c r="ARY51" s="136"/>
      <c r="ARZ51" s="136"/>
      <c r="ASA51" s="136"/>
      <c r="ASB51" s="136"/>
      <c r="ASC51" s="136"/>
      <c r="ASD51" s="136"/>
      <c r="ASE51" s="136"/>
      <c r="ASF51" s="136"/>
      <c r="ASG51" s="136"/>
      <c r="ASH51" s="136"/>
      <c r="ASI51" s="136"/>
      <c r="ASJ51" s="136"/>
      <c r="ASK51" s="136"/>
      <c r="ASL51" s="136"/>
      <c r="ASM51" s="136"/>
      <c r="ASN51" s="136"/>
      <c r="ASO51" s="136"/>
      <c r="ASP51" s="136"/>
      <c r="ASQ51" s="136"/>
      <c r="ASR51" s="136"/>
      <c r="ASS51" s="136"/>
      <c r="AST51" s="136"/>
      <c r="ASU51" s="136"/>
      <c r="ASV51" s="136"/>
      <c r="ASW51" s="136"/>
      <c r="ASX51" s="136"/>
      <c r="ASY51" s="136"/>
      <c r="ASZ51" s="136"/>
      <c r="ATA51" s="136"/>
      <c r="ATB51" s="136"/>
      <c r="ATC51" s="136"/>
      <c r="ATD51" s="136"/>
      <c r="ATE51" s="136"/>
      <c r="ATF51" s="136"/>
      <c r="ATG51" s="136"/>
      <c r="ATH51" s="136"/>
      <c r="ATI51" s="136"/>
      <c r="ATJ51" s="136"/>
      <c r="ATK51" s="136"/>
      <c r="ATL51" s="136"/>
      <c r="ATM51" s="136"/>
      <c r="ATN51" s="136"/>
      <c r="ATO51" s="136"/>
      <c r="ATP51" s="136"/>
      <c r="ATQ51" s="136"/>
      <c r="ATR51" s="136"/>
      <c r="ATS51" s="136"/>
      <c r="ATT51" s="136"/>
      <c r="ATU51" s="136"/>
      <c r="ATV51" s="136"/>
      <c r="ATW51" s="136"/>
      <c r="ATX51" s="136"/>
      <c r="ATY51" s="136"/>
      <c r="ATZ51" s="136"/>
      <c r="AUA51" s="136"/>
      <c r="AUB51" s="136"/>
      <c r="AUC51" s="136"/>
      <c r="AUD51" s="136"/>
      <c r="AUE51" s="136"/>
      <c r="AUF51" s="136"/>
      <c r="AUG51" s="136"/>
      <c r="AUH51" s="136"/>
      <c r="AUI51" s="136"/>
      <c r="AUJ51" s="136"/>
      <c r="AUK51" s="136"/>
      <c r="AUL51" s="136"/>
      <c r="AUM51" s="136"/>
      <c r="AUN51" s="136"/>
      <c r="AUO51" s="136"/>
      <c r="AUP51" s="136"/>
      <c r="AUQ51" s="136"/>
      <c r="AUR51" s="136"/>
      <c r="AUS51" s="136"/>
      <c r="AUT51" s="136"/>
      <c r="AUU51" s="136"/>
      <c r="AUV51" s="136"/>
      <c r="AUW51" s="136"/>
      <c r="AUX51" s="136"/>
      <c r="AUY51" s="136"/>
      <c r="AUZ51" s="136"/>
      <c r="AVA51" s="136"/>
      <c r="AVB51" s="136"/>
      <c r="AVC51" s="136"/>
      <c r="AVD51" s="136"/>
      <c r="AVE51" s="136"/>
      <c r="AVF51" s="136"/>
      <c r="AVG51" s="136"/>
      <c r="AVH51" s="136"/>
      <c r="AVI51" s="136"/>
      <c r="AVJ51" s="136"/>
      <c r="AVK51" s="136"/>
      <c r="AVL51" s="136"/>
      <c r="AVM51" s="136"/>
      <c r="AVN51" s="136"/>
      <c r="AVO51" s="136"/>
      <c r="AVP51" s="136"/>
      <c r="AVQ51" s="136"/>
      <c r="AVR51" s="136"/>
      <c r="AVS51" s="136"/>
      <c r="AVT51" s="136"/>
      <c r="AVU51" s="136"/>
      <c r="AVV51" s="136"/>
      <c r="AVW51" s="136"/>
      <c r="AVX51" s="136"/>
      <c r="AVY51" s="136"/>
      <c r="AVZ51" s="136"/>
      <c r="AWA51" s="136"/>
      <c r="AWB51" s="136"/>
      <c r="AWC51" s="136"/>
      <c r="AWD51" s="136"/>
      <c r="AWE51" s="136"/>
      <c r="AWF51" s="136"/>
      <c r="AWG51" s="136"/>
      <c r="AWH51" s="136"/>
      <c r="AWI51" s="136"/>
      <c r="AWJ51" s="136"/>
      <c r="AWK51" s="136"/>
      <c r="AWL51" s="136"/>
      <c r="AWM51" s="136"/>
      <c r="AWN51" s="136"/>
      <c r="AWO51" s="136"/>
      <c r="AWP51" s="136"/>
      <c r="AWQ51" s="136"/>
      <c r="AWR51" s="136"/>
      <c r="AWS51" s="136"/>
      <c r="AWT51" s="136"/>
      <c r="AWU51" s="136"/>
      <c r="AWV51" s="136"/>
      <c r="AWW51" s="136"/>
      <c r="AWX51" s="136"/>
      <c r="AWY51" s="136"/>
      <c r="AWZ51" s="136"/>
      <c r="AXA51" s="136"/>
      <c r="AXB51" s="136"/>
      <c r="AXC51" s="136"/>
      <c r="AXD51" s="136"/>
      <c r="AXE51" s="136"/>
      <c r="AXF51" s="136"/>
      <c r="AXG51" s="136"/>
      <c r="AXH51" s="136"/>
      <c r="AXI51" s="136"/>
      <c r="AXJ51" s="136"/>
      <c r="AXK51" s="136"/>
      <c r="AXL51" s="136"/>
      <c r="AXM51" s="136"/>
      <c r="AXN51" s="136"/>
      <c r="AXO51" s="136"/>
      <c r="AXP51" s="136"/>
      <c r="AXQ51" s="136"/>
      <c r="AXR51" s="136"/>
      <c r="AXS51" s="136"/>
      <c r="AXT51" s="136"/>
      <c r="AXU51" s="136"/>
      <c r="AXV51" s="136"/>
      <c r="AXW51" s="136"/>
      <c r="AXX51" s="136"/>
      <c r="AXY51" s="136"/>
      <c r="AXZ51" s="136"/>
      <c r="AYA51" s="136"/>
      <c r="AYB51" s="136"/>
      <c r="AYC51" s="136"/>
      <c r="AYD51" s="136"/>
      <c r="AYE51" s="136"/>
      <c r="AYF51" s="136"/>
      <c r="AYG51" s="136"/>
      <c r="AYH51" s="136"/>
      <c r="AYI51" s="136"/>
      <c r="AYJ51" s="136"/>
      <c r="AYK51" s="136"/>
      <c r="AYL51" s="136"/>
      <c r="AYM51" s="136"/>
      <c r="AYN51" s="136"/>
      <c r="AYO51" s="136"/>
      <c r="AYP51" s="136"/>
      <c r="AYQ51" s="136"/>
      <c r="AYR51" s="136"/>
      <c r="AYS51" s="136"/>
      <c r="AYT51" s="136"/>
      <c r="AYU51" s="136"/>
      <c r="AYV51" s="136"/>
      <c r="AYW51" s="136"/>
      <c r="AYX51" s="136"/>
      <c r="AYY51" s="136"/>
      <c r="AYZ51" s="136"/>
      <c r="AZA51" s="136"/>
      <c r="AZB51" s="136"/>
      <c r="AZC51" s="136"/>
      <c r="AZD51" s="136"/>
      <c r="AZE51" s="136"/>
      <c r="AZF51" s="136"/>
      <c r="AZG51" s="136"/>
      <c r="AZH51" s="136"/>
      <c r="AZI51" s="136"/>
      <c r="AZJ51" s="136"/>
      <c r="AZK51" s="136"/>
      <c r="AZL51" s="136"/>
      <c r="AZM51" s="136"/>
      <c r="AZN51" s="136"/>
      <c r="AZO51" s="136"/>
      <c r="AZP51" s="136"/>
      <c r="AZQ51" s="136"/>
      <c r="AZR51" s="136"/>
      <c r="AZS51" s="136"/>
      <c r="AZT51" s="136"/>
      <c r="AZU51" s="136"/>
      <c r="AZV51" s="136"/>
      <c r="AZW51" s="136"/>
      <c r="AZX51" s="136"/>
      <c r="AZY51" s="136"/>
      <c r="AZZ51" s="136"/>
      <c r="BAA51" s="136"/>
      <c r="BAB51" s="136"/>
      <c r="BAC51" s="136"/>
      <c r="BAD51" s="136"/>
      <c r="BAE51" s="136"/>
      <c r="BAF51" s="136"/>
      <c r="BAG51" s="136"/>
      <c r="BAH51" s="136"/>
      <c r="BAI51" s="136"/>
      <c r="BAJ51" s="136"/>
      <c r="BAK51" s="136"/>
      <c r="BAL51" s="136"/>
      <c r="BAM51" s="136"/>
      <c r="BAN51" s="136"/>
      <c r="BAO51" s="136"/>
      <c r="BAP51" s="136"/>
      <c r="BAQ51" s="136"/>
      <c r="BAR51" s="136"/>
      <c r="BAS51" s="136"/>
      <c r="BAT51" s="136"/>
      <c r="BAU51" s="136"/>
      <c r="BAV51" s="136"/>
      <c r="BAW51" s="136"/>
      <c r="BAX51" s="136"/>
      <c r="BAY51" s="136"/>
      <c r="BAZ51" s="136"/>
      <c r="BBA51" s="136"/>
      <c r="BBB51" s="136"/>
      <c r="BBC51" s="136"/>
      <c r="BBD51" s="136"/>
      <c r="BBE51" s="136"/>
      <c r="BBF51" s="136"/>
      <c r="BBG51" s="136"/>
      <c r="BBH51" s="136"/>
      <c r="BBI51" s="136"/>
      <c r="BBJ51" s="136"/>
      <c r="BBK51" s="136"/>
      <c r="BBL51" s="136"/>
      <c r="BBM51" s="136"/>
      <c r="BBN51" s="136"/>
      <c r="BBO51" s="136"/>
      <c r="BBP51" s="136"/>
      <c r="BBQ51" s="136"/>
      <c r="BBR51" s="136"/>
      <c r="BBS51" s="136"/>
      <c r="BBT51" s="136"/>
      <c r="BBU51" s="136"/>
      <c r="BBV51" s="136"/>
      <c r="BBW51" s="136"/>
      <c r="BBX51" s="136"/>
      <c r="BBY51" s="136"/>
      <c r="BBZ51" s="136"/>
      <c r="BCA51" s="136"/>
      <c r="BCB51" s="136"/>
      <c r="BCC51" s="136"/>
      <c r="BCD51" s="136"/>
      <c r="BCE51" s="136"/>
      <c r="BCF51" s="136"/>
      <c r="BCG51" s="136"/>
      <c r="BCH51" s="136"/>
      <c r="BCI51" s="136"/>
      <c r="BCJ51" s="136"/>
      <c r="BCK51" s="136"/>
      <c r="BCL51" s="136"/>
      <c r="BCM51" s="136"/>
      <c r="BCN51" s="136"/>
      <c r="BCO51" s="136"/>
      <c r="BCP51" s="136"/>
      <c r="BCQ51" s="136"/>
      <c r="BCR51" s="136"/>
      <c r="BCS51" s="136"/>
      <c r="BCT51" s="136"/>
      <c r="BCU51" s="136"/>
      <c r="BCV51" s="136"/>
      <c r="BCW51" s="136"/>
      <c r="BCX51" s="136"/>
      <c r="BCY51" s="136"/>
      <c r="BCZ51" s="136"/>
      <c r="BDA51" s="136"/>
      <c r="BDB51" s="136"/>
      <c r="BDC51" s="136"/>
      <c r="BDD51" s="136"/>
      <c r="BDE51" s="136"/>
      <c r="BDF51" s="136"/>
      <c r="BDG51" s="136"/>
      <c r="BDH51" s="136"/>
      <c r="BDI51" s="136"/>
      <c r="BDJ51" s="136"/>
      <c r="BDK51" s="136"/>
      <c r="BDL51" s="136"/>
      <c r="BDM51" s="136"/>
      <c r="BDN51" s="136"/>
      <c r="BDO51" s="136"/>
      <c r="BDP51" s="136"/>
      <c r="BDQ51" s="136"/>
      <c r="BDR51" s="136"/>
      <c r="BDS51" s="136"/>
      <c r="BDT51" s="136"/>
      <c r="BDU51" s="136"/>
      <c r="BDV51" s="136"/>
      <c r="BDW51" s="136"/>
      <c r="BDX51" s="136"/>
      <c r="BDY51" s="136"/>
      <c r="BDZ51" s="136"/>
      <c r="BEA51" s="136"/>
      <c r="BEB51" s="136"/>
      <c r="BEC51" s="136"/>
      <c r="BED51" s="136"/>
      <c r="BEE51" s="136"/>
      <c r="BEF51" s="136"/>
      <c r="BEG51" s="136"/>
      <c r="BEH51" s="136"/>
      <c r="BEI51" s="136"/>
      <c r="BEJ51" s="136"/>
      <c r="BEK51" s="136"/>
      <c r="BEL51" s="136"/>
      <c r="BEM51" s="136"/>
      <c r="BEN51" s="136"/>
      <c r="BEO51" s="136"/>
      <c r="BEP51" s="136"/>
      <c r="BEQ51" s="136"/>
      <c r="BER51" s="136"/>
      <c r="BES51" s="136"/>
      <c r="BET51" s="136"/>
      <c r="BEU51" s="136"/>
      <c r="BEV51" s="136"/>
      <c r="BEW51" s="136"/>
      <c r="BEX51" s="136"/>
      <c r="BEY51" s="136"/>
      <c r="BEZ51" s="136"/>
      <c r="BFA51" s="136"/>
      <c r="BFB51" s="136"/>
      <c r="BFC51" s="136"/>
      <c r="BFD51" s="136"/>
      <c r="BFE51" s="136"/>
      <c r="BFF51" s="136"/>
      <c r="BFG51" s="136"/>
      <c r="BFH51" s="136"/>
      <c r="BFI51" s="136"/>
      <c r="BFJ51" s="136"/>
      <c r="BFK51" s="136"/>
      <c r="BFL51" s="136"/>
      <c r="BFM51" s="136"/>
      <c r="BFN51" s="136"/>
      <c r="BFO51" s="136"/>
      <c r="BFP51" s="136"/>
      <c r="BFQ51" s="136"/>
      <c r="BFR51" s="136"/>
      <c r="BFS51" s="136"/>
      <c r="BFT51" s="136"/>
      <c r="BFU51" s="136"/>
      <c r="BFV51" s="136"/>
      <c r="BFW51" s="136"/>
      <c r="BFX51" s="136"/>
      <c r="BFY51" s="136"/>
      <c r="BFZ51" s="136"/>
      <c r="BGA51" s="136"/>
      <c r="BGB51" s="136"/>
      <c r="BGC51" s="136"/>
      <c r="BGD51" s="136"/>
      <c r="BGE51" s="136"/>
      <c r="BGF51" s="136"/>
      <c r="BGG51" s="136"/>
      <c r="BGH51" s="136"/>
      <c r="BGI51" s="136"/>
      <c r="BGJ51" s="136"/>
      <c r="BGK51" s="136"/>
      <c r="BGL51" s="136"/>
      <c r="BGM51" s="136"/>
      <c r="BGN51" s="136"/>
      <c r="BGO51" s="136"/>
      <c r="BGP51" s="136"/>
      <c r="BGQ51" s="136"/>
      <c r="BGR51" s="136"/>
      <c r="BGS51" s="136"/>
      <c r="BGT51" s="136"/>
      <c r="BGU51" s="136"/>
      <c r="BGV51" s="136"/>
      <c r="BGW51" s="136"/>
      <c r="BGX51" s="136"/>
      <c r="BGY51" s="136"/>
      <c r="BGZ51" s="136"/>
      <c r="BHA51" s="136"/>
      <c r="BHB51" s="136"/>
      <c r="BHC51" s="136"/>
      <c r="BHD51" s="136"/>
      <c r="BHE51" s="136"/>
      <c r="BHF51" s="136"/>
      <c r="BHG51" s="136"/>
      <c r="BHH51" s="136"/>
      <c r="BHI51" s="136"/>
      <c r="BHJ51" s="136"/>
      <c r="BHK51" s="136"/>
      <c r="BHL51" s="136"/>
      <c r="BHM51" s="136"/>
      <c r="BHN51" s="136"/>
      <c r="BHO51" s="136"/>
      <c r="BHP51" s="136"/>
      <c r="BHQ51" s="136"/>
      <c r="BHR51" s="136"/>
      <c r="BHS51" s="136"/>
      <c r="BHT51" s="136"/>
      <c r="BHU51" s="136"/>
      <c r="BHV51" s="136"/>
      <c r="BHW51" s="136"/>
      <c r="BHX51" s="136"/>
      <c r="BHY51" s="136"/>
      <c r="BHZ51" s="136"/>
      <c r="BIA51" s="136"/>
      <c r="BIB51" s="136"/>
      <c r="BIC51" s="136"/>
      <c r="BID51" s="136"/>
      <c r="BIE51" s="136"/>
      <c r="BIF51" s="136"/>
      <c r="BIG51" s="136"/>
      <c r="BIH51" s="136"/>
      <c r="BII51" s="136"/>
      <c r="BIJ51" s="136"/>
      <c r="BIK51" s="136"/>
      <c r="BIL51" s="136"/>
      <c r="BIM51" s="136"/>
      <c r="BIN51" s="136"/>
      <c r="BIO51" s="136"/>
      <c r="BIP51" s="136"/>
      <c r="BIQ51" s="136"/>
      <c r="BIR51" s="136"/>
      <c r="BIS51" s="136"/>
      <c r="BIT51" s="136"/>
      <c r="BIU51" s="136"/>
      <c r="BIV51" s="136"/>
      <c r="BIW51" s="136"/>
      <c r="BIX51" s="136"/>
      <c r="BIY51" s="136"/>
      <c r="BIZ51" s="136"/>
      <c r="BJA51" s="136"/>
      <c r="BJB51" s="136"/>
      <c r="BJC51" s="136"/>
      <c r="BJD51" s="136"/>
      <c r="BJE51" s="136"/>
      <c r="BJF51" s="136"/>
      <c r="BJG51" s="136"/>
      <c r="BJH51" s="136"/>
      <c r="BJI51" s="136"/>
      <c r="BJJ51" s="136"/>
      <c r="BJK51" s="136"/>
      <c r="BJL51" s="136"/>
      <c r="BJM51" s="136"/>
      <c r="BJN51" s="136"/>
      <c r="BJO51" s="136"/>
      <c r="BJP51" s="136"/>
      <c r="BJQ51" s="136"/>
      <c r="BJR51" s="136"/>
      <c r="BJS51" s="136"/>
      <c r="BJT51" s="136"/>
      <c r="BJU51" s="136"/>
      <c r="BJV51" s="136"/>
      <c r="BJW51" s="136"/>
      <c r="BJX51" s="136"/>
      <c r="BJY51" s="136"/>
      <c r="BJZ51" s="136"/>
      <c r="BKA51" s="136"/>
      <c r="BKB51" s="136"/>
      <c r="BKC51" s="136"/>
      <c r="BKD51" s="136"/>
      <c r="BKE51" s="136"/>
      <c r="BKF51" s="136"/>
      <c r="BKG51" s="136"/>
      <c r="BKH51" s="136"/>
      <c r="BKI51" s="136"/>
      <c r="BKJ51" s="136"/>
      <c r="BKK51" s="136"/>
      <c r="BKL51" s="136"/>
      <c r="BKM51" s="136"/>
      <c r="BKN51" s="136"/>
      <c r="BKO51" s="136"/>
      <c r="BKP51" s="136"/>
      <c r="BKQ51" s="136"/>
      <c r="BKR51" s="136"/>
      <c r="BKS51" s="136"/>
      <c r="BKT51" s="136"/>
      <c r="BKU51" s="136"/>
      <c r="BKV51" s="136"/>
      <c r="BKW51" s="136"/>
      <c r="BKX51" s="136"/>
      <c r="BKY51" s="136"/>
      <c r="BKZ51" s="136"/>
      <c r="BLA51" s="136"/>
      <c r="BLB51" s="136"/>
      <c r="BLC51" s="136"/>
      <c r="BLD51" s="136"/>
      <c r="BLE51" s="136"/>
      <c r="BLF51" s="136"/>
      <c r="BLG51" s="136"/>
      <c r="BLH51" s="136"/>
      <c r="BLI51" s="136"/>
      <c r="BLJ51" s="136"/>
      <c r="BLK51" s="136"/>
      <c r="BLL51" s="136"/>
      <c r="BLM51" s="136"/>
      <c r="BLN51" s="136"/>
      <c r="BLO51" s="136"/>
      <c r="BLP51" s="136"/>
      <c r="BLQ51" s="136"/>
      <c r="BLR51" s="136"/>
      <c r="BLS51" s="136"/>
      <c r="BLT51" s="136"/>
      <c r="BLU51" s="136"/>
      <c r="BLV51" s="136"/>
      <c r="BLW51" s="136"/>
      <c r="BLX51" s="136"/>
      <c r="BLY51" s="136"/>
      <c r="BLZ51" s="136"/>
      <c r="BMA51" s="136"/>
      <c r="BMB51" s="136"/>
      <c r="BMC51" s="136"/>
      <c r="BMD51" s="136"/>
      <c r="BME51" s="136"/>
      <c r="BMF51" s="136"/>
      <c r="BMG51" s="136"/>
      <c r="BMH51" s="136"/>
      <c r="BMI51" s="136"/>
      <c r="BMJ51" s="136"/>
      <c r="BMK51" s="136"/>
      <c r="BML51" s="136"/>
      <c r="BMM51" s="136"/>
      <c r="BMN51" s="136"/>
      <c r="BMO51" s="136"/>
      <c r="BMP51" s="136"/>
      <c r="BMQ51" s="136"/>
      <c r="BMR51" s="136"/>
      <c r="BMS51" s="136"/>
      <c r="BMT51" s="136"/>
      <c r="BMU51" s="136"/>
      <c r="BMV51" s="136"/>
      <c r="BMW51" s="136"/>
      <c r="BMX51" s="136"/>
      <c r="BMY51" s="136"/>
      <c r="BMZ51" s="136"/>
      <c r="BNA51" s="136"/>
      <c r="BNB51" s="136"/>
      <c r="BNC51" s="136"/>
      <c r="BND51" s="136"/>
      <c r="BNE51" s="136"/>
      <c r="BNF51" s="136"/>
      <c r="BNG51" s="136"/>
      <c r="BNH51" s="136"/>
      <c r="BNI51" s="136"/>
      <c r="BNJ51" s="136"/>
      <c r="BNK51" s="136"/>
      <c r="BNL51" s="136"/>
      <c r="BNM51" s="136"/>
      <c r="BNN51" s="136"/>
      <c r="BNO51" s="136"/>
      <c r="BNP51" s="136"/>
      <c r="BNQ51" s="136"/>
      <c r="BNR51" s="136"/>
      <c r="BNS51" s="136"/>
      <c r="BNT51" s="136"/>
      <c r="BNU51" s="136"/>
      <c r="BNV51" s="136"/>
      <c r="BNW51" s="136"/>
      <c r="BNX51" s="136"/>
      <c r="BNY51" s="136"/>
      <c r="BNZ51" s="136"/>
      <c r="BOA51" s="136"/>
      <c r="BOB51" s="136"/>
      <c r="BOC51" s="136"/>
      <c r="BOD51" s="136"/>
      <c r="BOE51" s="136"/>
      <c r="BOF51" s="136"/>
      <c r="BOG51" s="136"/>
      <c r="BOH51" s="136"/>
      <c r="BOI51" s="136"/>
      <c r="BOJ51" s="136"/>
      <c r="BOK51" s="136"/>
      <c r="BOL51" s="136"/>
      <c r="BOM51" s="136"/>
      <c r="BON51" s="136"/>
      <c r="BOO51" s="136"/>
      <c r="BOP51" s="136"/>
      <c r="BOQ51" s="136"/>
      <c r="BOR51" s="136"/>
      <c r="BOS51" s="136"/>
      <c r="BOT51" s="136"/>
      <c r="BOU51" s="136"/>
      <c r="BOV51" s="136"/>
      <c r="BOW51" s="136"/>
      <c r="BOX51" s="136"/>
      <c r="BOY51" s="136"/>
      <c r="BOZ51" s="136"/>
      <c r="BPA51" s="136"/>
      <c r="BPB51" s="136"/>
      <c r="BPC51" s="136"/>
      <c r="BPD51" s="136"/>
      <c r="BPE51" s="136"/>
      <c r="BPF51" s="136"/>
      <c r="BPG51" s="136"/>
      <c r="BPH51" s="136"/>
      <c r="BPI51" s="136"/>
      <c r="BPJ51" s="136"/>
      <c r="BPK51" s="136"/>
      <c r="BPL51" s="136"/>
      <c r="BPM51" s="136"/>
      <c r="BPN51" s="136"/>
      <c r="BPO51" s="136"/>
      <c r="BPP51" s="136"/>
      <c r="BPQ51" s="136"/>
      <c r="BPR51" s="136"/>
      <c r="BPS51" s="136"/>
      <c r="BPT51" s="136"/>
      <c r="BPU51" s="136"/>
      <c r="BPV51" s="136"/>
      <c r="BPW51" s="136"/>
      <c r="BPX51" s="136"/>
      <c r="BPY51" s="136"/>
      <c r="BPZ51" s="136"/>
      <c r="BQA51" s="136"/>
      <c r="BQB51" s="136"/>
      <c r="BQC51" s="136"/>
      <c r="BQD51" s="136"/>
      <c r="BQE51" s="136"/>
      <c r="BQF51" s="136"/>
      <c r="BQG51" s="136"/>
      <c r="BQH51" s="136"/>
      <c r="BQI51" s="136"/>
      <c r="BQJ51" s="136"/>
      <c r="BQK51" s="136"/>
      <c r="BQL51" s="136"/>
      <c r="BQM51" s="136"/>
      <c r="BQN51" s="136"/>
      <c r="BQO51" s="136"/>
      <c r="BQP51" s="136"/>
      <c r="BQQ51" s="136"/>
      <c r="BQR51" s="136"/>
      <c r="BQS51" s="136"/>
      <c r="BQT51" s="136"/>
      <c r="BQU51" s="136"/>
      <c r="BQV51" s="136"/>
      <c r="BQW51" s="136"/>
      <c r="BQX51" s="136"/>
      <c r="BQY51" s="136"/>
      <c r="BQZ51" s="136"/>
      <c r="BRA51" s="136"/>
      <c r="BRB51" s="136"/>
      <c r="BRC51" s="136"/>
      <c r="BRD51" s="136"/>
      <c r="BRE51" s="136"/>
      <c r="BRF51" s="136"/>
      <c r="BRG51" s="136"/>
      <c r="BRH51" s="136"/>
      <c r="BRI51" s="136"/>
      <c r="BRJ51" s="136"/>
      <c r="BRK51" s="136"/>
      <c r="BRL51" s="136"/>
      <c r="BRM51" s="136"/>
      <c r="BRN51" s="136"/>
      <c r="BRO51" s="136"/>
      <c r="BRP51" s="136"/>
      <c r="BRQ51" s="136"/>
      <c r="BRR51" s="136"/>
      <c r="BRS51" s="136"/>
      <c r="BRT51" s="136"/>
      <c r="BRU51" s="136"/>
      <c r="BRV51" s="136"/>
      <c r="BRW51" s="136"/>
      <c r="BRX51" s="136"/>
      <c r="BRY51" s="136"/>
      <c r="BRZ51" s="136"/>
      <c r="BSA51" s="136"/>
      <c r="BSB51" s="136"/>
      <c r="BSC51" s="136"/>
      <c r="BSD51" s="136"/>
      <c r="BSE51" s="136"/>
      <c r="BSF51" s="136"/>
      <c r="BSG51" s="136"/>
      <c r="BSH51" s="136"/>
      <c r="BSI51" s="136"/>
      <c r="BSJ51" s="136"/>
      <c r="BSK51" s="136"/>
      <c r="BSL51" s="136"/>
      <c r="BSM51" s="136"/>
      <c r="BSN51" s="136"/>
      <c r="BSO51" s="136"/>
      <c r="BSP51" s="136"/>
      <c r="BSQ51" s="136"/>
      <c r="BSR51" s="136"/>
      <c r="BSS51" s="136"/>
      <c r="BST51" s="136"/>
      <c r="BSU51" s="136"/>
      <c r="BSV51" s="136"/>
      <c r="BSW51" s="136"/>
      <c r="BSX51" s="136"/>
      <c r="BSY51" s="136"/>
      <c r="BSZ51" s="136"/>
      <c r="BTA51" s="136"/>
      <c r="BTB51" s="136"/>
      <c r="BTC51" s="136"/>
      <c r="BTD51" s="136"/>
      <c r="BTE51" s="136"/>
      <c r="BTF51" s="136"/>
      <c r="BTG51" s="136"/>
      <c r="BTH51" s="136"/>
      <c r="BTI51" s="136"/>
      <c r="BTJ51" s="136"/>
      <c r="BTK51" s="136"/>
      <c r="BTL51" s="136"/>
      <c r="BTM51" s="136"/>
      <c r="BTN51" s="136"/>
      <c r="BTO51" s="136"/>
      <c r="BTP51" s="136"/>
      <c r="BTQ51" s="136"/>
      <c r="BTR51" s="136"/>
      <c r="BTS51" s="136"/>
      <c r="BTT51" s="136"/>
      <c r="BTU51" s="136"/>
      <c r="BTV51" s="136"/>
      <c r="BTW51" s="136"/>
      <c r="BTX51" s="136"/>
      <c r="BTY51" s="136"/>
      <c r="BTZ51" s="136"/>
      <c r="BUA51" s="136"/>
      <c r="BUB51" s="136"/>
      <c r="BUC51" s="136"/>
      <c r="BUD51" s="136"/>
      <c r="BUE51" s="136"/>
      <c r="BUF51" s="136"/>
      <c r="BUG51" s="136"/>
      <c r="BUH51" s="136"/>
      <c r="BUI51" s="136"/>
      <c r="BUJ51" s="136"/>
      <c r="BUK51" s="136"/>
      <c r="BUL51" s="136"/>
      <c r="BUM51" s="136"/>
      <c r="BUN51" s="136"/>
      <c r="BUO51" s="136"/>
      <c r="BUP51" s="136"/>
      <c r="BUQ51" s="136"/>
      <c r="BUR51" s="136"/>
      <c r="BUS51" s="136"/>
      <c r="BUT51" s="136"/>
      <c r="BUU51" s="136"/>
      <c r="BUV51" s="136"/>
      <c r="BUW51" s="136"/>
      <c r="BUX51" s="136"/>
      <c r="BUY51" s="136"/>
      <c r="BUZ51" s="136"/>
      <c r="BVA51" s="136"/>
      <c r="BVB51" s="136"/>
      <c r="BVC51" s="136"/>
      <c r="BVD51" s="136"/>
      <c r="BVE51" s="136"/>
      <c r="BVF51" s="136"/>
      <c r="BVG51" s="136"/>
      <c r="BVH51" s="136"/>
      <c r="BVI51" s="136"/>
      <c r="BVJ51" s="136"/>
      <c r="BVK51" s="136"/>
      <c r="BVL51" s="136"/>
      <c r="BVM51" s="136"/>
      <c r="BVN51" s="136"/>
      <c r="BVO51" s="136"/>
      <c r="BVP51" s="136"/>
      <c r="BVQ51" s="136"/>
      <c r="BVR51" s="136"/>
      <c r="BVS51" s="136"/>
      <c r="BVT51" s="136"/>
      <c r="BVU51" s="136"/>
      <c r="BVV51" s="136"/>
      <c r="BVW51" s="136"/>
      <c r="BVX51" s="136"/>
      <c r="BVY51" s="136"/>
      <c r="BVZ51" s="136"/>
      <c r="BWA51" s="136"/>
      <c r="BWB51" s="136"/>
      <c r="BWC51" s="136"/>
      <c r="BWD51" s="136"/>
      <c r="BWE51" s="136"/>
      <c r="BWF51" s="136"/>
      <c r="BWG51" s="136"/>
      <c r="BWH51" s="136"/>
      <c r="BWI51" s="136"/>
      <c r="BWJ51" s="136"/>
      <c r="BWK51" s="136"/>
      <c r="BWL51" s="136"/>
      <c r="BWM51" s="136"/>
      <c r="BWN51" s="136"/>
      <c r="BWO51" s="136"/>
      <c r="BWP51" s="136"/>
      <c r="BWQ51" s="136"/>
      <c r="BWR51" s="136"/>
      <c r="BWS51" s="136"/>
      <c r="BWT51" s="136"/>
      <c r="BWU51" s="136"/>
      <c r="BWV51" s="136"/>
      <c r="BWW51" s="136"/>
      <c r="BWX51" s="136"/>
      <c r="BWY51" s="136"/>
      <c r="BWZ51" s="136"/>
      <c r="BXA51" s="136"/>
      <c r="BXB51" s="136"/>
      <c r="BXC51" s="136"/>
      <c r="BXD51" s="136"/>
      <c r="BXE51" s="136"/>
      <c r="BXF51" s="136"/>
      <c r="BXG51" s="136"/>
      <c r="BXH51" s="136"/>
      <c r="BXI51" s="136"/>
      <c r="BXJ51" s="136"/>
      <c r="BXK51" s="136"/>
      <c r="BXL51" s="136"/>
      <c r="BXM51" s="136"/>
      <c r="BXN51" s="136"/>
      <c r="BXO51" s="136"/>
      <c r="BXP51" s="136"/>
      <c r="BXQ51" s="136"/>
      <c r="BXR51" s="136"/>
      <c r="BXS51" s="136"/>
      <c r="BXT51" s="136"/>
      <c r="BXU51" s="136"/>
      <c r="BXV51" s="136"/>
      <c r="BXW51" s="136"/>
      <c r="BXX51" s="136"/>
      <c r="BXY51" s="136"/>
      <c r="BXZ51" s="136"/>
      <c r="BYA51" s="136"/>
      <c r="BYB51" s="136"/>
      <c r="BYC51" s="136"/>
      <c r="BYD51" s="136"/>
      <c r="BYE51" s="136"/>
      <c r="BYF51" s="136"/>
      <c r="BYG51" s="136"/>
      <c r="BYH51" s="136"/>
      <c r="BYI51" s="136"/>
      <c r="BYJ51" s="136"/>
      <c r="BYK51" s="136"/>
      <c r="BYL51" s="136"/>
      <c r="BYM51" s="136"/>
      <c r="BYN51" s="136"/>
      <c r="BYO51" s="136"/>
      <c r="BYP51" s="136"/>
      <c r="BYQ51" s="136"/>
      <c r="BYR51" s="136"/>
      <c r="BYS51" s="136"/>
      <c r="BYT51" s="136"/>
      <c r="BYU51" s="136"/>
      <c r="BYV51" s="136"/>
      <c r="BYW51" s="136"/>
      <c r="BYX51" s="136"/>
      <c r="BYY51" s="136"/>
      <c r="BYZ51" s="136"/>
      <c r="BZA51" s="136"/>
      <c r="BZB51" s="136"/>
      <c r="BZC51" s="136"/>
      <c r="BZD51" s="136"/>
      <c r="BZE51" s="136"/>
      <c r="BZF51" s="136"/>
      <c r="BZG51" s="136"/>
      <c r="BZH51" s="136"/>
      <c r="BZI51" s="136"/>
      <c r="BZJ51" s="136"/>
      <c r="BZK51" s="136"/>
      <c r="BZL51" s="136"/>
      <c r="BZM51" s="136"/>
      <c r="BZN51" s="136"/>
      <c r="BZO51" s="136"/>
      <c r="BZP51" s="136"/>
      <c r="BZQ51" s="136"/>
      <c r="BZR51" s="136"/>
      <c r="BZS51" s="136"/>
      <c r="BZT51" s="136"/>
      <c r="BZU51" s="136"/>
      <c r="BZV51" s="136"/>
      <c r="BZW51" s="136"/>
      <c r="BZX51" s="136"/>
      <c r="BZY51" s="136"/>
      <c r="BZZ51" s="136"/>
      <c r="CAA51" s="136"/>
      <c r="CAB51" s="136"/>
      <c r="CAC51" s="136"/>
      <c r="CAD51" s="136"/>
      <c r="CAE51" s="136"/>
      <c r="CAF51" s="136"/>
      <c r="CAG51" s="136"/>
      <c r="CAH51" s="136"/>
      <c r="CAI51" s="136"/>
      <c r="CAJ51" s="136"/>
      <c r="CAK51" s="136"/>
      <c r="CAL51" s="136"/>
      <c r="CAM51" s="136"/>
      <c r="CAN51" s="136"/>
      <c r="CAO51" s="136"/>
      <c r="CAP51" s="136"/>
      <c r="CAQ51" s="136"/>
      <c r="CAR51" s="136"/>
      <c r="CAS51" s="136"/>
      <c r="CAT51" s="136"/>
      <c r="CAU51" s="136"/>
      <c r="CAV51" s="136"/>
      <c r="CAW51" s="136"/>
      <c r="CAX51" s="136"/>
      <c r="CAY51" s="136"/>
      <c r="CAZ51" s="136"/>
      <c r="CBA51" s="136"/>
      <c r="CBB51" s="136"/>
      <c r="CBC51" s="136"/>
      <c r="CBD51" s="136"/>
      <c r="CBE51" s="136"/>
      <c r="CBF51" s="136"/>
      <c r="CBG51" s="136"/>
      <c r="CBH51" s="136"/>
      <c r="CBI51" s="136"/>
      <c r="CBJ51" s="136"/>
      <c r="CBK51" s="136"/>
      <c r="CBL51" s="136"/>
      <c r="CBM51" s="136"/>
      <c r="CBN51" s="136"/>
      <c r="CBO51" s="136"/>
      <c r="CBP51" s="136"/>
      <c r="CBQ51" s="136"/>
      <c r="CBR51" s="136"/>
      <c r="CBS51" s="136"/>
      <c r="CBT51" s="136"/>
      <c r="CBU51" s="136"/>
      <c r="CBV51" s="136"/>
      <c r="CBW51" s="136"/>
      <c r="CBX51" s="136"/>
      <c r="CBY51" s="136"/>
      <c r="CBZ51" s="136"/>
      <c r="CCA51" s="136"/>
      <c r="CCB51" s="136"/>
      <c r="CCC51" s="136"/>
      <c r="CCD51" s="136"/>
      <c r="CCE51" s="136"/>
      <c r="CCF51" s="136"/>
      <c r="CCG51" s="136"/>
      <c r="CCH51" s="136"/>
      <c r="CCI51" s="136"/>
      <c r="CCJ51" s="136"/>
      <c r="CCK51" s="136"/>
      <c r="CCL51" s="136"/>
      <c r="CCM51" s="136"/>
      <c r="CCN51" s="136"/>
      <c r="CCO51" s="136"/>
      <c r="CCP51" s="136"/>
      <c r="CCQ51" s="136"/>
      <c r="CCR51" s="136"/>
      <c r="CCS51" s="136"/>
      <c r="CCT51" s="136"/>
      <c r="CCU51" s="136"/>
      <c r="CCV51" s="136"/>
      <c r="CCW51" s="136"/>
      <c r="CCX51" s="136"/>
      <c r="CCY51" s="136"/>
      <c r="CCZ51" s="136"/>
      <c r="CDA51" s="136"/>
      <c r="CDB51" s="136"/>
      <c r="CDC51" s="136"/>
      <c r="CDD51" s="136"/>
      <c r="CDE51" s="136"/>
      <c r="CDF51" s="136"/>
      <c r="CDG51" s="136"/>
      <c r="CDH51" s="136"/>
      <c r="CDI51" s="136"/>
      <c r="CDJ51" s="136"/>
      <c r="CDK51" s="136"/>
      <c r="CDL51" s="136"/>
      <c r="CDM51" s="136"/>
      <c r="CDN51" s="136"/>
      <c r="CDO51" s="136"/>
      <c r="CDP51" s="136"/>
      <c r="CDQ51" s="136"/>
      <c r="CDR51" s="136"/>
      <c r="CDS51" s="136"/>
      <c r="CDT51" s="136"/>
      <c r="CDU51" s="136"/>
      <c r="CDV51" s="136"/>
      <c r="CDW51" s="136"/>
      <c r="CDX51" s="136"/>
      <c r="CDY51" s="136"/>
      <c r="CDZ51" s="136"/>
      <c r="CEA51" s="136"/>
      <c r="CEB51" s="136"/>
      <c r="CEC51" s="136"/>
      <c r="CED51" s="136"/>
      <c r="CEE51" s="136"/>
      <c r="CEF51" s="136"/>
      <c r="CEG51" s="136"/>
      <c r="CEH51" s="136"/>
      <c r="CEI51" s="136"/>
      <c r="CEJ51" s="136"/>
      <c r="CEK51" s="136"/>
      <c r="CEL51" s="136"/>
      <c r="CEM51" s="136"/>
      <c r="CEN51" s="136"/>
      <c r="CEO51" s="136"/>
      <c r="CEP51" s="136"/>
      <c r="CEQ51" s="136"/>
      <c r="CER51" s="136"/>
      <c r="CES51" s="136"/>
      <c r="CET51" s="136"/>
      <c r="CEU51" s="136"/>
      <c r="CEV51" s="136"/>
      <c r="CEW51" s="136"/>
      <c r="CEX51" s="136"/>
      <c r="CEY51" s="136"/>
      <c r="CEZ51" s="136"/>
      <c r="CFA51" s="136"/>
      <c r="CFB51" s="136"/>
      <c r="CFC51" s="136"/>
      <c r="CFD51" s="136"/>
      <c r="CFE51" s="136"/>
      <c r="CFF51" s="136"/>
      <c r="CFG51" s="136"/>
      <c r="CFH51" s="136"/>
      <c r="CFI51" s="136"/>
      <c r="CFJ51" s="136"/>
      <c r="CFK51" s="136"/>
      <c r="CFL51" s="136"/>
      <c r="CFM51" s="136"/>
      <c r="CFN51" s="136"/>
      <c r="CFO51" s="136"/>
      <c r="CFP51" s="136"/>
      <c r="CFQ51" s="136"/>
      <c r="CFR51" s="136"/>
      <c r="CFS51" s="136"/>
      <c r="CFT51" s="136"/>
      <c r="CFU51" s="136"/>
      <c r="CFV51" s="136"/>
      <c r="CFW51" s="136"/>
      <c r="CFX51" s="136"/>
      <c r="CFY51" s="136"/>
      <c r="CFZ51" s="136"/>
      <c r="CGA51" s="136"/>
      <c r="CGB51" s="136"/>
      <c r="CGC51" s="136"/>
      <c r="CGD51" s="136"/>
      <c r="CGE51" s="136"/>
      <c r="CGF51" s="136"/>
      <c r="CGG51" s="136"/>
      <c r="CGH51" s="136"/>
      <c r="CGI51" s="136"/>
      <c r="CGJ51" s="136"/>
      <c r="CGK51" s="136"/>
      <c r="CGL51" s="136"/>
      <c r="CGM51" s="136"/>
      <c r="CGN51" s="136"/>
      <c r="CGO51" s="136"/>
      <c r="CGP51" s="136"/>
      <c r="CGQ51" s="136"/>
      <c r="CGR51" s="136"/>
      <c r="CGS51" s="136"/>
      <c r="CGT51" s="136"/>
      <c r="CGU51" s="136"/>
      <c r="CGV51" s="136"/>
      <c r="CGW51" s="136"/>
      <c r="CGX51" s="136"/>
      <c r="CGY51" s="136"/>
      <c r="CGZ51" s="136"/>
      <c r="CHA51" s="136"/>
      <c r="CHB51" s="136"/>
      <c r="CHC51" s="136"/>
      <c r="CHD51" s="136"/>
      <c r="CHE51" s="136"/>
      <c r="CHF51" s="136"/>
      <c r="CHG51" s="136"/>
      <c r="CHH51" s="136"/>
      <c r="CHI51" s="136"/>
      <c r="CHJ51" s="136"/>
      <c r="CHK51" s="136"/>
      <c r="CHL51" s="136"/>
      <c r="CHM51" s="136"/>
      <c r="CHN51" s="136"/>
      <c r="CHO51" s="136"/>
      <c r="CHP51" s="136"/>
      <c r="CHQ51" s="136"/>
      <c r="CHR51" s="136"/>
      <c r="CHS51" s="136"/>
      <c r="CHT51" s="136"/>
      <c r="CHU51" s="136"/>
      <c r="CHV51" s="136"/>
      <c r="CHW51" s="136"/>
      <c r="CHX51" s="136"/>
      <c r="CHY51" s="136"/>
      <c r="CHZ51" s="136"/>
      <c r="CIA51" s="136"/>
      <c r="CIB51" s="136"/>
      <c r="CIC51" s="136"/>
      <c r="CID51" s="136"/>
      <c r="CIE51" s="136"/>
      <c r="CIF51" s="136"/>
      <c r="CIG51" s="136"/>
      <c r="CIH51" s="136"/>
      <c r="CII51" s="136"/>
      <c r="CIJ51" s="136"/>
      <c r="CIK51" s="136"/>
      <c r="CIL51" s="136"/>
      <c r="CIM51" s="136"/>
      <c r="CIN51" s="136"/>
      <c r="CIO51" s="136"/>
      <c r="CIP51" s="136"/>
      <c r="CIQ51" s="136"/>
      <c r="CIR51" s="136"/>
      <c r="CIS51" s="136"/>
      <c r="CIT51" s="136"/>
      <c r="CIU51" s="136"/>
      <c r="CIV51" s="136"/>
      <c r="CIW51" s="136"/>
      <c r="CIX51" s="136"/>
      <c r="CIY51" s="136"/>
      <c r="CIZ51" s="136"/>
      <c r="CJA51" s="136"/>
      <c r="CJB51" s="136"/>
      <c r="CJC51" s="136"/>
      <c r="CJD51" s="136"/>
      <c r="CJE51" s="136"/>
      <c r="CJF51" s="136"/>
      <c r="CJG51" s="136"/>
      <c r="CJH51" s="136"/>
      <c r="CJI51" s="136"/>
      <c r="CJJ51" s="136"/>
      <c r="CJK51" s="136"/>
      <c r="CJL51" s="136"/>
      <c r="CJM51" s="136"/>
      <c r="CJN51" s="136"/>
      <c r="CJO51" s="136"/>
      <c r="CJP51" s="136"/>
      <c r="CJQ51" s="136"/>
      <c r="CJR51" s="136"/>
      <c r="CJS51" s="136"/>
      <c r="CJT51" s="136"/>
      <c r="CJU51" s="136"/>
      <c r="CJV51" s="136"/>
      <c r="CJW51" s="136"/>
      <c r="CJX51" s="136"/>
      <c r="CJY51" s="136"/>
      <c r="CJZ51" s="136"/>
      <c r="CKA51" s="136"/>
      <c r="CKB51" s="136"/>
      <c r="CKC51" s="136"/>
      <c r="CKD51" s="136"/>
      <c r="CKE51" s="136"/>
      <c r="CKF51" s="136"/>
      <c r="CKG51" s="136"/>
      <c r="CKH51" s="136"/>
      <c r="CKI51" s="136"/>
      <c r="CKJ51" s="136"/>
      <c r="CKK51" s="136"/>
      <c r="CKL51" s="136"/>
      <c r="CKM51" s="136"/>
      <c r="CKN51" s="136"/>
      <c r="CKO51" s="136"/>
      <c r="CKP51" s="136"/>
      <c r="CKQ51" s="136"/>
      <c r="CKR51" s="136"/>
      <c r="CKS51" s="136"/>
      <c r="CKT51" s="136"/>
      <c r="CKU51" s="136"/>
      <c r="CKV51" s="136"/>
      <c r="CKW51" s="136"/>
      <c r="CKX51" s="136"/>
      <c r="CKY51" s="136"/>
      <c r="CKZ51" s="136"/>
      <c r="CLA51" s="136"/>
      <c r="CLB51" s="136"/>
      <c r="CLC51" s="136"/>
      <c r="CLD51" s="136"/>
      <c r="CLE51" s="136"/>
      <c r="CLF51" s="136"/>
      <c r="CLG51" s="136"/>
      <c r="CLH51" s="136"/>
      <c r="CLI51" s="136"/>
      <c r="CLJ51" s="136"/>
      <c r="CLK51" s="136"/>
      <c r="CLL51" s="136"/>
      <c r="CLM51" s="136"/>
      <c r="CLN51" s="136"/>
      <c r="CLO51" s="136"/>
      <c r="CLP51" s="136"/>
      <c r="CLQ51" s="136"/>
      <c r="CLR51" s="136"/>
      <c r="CLS51" s="136"/>
      <c r="CLT51" s="136"/>
      <c r="CLU51" s="136"/>
      <c r="CLV51" s="136"/>
      <c r="CLW51" s="136"/>
      <c r="CLX51" s="136"/>
      <c r="CLY51" s="136"/>
      <c r="CLZ51" s="136"/>
      <c r="CMA51" s="136"/>
      <c r="CMB51" s="136"/>
      <c r="CMC51" s="136"/>
      <c r="CMD51" s="136"/>
      <c r="CME51" s="136"/>
      <c r="CMF51" s="136"/>
      <c r="CMG51" s="136"/>
      <c r="CMH51" s="136"/>
      <c r="CMI51" s="136"/>
      <c r="CMJ51" s="136"/>
      <c r="CMK51" s="136"/>
      <c r="CML51" s="136"/>
      <c r="CMM51" s="136"/>
      <c r="CMN51" s="136"/>
      <c r="CMO51" s="136"/>
      <c r="CMP51" s="136"/>
      <c r="CMQ51" s="136"/>
      <c r="CMR51" s="136"/>
      <c r="CMS51" s="136"/>
      <c r="CMT51" s="136"/>
      <c r="CMU51" s="136"/>
      <c r="CMV51" s="136"/>
      <c r="CMW51" s="136"/>
      <c r="CMX51" s="136"/>
      <c r="CMY51" s="136"/>
      <c r="CMZ51" s="136"/>
      <c r="CNA51" s="136"/>
      <c r="CNB51" s="136"/>
      <c r="CNC51" s="136"/>
      <c r="CND51" s="136"/>
      <c r="CNE51" s="136"/>
      <c r="CNF51" s="136"/>
      <c r="CNG51" s="136"/>
      <c r="CNH51" s="136"/>
      <c r="CNI51" s="136"/>
      <c r="CNJ51" s="136"/>
      <c r="CNK51" s="136"/>
      <c r="CNL51" s="136"/>
      <c r="CNM51" s="136"/>
      <c r="CNN51" s="136"/>
      <c r="CNO51" s="136"/>
      <c r="CNP51" s="136"/>
      <c r="CNQ51" s="136"/>
      <c r="CNR51" s="136"/>
      <c r="CNS51" s="136"/>
      <c r="CNT51" s="136"/>
      <c r="CNU51" s="136"/>
      <c r="CNV51" s="136"/>
      <c r="CNW51" s="136"/>
      <c r="CNX51" s="136"/>
      <c r="CNY51" s="136"/>
      <c r="CNZ51" s="136"/>
      <c r="COA51" s="136"/>
      <c r="COB51" s="136"/>
      <c r="COC51" s="136"/>
      <c r="COD51" s="136"/>
      <c r="COE51" s="136"/>
      <c r="COF51" s="136"/>
      <c r="COG51" s="136"/>
      <c r="COH51" s="136"/>
      <c r="COI51" s="136"/>
      <c r="COJ51" s="136"/>
      <c r="COK51" s="136"/>
      <c r="COL51" s="136"/>
      <c r="COM51" s="136"/>
      <c r="CON51" s="136"/>
      <c r="COO51" s="136"/>
      <c r="COP51" s="136"/>
      <c r="COQ51" s="136"/>
      <c r="COR51" s="136"/>
      <c r="COS51" s="136"/>
      <c r="COT51" s="136"/>
      <c r="COU51" s="136"/>
      <c r="COV51" s="136"/>
      <c r="COW51" s="136"/>
      <c r="COX51" s="136"/>
      <c r="COY51" s="136"/>
      <c r="COZ51" s="136"/>
      <c r="CPA51" s="136"/>
      <c r="CPB51" s="136"/>
      <c r="CPC51" s="136"/>
      <c r="CPD51" s="136"/>
      <c r="CPE51" s="136"/>
      <c r="CPF51" s="136"/>
      <c r="CPG51" s="136"/>
      <c r="CPH51" s="136"/>
      <c r="CPI51" s="136"/>
      <c r="CPJ51" s="136"/>
      <c r="CPK51" s="136"/>
      <c r="CPL51" s="136"/>
      <c r="CPM51" s="136"/>
      <c r="CPN51" s="136"/>
      <c r="CPO51" s="136"/>
      <c r="CPP51" s="136"/>
      <c r="CPQ51" s="136"/>
      <c r="CPR51" s="136"/>
      <c r="CPS51" s="136"/>
      <c r="CPT51" s="136"/>
      <c r="CPU51" s="136"/>
      <c r="CPV51" s="136"/>
      <c r="CPW51" s="136"/>
      <c r="CPX51" s="136"/>
      <c r="CPY51" s="136"/>
      <c r="CPZ51" s="136"/>
      <c r="CQA51" s="136"/>
      <c r="CQB51" s="136"/>
      <c r="CQC51" s="136"/>
      <c r="CQD51" s="136"/>
      <c r="CQE51" s="136"/>
      <c r="CQF51" s="136"/>
      <c r="CQG51" s="136"/>
      <c r="CQH51" s="136"/>
      <c r="CQI51" s="136"/>
      <c r="CQJ51" s="136"/>
      <c r="CQK51" s="136"/>
      <c r="CQL51" s="136"/>
      <c r="CQM51" s="136"/>
      <c r="CQN51" s="136"/>
      <c r="CQO51" s="136"/>
      <c r="CQP51" s="136"/>
      <c r="CQQ51" s="136"/>
      <c r="CQR51" s="136"/>
      <c r="CQS51" s="136"/>
      <c r="CQT51" s="136"/>
      <c r="CQU51" s="136"/>
      <c r="CQV51" s="136"/>
      <c r="CQW51" s="136"/>
      <c r="CQX51" s="136"/>
      <c r="CQY51" s="136"/>
      <c r="CQZ51" s="136"/>
      <c r="CRA51" s="136"/>
      <c r="CRB51" s="136"/>
      <c r="CRC51" s="136"/>
      <c r="CRD51" s="136"/>
      <c r="CRE51" s="136"/>
      <c r="CRF51" s="136"/>
      <c r="CRG51" s="136"/>
      <c r="CRH51" s="136"/>
      <c r="CRI51" s="136"/>
      <c r="CRJ51" s="136"/>
      <c r="CRK51" s="136"/>
      <c r="CRL51" s="136"/>
      <c r="CRM51" s="136"/>
      <c r="CRN51" s="136"/>
      <c r="CRO51" s="136"/>
      <c r="CRP51" s="136"/>
      <c r="CRQ51" s="136"/>
      <c r="CRR51" s="136"/>
      <c r="CRS51" s="136"/>
      <c r="CRT51" s="136"/>
      <c r="CRU51" s="136"/>
      <c r="CRV51" s="136"/>
      <c r="CRW51" s="136"/>
      <c r="CRX51" s="136"/>
      <c r="CRY51" s="136"/>
      <c r="CRZ51" s="136"/>
      <c r="CSA51" s="136"/>
      <c r="CSB51" s="136"/>
      <c r="CSC51" s="136"/>
      <c r="CSD51" s="136"/>
      <c r="CSE51" s="136"/>
      <c r="CSF51" s="136"/>
      <c r="CSG51" s="136"/>
      <c r="CSH51" s="136"/>
      <c r="CSI51" s="136"/>
      <c r="CSJ51" s="136"/>
      <c r="CSK51" s="136"/>
      <c r="CSL51" s="136"/>
      <c r="CSM51" s="136"/>
      <c r="CSN51" s="136"/>
      <c r="CSO51" s="136"/>
      <c r="CSP51" s="136"/>
      <c r="CSQ51" s="136"/>
      <c r="CSR51" s="136"/>
      <c r="CSS51" s="136"/>
      <c r="CST51" s="136"/>
      <c r="CSU51" s="136"/>
      <c r="CSV51" s="136"/>
      <c r="CSW51" s="136"/>
      <c r="CSX51" s="136"/>
      <c r="CSY51" s="136"/>
      <c r="CSZ51" s="136"/>
      <c r="CTA51" s="136"/>
      <c r="CTB51" s="136"/>
      <c r="CTC51" s="136"/>
      <c r="CTD51" s="136"/>
      <c r="CTE51" s="136"/>
      <c r="CTF51" s="136"/>
      <c r="CTG51" s="136"/>
      <c r="CTH51" s="136"/>
      <c r="CTI51" s="136"/>
      <c r="CTJ51" s="136"/>
      <c r="CTK51" s="136"/>
      <c r="CTL51" s="136"/>
      <c r="CTM51" s="136"/>
      <c r="CTN51" s="136"/>
      <c r="CTO51" s="136"/>
      <c r="CTP51" s="136"/>
      <c r="CTQ51" s="136"/>
      <c r="CTR51" s="136"/>
      <c r="CTS51" s="136"/>
      <c r="CTT51" s="136"/>
      <c r="CTU51" s="136"/>
      <c r="CTV51" s="136"/>
      <c r="CTW51" s="136"/>
      <c r="CTX51" s="136"/>
      <c r="CTY51" s="136"/>
      <c r="CTZ51" s="136"/>
      <c r="CUA51" s="136"/>
      <c r="CUB51" s="136"/>
      <c r="CUC51" s="136"/>
      <c r="CUD51" s="136"/>
      <c r="CUE51" s="136"/>
      <c r="CUF51" s="136"/>
      <c r="CUG51" s="136"/>
      <c r="CUH51" s="136"/>
      <c r="CUI51" s="136"/>
      <c r="CUJ51" s="136"/>
      <c r="CUK51" s="136"/>
      <c r="CUL51" s="136"/>
      <c r="CUM51" s="136"/>
      <c r="CUN51" s="136"/>
      <c r="CUO51" s="136"/>
      <c r="CUP51" s="136"/>
      <c r="CUQ51" s="136"/>
      <c r="CUR51" s="136"/>
      <c r="CUS51" s="136"/>
      <c r="CUT51" s="136"/>
      <c r="CUU51" s="136"/>
      <c r="CUV51" s="136"/>
      <c r="CUW51" s="136"/>
      <c r="CUX51" s="136"/>
      <c r="CUY51" s="136"/>
      <c r="CUZ51" s="136"/>
      <c r="CVA51" s="136"/>
      <c r="CVB51" s="136"/>
      <c r="CVC51" s="136"/>
      <c r="CVD51" s="136"/>
      <c r="CVE51" s="136"/>
      <c r="CVF51" s="136"/>
      <c r="CVG51" s="136"/>
      <c r="CVH51" s="136"/>
      <c r="CVI51" s="136"/>
      <c r="CVJ51" s="136"/>
      <c r="CVK51" s="136"/>
      <c r="CVL51" s="136"/>
      <c r="CVM51" s="136"/>
      <c r="CVN51" s="136"/>
      <c r="CVO51" s="136"/>
      <c r="CVP51" s="136"/>
      <c r="CVQ51" s="136"/>
      <c r="CVR51" s="136"/>
      <c r="CVS51" s="136"/>
      <c r="CVT51" s="136"/>
      <c r="CVU51" s="136"/>
      <c r="CVV51" s="136"/>
      <c r="CVW51" s="136"/>
      <c r="CVX51" s="136"/>
      <c r="CVY51" s="136"/>
      <c r="CVZ51" s="136"/>
      <c r="CWA51" s="136"/>
      <c r="CWB51" s="136"/>
      <c r="CWC51" s="136"/>
      <c r="CWD51" s="136"/>
      <c r="CWE51" s="136"/>
      <c r="CWF51" s="136"/>
      <c r="CWG51" s="136"/>
      <c r="CWH51" s="136"/>
      <c r="CWI51" s="136"/>
      <c r="CWJ51" s="136"/>
      <c r="CWK51" s="136"/>
      <c r="CWL51" s="136"/>
      <c r="CWM51" s="136"/>
      <c r="CWN51" s="136"/>
      <c r="CWO51" s="136"/>
      <c r="CWP51" s="136"/>
      <c r="CWQ51" s="136"/>
      <c r="CWR51" s="136"/>
      <c r="CWS51" s="136"/>
      <c r="CWT51" s="136"/>
      <c r="CWU51" s="136"/>
      <c r="CWV51" s="136"/>
      <c r="CWW51" s="136"/>
      <c r="CWX51" s="136"/>
      <c r="CWY51" s="136"/>
      <c r="CWZ51" s="136"/>
      <c r="CXA51" s="136"/>
      <c r="CXB51" s="136"/>
      <c r="CXC51" s="136"/>
      <c r="CXD51" s="136"/>
      <c r="CXE51" s="136"/>
      <c r="CXF51" s="136"/>
      <c r="CXG51" s="136"/>
      <c r="CXH51" s="136"/>
      <c r="CXI51" s="136"/>
      <c r="CXJ51" s="136"/>
      <c r="CXK51" s="136"/>
      <c r="CXL51" s="136"/>
      <c r="CXM51" s="136"/>
      <c r="CXN51" s="136"/>
      <c r="CXO51" s="136"/>
      <c r="CXP51" s="136"/>
      <c r="CXQ51" s="136"/>
      <c r="CXR51" s="136"/>
      <c r="CXS51" s="136"/>
      <c r="CXT51" s="136"/>
      <c r="CXU51" s="136"/>
      <c r="CXV51" s="136"/>
      <c r="CXW51" s="136"/>
      <c r="CXX51" s="136"/>
      <c r="CXY51" s="136"/>
      <c r="CXZ51" s="136"/>
      <c r="CYA51" s="136"/>
      <c r="CYB51" s="136"/>
      <c r="CYC51" s="136"/>
      <c r="CYD51" s="136"/>
      <c r="CYE51" s="136"/>
      <c r="CYF51" s="136"/>
      <c r="CYG51" s="136"/>
      <c r="CYH51" s="136"/>
      <c r="CYI51" s="136"/>
      <c r="CYJ51" s="136"/>
      <c r="CYK51" s="136"/>
      <c r="CYL51" s="136"/>
      <c r="CYM51" s="136"/>
      <c r="CYN51" s="136"/>
      <c r="CYO51" s="136"/>
      <c r="CYP51" s="136"/>
      <c r="CYQ51" s="136"/>
      <c r="CYR51" s="136"/>
      <c r="CYS51" s="136"/>
      <c r="CYT51" s="136"/>
      <c r="CYU51" s="136"/>
      <c r="CYV51" s="136"/>
      <c r="CYW51" s="136"/>
      <c r="CYX51" s="136"/>
      <c r="CYY51" s="136"/>
      <c r="CYZ51" s="136"/>
      <c r="CZA51" s="136"/>
      <c r="CZB51" s="136"/>
      <c r="CZC51" s="136"/>
      <c r="CZD51" s="136"/>
      <c r="CZE51" s="136"/>
      <c r="CZF51" s="136"/>
      <c r="CZG51" s="136"/>
      <c r="CZH51" s="136"/>
      <c r="CZI51" s="136"/>
      <c r="CZJ51" s="136"/>
      <c r="CZK51" s="136"/>
      <c r="CZL51" s="136"/>
      <c r="CZM51" s="136"/>
      <c r="CZN51" s="136"/>
      <c r="CZO51" s="136"/>
      <c r="CZP51" s="136"/>
      <c r="CZQ51" s="136"/>
      <c r="CZR51" s="136"/>
      <c r="CZS51" s="136"/>
      <c r="CZT51" s="136"/>
      <c r="CZU51" s="136"/>
      <c r="CZV51" s="136"/>
      <c r="CZW51" s="136"/>
      <c r="CZX51" s="136"/>
      <c r="CZY51" s="136"/>
      <c r="CZZ51" s="136"/>
      <c r="DAA51" s="136"/>
      <c r="DAB51" s="136"/>
      <c r="DAC51" s="136"/>
      <c r="DAD51" s="136"/>
      <c r="DAE51" s="136"/>
      <c r="DAF51" s="136"/>
      <c r="DAG51" s="136"/>
      <c r="DAH51" s="136"/>
      <c r="DAI51" s="136"/>
      <c r="DAJ51" s="136"/>
      <c r="DAK51" s="136"/>
      <c r="DAL51" s="136"/>
      <c r="DAM51" s="136"/>
      <c r="DAN51" s="136"/>
      <c r="DAO51" s="136"/>
      <c r="DAP51" s="136"/>
      <c r="DAQ51" s="136"/>
      <c r="DAR51" s="136"/>
      <c r="DAS51" s="136"/>
      <c r="DAT51" s="136"/>
      <c r="DAU51" s="136"/>
      <c r="DAV51" s="136"/>
      <c r="DAW51" s="136"/>
      <c r="DAX51" s="136"/>
      <c r="DAY51" s="136"/>
      <c r="DAZ51" s="136"/>
      <c r="DBA51" s="136"/>
      <c r="DBB51" s="136"/>
      <c r="DBC51" s="136"/>
      <c r="DBD51" s="136"/>
      <c r="DBE51" s="136"/>
      <c r="DBF51" s="136"/>
      <c r="DBG51" s="136"/>
      <c r="DBH51" s="136"/>
      <c r="DBI51" s="136"/>
      <c r="DBJ51" s="136"/>
      <c r="DBK51" s="136"/>
      <c r="DBL51" s="136"/>
      <c r="DBM51" s="136"/>
      <c r="DBN51" s="136"/>
      <c r="DBO51" s="136"/>
      <c r="DBP51" s="136"/>
      <c r="DBQ51" s="136"/>
      <c r="DBR51" s="136"/>
      <c r="DBS51" s="136"/>
      <c r="DBT51" s="136"/>
      <c r="DBU51" s="136"/>
      <c r="DBV51" s="136"/>
      <c r="DBW51" s="136"/>
      <c r="DBX51" s="136"/>
      <c r="DBY51" s="136"/>
      <c r="DBZ51" s="136"/>
      <c r="DCA51" s="136"/>
      <c r="DCB51" s="136"/>
      <c r="DCC51" s="136"/>
      <c r="DCD51" s="136"/>
      <c r="DCE51" s="136"/>
      <c r="DCF51" s="136"/>
      <c r="DCG51" s="136"/>
      <c r="DCH51" s="136"/>
      <c r="DCI51" s="136"/>
      <c r="DCJ51" s="136"/>
      <c r="DCK51" s="136"/>
      <c r="DCL51" s="136"/>
      <c r="DCM51" s="136"/>
      <c r="DCN51" s="136"/>
      <c r="DCO51" s="136"/>
      <c r="DCP51" s="136"/>
      <c r="DCQ51" s="136"/>
      <c r="DCR51" s="136"/>
      <c r="DCS51" s="136"/>
      <c r="DCT51" s="136"/>
      <c r="DCU51" s="136"/>
      <c r="DCV51" s="136"/>
      <c r="DCW51" s="136"/>
      <c r="DCX51" s="136"/>
      <c r="DCY51" s="136"/>
      <c r="DCZ51" s="136"/>
      <c r="DDA51" s="136"/>
      <c r="DDB51" s="136"/>
      <c r="DDC51" s="136"/>
      <c r="DDD51" s="136"/>
      <c r="DDE51" s="136"/>
      <c r="DDF51" s="136"/>
      <c r="DDG51" s="136"/>
      <c r="DDH51" s="136"/>
      <c r="DDI51" s="136"/>
      <c r="DDJ51" s="136"/>
      <c r="DDK51" s="136"/>
      <c r="DDL51" s="136"/>
      <c r="DDM51" s="136"/>
      <c r="DDN51" s="136"/>
      <c r="DDO51" s="136"/>
      <c r="DDP51" s="136"/>
      <c r="DDQ51" s="136"/>
      <c r="DDR51" s="136"/>
      <c r="DDS51" s="136"/>
      <c r="DDT51" s="136"/>
      <c r="DDU51" s="136"/>
      <c r="DDV51" s="136"/>
      <c r="DDW51" s="136"/>
      <c r="DDX51" s="136"/>
      <c r="DDY51" s="136"/>
      <c r="DDZ51" s="136"/>
      <c r="DEA51" s="136"/>
      <c r="DEB51" s="136"/>
      <c r="DEC51" s="136"/>
      <c r="DED51" s="136"/>
      <c r="DEE51" s="136"/>
      <c r="DEF51" s="136"/>
      <c r="DEG51" s="136"/>
      <c r="DEH51" s="136"/>
      <c r="DEI51" s="136"/>
      <c r="DEJ51" s="136"/>
      <c r="DEK51" s="136"/>
      <c r="DEL51" s="136"/>
      <c r="DEM51" s="136"/>
      <c r="DEN51" s="136"/>
      <c r="DEO51" s="136"/>
      <c r="DEP51" s="136"/>
      <c r="DEQ51" s="136"/>
      <c r="DER51" s="136"/>
      <c r="DES51" s="136"/>
      <c r="DET51" s="136"/>
      <c r="DEU51" s="136"/>
      <c r="DEV51" s="136"/>
      <c r="DEW51" s="136"/>
      <c r="DEX51" s="136"/>
      <c r="DEY51" s="136"/>
      <c r="DEZ51" s="136"/>
      <c r="DFA51" s="136"/>
      <c r="DFB51" s="136"/>
      <c r="DFC51" s="136"/>
      <c r="DFD51" s="136"/>
      <c r="DFE51" s="136"/>
      <c r="DFF51" s="136"/>
      <c r="DFG51" s="136"/>
      <c r="DFH51" s="136"/>
      <c r="DFI51" s="136"/>
      <c r="DFJ51" s="136"/>
      <c r="DFK51" s="136"/>
      <c r="DFL51" s="136"/>
      <c r="DFM51" s="136"/>
      <c r="DFN51" s="136"/>
      <c r="DFO51" s="136"/>
      <c r="DFP51" s="136"/>
      <c r="DFQ51" s="136"/>
      <c r="DFR51" s="136"/>
      <c r="DFS51" s="136"/>
      <c r="DFT51" s="136"/>
      <c r="DFU51" s="136"/>
      <c r="DFV51" s="136"/>
      <c r="DFW51" s="136"/>
      <c r="DFX51" s="136"/>
      <c r="DFY51" s="136"/>
      <c r="DFZ51" s="136"/>
      <c r="DGA51" s="136"/>
      <c r="DGB51" s="136"/>
      <c r="DGC51" s="136"/>
      <c r="DGD51" s="136"/>
      <c r="DGE51" s="136"/>
      <c r="DGF51" s="136"/>
      <c r="DGG51" s="136"/>
      <c r="DGH51" s="136"/>
      <c r="DGI51" s="136"/>
      <c r="DGJ51" s="136"/>
      <c r="DGK51" s="136"/>
      <c r="DGL51" s="136"/>
      <c r="DGM51" s="136"/>
      <c r="DGN51" s="136"/>
      <c r="DGO51" s="136"/>
      <c r="DGP51" s="136"/>
      <c r="DGQ51" s="136"/>
      <c r="DGR51" s="136"/>
      <c r="DGS51" s="136"/>
      <c r="DGT51" s="136"/>
      <c r="DGU51" s="136"/>
      <c r="DGV51" s="136"/>
      <c r="DGW51" s="136"/>
      <c r="DGX51" s="136"/>
      <c r="DGY51" s="136"/>
      <c r="DGZ51" s="136"/>
      <c r="DHA51" s="136"/>
      <c r="DHB51" s="136"/>
      <c r="DHC51" s="136"/>
      <c r="DHD51" s="136"/>
      <c r="DHE51" s="136"/>
      <c r="DHF51" s="136"/>
      <c r="DHG51" s="136"/>
      <c r="DHH51" s="136"/>
      <c r="DHI51" s="136"/>
      <c r="DHJ51" s="136"/>
      <c r="DHK51" s="136"/>
      <c r="DHL51" s="136"/>
      <c r="DHM51" s="136"/>
      <c r="DHN51" s="136"/>
      <c r="DHO51" s="136"/>
      <c r="DHP51" s="136"/>
      <c r="DHQ51" s="136"/>
      <c r="DHR51" s="136"/>
      <c r="DHS51" s="136"/>
      <c r="DHT51" s="136"/>
      <c r="DHU51" s="136"/>
      <c r="DHV51" s="136"/>
      <c r="DHW51" s="136"/>
      <c r="DHX51" s="136"/>
      <c r="DHY51" s="136"/>
      <c r="DHZ51" s="136"/>
      <c r="DIA51" s="136"/>
      <c r="DIB51" s="136"/>
      <c r="DIC51" s="136"/>
      <c r="DID51" s="136"/>
      <c r="DIE51" s="136"/>
      <c r="DIF51" s="136"/>
      <c r="DIG51" s="136"/>
      <c r="DIH51" s="136"/>
      <c r="DII51" s="136"/>
      <c r="DIJ51" s="136"/>
      <c r="DIK51" s="136"/>
      <c r="DIL51" s="136"/>
      <c r="DIM51" s="136"/>
      <c r="DIN51" s="136"/>
      <c r="DIO51" s="136"/>
      <c r="DIP51" s="136"/>
      <c r="DIQ51" s="136"/>
      <c r="DIR51" s="136"/>
      <c r="DIS51" s="136"/>
      <c r="DIT51" s="136"/>
      <c r="DIU51" s="136"/>
      <c r="DIV51" s="136"/>
      <c r="DIW51" s="136"/>
      <c r="DIX51" s="136"/>
      <c r="DIY51" s="136"/>
      <c r="DIZ51" s="136"/>
      <c r="DJA51" s="136"/>
      <c r="DJB51" s="136"/>
      <c r="DJC51" s="136"/>
      <c r="DJD51" s="136"/>
      <c r="DJE51" s="136"/>
      <c r="DJF51" s="136"/>
      <c r="DJG51" s="136"/>
      <c r="DJH51" s="136"/>
      <c r="DJI51" s="136"/>
      <c r="DJJ51" s="136"/>
      <c r="DJK51" s="136"/>
      <c r="DJL51" s="136"/>
      <c r="DJM51" s="136"/>
      <c r="DJN51" s="136"/>
      <c r="DJO51" s="136"/>
      <c r="DJP51" s="136"/>
      <c r="DJQ51" s="136"/>
      <c r="DJR51" s="136"/>
      <c r="DJS51" s="136"/>
      <c r="DJT51" s="136"/>
      <c r="DJU51" s="136"/>
      <c r="DJV51" s="136"/>
      <c r="DJW51" s="136"/>
      <c r="DJX51" s="136"/>
      <c r="DJY51" s="136"/>
      <c r="DJZ51" s="136"/>
      <c r="DKA51" s="136"/>
      <c r="DKB51" s="136"/>
      <c r="DKC51" s="136"/>
      <c r="DKD51" s="136"/>
      <c r="DKE51" s="136"/>
      <c r="DKF51" s="136"/>
      <c r="DKG51" s="136"/>
      <c r="DKH51" s="136"/>
      <c r="DKI51" s="136"/>
      <c r="DKJ51" s="136"/>
      <c r="DKK51" s="136"/>
      <c r="DKL51" s="136"/>
      <c r="DKM51" s="136"/>
      <c r="DKN51" s="136"/>
      <c r="DKO51" s="136"/>
      <c r="DKP51" s="136"/>
      <c r="DKQ51" s="136"/>
      <c r="DKR51" s="136"/>
      <c r="DKS51" s="136"/>
      <c r="DKT51" s="136"/>
      <c r="DKU51" s="136"/>
      <c r="DKV51" s="136"/>
      <c r="DKW51" s="136"/>
      <c r="DKX51" s="136"/>
      <c r="DKY51" s="136"/>
      <c r="DKZ51" s="136"/>
      <c r="DLA51" s="136"/>
      <c r="DLB51" s="136"/>
      <c r="DLC51" s="136"/>
      <c r="DLD51" s="136"/>
      <c r="DLE51" s="136"/>
      <c r="DLF51" s="136"/>
      <c r="DLG51" s="136"/>
      <c r="DLH51" s="136"/>
      <c r="DLI51" s="136"/>
      <c r="DLJ51" s="136"/>
      <c r="DLK51" s="136"/>
      <c r="DLL51" s="136"/>
      <c r="DLM51" s="136"/>
      <c r="DLN51" s="136"/>
      <c r="DLO51" s="136"/>
      <c r="DLP51" s="136"/>
      <c r="DLQ51" s="136"/>
      <c r="DLR51" s="136"/>
      <c r="DLS51" s="136"/>
      <c r="DLT51" s="136"/>
      <c r="DLU51" s="136"/>
      <c r="DLV51" s="136"/>
      <c r="DLW51" s="136"/>
      <c r="DLX51" s="136"/>
      <c r="DLY51" s="136"/>
      <c r="DLZ51" s="136"/>
      <c r="DMA51" s="136"/>
      <c r="DMB51" s="136"/>
      <c r="DMC51" s="136"/>
      <c r="DMD51" s="136"/>
      <c r="DME51" s="136"/>
      <c r="DMF51" s="136"/>
      <c r="DMG51" s="136"/>
      <c r="DMH51" s="136"/>
      <c r="DMI51" s="136"/>
      <c r="DMJ51" s="136"/>
      <c r="DMK51" s="136"/>
      <c r="DML51" s="136"/>
      <c r="DMM51" s="136"/>
      <c r="DMN51" s="136"/>
      <c r="DMO51" s="136"/>
      <c r="DMP51" s="136"/>
      <c r="DMQ51" s="136"/>
      <c r="DMR51" s="136"/>
      <c r="DMS51" s="136"/>
      <c r="DMT51" s="136"/>
      <c r="DMU51" s="136"/>
      <c r="DMV51" s="136"/>
      <c r="DMW51" s="136"/>
      <c r="DMX51" s="136"/>
      <c r="DMY51" s="136"/>
      <c r="DMZ51" s="136"/>
      <c r="DNA51" s="136"/>
      <c r="DNB51" s="136"/>
      <c r="DNC51" s="136"/>
      <c r="DND51" s="136"/>
      <c r="DNE51" s="136"/>
      <c r="DNF51" s="136"/>
      <c r="DNG51" s="136"/>
      <c r="DNH51" s="136"/>
      <c r="DNI51" s="136"/>
      <c r="DNJ51" s="136"/>
      <c r="DNK51" s="136"/>
      <c r="DNL51" s="136"/>
      <c r="DNM51" s="136"/>
      <c r="DNN51" s="136"/>
      <c r="DNO51" s="136"/>
      <c r="DNP51" s="136"/>
      <c r="DNQ51" s="136"/>
      <c r="DNR51" s="136"/>
      <c r="DNS51" s="136"/>
      <c r="DNT51" s="136"/>
      <c r="DNU51" s="136"/>
      <c r="DNV51" s="136"/>
      <c r="DNW51" s="136"/>
      <c r="DNX51" s="136"/>
      <c r="DNY51" s="136"/>
      <c r="DNZ51" s="136"/>
      <c r="DOA51" s="136"/>
      <c r="DOB51" s="136"/>
      <c r="DOC51" s="136"/>
      <c r="DOD51" s="136"/>
      <c r="DOE51" s="136"/>
      <c r="DOF51" s="136"/>
      <c r="DOG51" s="136"/>
      <c r="DOH51" s="136"/>
      <c r="DOI51" s="136"/>
      <c r="DOJ51" s="136"/>
      <c r="DOK51" s="136"/>
      <c r="DOL51" s="136"/>
      <c r="DOM51" s="136"/>
      <c r="DON51" s="136"/>
      <c r="DOO51" s="136"/>
      <c r="DOP51" s="136"/>
      <c r="DOQ51" s="136"/>
      <c r="DOR51" s="136"/>
      <c r="DOS51" s="136"/>
      <c r="DOT51" s="136"/>
      <c r="DOU51" s="136"/>
      <c r="DOV51" s="136"/>
      <c r="DOW51" s="136"/>
      <c r="DOX51" s="136"/>
      <c r="DOY51" s="136"/>
      <c r="DOZ51" s="136"/>
      <c r="DPA51" s="136"/>
      <c r="DPB51" s="136"/>
      <c r="DPC51" s="136"/>
      <c r="DPD51" s="136"/>
      <c r="DPE51" s="136"/>
      <c r="DPF51" s="136"/>
      <c r="DPG51" s="136"/>
      <c r="DPH51" s="136"/>
      <c r="DPI51" s="136"/>
      <c r="DPJ51" s="136"/>
      <c r="DPK51" s="136"/>
      <c r="DPL51" s="136"/>
      <c r="DPM51" s="136"/>
      <c r="DPN51" s="136"/>
      <c r="DPO51" s="136"/>
      <c r="DPP51" s="136"/>
      <c r="DPQ51" s="136"/>
      <c r="DPR51" s="136"/>
      <c r="DPS51" s="136"/>
      <c r="DPT51" s="136"/>
      <c r="DPU51" s="136"/>
      <c r="DPV51" s="136"/>
      <c r="DPW51" s="136"/>
      <c r="DPX51" s="136"/>
      <c r="DPY51" s="136"/>
      <c r="DPZ51" s="136"/>
      <c r="DQA51" s="136"/>
      <c r="DQB51" s="136"/>
      <c r="DQC51" s="136"/>
      <c r="DQD51" s="136"/>
      <c r="DQE51" s="136"/>
      <c r="DQF51" s="136"/>
      <c r="DQG51" s="136"/>
      <c r="DQH51" s="136"/>
      <c r="DQI51" s="136"/>
      <c r="DQJ51" s="136"/>
      <c r="DQK51" s="136"/>
      <c r="DQL51" s="136"/>
      <c r="DQM51" s="136"/>
      <c r="DQN51" s="136"/>
      <c r="DQO51" s="136"/>
      <c r="DQP51" s="136"/>
      <c r="DQQ51" s="136"/>
      <c r="DQR51" s="136"/>
      <c r="DQS51" s="136"/>
      <c r="DQT51" s="136"/>
      <c r="DQU51" s="136"/>
      <c r="DQV51" s="136"/>
      <c r="DQW51" s="136"/>
      <c r="DQX51" s="136"/>
      <c r="DQY51" s="136"/>
      <c r="DQZ51" s="136"/>
      <c r="DRA51" s="136"/>
      <c r="DRB51" s="136"/>
      <c r="DRC51" s="136"/>
      <c r="DRD51" s="136"/>
      <c r="DRE51" s="136"/>
      <c r="DRF51" s="136"/>
      <c r="DRG51" s="136"/>
      <c r="DRH51" s="136"/>
      <c r="DRI51" s="136"/>
      <c r="DRJ51" s="136"/>
      <c r="DRK51" s="136"/>
      <c r="DRL51" s="136"/>
      <c r="DRM51" s="136"/>
      <c r="DRN51" s="136"/>
      <c r="DRO51" s="136"/>
      <c r="DRP51" s="136"/>
      <c r="DRQ51" s="136"/>
      <c r="DRR51" s="136"/>
      <c r="DRS51" s="136"/>
      <c r="DRT51" s="136"/>
      <c r="DRU51" s="136"/>
      <c r="DRV51" s="136"/>
      <c r="DRW51" s="136"/>
      <c r="DRX51" s="136"/>
      <c r="DRY51" s="136"/>
      <c r="DRZ51" s="136"/>
      <c r="DSA51" s="136"/>
      <c r="DSB51" s="136"/>
      <c r="DSC51" s="136"/>
      <c r="DSD51" s="136"/>
      <c r="DSE51" s="136"/>
      <c r="DSF51" s="136"/>
      <c r="DSG51" s="136"/>
      <c r="DSH51" s="136"/>
      <c r="DSI51" s="136"/>
      <c r="DSJ51" s="136"/>
      <c r="DSK51" s="136"/>
      <c r="DSL51" s="136"/>
      <c r="DSM51" s="136"/>
      <c r="DSN51" s="136"/>
      <c r="DSO51" s="136"/>
      <c r="DSP51" s="136"/>
      <c r="DSQ51" s="136"/>
      <c r="DSR51" s="136"/>
      <c r="DSS51" s="136"/>
      <c r="DST51" s="136"/>
      <c r="DSU51" s="136"/>
      <c r="DSV51" s="136"/>
      <c r="DSW51" s="136"/>
      <c r="DSX51" s="136"/>
      <c r="DSY51" s="136"/>
      <c r="DSZ51" s="136"/>
      <c r="DTA51" s="136"/>
      <c r="DTB51" s="136"/>
      <c r="DTC51" s="136"/>
      <c r="DTD51" s="136"/>
      <c r="DTE51" s="136"/>
      <c r="DTF51" s="136"/>
      <c r="DTG51" s="136"/>
      <c r="DTH51" s="136"/>
      <c r="DTI51" s="136"/>
      <c r="DTJ51" s="136"/>
      <c r="DTK51" s="136"/>
      <c r="DTL51" s="136"/>
      <c r="DTM51" s="136"/>
      <c r="DTN51" s="136"/>
      <c r="DTO51" s="136"/>
      <c r="DTP51" s="136"/>
      <c r="DTQ51" s="136"/>
      <c r="DTR51" s="136"/>
      <c r="DTS51" s="136"/>
      <c r="DTT51" s="136"/>
      <c r="DTU51" s="136"/>
      <c r="DTV51" s="136"/>
      <c r="DTW51" s="136"/>
      <c r="DTX51" s="136"/>
      <c r="DTY51" s="136"/>
      <c r="DTZ51" s="136"/>
      <c r="DUA51" s="136"/>
      <c r="DUB51" s="136"/>
      <c r="DUC51" s="136"/>
      <c r="DUD51" s="136"/>
      <c r="DUE51" s="136"/>
      <c r="DUF51" s="136"/>
      <c r="DUG51" s="136"/>
      <c r="DUH51" s="136"/>
      <c r="DUI51" s="136"/>
      <c r="DUJ51" s="136"/>
      <c r="DUK51" s="136"/>
      <c r="DUL51" s="136"/>
      <c r="DUM51" s="136"/>
      <c r="DUN51" s="136"/>
      <c r="DUO51" s="136"/>
      <c r="DUP51" s="136"/>
      <c r="DUQ51" s="136"/>
      <c r="DUR51" s="136"/>
      <c r="DUS51" s="136"/>
      <c r="DUT51" s="136"/>
      <c r="DUU51" s="136"/>
      <c r="DUV51" s="136"/>
      <c r="DUW51" s="136"/>
      <c r="DUX51" s="136"/>
      <c r="DUY51" s="136"/>
      <c r="DUZ51" s="136"/>
      <c r="DVA51" s="136"/>
      <c r="DVB51" s="136"/>
      <c r="DVC51" s="136"/>
      <c r="DVD51" s="136"/>
      <c r="DVE51" s="136"/>
      <c r="DVF51" s="136"/>
      <c r="DVG51" s="136"/>
      <c r="DVH51" s="136"/>
      <c r="DVI51" s="136"/>
      <c r="DVJ51" s="136"/>
      <c r="DVK51" s="136"/>
      <c r="DVL51" s="136"/>
      <c r="DVM51" s="136"/>
      <c r="DVN51" s="136"/>
      <c r="DVO51" s="136"/>
      <c r="DVP51" s="136"/>
      <c r="DVQ51" s="136"/>
      <c r="DVR51" s="136"/>
      <c r="DVS51" s="136"/>
      <c r="DVT51" s="136"/>
      <c r="DVU51" s="136"/>
      <c r="DVV51" s="136"/>
      <c r="DVW51" s="136"/>
      <c r="DVX51" s="136"/>
      <c r="DVY51" s="136"/>
      <c r="DVZ51" s="136"/>
      <c r="DWA51" s="136"/>
      <c r="DWB51" s="136"/>
      <c r="DWC51" s="136"/>
      <c r="DWD51" s="136"/>
      <c r="DWE51" s="136"/>
      <c r="DWF51" s="136"/>
      <c r="DWG51" s="136"/>
      <c r="DWH51" s="136"/>
      <c r="DWI51" s="136"/>
      <c r="DWJ51" s="136"/>
      <c r="DWK51" s="136"/>
      <c r="DWL51" s="136"/>
      <c r="DWM51" s="136"/>
      <c r="DWN51" s="136"/>
      <c r="DWO51" s="136"/>
      <c r="DWP51" s="136"/>
      <c r="DWQ51" s="136"/>
      <c r="DWR51" s="136"/>
      <c r="DWS51" s="136"/>
      <c r="DWT51" s="136"/>
      <c r="DWU51" s="136"/>
      <c r="DWV51" s="136"/>
      <c r="DWW51" s="136"/>
      <c r="DWX51" s="136"/>
      <c r="DWY51" s="136"/>
      <c r="DWZ51" s="136"/>
      <c r="DXA51" s="136"/>
      <c r="DXB51" s="136"/>
      <c r="DXC51" s="136"/>
      <c r="DXD51" s="136"/>
      <c r="DXE51" s="136"/>
      <c r="DXF51" s="136"/>
      <c r="DXG51" s="136"/>
      <c r="DXH51" s="136"/>
      <c r="DXI51" s="136"/>
      <c r="DXJ51" s="136"/>
      <c r="DXK51" s="136"/>
      <c r="DXL51" s="136"/>
      <c r="DXM51" s="136"/>
      <c r="DXN51" s="136"/>
      <c r="DXO51" s="136"/>
      <c r="DXP51" s="136"/>
      <c r="DXQ51" s="136"/>
      <c r="DXR51" s="136"/>
      <c r="DXS51" s="136"/>
      <c r="DXT51" s="136"/>
      <c r="DXU51" s="136"/>
      <c r="DXV51" s="136"/>
      <c r="DXW51" s="136"/>
      <c r="DXX51" s="136"/>
      <c r="DXY51" s="136"/>
      <c r="DXZ51" s="136"/>
      <c r="DYA51" s="136"/>
      <c r="DYB51" s="136"/>
      <c r="DYC51" s="136"/>
      <c r="DYD51" s="136"/>
      <c r="DYE51" s="136"/>
      <c r="DYF51" s="136"/>
      <c r="DYG51" s="136"/>
      <c r="DYH51" s="136"/>
      <c r="DYI51" s="136"/>
      <c r="DYJ51" s="136"/>
      <c r="DYK51" s="136"/>
      <c r="DYL51" s="136"/>
      <c r="DYM51" s="136"/>
      <c r="DYN51" s="136"/>
      <c r="DYO51" s="136"/>
      <c r="DYP51" s="136"/>
      <c r="DYQ51" s="136"/>
      <c r="DYR51" s="136"/>
      <c r="DYS51" s="136"/>
      <c r="DYT51" s="136"/>
      <c r="DYU51" s="136"/>
      <c r="DYV51" s="136"/>
      <c r="DYW51" s="136"/>
      <c r="DYX51" s="136"/>
      <c r="DYY51" s="136"/>
      <c r="DYZ51" s="136"/>
      <c r="DZA51" s="136"/>
      <c r="DZB51" s="136"/>
      <c r="DZC51" s="136"/>
      <c r="DZD51" s="136"/>
      <c r="DZE51" s="136"/>
      <c r="DZF51" s="136"/>
      <c r="DZG51" s="136"/>
      <c r="DZH51" s="136"/>
      <c r="DZI51" s="136"/>
      <c r="DZJ51" s="136"/>
      <c r="DZK51" s="136"/>
      <c r="DZL51" s="136"/>
      <c r="DZM51" s="136"/>
      <c r="DZN51" s="136"/>
      <c r="DZO51" s="136"/>
      <c r="DZP51" s="136"/>
      <c r="DZQ51" s="136"/>
      <c r="DZR51" s="136"/>
      <c r="DZS51" s="136"/>
      <c r="DZT51" s="136"/>
      <c r="DZU51" s="136"/>
      <c r="DZV51" s="136"/>
      <c r="DZW51" s="136"/>
      <c r="DZX51" s="136"/>
      <c r="DZY51" s="136"/>
      <c r="DZZ51" s="136"/>
      <c r="EAA51" s="136"/>
      <c r="EAB51" s="136"/>
      <c r="EAC51" s="136"/>
      <c r="EAD51" s="136"/>
      <c r="EAE51" s="136"/>
      <c r="EAF51" s="136"/>
      <c r="EAG51" s="136"/>
      <c r="EAH51" s="136"/>
      <c r="EAI51" s="136"/>
      <c r="EAJ51" s="136"/>
      <c r="EAK51" s="136"/>
      <c r="EAL51" s="136"/>
      <c r="EAM51" s="136"/>
      <c r="EAN51" s="136"/>
      <c r="EAO51" s="136"/>
      <c r="EAP51" s="136"/>
      <c r="EAQ51" s="136"/>
      <c r="EAR51" s="136"/>
      <c r="EAS51" s="136"/>
      <c r="EAT51" s="136"/>
      <c r="EAU51" s="136"/>
      <c r="EAV51" s="136"/>
      <c r="EAW51" s="136"/>
      <c r="EAX51" s="136"/>
      <c r="EAY51" s="136"/>
      <c r="EAZ51" s="136"/>
      <c r="EBA51" s="136"/>
      <c r="EBB51" s="136"/>
      <c r="EBC51" s="136"/>
      <c r="EBD51" s="136"/>
      <c r="EBE51" s="136"/>
      <c r="EBF51" s="136"/>
      <c r="EBG51" s="136"/>
      <c r="EBH51" s="136"/>
      <c r="EBI51" s="136"/>
      <c r="EBJ51" s="136"/>
      <c r="EBK51" s="136"/>
      <c r="EBL51" s="136"/>
      <c r="EBM51" s="136"/>
      <c r="EBN51" s="136"/>
      <c r="EBO51" s="136"/>
      <c r="EBP51" s="136"/>
      <c r="EBQ51" s="136"/>
      <c r="EBR51" s="136"/>
      <c r="EBS51" s="136"/>
      <c r="EBT51" s="136"/>
      <c r="EBU51" s="136"/>
      <c r="EBV51" s="136"/>
      <c r="EBW51" s="136"/>
      <c r="EBX51" s="136"/>
      <c r="EBY51" s="136"/>
      <c r="EBZ51" s="136"/>
      <c r="ECA51" s="136"/>
      <c r="ECB51" s="136"/>
      <c r="ECC51" s="136"/>
      <c r="ECD51" s="136"/>
      <c r="ECE51" s="136"/>
      <c r="ECF51" s="136"/>
      <c r="ECG51" s="136"/>
      <c r="ECH51" s="136"/>
      <c r="ECI51" s="136"/>
      <c r="ECJ51" s="136"/>
      <c r="ECK51" s="136"/>
      <c r="ECL51" s="136"/>
      <c r="ECM51" s="136"/>
      <c r="ECN51" s="136"/>
      <c r="ECO51" s="136"/>
      <c r="ECP51" s="136"/>
      <c r="ECQ51" s="136"/>
      <c r="ECR51" s="136"/>
      <c r="ECS51" s="136"/>
      <c r="ECT51" s="136"/>
      <c r="ECU51" s="136"/>
      <c r="ECV51" s="136"/>
      <c r="ECW51" s="136"/>
      <c r="ECX51" s="136"/>
      <c r="ECY51" s="136"/>
      <c r="ECZ51" s="136"/>
      <c r="EDA51" s="136"/>
      <c r="EDB51" s="136"/>
      <c r="EDC51" s="136"/>
      <c r="EDD51" s="136"/>
      <c r="EDE51" s="136"/>
      <c r="EDF51" s="136"/>
      <c r="EDG51" s="136"/>
      <c r="EDH51" s="136"/>
      <c r="EDI51" s="136"/>
      <c r="EDJ51" s="136"/>
      <c r="EDK51" s="136"/>
      <c r="EDL51" s="136"/>
      <c r="EDM51" s="136"/>
      <c r="EDN51" s="136"/>
      <c r="EDO51" s="136"/>
      <c r="EDP51" s="136"/>
      <c r="EDQ51" s="136"/>
      <c r="EDR51" s="136"/>
      <c r="EDS51" s="136"/>
      <c r="EDT51" s="136"/>
      <c r="EDU51" s="136"/>
      <c r="EDV51" s="136"/>
      <c r="EDW51" s="136"/>
      <c r="EDX51" s="136"/>
      <c r="EDY51" s="136"/>
      <c r="EDZ51" s="136"/>
      <c r="EEA51" s="136"/>
      <c r="EEB51" s="136"/>
      <c r="EEC51" s="136"/>
      <c r="EED51" s="136"/>
      <c r="EEE51" s="136"/>
      <c r="EEF51" s="136"/>
      <c r="EEG51" s="136"/>
      <c r="EEH51" s="136"/>
      <c r="EEI51" s="136"/>
      <c r="EEJ51" s="136"/>
      <c r="EEK51" s="136"/>
      <c r="EEL51" s="136"/>
      <c r="EEM51" s="136"/>
      <c r="EEN51" s="136"/>
      <c r="EEO51" s="136"/>
      <c r="EEP51" s="136"/>
      <c r="EEQ51" s="136"/>
      <c r="EER51" s="136"/>
      <c r="EES51" s="136"/>
      <c r="EET51" s="136"/>
      <c r="EEU51" s="136"/>
      <c r="EEV51" s="136"/>
      <c r="EEW51" s="136"/>
      <c r="EEX51" s="136"/>
      <c r="EEY51" s="136"/>
      <c r="EEZ51" s="136"/>
      <c r="EFA51" s="136"/>
      <c r="EFB51" s="136"/>
      <c r="EFC51" s="136"/>
      <c r="EFD51" s="136"/>
      <c r="EFE51" s="136"/>
      <c r="EFF51" s="136"/>
      <c r="EFG51" s="136"/>
      <c r="EFH51" s="136"/>
      <c r="EFI51" s="136"/>
      <c r="EFJ51" s="136"/>
      <c r="EFK51" s="136"/>
      <c r="EFL51" s="136"/>
      <c r="EFM51" s="136"/>
      <c r="EFN51" s="136"/>
      <c r="EFO51" s="136"/>
      <c r="EFP51" s="136"/>
      <c r="EFQ51" s="136"/>
      <c r="EFR51" s="136"/>
      <c r="EFS51" s="136"/>
      <c r="EFT51" s="136"/>
      <c r="EFU51" s="136"/>
      <c r="EFV51" s="136"/>
      <c r="EFW51" s="136"/>
      <c r="EFX51" s="136"/>
      <c r="EFY51" s="136"/>
      <c r="EFZ51" s="136"/>
      <c r="EGA51" s="136"/>
      <c r="EGB51" s="136"/>
      <c r="EGC51" s="136"/>
      <c r="EGD51" s="136"/>
      <c r="EGE51" s="136"/>
      <c r="EGF51" s="136"/>
      <c r="EGG51" s="136"/>
      <c r="EGH51" s="136"/>
      <c r="EGI51" s="136"/>
      <c r="EGJ51" s="136"/>
      <c r="EGK51" s="136"/>
      <c r="EGL51" s="136"/>
      <c r="EGM51" s="136"/>
      <c r="EGN51" s="136"/>
      <c r="EGO51" s="136"/>
      <c r="EGP51" s="136"/>
      <c r="EGQ51" s="136"/>
      <c r="EGR51" s="136"/>
      <c r="EGS51" s="136"/>
      <c r="EGT51" s="136"/>
      <c r="EGU51" s="136"/>
      <c r="EGV51" s="136"/>
      <c r="EGW51" s="136"/>
      <c r="EGX51" s="136"/>
      <c r="EGY51" s="136"/>
      <c r="EGZ51" s="136"/>
      <c r="EHA51" s="136"/>
      <c r="EHB51" s="136"/>
      <c r="EHC51" s="136"/>
      <c r="EHD51" s="136"/>
      <c r="EHE51" s="136"/>
      <c r="EHF51" s="136"/>
      <c r="EHG51" s="136"/>
      <c r="EHH51" s="136"/>
      <c r="EHI51" s="136"/>
      <c r="EHJ51" s="136"/>
      <c r="EHK51" s="136"/>
      <c r="EHL51" s="136"/>
      <c r="EHM51" s="136"/>
      <c r="EHN51" s="136"/>
      <c r="EHO51" s="136"/>
      <c r="EHP51" s="136"/>
      <c r="EHQ51" s="136"/>
      <c r="EHR51" s="136"/>
      <c r="EHS51" s="136"/>
      <c r="EHT51" s="136"/>
      <c r="EHU51" s="136"/>
      <c r="EHV51" s="136"/>
      <c r="EHW51" s="136"/>
      <c r="EHX51" s="136"/>
      <c r="EHY51" s="136"/>
      <c r="EHZ51" s="136"/>
      <c r="EIA51" s="136"/>
      <c r="EIB51" s="136"/>
      <c r="EIC51" s="136"/>
      <c r="EID51" s="136"/>
      <c r="EIE51" s="136"/>
      <c r="EIF51" s="136"/>
      <c r="EIG51" s="136"/>
      <c r="EIH51" s="136"/>
      <c r="EII51" s="136"/>
      <c r="EIJ51" s="136"/>
      <c r="EIK51" s="136"/>
      <c r="EIL51" s="136"/>
      <c r="EIM51" s="136"/>
      <c r="EIN51" s="136"/>
      <c r="EIO51" s="136"/>
      <c r="EIP51" s="136"/>
      <c r="EIQ51" s="136"/>
      <c r="EIR51" s="136"/>
      <c r="EIS51" s="136"/>
      <c r="EIT51" s="136"/>
      <c r="EIU51" s="136"/>
      <c r="EIV51" s="136"/>
      <c r="EIW51" s="136"/>
      <c r="EIX51" s="136"/>
      <c r="EIY51" s="136"/>
      <c r="EIZ51" s="136"/>
      <c r="EJA51" s="136"/>
      <c r="EJB51" s="136"/>
      <c r="EJC51" s="136"/>
      <c r="EJD51" s="136"/>
      <c r="EJE51" s="136"/>
      <c r="EJF51" s="136"/>
      <c r="EJG51" s="136"/>
      <c r="EJH51" s="136"/>
      <c r="EJI51" s="136"/>
      <c r="EJJ51" s="136"/>
      <c r="EJK51" s="136"/>
      <c r="EJL51" s="136"/>
      <c r="EJM51" s="136"/>
      <c r="EJN51" s="136"/>
      <c r="EJO51" s="136"/>
      <c r="EJP51" s="136"/>
      <c r="EJQ51" s="136"/>
      <c r="EJR51" s="136"/>
      <c r="EJS51" s="136"/>
      <c r="EJT51" s="136"/>
      <c r="EJU51" s="136"/>
      <c r="EJV51" s="136"/>
      <c r="EJW51" s="136"/>
      <c r="EJX51" s="136"/>
      <c r="EJY51" s="136"/>
      <c r="EJZ51" s="136"/>
      <c r="EKA51" s="136"/>
      <c r="EKB51" s="136"/>
      <c r="EKC51" s="136"/>
      <c r="EKD51" s="136"/>
      <c r="EKE51" s="136"/>
      <c r="EKF51" s="136"/>
      <c r="EKG51" s="136"/>
      <c r="EKH51" s="136"/>
      <c r="EKI51" s="136"/>
      <c r="EKJ51" s="136"/>
      <c r="EKK51" s="136"/>
      <c r="EKL51" s="136"/>
      <c r="EKM51" s="136"/>
      <c r="EKN51" s="136"/>
      <c r="EKO51" s="136"/>
      <c r="EKP51" s="136"/>
      <c r="EKQ51" s="136"/>
      <c r="EKR51" s="136"/>
      <c r="EKS51" s="136"/>
      <c r="EKT51" s="136"/>
      <c r="EKU51" s="136"/>
      <c r="EKV51" s="136"/>
      <c r="EKW51" s="136"/>
      <c r="EKX51" s="136"/>
      <c r="EKY51" s="136"/>
      <c r="EKZ51" s="136"/>
      <c r="ELA51" s="136"/>
      <c r="ELB51" s="136"/>
      <c r="ELC51" s="136"/>
      <c r="ELD51" s="136"/>
      <c r="ELE51" s="136"/>
      <c r="ELF51" s="136"/>
      <c r="ELG51" s="136"/>
      <c r="ELH51" s="136"/>
      <c r="ELI51" s="136"/>
      <c r="ELJ51" s="136"/>
      <c r="ELK51" s="136"/>
      <c r="ELL51" s="136"/>
      <c r="ELM51" s="136"/>
      <c r="ELN51" s="136"/>
      <c r="ELO51" s="136"/>
      <c r="ELP51" s="136"/>
      <c r="ELQ51" s="136"/>
      <c r="ELR51" s="136"/>
      <c r="ELS51" s="136"/>
      <c r="ELT51" s="136"/>
      <c r="ELU51" s="136"/>
      <c r="ELV51" s="136"/>
      <c r="ELW51" s="136"/>
      <c r="ELX51" s="136"/>
      <c r="ELY51" s="136"/>
      <c r="ELZ51" s="136"/>
      <c r="EMA51" s="136"/>
      <c r="EMB51" s="136"/>
      <c r="EMC51" s="136"/>
      <c r="EMD51" s="136"/>
      <c r="EME51" s="136"/>
      <c r="EMF51" s="136"/>
      <c r="EMG51" s="136"/>
      <c r="EMH51" s="136"/>
      <c r="EMI51" s="136"/>
      <c r="EMJ51" s="136"/>
      <c r="EMK51" s="136"/>
      <c r="EML51" s="136"/>
      <c r="EMM51" s="136"/>
      <c r="EMN51" s="136"/>
      <c r="EMO51" s="136"/>
      <c r="EMP51" s="136"/>
      <c r="EMQ51" s="136"/>
      <c r="EMR51" s="136"/>
      <c r="EMS51" s="136"/>
      <c r="EMT51" s="136"/>
      <c r="EMU51" s="136"/>
      <c r="EMV51" s="136"/>
      <c r="EMW51" s="136"/>
      <c r="EMX51" s="136"/>
      <c r="EMY51" s="136"/>
      <c r="EMZ51" s="136"/>
      <c r="ENA51" s="136"/>
      <c r="ENB51" s="136"/>
      <c r="ENC51" s="136"/>
      <c r="END51" s="136"/>
      <c r="ENE51" s="136"/>
      <c r="ENF51" s="136"/>
      <c r="ENG51" s="136"/>
      <c r="ENH51" s="136"/>
      <c r="ENI51" s="136"/>
      <c r="ENJ51" s="136"/>
      <c r="ENK51" s="136"/>
      <c r="ENL51" s="136"/>
      <c r="ENM51" s="136"/>
      <c r="ENN51" s="136"/>
      <c r="ENO51" s="136"/>
      <c r="ENP51" s="136"/>
      <c r="ENQ51" s="136"/>
      <c r="ENR51" s="136"/>
      <c r="ENS51" s="136"/>
      <c r="ENT51" s="136"/>
      <c r="ENU51" s="136"/>
      <c r="ENV51" s="136"/>
      <c r="ENW51" s="136"/>
      <c r="ENX51" s="136"/>
      <c r="ENY51" s="136"/>
      <c r="ENZ51" s="136"/>
      <c r="EOA51" s="136"/>
      <c r="EOB51" s="136"/>
      <c r="EOC51" s="136"/>
      <c r="EOD51" s="136"/>
      <c r="EOE51" s="136"/>
      <c r="EOF51" s="136"/>
      <c r="EOG51" s="136"/>
      <c r="EOH51" s="136"/>
      <c r="EOI51" s="136"/>
      <c r="EOJ51" s="136"/>
      <c r="EOK51" s="136"/>
      <c r="EOL51" s="136"/>
      <c r="EOM51" s="136"/>
      <c r="EON51" s="136"/>
      <c r="EOO51" s="136"/>
      <c r="EOP51" s="136"/>
      <c r="EOQ51" s="136"/>
      <c r="EOR51" s="136"/>
      <c r="EOS51" s="136"/>
      <c r="EOT51" s="136"/>
      <c r="EOU51" s="136"/>
      <c r="EOV51" s="136"/>
      <c r="EOW51" s="136"/>
      <c r="EOX51" s="136"/>
      <c r="EOY51" s="136"/>
      <c r="EOZ51" s="136"/>
      <c r="EPA51" s="136"/>
      <c r="EPB51" s="136"/>
      <c r="EPC51" s="136"/>
      <c r="EPD51" s="136"/>
      <c r="EPE51" s="136"/>
      <c r="EPF51" s="136"/>
      <c r="EPG51" s="136"/>
      <c r="EPH51" s="136"/>
      <c r="EPI51" s="136"/>
      <c r="EPJ51" s="136"/>
      <c r="EPK51" s="136"/>
      <c r="EPL51" s="136"/>
      <c r="EPM51" s="136"/>
      <c r="EPN51" s="136"/>
      <c r="EPO51" s="136"/>
      <c r="EPP51" s="136"/>
      <c r="EPQ51" s="136"/>
      <c r="EPR51" s="136"/>
      <c r="EPS51" s="136"/>
      <c r="EPT51" s="136"/>
      <c r="EPU51" s="136"/>
      <c r="EPV51" s="136"/>
      <c r="EPW51" s="136"/>
      <c r="EPX51" s="136"/>
      <c r="EPY51" s="136"/>
      <c r="EPZ51" s="136"/>
      <c r="EQA51" s="136"/>
      <c r="EQB51" s="136"/>
      <c r="EQC51" s="136"/>
      <c r="EQD51" s="136"/>
      <c r="EQE51" s="136"/>
      <c r="EQF51" s="136"/>
      <c r="EQG51" s="136"/>
      <c r="EQH51" s="136"/>
      <c r="EQI51" s="136"/>
      <c r="EQJ51" s="136"/>
      <c r="EQK51" s="136"/>
      <c r="EQL51" s="136"/>
      <c r="EQM51" s="136"/>
      <c r="EQN51" s="136"/>
      <c r="EQO51" s="136"/>
      <c r="EQP51" s="136"/>
      <c r="EQQ51" s="136"/>
      <c r="EQR51" s="136"/>
      <c r="EQS51" s="136"/>
      <c r="EQT51" s="136"/>
      <c r="EQU51" s="136"/>
      <c r="EQV51" s="136"/>
      <c r="EQW51" s="136"/>
      <c r="EQX51" s="136"/>
      <c r="EQY51" s="136"/>
      <c r="EQZ51" s="136"/>
      <c r="ERA51" s="136"/>
      <c r="ERB51" s="136"/>
      <c r="ERC51" s="136"/>
      <c r="ERD51" s="136"/>
      <c r="ERE51" s="136"/>
      <c r="ERF51" s="136"/>
      <c r="ERG51" s="136"/>
      <c r="ERH51" s="136"/>
      <c r="ERI51" s="136"/>
      <c r="ERJ51" s="136"/>
      <c r="ERK51" s="136"/>
      <c r="ERL51" s="136"/>
      <c r="ERM51" s="136"/>
      <c r="ERN51" s="136"/>
      <c r="ERO51" s="136"/>
      <c r="ERP51" s="136"/>
      <c r="ERQ51" s="136"/>
      <c r="ERR51" s="136"/>
      <c r="ERS51" s="136"/>
      <c r="ERT51" s="136"/>
      <c r="ERU51" s="136"/>
      <c r="ERV51" s="136"/>
      <c r="ERW51" s="136"/>
      <c r="ERX51" s="136"/>
      <c r="ERY51" s="136"/>
      <c r="ERZ51" s="136"/>
      <c r="ESA51" s="136"/>
      <c r="ESB51" s="136"/>
      <c r="ESC51" s="136"/>
      <c r="ESD51" s="136"/>
      <c r="ESE51" s="136"/>
      <c r="ESF51" s="136"/>
      <c r="ESG51" s="136"/>
      <c r="ESH51" s="136"/>
      <c r="ESI51" s="136"/>
      <c r="ESJ51" s="136"/>
      <c r="ESK51" s="136"/>
      <c r="ESL51" s="136"/>
      <c r="ESM51" s="136"/>
      <c r="ESN51" s="136"/>
      <c r="ESO51" s="136"/>
      <c r="ESP51" s="136"/>
      <c r="ESQ51" s="136"/>
      <c r="ESR51" s="136"/>
      <c r="ESS51" s="136"/>
      <c r="EST51" s="136"/>
      <c r="ESU51" s="136"/>
      <c r="ESV51" s="136"/>
      <c r="ESW51" s="136"/>
      <c r="ESX51" s="136"/>
      <c r="ESY51" s="136"/>
      <c r="ESZ51" s="136"/>
      <c r="ETA51" s="136"/>
      <c r="ETB51" s="136"/>
      <c r="ETC51" s="136"/>
      <c r="ETD51" s="136"/>
      <c r="ETE51" s="136"/>
      <c r="ETF51" s="136"/>
      <c r="ETG51" s="136"/>
      <c r="ETH51" s="136"/>
      <c r="ETI51" s="136"/>
      <c r="ETJ51" s="136"/>
      <c r="ETK51" s="136"/>
      <c r="ETL51" s="136"/>
      <c r="ETM51" s="136"/>
      <c r="ETN51" s="136"/>
      <c r="ETO51" s="136"/>
      <c r="ETP51" s="136"/>
      <c r="ETQ51" s="136"/>
      <c r="ETR51" s="136"/>
      <c r="ETS51" s="136"/>
      <c r="ETT51" s="136"/>
      <c r="ETU51" s="136"/>
      <c r="ETV51" s="136"/>
      <c r="ETW51" s="136"/>
      <c r="ETX51" s="136"/>
      <c r="ETY51" s="136"/>
      <c r="ETZ51" s="136"/>
      <c r="EUA51" s="136"/>
      <c r="EUB51" s="136"/>
      <c r="EUC51" s="136"/>
      <c r="EUD51" s="136"/>
      <c r="EUE51" s="136"/>
      <c r="EUF51" s="136"/>
      <c r="EUG51" s="136"/>
      <c r="EUH51" s="136"/>
      <c r="EUI51" s="136"/>
      <c r="EUJ51" s="136"/>
      <c r="EUK51" s="136"/>
      <c r="EUL51" s="136"/>
      <c r="EUM51" s="136"/>
      <c r="EUN51" s="136"/>
      <c r="EUO51" s="136"/>
      <c r="EUP51" s="136"/>
      <c r="EUQ51" s="136"/>
      <c r="EUR51" s="136"/>
      <c r="EUS51" s="136"/>
      <c r="EUT51" s="136"/>
      <c r="EUU51" s="136"/>
      <c r="EUV51" s="136"/>
      <c r="EUW51" s="136"/>
      <c r="EUX51" s="136"/>
      <c r="EUY51" s="136"/>
      <c r="EUZ51" s="136"/>
      <c r="EVA51" s="136"/>
      <c r="EVB51" s="136"/>
      <c r="EVC51" s="136"/>
      <c r="EVD51" s="136"/>
      <c r="EVE51" s="136"/>
      <c r="EVF51" s="136"/>
      <c r="EVG51" s="136"/>
      <c r="EVH51" s="136"/>
      <c r="EVI51" s="136"/>
      <c r="EVJ51" s="136"/>
      <c r="EVK51" s="136"/>
      <c r="EVL51" s="136"/>
      <c r="EVM51" s="136"/>
      <c r="EVN51" s="136"/>
      <c r="EVO51" s="136"/>
      <c r="EVP51" s="136"/>
      <c r="EVQ51" s="136"/>
      <c r="EVR51" s="136"/>
      <c r="EVS51" s="136"/>
      <c r="EVT51" s="136"/>
      <c r="EVU51" s="136"/>
      <c r="EVV51" s="136"/>
      <c r="EVW51" s="136"/>
      <c r="EVX51" s="136"/>
      <c r="EVY51" s="136"/>
      <c r="EVZ51" s="136"/>
      <c r="EWA51" s="136"/>
      <c r="EWB51" s="136"/>
      <c r="EWC51" s="136"/>
      <c r="EWD51" s="136"/>
      <c r="EWE51" s="136"/>
      <c r="EWF51" s="136"/>
      <c r="EWG51" s="136"/>
      <c r="EWH51" s="136"/>
      <c r="EWI51" s="136"/>
      <c r="EWJ51" s="136"/>
      <c r="EWK51" s="136"/>
      <c r="EWL51" s="136"/>
      <c r="EWM51" s="136"/>
      <c r="EWN51" s="136"/>
      <c r="EWO51" s="136"/>
      <c r="EWP51" s="136"/>
      <c r="EWQ51" s="136"/>
      <c r="EWR51" s="136"/>
      <c r="EWS51" s="136"/>
      <c r="EWT51" s="136"/>
      <c r="EWU51" s="136"/>
      <c r="EWV51" s="136"/>
      <c r="EWW51" s="136"/>
      <c r="EWX51" s="136"/>
      <c r="EWY51" s="136"/>
      <c r="EWZ51" s="136"/>
      <c r="EXA51" s="136"/>
      <c r="EXB51" s="136"/>
      <c r="EXC51" s="136"/>
      <c r="EXD51" s="136"/>
      <c r="EXE51" s="136"/>
      <c r="EXF51" s="136"/>
      <c r="EXG51" s="136"/>
      <c r="EXH51" s="136"/>
      <c r="EXI51" s="136"/>
      <c r="EXJ51" s="136"/>
      <c r="EXK51" s="136"/>
      <c r="EXL51" s="136"/>
      <c r="EXM51" s="136"/>
      <c r="EXN51" s="136"/>
      <c r="EXO51" s="136"/>
      <c r="EXP51" s="136"/>
      <c r="EXQ51" s="136"/>
      <c r="EXR51" s="136"/>
      <c r="EXS51" s="136"/>
      <c r="EXT51" s="136"/>
      <c r="EXU51" s="136"/>
      <c r="EXV51" s="136"/>
      <c r="EXW51" s="136"/>
      <c r="EXX51" s="136"/>
      <c r="EXY51" s="136"/>
      <c r="EXZ51" s="136"/>
      <c r="EYA51" s="136"/>
      <c r="EYB51" s="136"/>
      <c r="EYC51" s="136"/>
      <c r="EYD51" s="136"/>
      <c r="EYE51" s="136"/>
      <c r="EYF51" s="136"/>
      <c r="EYG51" s="136"/>
      <c r="EYH51" s="136"/>
      <c r="EYI51" s="136"/>
      <c r="EYJ51" s="136"/>
      <c r="EYK51" s="136"/>
      <c r="EYL51" s="136"/>
      <c r="EYM51" s="136"/>
      <c r="EYN51" s="136"/>
      <c r="EYO51" s="136"/>
      <c r="EYP51" s="136"/>
      <c r="EYQ51" s="136"/>
      <c r="EYR51" s="136"/>
      <c r="EYS51" s="136"/>
      <c r="EYT51" s="136"/>
      <c r="EYU51" s="136"/>
      <c r="EYV51" s="136"/>
      <c r="EYW51" s="136"/>
      <c r="EYX51" s="136"/>
      <c r="EYY51" s="136"/>
      <c r="EYZ51" s="136"/>
      <c r="EZA51" s="136"/>
      <c r="EZB51" s="136"/>
      <c r="EZC51" s="136"/>
      <c r="EZD51" s="136"/>
      <c r="EZE51" s="136"/>
      <c r="EZF51" s="136"/>
      <c r="EZG51" s="136"/>
      <c r="EZH51" s="136"/>
      <c r="EZI51" s="136"/>
      <c r="EZJ51" s="136"/>
      <c r="EZK51" s="136"/>
      <c r="EZL51" s="136"/>
      <c r="EZM51" s="136"/>
      <c r="EZN51" s="136"/>
      <c r="EZO51" s="136"/>
      <c r="EZP51" s="136"/>
      <c r="EZQ51" s="136"/>
      <c r="EZR51" s="136"/>
      <c r="EZS51" s="136"/>
      <c r="EZT51" s="136"/>
      <c r="EZU51" s="136"/>
      <c r="EZV51" s="136"/>
      <c r="EZW51" s="136"/>
      <c r="EZX51" s="136"/>
      <c r="EZY51" s="136"/>
      <c r="EZZ51" s="136"/>
      <c r="FAA51" s="136"/>
      <c r="FAB51" s="136"/>
      <c r="FAC51" s="136"/>
      <c r="FAD51" s="136"/>
      <c r="FAE51" s="136"/>
      <c r="FAF51" s="136"/>
      <c r="FAG51" s="136"/>
      <c r="FAH51" s="136"/>
      <c r="FAI51" s="136"/>
      <c r="FAJ51" s="136"/>
      <c r="FAK51" s="136"/>
      <c r="FAL51" s="136"/>
      <c r="FAM51" s="136"/>
      <c r="FAN51" s="136"/>
      <c r="FAO51" s="136"/>
      <c r="FAP51" s="136"/>
      <c r="FAQ51" s="136"/>
      <c r="FAR51" s="136"/>
      <c r="FAS51" s="136"/>
      <c r="FAT51" s="136"/>
      <c r="FAU51" s="136"/>
      <c r="FAV51" s="136"/>
      <c r="FAW51" s="136"/>
      <c r="FAX51" s="136"/>
      <c r="FAY51" s="136"/>
      <c r="FAZ51" s="136"/>
      <c r="FBA51" s="136"/>
      <c r="FBB51" s="136"/>
      <c r="FBC51" s="136"/>
      <c r="FBD51" s="136"/>
      <c r="FBE51" s="136"/>
      <c r="FBF51" s="136"/>
      <c r="FBG51" s="136"/>
      <c r="FBH51" s="136"/>
      <c r="FBI51" s="136"/>
      <c r="FBJ51" s="136"/>
      <c r="FBK51" s="136"/>
      <c r="FBL51" s="136"/>
      <c r="FBM51" s="136"/>
      <c r="FBN51" s="136"/>
      <c r="FBO51" s="136"/>
      <c r="FBP51" s="136"/>
      <c r="FBQ51" s="136"/>
      <c r="FBR51" s="136"/>
      <c r="FBS51" s="136"/>
      <c r="FBT51" s="136"/>
      <c r="FBU51" s="136"/>
      <c r="FBV51" s="136"/>
      <c r="FBW51" s="136"/>
      <c r="FBX51" s="136"/>
      <c r="FBY51" s="136"/>
      <c r="FBZ51" s="136"/>
      <c r="FCA51" s="136"/>
      <c r="FCB51" s="136"/>
      <c r="FCC51" s="136"/>
      <c r="FCD51" s="136"/>
      <c r="FCE51" s="136"/>
      <c r="FCF51" s="136"/>
      <c r="FCG51" s="136"/>
      <c r="FCH51" s="136"/>
      <c r="FCI51" s="136"/>
      <c r="FCJ51" s="136"/>
      <c r="FCK51" s="136"/>
      <c r="FCL51" s="136"/>
      <c r="FCM51" s="136"/>
      <c r="FCN51" s="136"/>
      <c r="FCO51" s="136"/>
      <c r="FCP51" s="136"/>
      <c r="FCQ51" s="136"/>
      <c r="FCR51" s="136"/>
      <c r="FCS51" s="136"/>
      <c r="FCT51" s="136"/>
      <c r="FCU51" s="136"/>
      <c r="FCV51" s="136"/>
      <c r="FCW51" s="136"/>
      <c r="FCX51" s="136"/>
      <c r="FCY51" s="136"/>
      <c r="FCZ51" s="136"/>
      <c r="FDA51" s="136"/>
      <c r="FDB51" s="136"/>
      <c r="FDC51" s="136"/>
      <c r="FDD51" s="136"/>
      <c r="FDE51" s="136"/>
      <c r="FDF51" s="136"/>
      <c r="FDG51" s="136"/>
      <c r="FDH51" s="136"/>
      <c r="FDI51" s="136"/>
      <c r="FDJ51" s="136"/>
      <c r="FDK51" s="136"/>
      <c r="FDL51" s="136"/>
      <c r="FDM51" s="136"/>
      <c r="FDN51" s="136"/>
      <c r="FDO51" s="136"/>
      <c r="FDP51" s="136"/>
      <c r="FDQ51" s="136"/>
      <c r="FDR51" s="136"/>
      <c r="FDS51" s="136"/>
      <c r="FDT51" s="136"/>
      <c r="FDU51" s="136"/>
      <c r="FDV51" s="136"/>
      <c r="FDW51" s="136"/>
      <c r="FDX51" s="136"/>
      <c r="FDY51" s="136"/>
      <c r="FDZ51" s="136"/>
      <c r="FEA51" s="136"/>
      <c r="FEB51" s="136"/>
      <c r="FEC51" s="136"/>
      <c r="FED51" s="136"/>
      <c r="FEE51" s="136"/>
      <c r="FEF51" s="136"/>
      <c r="FEG51" s="136"/>
      <c r="FEH51" s="136"/>
      <c r="FEI51" s="136"/>
      <c r="FEJ51" s="136"/>
      <c r="FEK51" s="136"/>
      <c r="FEL51" s="136"/>
      <c r="FEM51" s="136"/>
      <c r="FEN51" s="136"/>
      <c r="FEO51" s="136"/>
      <c r="FEP51" s="136"/>
      <c r="FEQ51" s="136"/>
      <c r="FER51" s="136"/>
      <c r="FES51" s="136"/>
      <c r="FET51" s="136"/>
      <c r="FEU51" s="136"/>
      <c r="FEV51" s="136"/>
      <c r="FEW51" s="136"/>
      <c r="FEX51" s="136"/>
      <c r="FEY51" s="136"/>
      <c r="FEZ51" s="136"/>
      <c r="FFA51" s="136"/>
      <c r="FFB51" s="136"/>
      <c r="FFC51" s="136"/>
      <c r="FFD51" s="136"/>
      <c r="FFE51" s="136"/>
      <c r="FFF51" s="136"/>
      <c r="FFG51" s="136"/>
      <c r="FFH51" s="136"/>
      <c r="FFI51" s="136"/>
      <c r="FFJ51" s="136"/>
      <c r="FFK51" s="136"/>
      <c r="FFL51" s="136"/>
      <c r="FFM51" s="136"/>
      <c r="FFN51" s="136"/>
      <c r="FFO51" s="136"/>
      <c r="FFP51" s="136"/>
      <c r="FFQ51" s="136"/>
      <c r="FFR51" s="136"/>
      <c r="FFS51" s="136"/>
      <c r="FFT51" s="136"/>
      <c r="FFU51" s="136"/>
      <c r="FFV51" s="136"/>
      <c r="FFW51" s="136"/>
      <c r="FFX51" s="136"/>
      <c r="FFY51" s="136"/>
      <c r="FFZ51" s="136"/>
      <c r="FGA51" s="136"/>
      <c r="FGB51" s="136"/>
      <c r="FGC51" s="136"/>
      <c r="FGD51" s="136"/>
      <c r="FGE51" s="136"/>
      <c r="FGF51" s="136"/>
      <c r="FGG51" s="136"/>
      <c r="FGH51" s="136"/>
      <c r="FGI51" s="136"/>
      <c r="FGJ51" s="136"/>
      <c r="FGK51" s="136"/>
      <c r="FGL51" s="136"/>
      <c r="FGM51" s="136"/>
      <c r="FGN51" s="136"/>
      <c r="FGO51" s="136"/>
      <c r="FGP51" s="136"/>
      <c r="FGQ51" s="136"/>
      <c r="FGR51" s="136"/>
      <c r="FGS51" s="136"/>
      <c r="FGT51" s="136"/>
      <c r="FGU51" s="136"/>
      <c r="FGV51" s="136"/>
      <c r="FGW51" s="136"/>
      <c r="FGX51" s="136"/>
      <c r="FGY51" s="136"/>
      <c r="FGZ51" s="136"/>
      <c r="FHA51" s="136"/>
      <c r="FHB51" s="136"/>
      <c r="FHC51" s="136"/>
      <c r="FHD51" s="136"/>
      <c r="FHE51" s="136"/>
      <c r="FHF51" s="136"/>
      <c r="FHG51" s="136"/>
      <c r="FHH51" s="136"/>
      <c r="FHI51" s="136"/>
      <c r="FHJ51" s="136"/>
      <c r="FHK51" s="136"/>
      <c r="FHL51" s="136"/>
      <c r="FHM51" s="136"/>
      <c r="FHN51" s="136"/>
      <c r="FHO51" s="136"/>
      <c r="FHP51" s="136"/>
      <c r="FHQ51" s="136"/>
      <c r="FHR51" s="136"/>
      <c r="FHS51" s="136"/>
      <c r="FHT51" s="136"/>
      <c r="FHU51" s="136"/>
      <c r="FHV51" s="136"/>
      <c r="FHW51" s="136"/>
      <c r="FHX51" s="136"/>
      <c r="FHY51" s="136"/>
      <c r="FHZ51" s="136"/>
      <c r="FIA51" s="136"/>
      <c r="FIB51" s="136"/>
      <c r="FIC51" s="136"/>
      <c r="FID51" s="136"/>
      <c r="FIE51" s="136"/>
      <c r="FIF51" s="136"/>
      <c r="FIG51" s="136"/>
      <c r="FIH51" s="136"/>
      <c r="FII51" s="136"/>
      <c r="FIJ51" s="136"/>
      <c r="FIK51" s="136"/>
      <c r="FIL51" s="136"/>
      <c r="FIM51" s="136"/>
      <c r="FIN51" s="136"/>
      <c r="FIO51" s="136"/>
      <c r="FIP51" s="136"/>
      <c r="FIQ51" s="136"/>
      <c r="FIR51" s="136"/>
      <c r="FIS51" s="136"/>
      <c r="FIT51" s="136"/>
      <c r="FIU51" s="136"/>
      <c r="FIV51" s="136"/>
      <c r="FIW51" s="136"/>
      <c r="FIX51" s="136"/>
      <c r="FIY51" s="136"/>
      <c r="FIZ51" s="136"/>
      <c r="FJA51" s="136"/>
      <c r="FJB51" s="136"/>
      <c r="FJC51" s="136"/>
      <c r="FJD51" s="136"/>
      <c r="FJE51" s="136"/>
      <c r="FJF51" s="136"/>
      <c r="FJG51" s="136"/>
      <c r="FJH51" s="136"/>
      <c r="FJI51" s="136"/>
      <c r="FJJ51" s="136"/>
      <c r="FJK51" s="136"/>
      <c r="FJL51" s="136"/>
      <c r="FJM51" s="136"/>
      <c r="FJN51" s="136"/>
      <c r="FJO51" s="136"/>
      <c r="FJP51" s="136"/>
      <c r="FJQ51" s="136"/>
      <c r="FJR51" s="136"/>
      <c r="FJS51" s="136"/>
      <c r="FJT51" s="136"/>
      <c r="FJU51" s="136"/>
      <c r="FJV51" s="136"/>
      <c r="FJW51" s="136"/>
      <c r="FJX51" s="136"/>
      <c r="FJY51" s="136"/>
      <c r="FJZ51" s="136"/>
      <c r="FKA51" s="136"/>
      <c r="FKB51" s="136"/>
      <c r="FKC51" s="136"/>
      <c r="FKD51" s="136"/>
      <c r="FKE51" s="136"/>
      <c r="FKF51" s="136"/>
      <c r="FKG51" s="136"/>
      <c r="FKH51" s="136"/>
      <c r="FKI51" s="136"/>
      <c r="FKJ51" s="136"/>
      <c r="FKK51" s="136"/>
      <c r="FKL51" s="136"/>
      <c r="FKM51" s="136"/>
      <c r="FKN51" s="136"/>
      <c r="FKO51" s="136"/>
      <c r="FKP51" s="136"/>
      <c r="FKQ51" s="136"/>
      <c r="FKR51" s="136"/>
      <c r="FKS51" s="136"/>
      <c r="FKT51" s="136"/>
      <c r="FKU51" s="136"/>
      <c r="FKV51" s="136"/>
      <c r="FKW51" s="136"/>
      <c r="FKX51" s="136"/>
      <c r="FKY51" s="136"/>
      <c r="FKZ51" s="136"/>
      <c r="FLA51" s="136"/>
      <c r="FLB51" s="136"/>
      <c r="FLC51" s="136"/>
      <c r="FLD51" s="136"/>
      <c r="FLE51" s="136"/>
      <c r="FLF51" s="136"/>
      <c r="FLG51" s="136"/>
      <c r="FLH51" s="136"/>
      <c r="FLI51" s="136"/>
      <c r="FLJ51" s="136"/>
      <c r="FLK51" s="136"/>
      <c r="FLL51" s="136"/>
      <c r="FLM51" s="136"/>
      <c r="FLN51" s="136"/>
      <c r="FLO51" s="136"/>
      <c r="FLP51" s="136"/>
      <c r="FLQ51" s="136"/>
      <c r="FLR51" s="136"/>
      <c r="FLS51" s="136"/>
      <c r="FLT51" s="136"/>
      <c r="FLU51" s="136"/>
      <c r="FLV51" s="136"/>
      <c r="FLW51" s="136"/>
      <c r="FLX51" s="136"/>
      <c r="FLY51" s="136"/>
      <c r="FLZ51" s="136"/>
      <c r="FMA51" s="136"/>
      <c r="FMB51" s="136"/>
      <c r="FMC51" s="136"/>
      <c r="FMD51" s="136"/>
      <c r="FME51" s="136"/>
      <c r="FMF51" s="136"/>
      <c r="FMG51" s="136"/>
      <c r="FMH51" s="136"/>
      <c r="FMI51" s="136"/>
      <c r="FMJ51" s="136"/>
      <c r="FMK51" s="136"/>
      <c r="FML51" s="136"/>
      <c r="FMM51" s="136"/>
      <c r="FMN51" s="136"/>
      <c r="FMO51" s="136"/>
      <c r="FMP51" s="136"/>
      <c r="FMQ51" s="136"/>
      <c r="FMR51" s="136"/>
      <c r="FMS51" s="136"/>
      <c r="FMT51" s="136"/>
      <c r="FMU51" s="136"/>
      <c r="FMV51" s="136"/>
      <c r="FMW51" s="136"/>
      <c r="FMX51" s="136"/>
      <c r="FMY51" s="136"/>
      <c r="FMZ51" s="136"/>
      <c r="FNA51" s="136"/>
      <c r="FNB51" s="136"/>
      <c r="FNC51" s="136"/>
      <c r="FND51" s="136"/>
      <c r="FNE51" s="136"/>
      <c r="FNF51" s="136"/>
      <c r="FNG51" s="136"/>
      <c r="FNH51" s="136"/>
      <c r="FNI51" s="136"/>
      <c r="FNJ51" s="136"/>
      <c r="FNK51" s="136"/>
      <c r="FNL51" s="136"/>
      <c r="FNM51" s="136"/>
      <c r="FNN51" s="136"/>
      <c r="FNO51" s="136"/>
      <c r="FNP51" s="136"/>
      <c r="FNQ51" s="136"/>
      <c r="FNR51" s="136"/>
      <c r="FNS51" s="136"/>
      <c r="FNT51" s="136"/>
      <c r="FNU51" s="136"/>
      <c r="FNV51" s="136"/>
      <c r="FNW51" s="136"/>
      <c r="FNX51" s="136"/>
      <c r="FNY51" s="136"/>
      <c r="FNZ51" s="136"/>
      <c r="FOA51" s="136"/>
      <c r="FOB51" s="136"/>
      <c r="FOC51" s="136"/>
      <c r="FOD51" s="136"/>
      <c r="FOE51" s="136"/>
      <c r="FOF51" s="136"/>
      <c r="FOG51" s="136"/>
      <c r="FOH51" s="136"/>
      <c r="FOI51" s="136"/>
      <c r="FOJ51" s="136"/>
      <c r="FOK51" s="136"/>
      <c r="FOL51" s="136"/>
      <c r="FOM51" s="136"/>
      <c r="FON51" s="136"/>
      <c r="FOO51" s="136"/>
      <c r="FOP51" s="136"/>
      <c r="FOQ51" s="136"/>
      <c r="FOR51" s="136"/>
      <c r="FOS51" s="136"/>
      <c r="FOT51" s="136"/>
      <c r="FOU51" s="136"/>
      <c r="FOV51" s="136"/>
      <c r="FOW51" s="136"/>
      <c r="FOX51" s="136"/>
      <c r="FOY51" s="136"/>
      <c r="FOZ51" s="136"/>
      <c r="FPA51" s="136"/>
      <c r="FPB51" s="136"/>
      <c r="FPC51" s="136"/>
      <c r="FPD51" s="136"/>
      <c r="FPE51" s="136"/>
      <c r="FPF51" s="136"/>
      <c r="FPG51" s="136"/>
      <c r="FPH51" s="136"/>
      <c r="FPI51" s="136"/>
      <c r="FPJ51" s="136"/>
      <c r="FPK51" s="136"/>
      <c r="FPL51" s="136"/>
      <c r="FPM51" s="136"/>
      <c r="FPN51" s="136"/>
      <c r="FPO51" s="136"/>
      <c r="FPP51" s="136"/>
      <c r="FPQ51" s="136"/>
      <c r="FPR51" s="136"/>
      <c r="FPS51" s="136"/>
      <c r="FPT51" s="136"/>
      <c r="FPU51" s="136"/>
      <c r="FPV51" s="136"/>
      <c r="FPW51" s="136"/>
      <c r="FPX51" s="136"/>
      <c r="FPY51" s="136"/>
      <c r="FPZ51" s="136"/>
      <c r="FQA51" s="136"/>
      <c r="FQB51" s="136"/>
      <c r="FQC51" s="136"/>
      <c r="FQD51" s="136"/>
      <c r="FQE51" s="136"/>
      <c r="FQF51" s="136"/>
      <c r="FQG51" s="136"/>
      <c r="FQH51" s="136"/>
      <c r="FQI51" s="136"/>
      <c r="FQJ51" s="136"/>
      <c r="FQK51" s="136"/>
      <c r="FQL51" s="136"/>
      <c r="FQM51" s="136"/>
      <c r="FQN51" s="136"/>
      <c r="FQO51" s="136"/>
      <c r="FQP51" s="136"/>
      <c r="FQQ51" s="136"/>
      <c r="FQR51" s="136"/>
      <c r="FQS51" s="136"/>
      <c r="FQT51" s="136"/>
      <c r="FQU51" s="136"/>
      <c r="FQV51" s="136"/>
      <c r="FQW51" s="136"/>
      <c r="FQX51" s="136"/>
      <c r="FQY51" s="136"/>
      <c r="FQZ51" s="136"/>
      <c r="FRA51" s="136"/>
      <c r="FRB51" s="136"/>
      <c r="FRC51" s="136"/>
      <c r="FRD51" s="136"/>
      <c r="FRE51" s="136"/>
      <c r="FRF51" s="136"/>
      <c r="FRG51" s="136"/>
      <c r="FRH51" s="136"/>
      <c r="FRI51" s="136"/>
      <c r="FRJ51" s="136"/>
      <c r="FRK51" s="136"/>
      <c r="FRL51" s="136"/>
      <c r="FRM51" s="136"/>
      <c r="FRN51" s="136"/>
      <c r="FRO51" s="136"/>
      <c r="FRP51" s="136"/>
      <c r="FRQ51" s="136"/>
      <c r="FRR51" s="136"/>
      <c r="FRS51" s="136"/>
      <c r="FRT51" s="136"/>
      <c r="FRU51" s="136"/>
      <c r="FRV51" s="136"/>
      <c r="FRW51" s="136"/>
      <c r="FRX51" s="136"/>
      <c r="FRY51" s="136"/>
      <c r="FRZ51" s="136"/>
      <c r="FSA51" s="136"/>
      <c r="FSB51" s="136"/>
      <c r="FSC51" s="136"/>
      <c r="FSD51" s="136"/>
      <c r="FSE51" s="136"/>
      <c r="FSF51" s="136"/>
      <c r="FSG51" s="136"/>
      <c r="FSH51" s="136"/>
      <c r="FSI51" s="136"/>
      <c r="FSJ51" s="136"/>
      <c r="FSK51" s="136"/>
      <c r="FSL51" s="136"/>
      <c r="FSM51" s="136"/>
      <c r="FSN51" s="136"/>
      <c r="FSO51" s="136"/>
      <c r="FSP51" s="136"/>
      <c r="FSQ51" s="136"/>
      <c r="FSR51" s="136"/>
      <c r="FSS51" s="136"/>
      <c r="FST51" s="136"/>
      <c r="FSU51" s="136"/>
      <c r="FSV51" s="136"/>
      <c r="FSW51" s="136"/>
      <c r="FSX51" s="136"/>
      <c r="FSY51" s="136"/>
      <c r="FSZ51" s="136"/>
      <c r="FTA51" s="136"/>
      <c r="FTB51" s="136"/>
      <c r="FTC51" s="136"/>
      <c r="FTD51" s="136"/>
      <c r="FTE51" s="136"/>
      <c r="FTF51" s="136"/>
      <c r="FTG51" s="136"/>
      <c r="FTH51" s="136"/>
      <c r="FTI51" s="136"/>
      <c r="FTJ51" s="136"/>
      <c r="FTK51" s="136"/>
      <c r="FTL51" s="136"/>
      <c r="FTM51" s="136"/>
      <c r="FTN51" s="136"/>
      <c r="FTO51" s="136"/>
      <c r="FTP51" s="136"/>
      <c r="FTQ51" s="136"/>
      <c r="FTR51" s="136"/>
      <c r="FTS51" s="136"/>
      <c r="FTT51" s="136"/>
      <c r="FTU51" s="136"/>
      <c r="FTV51" s="136"/>
      <c r="FTW51" s="136"/>
      <c r="FTX51" s="136"/>
      <c r="FTY51" s="136"/>
      <c r="FTZ51" s="136"/>
      <c r="FUA51" s="136"/>
      <c r="FUB51" s="136"/>
      <c r="FUC51" s="136"/>
      <c r="FUD51" s="136"/>
      <c r="FUE51" s="136"/>
      <c r="FUF51" s="136"/>
      <c r="FUG51" s="136"/>
      <c r="FUH51" s="136"/>
      <c r="FUI51" s="136"/>
      <c r="FUJ51" s="136"/>
      <c r="FUK51" s="136"/>
      <c r="FUL51" s="136"/>
      <c r="FUM51" s="136"/>
      <c r="FUN51" s="136"/>
      <c r="FUO51" s="136"/>
      <c r="FUP51" s="136"/>
      <c r="FUQ51" s="136"/>
      <c r="FUR51" s="136"/>
      <c r="FUS51" s="136"/>
      <c r="FUT51" s="136"/>
      <c r="FUU51" s="136"/>
      <c r="FUV51" s="136"/>
      <c r="FUW51" s="136"/>
      <c r="FUX51" s="136"/>
      <c r="FUY51" s="136"/>
      <c r="FUZ51" s="136"/>
      <c r="FVA51" s="136"/>
      <c r="FVB51" s="136"/>
      <c r="FVC51" s="136"/>
      <c r="FVD51" s="136"/>
      <c r="FVE51" s="136"/>
      <c r="FVF51" s="136"/>
      <c r="FVG51" s="136"/>
      <c r="FVH51" s="136"/>
      <c r="FVI51" s="136"/>
      <c r="FVJ51" s="136"/>
      <c r="FVK51" s="136"/>
      <c r="FVL51" s="136"/>
      <c r="FVM51" s="136"/>
      <c r="FVN51" s="136"/>
      <c r="FVO51" s="136"/>
      <c r="FVP51" s="136"/>
      <c r="FVQ51" s="136"/>
      <c r="FVR51" s="136"/>
      <c r="FVS51" s="136"/>
      <c r="FVT51" s="136"/>
      <c r="FVU51" s="136"/>
      <c r="FVV51" s="136"/>
      <c r="FVW51" s="136"/>
      <c r="FVX51" s="136"/>
      <c r="FVY51" s="136"/>
      <c r="FVZ51" s="136"/>
      <c r="FWA51" s="136"/>
      <c r="FWB51" s="136"/>
      <c r="FWC51" s="136"/>
      <c r="FWD51" s="136"/>
      <c r="FWE51" s="136"/>
      <c r="FWF51" s="136"/>
      <c r="FWG51" s="136"/>
      <c r="FWH51" s="136"/>
      <c r="FWI51" s="136"/>
      <c r="FWJ51" s="136"/>
      <c r="FWK51" s="136"/>
      <c r="FWL51" s="136"/>
      <c r="FWM51" s="136"/>
      <c r="FWN51" s="136"/>
      <c r="FWO51" s="136"/>
      <c r="FWP51" s="136"/>
      <c r="FWQ51" s="136"/>
      <c r="FWR51" s="136"/>
      <c r="FWS51" s="136"/>
      <c r="FWT51" s="136"/>
      <c r="FWU51" s="136"/>
      <c r="FWV51" s="136"/>
      <c r="FWW51" s="136"/>
      <c r="FWX51" s="136"/>
      <c r="FWY51" s="136"/>
      <c r="FWZ51" s="136"/>
      <c r="FXA51" s="136"/>
      <c r="FXB51" s="136"/>
      <c r="FXC51" s="136"/>
      <c r="FXD51" s="136"/>
      <c r="FXE51" s="136"/>
      <c r="FXF51" s="136"/>
      <c r="FXG51" s="136"/>
      <c r="FXH51" s="136"/>
      <c r="FXI51" s="136"/>
      <c r="FXJ51" s="136"/>
      <c r="FXK51" s="136"/>
      <c r="FXL51" s="136"/>
      <c r="FXM51" s="136"/>
      <c r="FXN51" s="136"/>
      <c r="FXO51" s="136"/>
      <c r="FXP51" s="136"/>
      <c r="FXQ51" s="136"/>
      <c r="FXR51" s="136"/>
      <c r="FXS51" s="136"/>
      <c r="FXT51" s="136"/>
      <c r="FXU51" s="136"/>
      <c r="FXV51" s="136"/>
      <c r="FXW51" s="136"/>
      <c r="FXX51" s="136"/>
      <c r="FXY51" s="136"/>
      <c r="FXZ51" s="136"/>
      <c r="FYA51" s="136"/>
      <c r="FYB51" s="136"/>
      <c r="FYC51" s="136"/>
      <c r="FYD51" s="136"/>
      <c r="FYE51" s="136"/>
      <c r="FYF51" s="136"/>
      <c r="FYG51" s="136"/>
      <c r="FYH51" s="136"/>
      <c r="FYI51" s="136"/>
      <c r="FYJ51" s="136"/>
      <c r="FYK51" s="136"/>
      <c r="FYL51" s="136"/>
      <c r="FYM51" s="136"/>
      <c r="FYN51" s="136"/>
      <c r="FYO51" s="136"/>
      <c r="FYP51" s="136"/>
      <c r="FYQ51" s="136"/>
      <c r="FYR51" s="136"/>
      <c r="FYS51" s="136"/>
      <c r="FYT51" s="136"/>
      <c r="FYU51" s="136"/>
      <c r="FYV51" s="136"/>
      <c r="FYW51" s="136"/>
      <c r="FYX51" s="136"/>
      <c r="FYY51" s="136"/>
      <c r="FYZ51" s="136"/>
      <c r="FZA51" s="136"/>
      <c r="FZB51" s="136"/>
      <c r="FZC51" s="136"/>
      <c r="FZD51" s="136"/>
      <c r="FZE51" s="136"/>
      <c r="FZF51" s="136"/>
      <c r="FZG51" s="136"/>
      <c r="FZH51" s="136"/>
      <c r="FZI51" s="136"/>
      <c r="FZJ51" s="136"/>
      <c r="FZK51" s="136"/>
      <c r="FZL51" s="136"/>
      <c r="FZM51" s="136"/>
      <c r="FZN51" s="136"/>
      <c r="FZO51" s="136"/>
      <c r="FZP51" s="136"/>
      <c r="FZQ51" s="136"/>
      <c r="FZR51" s="136"/>
      <c r="FZS51" s="136"/>
      <c r="FZT51" s="136"/>
      <c r="FZU51" s="136"/>
      <c r="FZV51" s="136"/>
      <c r="FZW51" s="136"/>
      <c r="FZX51" s="136"/>
      <c r="FZY51" s="136"/>
      <c r="FZZ51" s="136"/>
      <c r="GAA51" s="136"/>
      <c r="GAB51" s="136"/>
      <c r="GAC51" s="136"/>
      <c r="GAD51" s="136"/>
      <c r="GAE51" s="136"/>
      <c r="GAF51" s="136"/>
      <c r="GAG51" s="136"/>
      <c r="GAH51" s="136"/>
      <c r="GAI51" s="136"/>
      <c r="GAJ51" s="136"/>
      <c r="GAK51" s="136"/>
      <c r="GAL51" s="136"/>
      <c r="GAM51" s="136"/>
      <c r="GAN51" s="136"/>
      <c r="GAO51" s="136"/>
      <c r="GAP51" s="136"/>
      <c r="GAQ51" s="136"/>
      <c r="GAR51" s="136"/>
      <c r="GAS51" s="136"/>
      <c r="GAT51" s="136"/>
      <c r="GAU51" s="136"/>
      <c r="GAV51" s="136"/>
      <c r="GAW51" s="136"/>
      <c r="GAX51" s="136"/>
      <c r="GAY51" s="136"/>
      <c r="GAZ51" s="136"/>
      <c r="GBA51" s="136"/>
      <c r="GBB51" s="136"/>
      <c r="GBC51" s="136"/>
      <c r="GBD51" s="136"/>
      <c r="GBE51" s="136"/>
      <c r="GBF51" s="136"/>
      <c r="GBG51" s="136"/>
      <c r="GBH51" s="136"/>
      <c r="GBI51" s="136"/>
      <c r="GBJ51" s="136"/>
      <c r="GBK51" s="136"/>
      <c r="GBL51" s="136"/>
      <c r="GBM51" s="136"/>
      <c r="GBN51" s="136"/>
      <c r="GBO51" s="136"/>
      <c r="GBP51" s="136"/>
      <c r="GBQ51" s="136"/>
      <c r="GBR51" s="136"/>
      <c r="GBS51" s="136"/>
      <c r="GBT51" s="136"/>
      <c r="GBU51" s="136"/>
      <c r="GBV51" s="136"/>
      <c r="GBW51" s="136"/>
      <c r="GBX51" s="136"/>
      <c r="GBY51" s="136"/>
      <c r="GBZ51" s="136"/>
      <c r="GCA51" s="136"/>
      <c r="GCB51" s="136"/>
      <c r="GCC51" s="136"/>
      <c r="GCD51" s="136"/>
      <c r="GCE51" s="136"/>
      <c r="GCF51" s="136"/>
      <c r="GCG51" s="136"/>
      <c r="GCH51" s="136"/>
      <c r="GCI51" s="136"/>
      <c r="GCJ51" s="136"/>
      <c r="GCK51" s="136"/>
      <c r="GCL51" s="136"/>
      <c r="GCM51" s="136"/>
      <c r="GCN51" s="136"/>
      <c r="GCO51" s="136"/>
      <c r="GCP51" s="136"/>
      <c r="GCQ51" s="136"/>
      <c r="GCR51" s="136"/>
      <c r="GCS51" s="136"/>
      <c r="GCT51" s="136"/>
      <c r="GCU51" s="136"/>
      <c r="GCV51" s="136"/>
      <c r="GCW51" s="136"/>
      <c r="GCX51" s="136"/>
      <c r="GCY51" s="136"/>
      <c r="GCZ51" s="136"/>
      <c r="GDA51" s="136"/>
      <c r="GDB51" s="136"/>
      <c r="GDC51" s="136"/>
      <c r="GDD51" s="136"/>
      <c r="GDE51" s="136"/>
      <c r="GDF51" s="136"/>
      <c r="GDG51" s="136"/>
      <c r="GDH51" s="136"/>
      <c r="GDI51" s="136"/>
      <c r="GDJ51" s="136"/>
      <c r="GDK51" s="136"/>
      <c r="GDL51" s="136"/>
      <c r="GDM51" s="136"/>
      <c r="GDN51" s="136"/>
      <c r="GDO51" s="136"/>
      <c r="GDP51" s="136"/>
      <c r="GDQ51" s="136"/>
      <c r="GDR51" s="136"/>
      <c r="GDS51" s="136"/>
      <c r="GDT51" s="136"/>
      <c r="GDU51" s="136"/>
      <c r="GDV51" s="136"/>
      <c r="GDW51" s="136"/>
      <c r="GDX51" s="136"/>
      <c r="GDY51" s="136"/>
      <c r="GDZ51" s="136"/>
      <c r="GEA51" s="136"/>
      <c r="GEB51" s="136"/>
      <c r="GEC51" s="136"/>
      <c r="GED51" s="136"/>
      <c r="GEE51" s="136"/>
      <c r="GEF51" s="136"/>
      <c r="GEG51" s="136"/>
      <c r="GEH51" s="136"/>
      <c r="GEI51" s="136"/>
      <c r="GEJ51" s="136"/>
      <c r="GEK51" s="136"/>
      <c r="GEL51" s="136"/>
      <c r="GEM51" s="136"/>
      <c r="GEN51" s="136"/>
      <c r="GEO51" s="136"/>
      <c r="GEP51" s="136"/>
      <c r="GEQ51" s="136"/>
      <c r="GER51" s="136"/>
      <c r="GES51" s="136"/>
      <c r="GET51" s="136"/>
      <c r="GEU51" s="136"/>
      <c r="GEV51" s="136"/>
      <c r="GEW51" s="136"/>
      <c r="GEX51" s="136"/>
      <c r="GEY51" s="136"/>
      <c r="GEZ51" s="136"/>
      <c r="GFA51" s="136"/>
      <c r="GFB51" s="136"/>
      <c r="GFC51" s="136"/>
      <c r="GFD51" s="136"/>
      <c r="GFE51" s="136"/>
      <c r="GFF51" s="136"/>
      <c r="GFG51" s="136"/>
      <c r="GFH51" s="136"/>
      <c r="GFI51" s="136"/>
      <c r="GFJ51" s="136"/>
      <c r="GFK51" s="136"/>
      <c r="GFL51" s="136"/>
      <c r="GFM51" s="136"/>
      <c r="GFN51" s="136"/>
      <c r="GFO51" s="136"/>
      <c r="GFP51" s="136"/>
      <c r="GFQ51" s="136"/>
      <c r="GFR51" s="136"/>
      <c r="GFS51" s="136"/>
      <c r="GFT51" s="136"/>
      <c r="GFU51" s="136"/>
      <c r="GFV51" s="136"/>
      <c r="GFW51" s="136"/>
      <c r="GFX51" s="136"/>
      <c r="GFY51" s="136"/>
      <c r="GFZ51" s="136"/>
      <c r="GGA51" s="136"/>
      <c r="GGB51" s="136"/>
      <c r="GGC51" s="136"/>
      <c r="GGD51" s="136"/>
      <c r="GGE51" s="136"/>
      <c r="GGF51" s="136"/>
      <c r="GGG51" s="136"/>
      <c r="GGH51" s="136"/>
      <c r="GGI51" s="136"/>
      <c r="GGJ51" s="136"/>
      <c r="GGK51" s="136"/>
      <c r="GGL51" s="136"/>
      <c r="GGM51" s="136"/>
      <c r="GGN51" s="136"/>
      <c r="GGO51" s="136"/>
      <c r="GGP51" s="136"/>
      <c r="GGQ51" s="136"/>
      <c r="GGR51" s="136"/>
      <c r="GGS51" s="136"/>
      <c r="GGT51" s="136"/>
      <c r="GGU51" s="136"/>
      <c r="GGV51" s="136"/>
      <c r="GGW51" s="136"/>
      <c r="GGX51" s="136"/>
      <c r="GGY51" s="136"/>
      <c r="GGZ51" s="136"/>
      <c r="GHA51" s="136"/>
      <c r="GHB51" s="136"/>
      <c r="GHC51" s="136"/>
      <c r="GHD51" s="136"/>
      <c r="GHE51" s="136"/>
      <c r="GHF51" s="136"/>
      <c r="GHG51" s="136"/>
      <c r="GHH51" s="136"/>
      <c r="GHI51" s="136"/>
      <c r="GHJ51" s="136"/>
      <c r="GHK51" s="136"/>
      <c r="GHL51" s="136"/>
      <c r="GHM51" s="136"/>
      <c r="GHN51" s="136"/>
      <c r="GHO51" s="136"/>
      <c r="GHP51" s="136"/>
      <c r="GHQ51" s="136"/>
      <c r="GHR51" s="136"/>
      <c r="GHS51" s="136"/>
      <c r="GHT51" s="136"/>
      <c r="GHU51" s="136"/>
      <c r="GHV51" s="136"/>
      <c r="GHW51" s="136"/>
      <c r="GHX51" s="136"/>
      <c r="GHY51" s="136"/>
      <c r="GHZ51" s="136"/>
      <c r="GIA51" s="136"/>
      <c r="GIB51" s="136"/>
      <c r="GIC51" s="136"/>
      <c r="GID51" s="136"/>
      <c r="GIE51" s="136"/>
      <c r="GIF51" s="136"/>
      <c r="GIG51" s="136"/>
      <c r="GIH51" s="136"/>
      <c r="GII51" s="136"/>
      <c r="GIJ51" s="136"/>
      <c r="GIK51" s="136"/>
      <c r="GIL51" s="136"/>
      <c r="GIM51" s="136"/>
      <c r="GIN51" s="136"/>
      <c r="GIO51" s="136"/>
      <c r="GIP51" s="136"/>
      <c r="GIQ51" s="136"/>
      <c r="GIR51" s="136"/>
      <c r="GIS51" s="136"/>
      <c r="GIT51" s="136"/>
      <c r="GIU51" s="136"/>
      <c r="GIV51" s="136"/>
      <c r="GIW51" s="136"/>
      <c r="GIX51" s="136"/>
      <c r="GIY51" s="136"/>
      <c r="GIZ51" s="136"/>
      <c r="GJA51" s="136"/>
      <c r="GJB51" s="136"/>
      <c r="GJC51" s="136"/>
      <c r="GJD51" s="136"/>
      <c r="GJE51" s="136"/>
      <c r="GJF51" s="136"/>
      <c r="GJG51" s="136"/>
      <c r="GJH51" s="136"/>
      <c r="GJI51" s="136"/>
      <c r="GJJ51" s="136"/>
      <c r="GJK51" s="136"/>
      <c r="GJL51" s="136"/>
      <c r="GJM51" s="136"/>
      <c r="GJN51" s="136"/>
      <c r="GJO51" s="136"/>
      <c r="GJP51" s="136"/>
      <c r="GJQ51" s="136"/>
      <c r="GJR51" s="136"/>
      <c r="GJS51" s="136"/>
      <c r="GJT51" s="136"/>
      <c r="GJU51" s="136"/>
      <c r="GJV51" s="136"/>
      <c r="GJW51" s="136"/>
      <c r="GJX51" s="136"/>
      <c r="GJY51" s="136"/>
      <c r="GJZ51" s="136"/>
      <c r="GKA51" s="136"/>
      <c r="GKB51" s="136"/>
      <c r="GKC51" s="136"/>
      <c r="GKD51" s="136"/>
      <c r="GKE51" s="136"/>
      <c r="GKF51" s="136"/>
      <c r="GKG51" s="136"/>
      <c r="GKH51" s="136"/>
      <c r="GKI51" s="136"/>
      <c r="GKJ51" s="136"/>
      <c r="GKK51" s="136"/>
      <c r="GKL51" s="136"/>
      <c r="GKM51" s="136"/>
      <c r="GKN51" s="136"/>
      <c r="GKO51" s="136"/>
      <c r="GKP51" s="136"/>
      <c r="GKQ51" s="136"/>
      <c r="GKR51" s="136"/>
      <c r="GKS51" s="136"/>
      <c r="GKT51" s="136"/>
      <c r="GKU51" s="136"/>
      <c r="GKV51" s="136"/>
      <c r="GKW51" s="136"/>
      <c r="GKX51" s="136"/>
      <c r="GKY51" s="136"/>
      <c r="GKZ51" s="136"/>
      <c r="GLA51" s="136"/>
      <c r="GLB51" s="136"/>
      <c r="GLC51" s="136"/>
      <c r="GLD51" s="136"/>
      <c r="GLE51" s="136"/>
      <c r="GLF51" s="136"/>
      <c r="GLG51" s="136"/>
      <c r="GLH51" s="136"/>
      <c r="GLI51" s="136"/>
      <c r="GLJ51" s="136"/>
      <c r="GLK51" s="136"/>
      <c r="GLL51" s="136"/>
      <c r="GLM51" s="136"/>
      <c r="GLN51" s="136"/>
      <c r="GLO51" s="136"/>
      <c r="GLP51" s="136"/>
      <c r="GLQ51" s="136"/>
      <c r="GLR51" s="136"/>
      <c r="GLS51" s="136"/>
      <c r="GLT51" s="136"/>
      <c r="GLU51" s="136"/>
      <c r="GLV51" s="136"/>
      <c r="GLW51" s="136"/>
      <c r="GLX51" s="136"/>
      <c r="GLY51" s="136"/>
      <c r="GLZ51" s="136"/>
      <c r="GMA51" s="136"/>
      <c r="GMB51" s="136"/>
      <c r="GMC51" s="136"/>
      <c r="GMD51" s="136"/>
      <c r="GME51" s="136"/>
      <c r="GMF51" s="136"/>
      <c r="GMG51" s="136"/>
      <c r="GMH51" s="136"/>
      <c r="GMI51" s="136"/>
      <c r="GMJ51" s="136"/>
      <c r="GMK51" s="136"/>
      <c r="GML51" s="136"/>
      <c r="GMM51" s="136"/>
      <c r="GMN51" s="136"/>
      <c r="GMO51" s="136"/>
      <c r="GMP51" s="136"/>
      <c r="GMQ51" s="136"/>
      <c r="GMR51" s="136"/>
      <c r="GMS51" s="136"/>
      <c r="GMT51" s="136"/>
      <c r="GMU51" s="136"/>
      <c r="GMV51" s="136"/>
      <c r="GMW51" s="136"/>
      <c r="GMX51" s="136"/>
      <c r="GMY51" s="136"/>
      <c r="GMZ51" s="136"/>
      <c r="GNA51" s="136"/>
      <c r="GNB51" s="136"/>
      <c r="GNC51" s="136"/>
      <c r="GND51" s="136"/>
      <c r="GNE51" s="136"/>
      <c r="GNF51" s="136"/>
      <c r="GNG51" s="136"/>
      <c r="GNH51" s="136"/>
      <c r="GNI51" s="136"/>
      <c r="GNJ51" s="136"/>
      <c r="GNK51" s="136"/>
      <c r="GNL51" s="136"/>
      <c r="GNM51" s="136"/>
      <c r="GNN51" s="136"/>
      <c r="GNO51" s="136"/>
      <c r="GNP51" s="136"/>
      <c r="GNQ51" s="136"/>
      <c r="GNR51" s="136"/>
      <c r="GNS51" s="136"/>
      <c r="GNT51" s="136"/>
      <c r="GNU51" s="136"/>
      <c r="GNV51" s="136"/>
      <c r="GNW51" s="136"/>
      <c r="GNX51" s="136"/>
      <c r="GNY51" s="136"/>
      <c r="GNZ51" s="136"/>
      <c r="GOA51" s="136"/>
      <c r="GOB51" s="136"/>
      <c r="GOC51" s="136"/>
      <c r="GOD51" s="136"/>
      <c r="GOE51" s="136"/>
      <c r="GOF51" s="136"/>
      <c r="GOG51" s="136"/>
      <c r="GOH51" s="136"/>
      <c r="GOI51" s="136"/>
      <c r="GOJ51" s="136"/>
      <c r="GOK51" s="136"/>
      <c r="GOL51" s="136"/>
      <c r="GOM51" s="136"/>
      <c r="GON51" s="136"/>
      <c r="GOO51" s="136"/>
      <c r="GOP51" s="136"/>
      <c r="GOQ51" s="136"/>
      <c r="GOR51" s="136"/>
      <c r="GOS51" s="136"/>
      <c r="GOT51" s="136"/>
      <c r="GOU51" s="136"/>
      <c r="GOV51" s="136"/>
      <c r="GOW51" s="136"/>
      <c r="GOX51" s="136"/>
      <c r="GOY51" s="136"/>
      <c r="GOZ51" s="136"/>
      <c r="GPA51" s="136"/>
      <c r="GPB51" s="136"/>
      <c r="GPC51" s="136"/>
      <c r="GPD51" s="136"/>
      <c r="GPE51" s="136"/>
      <c r="GPF51" s="136"/>
      <c r="GPG51" s="136"/>
      <c r="GPH51" s="136"/>
      <c r="GPI51" s="136"/>
      <c r="GPJ51" s="136"/>
      <c r="GPK51" s="136"/>
      <c r="GPL51" s="136"/>
      <c r="GPM51" s="136"/>
      <c r="GPN51" s="136"/>
      <c r="GPO51" s="136"/>
      <c r="GPP51" s="136"/>
      <c r="GPQ51" s="136"/>
      <c r="GPR51" s="136"/>
      <c r="GPS51" s="136"/>
      <c r="GPT51" s="136"/>
      <c r="GPU51" s="136"/>
      <c r="GPV51" s="136"/>
      <c r="GPW51" s="136"/>
      <c r="GPX51" s="136"/>
      <c r="GPY51" s="136"/>
      <c r="GPZ51" s="136"/>
      <c r="GQA51" s="136"/>
      <c r="GQB51" s="136"/>
      <c r="GQC51" s="136"/>
      <c r="GQD51" s="136"/>
      <c r="GQE51" s="136"/>
      <c r="GQF51" s="136"/>
      <c r="GQG51" s="136"/>
      <c r="GQH51" s="136"/>
      <c r="GQI51" s="136"/>
      <c r="GQJ51" s="136"/>
      <c r="GQK51" s="136"/>
      <c r="GQL51" s="136"/>
      <c r="GQM51" s="136"/>
      <c r="GQN51" s="136"/>
      <c r="GQO51" s="136"/>
      <c r="GQP51" s="136"/>
      <c r="GQQ51" s="136"/>
      <c r="GQR51" s="136"/>
      <c r="GQS51" s="136"/>
      <c r="GQT51" s="136"/>
      <c r="GQU51" s="136"/>
      <c r="GQV51" s="136"/>
      <c r="GQW51" s="136"/>
      <c r="GQX51" s="136"/>
      <c r="GQY51" s="136"/>
      <c r="GQZ51" s="136"/>
      <c r="GRA51" s="136"/>
      <c r="GRB51" s="136"/>
      <c r="GRC51" s="136"/>
      <c r="GRD51" s="136"/>
      <c r="GRE51" s="136"/>
      <c r="GRF51" s="136"/>
      <c r="GRG51" s="136"/>
      <c r="GRH51" s="136"/>
      <c r="GRI51" s="136"/>
      <c r="GRJ51" s="136"/>
      <c r="GRK51" s="136"/>
      <c r="GRL51" s="136"/>
      <c r="GRM51" s="136"/>
      <c r="GRN51" s="136"/>
      <c r="GRO51" s="136"/>
      <c r="GRP51" s="136"/>
      <c r="GRQ51" s="136"/>
      <c r="GRR51" s="136"/>
      <c r="GRS51" s="136"/>
      <c r="GRT51" s="136"/>
      <c r="GRU51" s="136"/>
      <c r="GRV51" s="136"/>
      <c r="GRW51" s="136"/>
      <c r="GRX51" s="136"/>
      <c r="GRY51" s="136"/>
      <c r="GRZ51" s="136"/>
      <c r="GSA51" s="136"/>
      <c r="GSB51" s="136"/>
      <c r="GSC51" s="136"/>
      <c r="GSD51" s="136"/>
      <c r="GSE51" s="136"/>
      <c r="GSF51" s="136"/>
      <c r="GSG51" s="136"/>
      <c r="GSH51" s="136"/>
      <c r="GSI51" s="136"/>
      <c r="GSJ51" s="136"/>
      <c r="GSK51" s="136"/>
      <c r="GSL51" s="136"/>
      <c r="GSM51" s="136"/>
      <c r="GSN51" s="136"/>
      <c r="GSO51" s="136"/>
      <c r="GSP51" s="136"/>
      <c r="GSQ51" s="136"/>
      <c r="GSR51" s="136"/>
      <c r="GSS51" s="136"/>
      <c r="GST51" s="136"/>
      <c r="GSU51" s="136"/>
      <c r="GSV51" s="136"/>
      <c r="GSW51" s="136"/>
      <c r="GSX51" s="136"/>
      <c r="GSY51" s="136"/>
      <c r="GSZ51" s="136"/>
      <c r="GTA51" s="136"/>
      <c r="GTB51" s="136"/>
      <c r="GTC51" s="136"/>
      <c r="GTD51" s="136"/>
      <c r="GTE51" s="136"/>
      <c r="GTF51" s="136"/>
      <c r="GTG51" s="136"/>
      <c r="GTH51" s="136"/>
      <c r="GTI51" s="136"/>
      <c r="GTJ51" s="136"/>
      <c r="GTK51" s="136"/>
      <c r="GTL51" s="136"/>
      <c r="GTM51" s="136"/>
      <c r="GTN51" s="136"/>
      <c r="GTO51" s="136"/>
      <c r="GTP51" s="136"/>
      <c r="GTQ51" s="136"/>
      <c r="GTR51" s="136"/>
      <c r="GTS51" s="136"/>
      <c r="GTT51" s="136"/>
      <c r="GTU51" s="136"/>
      <c r="GTV51" s="136"/>
      <c r="GTW51" s="136"/>
      <c r="GTX51" s="136"/>
      <c r="GTY51" s="136"/>
      <c r="GTZ51" s="136"/>
      <c r="GUA51" s="136"/>
      <c r="GUB51" s="136"/>
      <c r="GUC51" s="136"/>
      <c r="GUD51" s="136"/>
      <c r="GUE51" s="136"/>
      <c r="GUF51" s="136"/>
      <c r="GUG51" s="136"/>
      <c r="GUH51" s="136"/>
      <c r="GUI51" s="136"/>
      <c r="GUJ51" s="136"/>
      <c r="GUK51" s="136"/>
      <c r="GUL51" s="136"/>
      <c r="GUM51" s="136"/>
      <c r="GUN51" s="136"/>
      <c r="GUO51" s="136"/>
      <c r="GUP51" s="136"/>
      <c r="GUQ51" s="136"/>
      <c r="GUR51" s="136"/>
      <c r="GUS51" s="136"/>
      <c r="GUT51" s="136"/>
      <c r="GUU51" s="136"/>
      <c r="GUV51" s="136"/>
      <c r="GUW51" s="136"/>
      <c r="GUX51" s="136"/>
      <c r="GUY51" s="136"/>
      <c r="GUZ51" s="136"/>
      <c r="GVA51" s="136"/>
      <c r="GVB51" s="136"/>
      <c r="GVC51" s="136"/>
      <c r="GVD51" s="136"/>
      <c r="GVE51" s="136"/>
      <c r="GVF51" s="136"/>
      <c r="GVG51" s="136"/>
      <c r="GVH51" s="136"/>
      <c r="GVI51" s="136"/>
      <c r="GVJ51" s="136"/>
      <c r="GVK51" s="136"/>
      <c r="GVL51" s="136"/>
      <c r="GVM51" s="136"/>
      <c r="GVN51" s="136"/>
      <c r="GVO51" s="136"/>
      <c r="GVP51" s="136"/>
      <c r="GVQ51" s="136"/>
      <c r="GVR51" s="136"/>
      <c r="GVS51" s="136"/>
      <c r="GVT51" s="136"/>
      <c r="GVU51" s="136"/>
      <c r="GVV51" s="136"/>
      <c r="GVW51" s="136"/>
      <c r="GVX51" s="136"/>
      <c r="GVY51" s="136"/>
      <c r="GVZ51" s="136"/>
      <c r="GWA51" s="136"/>
      <c r="GWB51" s="136"/>
      <c r="GWC51" s="136"/>
      <c r="GWD51" s="136"/>
      <c r="GWE51" s="136"/>
      <c r="GWF51" s="136"/>
      <c r="GWG51" s="136"/>
      <c r="GWH51" s="136"/>
      <c r="GWI51" s="136"/>
      <c r="GWJ51" s="136"/>
      <c r="GWK51" s="136"/>
      <c r="GWL51" s="136"/>
      <c r="GWM51" s="136"/>
      <c r="GWN51" s="136"/>
      <c r="GWO51" s="136"/>
      <c r="GWP51" s="136"/>
      <c r="GWQ51" s="136"/>
      <c r="GWR51" s="136"/>
      <c r="GWS51" s="136"/>
      <c r="GWT51" s="136"/>
      <c r="GWU51" s="136"/>
      <c r="GWV51" s="136"/>
      <c r="GWW51" s="136"/>
      <c r="GWX51" s="136"/>
      <c r="GWY51" s="136"/>
      <c r="GWZ51" s="136"/>
      <c r="GXA51" s="136"/>
      <c r="GXB51" s="136"/>
      <c r="GXC51" s="136"/>
      <c r="GXD51" s="136"/>
      <c r="GXE51" s="136"/>
      <c r="GXF51" s="136"/>
      <c r="GXG51" s="136"/>
      <c r="GXH51" s="136"/>
      <c r="GXI51" s="136"/>
      <c r="GXJ51" s="136"/>
      <c r="GXK51" s="136"/>
      <c r="GXL51" s="136"/>
      <c r="GXM51" s="136"/>
      <c r="GXN51" s="136"/>
      <c r="GXO51" s="136"/>
      <c r="GXP51" s="136"/>
      <c r="GXQ51" s="136"/>
      <c r="GXR51" s="136"/>
      <c r="GXS51" s="136"/>
      <c r="GXT51" s="136"/>
      <c r="GXU51" s="136"/>
      <c r="GXV51" s="136"/>
      <c r="GXW51" s="136"/>
      <c r="GXX51" s="136"/>
      <c r="GXY51" s="136"/>
      <c r="GXZ51" s="136"/>
      <c r="GYA51" s="136"/>
      <c r="GYB51" s="136"/>
      <c r="GYC51" s="136"/>
      <c r="GYD51" s="136"/>
      <c r="GYE51" s="136"/>
      <c r="GYF51" s="136"/>
      <c r="GYG51" s="136"/>
      <c r="GYH51" s="136"/>
      <c r="GYI51" s="136"/>
      <c r="GYJ51" s="136"/>
      <c r="GYK51" s="136"/>
      <c r="GYL51" s="136"/>
      <c r="GYM51" s="136"/>
      <c r="GYN51" s="136"/>
      <c r="GYO51" s="136"/>
      <c r="GYP51" s="136"/>
      <c r="GYQ51" s="136"/>
      <c r="GYR51" s="136"/>
      <c r="GYS51" s="136"/>
      <c r="GYT51" s="136"/>
      <c r="GYU51" s="136"/>
      <c r="GYV51" s="136"/>
      <c r="GYW51" s="136"/>
      <c r="GYX51" s="136"/>
      <c r="GYY51" s="136"/>
      <c r="GYZ51" s="136"/>
      <c r="GZA51" s="136"/>
      <c r="GZB51" s="136"/>
      <c r="GZC51" s="136"/>
      <c r="GZD51" s="136"/>
      <c r="GZE51" s="136"/>
      <c r="GZF51" s="136"/>
      <c r="GZG51" s="136"/>
      <c r="GZH51" s="136"/>
      <c r="GZI51" s="136"/>
      <c r="GZJ51" s="136"/>
      <c r="GZK51" s="136"/>
      <c r="GZL51" s="136"/>
      <c r="GZM51" s="136"/>
      <c r="GZN51" s="136"/>
      <c r="GZO51" s="136"/>
      <c r="GZP51" s="136"/>
      <c r="GZQ51" s="136"/>
      <c r="GZR51" s="136"/>
      <c r="GZS51" s="136"/>
      <c r="GZT51" s="136"/>
      <c r="GZU51" s="136"/>
      <c r="GZV51" s="136"/>
      <c r="GZW51" s="136"/>
      <c r="GZX51" s="136"/>
      <c r="GZY51" s="136"/>
      <c r="GZZ51" s="136"/>
      <c r="HAA51" s="136"/>
      <c r="HAB51" s="136"/>
      <c r="HAC51" s="136"/>
      <c r="HAD51" s="136"/>
      <c r="HAE51" s="136"/>
      <c r="HAF51" s="136"/>
      <c r="HAG51" s="136"/>
      <c r="HAH51" s="136"/>
      <c r="HAI51" s="136"/>
      <c r="HAJ51" s="136"/>
      <c r="HAK51" s="136"/>
      <c r="HAL51" s="136"/>
      <c r="HAM51" s="136"/>
      <c r="HAN51" s="136"/>
      <c r="HAO51" s="136"/>
      <c r="HAP51" s="136"/>
      <c r="HAQ51" s="136"/>
      <c r="HAR51" s="136"/>
      <c r="HAS51" s="136"/>
      <c r="HAT51" s="136"/>
      <c r="HAU51" s="136"/>
      <c r="HAV51" s="136"/>
      <c r="HAW51" s="136"/>
      <c r="HAX51" s="136"/>
      <c r="HAY51" s="136"/>
      <c r="HAZ51" s="136"/>
      <c r="HBA51" s="136"/>
      <c r="HBB51" s="136"/>
      <c r="HBC51" s="136"/>
      <c r="HBD51" s="136"/>
      <c r="HBE51" s="136"/>
      <c r="HBF51" s="136"/>
      <c r="HBG51" s="136"/>
      <c r="HBH51" s="136"/>
      <c r="HBI51" s="136"/>
      <c r="HBJ51" s="136"/>
      <c r="HBK51" s="136"/>
      <c r="HBL51" s="136"/>
      <c r="HBM51" s="136"/>
      <c r="HBN51" s="136"/>
      <c r="HBO51" s="136"/>
      <c r="HBP51" s="136"/>
      <c r="HBQ51" s="136"/>
      <c r="HBR51" s="136"/>
      <c r="HBS51" s="136"/>
      <c r="HBT51" s="136"/>
      <c r="HBU51" s="136"/>
      <c r="HBV51" s="136"/>
      <c r="HBW51" s="136"/>
      <c r="HBX51" s="136"/>
      <c r="HBY51" s="136"/>
      <c r="HBZ51" s="136"/>
      <c r="HCA51" s="136"/>
      <c r="HCB51" s="136"/>
      <c r="HCC51" s="136"/>
      <c r="HCD51" s="136"/>
      <c r="HCE51" s="136"/>
      <c r="HCF51" s="136"/>
      <c r="HCG51" s="136"/>
      <c r="HCH51" s="136"/>
      <c r="HCI51" s="136"/>
      <c r="HCJ51" s="136"/>
      <c r="HCK51" s="136"/>
      <c r="HCL51" s="136"/>
      <c r="HCM51" s="136"/>
      <c r="HCN51" s="136"/>
      <c r="HCO51" s="136"/>
      <c r="HCP51" s="136"/>
      <c r="HCQ51" s="136"/>
      <c r="HCR51" s="136"/>
      <c r="HCS51" s="136"/>
      <c r="HCT51" s="136"/>
      <c r="HCU51" s="136"/>
      <c r="HCV51" s="136"/>
      <c r="HCW51" s="136"/>
      <c r="HCX51" s="136"/>
      <c r="HCY51" s="136"/>
      <c r="HCZ51" s="136"/>
      <c r="HDA51" s="136"/>
      <c r="HDB51" s="136"/>
      <c r="HDC51" s="136"/>
      <c r="HDD51" s="136"/>
      <c r="HDE51" s="136"/>
      <c r="HDF51" s="136"/>
      <c r="HDG51" s="136"/>
      <c r="HDH51" s="136"/>
      <c r="HDI51" s="136"/>
      <c r="HDJ51" s="136"/>
      <c r="HDK51" s="136"/>
      <c r="HDL51" s="136"/>
      <c r="HDM51" s="136"/>
      <c r="HDN51" s="136"/>
      <c r="HDO51" s="136"/>
      <c r="HDP51" s="136"/>
      <c r="HDQ51" s="136"/>
      <c r="HDR51" s="136"/>
      <c r="HDS51" s="136"/>
      <c r="HDT51" s="136"/>
      <c r="HDU51" s="136"/>
      <c r="HDV51" s="136"/>
      <c r="HDW51" s="136"/>
      <c r="HDX51" s="136"/>
      <c r="HDY51" s="136"/>
      <c r="HDZ51" s="136"/>
      <c r="HEA51" s="136"/>
      <c r="HEB51" s="136"/>
      <c r="HEC51" s="136"/>
      <c r="HED51" s="136"/>
      <c r="HEE51" s="136"/>
      <c r="HEF51" s="136"/>
      <c r="HEG51" s="136"/>
      <c r="HEH51" s="136"/>
      <c r="HEI51" s="136"/>
      <c r="HEJ51" s="136"/>
      <c r="HEK51" s="136"/>
      <c r="HEL51" s="136"/>
      <c r="HEM51" s="136"/>
      <c r="HEN51" s="136"/>
      <c r="HEO51" s="136"/>
      <c r="HEP51" s="136"/>
      <c r="HEQ51" s="136"/>
      <c r="HER51" s="136"/>
      <c r="HES51" s="136"/>
      <c r="HET51" s="136"/>
      <c r="HEU51" s="136"/>
      <c r="HEV51" s="136"/>
      <c r="HEW51" s="136"/>
      <c r="HEX51" s="136"/>
      <c r="HEY51" s="136"/>
      <c r="HEZ51" s="136"/>
      <c r="HFA51" s="136"/>
      <c r="HFB51" s="136"/>
      <c r="HFC51" s="136"/>
      <c r="HFD51" s="136"/>
      <c r="HFE51" s="136"/>
      <c r="HFF51" s="136"/>
      <c r="HFG51" s="136"/>
      <c r="HFH51" s="136"/>
      <c r="HFI51" s="136"/>
      <c r="HFJ51" s="136"/>
      <c r="HFK51" s="136"/>
      <c r="HFL51" s="136"/>
      <c r="HFM51" s="136"/>
      <c r="HFN51" s="136"/>
      <c r="HFO51" s="136"/>
      <c r="HFP51" s="136"/>
      <c r="HFQ51" s="136"/>
      <c r="HFR51" s="136"/>
      <c r="HFS51" s="136"/>
      <c r="HFT51" s="136"/>
      <c r="HFU51" s="136"/>
      <c r="HFV51" s="136"/>
      <c r="HFW51" s="136"/>
      <c r="HFX51" s="136"/>
      <c r="HFY51" s="136"/>
      <c r="HFZ51" s="136"/>
      <c r="HGA51" s="136"/>
      <c r="HGB51" s="136"/>
      <c r="HGC51" s="136"/>
      <c r="HGD51" s="136"/>
      <c r="HGE51" s="136"/>
      <c r="HGF51" s="136"/>
      <c r="HGG51" s="136"/>
      <c r="HGH51" s="136"/>
      <c r="HGI51" s="136"/>
      <c r="HGJ51" s="136"/>
      <c r="HGK51" s="136"/>
      <c r="HGL51" s="136"/>
      <c r="HGM51" s="136"/>
      <c r="HGN51" s="136"/>
      <c r="HGO51" s="136"/>
      <c r="HGP51" s="136"/>
      <c r="HGQ51" s="136"/>
      <c r="HGR51" s="136"/>
      <c r="HGS51" s="136"/>
      <c r="HGT51" s="136"/>
      <c r="HGU51" s="136"/>
      <c r="HGV51" s="136"/>
      <c r="HGW51" s="136"/>
      <c r="HGX51" s="136"/>
      <c r="HGY51" s="136"/>
      <c r="HGZ51" s="136"/>
      <c r="HHA51" s="136"/>
      <c r="HHB51" s="136"/>
      <c r="HHC51" s="136"/>
      <c r="HHD51" s="136"/>
      <c r="HHE51" s="136"/>
      <c r="HHF51" s="136"/>
      <c r="HHG51" s="136"/>
      <c r="HHH51" s="136"/>
      <c r="HHI51" s="136"/>
      <c r="HHJ51" s="136"/>
      <c r="HHK51" s="136"/>
      <c r="HHL51" s="136"/>
      <c r="HHM51" s="136"/>
      <c r="HHN51" s="136"/>
      <c r="HHO51" s="136"/>
      <c r="HHP51" s="136"/>
      <c r="HHQ51" s="136"/>
      <c r="HHR51" s="136"/>
      <c r="HHS51" s="136"/>
      <c r="HHT51" s="136"/>
      <c r="HHU51" s="136"/>
      <c r="HHV51" s="136"/>
      <c r="HHW51" s="136"/>
      <c r="HHX51" s="136"/>
      <c r="HHY51" s="136"/>
      <c r="HHZ51" s="136"/>
      <c r="HIA51" s="136"/>
      <c r="HIB51" s="136"/>
      <c r="HIC51" s="136"/>
      <c r="HID51" s="136"/>
      <c r="HIE51" s="136"/>
      <c r="HIF51" s="136"/>
      <c r="HIG51" s="136"/>
      <c r="HIH51" s="136"/>
      <c r="HII51" s="136"/>
      <c r="HIJ51" s="136"/>
      <c r="HIK51" s="136"/>
      <c r="HIL51" s="136"/>
      <c r="HIM51" s="136"/>
      <c r="HIN51" s="136"/>
      <c r="HIO51" s="136"/>
      <c r="HIP51" s="136"/>
      <c r="HIQ51" s="136"/>
      <c r="HIR51" s="136"/>
      <c r="HIS51" s="136"/>
      <c r="HIT51" s="136"/>
      <c r="HIU51" s="136"/>
      <c r="HIV51" s="136"/>
      <c r="HIW51" s="136"/>
      <c r="HIX51" s="136"/>
      <c r="HIY51" s="136"/>
      <c r="HIZ51" s="136"/>
      <c r="HJA51" s="136"/>
      <c r="HJB51" s="136"/>
      <c r="HJC51" s="136"/>
      <c r="HJD51" s="136"/>
      <c r="HJE51" s="136"/>
      <c r="HJF51" s="136"/>
      <c r="HJG51" s="136"/>
      <c r="HJH51" s="136"/>
      <c r="HJI51" s="136"/>
      <c r="HJJ51" s="136"/>
      <c r="HJK51" s="136"/>
      <c r="HJL51" s="136"/>
      <c r="HJM51" s="136"/>
      <c r="HJN51" s="136"/>
      <c r="HJO51" s="136"/>
      <c r="HJP51" s="136"/>
      <c r="HJQ51" s="136"/>
      <c r="HJR51" s="136"/>
      <c r="HJS51" s="136"/>
      <c r="HJT51" s="136"/>
      <c r="HJU51" s="136"/>
      <c r="HJV51" s="136"/>
      <c r="HJW51" s="136"/>
      <c r="HJX51" s="136"/>
      <c r="HJY51" s="136"/>
      <c r="HJZ51" s="136"/>
      <c r="HKA51" s="136"/>
      <c r="HKB51" s="136"/>
      <c r="HKC51" s="136"/>
      <c r="HKD51" s="136"/>
      <c r="HKE51" s="136"/>
      <c r="HKF51" s="136"/>
      <c r="HKG51" s="136"/>
      <c r="HKH51" s="136"/>
      <c r="HKI51" s="136"/>
      <c r="HKJ51" s="136"/>
      <c r="HKK51" s="136"/>
      <c r="HKL51" s="136"/>
      <c r="HKM51" s="136"/>
      <c r="HKN51" s="136"/>
      <c r="HKO51" s="136"/>
      <c r="HKP51" s="136"/>
      <c r="HKQ51" s="136"/>
      <c r="HKR51" s="136"/>
      <c r="HKS51" s="136"/>
      <c r="HKT51" s="136"/>
      <c r="HKU51" s="136"/>
      <c r="HKV51" s="136"/>
      <c r="HKW51" s="136"/>
      <c r="HKX51" s="136"/>
      <c r="HKY51" s="136"/>
      <c r="HKZ51" s="136"/>
      <c r="HLA51" s="136"/>
      <c r="HLB51" s="136"/>
      <c r="HLC51" s="136"/>
      <c r="HLD51" s="136"/>
      <c r="HLE51" s="136"/>
      <c r="HLF51" s="136"/>
      <c r="HLG51" s="136"/>
      <c r="HLH51" s="136"/>
      <c r="HLI51" s="136"/>
      <c r="HLJ51" s="136"/>
      <c r="HLK51" s="136"/>
      <c r="HLL51" s="136"/>
      <c r="HLM51" s="136"/>
      <c r="HLN51" s="136"/>
      <c r="HLO51" s="136"/>
      <c r="HLP51" s="136"/>
      <c r="HLQ51" s="136"/>
      <c r="HLR51" s="136"/>
      <c r="HLS51" s="136"/>
      <c r="HLT51" s="136"/>
      <c r="HLU51" s="136"/>
      <c r="HLV51" s="136"/>
      <c r="HLW51" s="136"/>
      <c r="HLX51" s="136"/>
      <c r="HLY51" s="136"/>
      <c r="HLZ51" s="136"/>
      <c r="HMA51" s="136"/>
      <c r="HMB51" s="136"/>
      <c r="HMC51" s="136"/>
      <c r="HMD51" s="136"/>
      <c r="HME51" s="136"/>
      <c r="HMF51" s="136"/>
      <c r="HMG51" s="136"/>
      <c r="HMH51" s="136"/>
      <c r="HMI51" s="136"/>
      <c r="HMJ51" s="136"/>
      <c r="HMK51" s="136"/>
      <c r="HML51" s="136"/>
      <c r="HMM51" s="136"/>
      <c r="HMN51" s="136"/>
      <c r="HMO51" s="136"/>
      <c r="HMP51" s="136"/>
      <c r="HMQ51" s="136"/>
      <c r="HMR51" s="136"/>
      <c r="HMS51" s="136"/>
      <c r="HMT51" s="136"/>
      <c r="HMU51" s="136"/>
      <c r="HMV51" s="136"/>
      <c r="HMW51" s="136"/>
      <c r="HMX51" s="136"/>
      <c r="HMY51" s="136"/>
      <c r="HMZ51" s="136"/>
      <c r="HNA51" s="136"/>
      <c r="HNB51" s="136"/>
      <c r="HNC51" s="136"/>
      <c r="HND51" s="136"/>
      <c r="HNE51" s="136"/>
      <c r="HNF51" s="136"/>
      <c r="HNG51" s="136"/>
      <c r="HNH51" s="136"/>
      <c r="HNI51" s="136"/>
      <c r="HNJ51" s="136"/>
      <c r="HNK51" s="136"/>
      <c r="HNL51" s="136"/>
      <c r="HNM51" s="136"/>
      <c r="HNN51" s="136"/>
      <c r="HNO51" s="136"/>
      <c r="HNP51" s="136"/>
      <c r="HNQ51" s="136"/>
      <c r="HNR51" s="136"/>
      <c r="HNS51" s="136"/>
      <c r="HNT51" s="136"/>
      <c r="HNU51" s="136"/>
      <c r="HNV51" s="136"/>
      <c r="HNW51" s="136"/>
      <c r="HNX51" s="136"/>
      <c r="HNY51" s="136"/>
      <c r="HNZ51" s="136"/>
      <c r="HOA51" s="136"/>
      <c r="HOB51" s="136"/>
      <c r="HOC51" s="136"/>
      <c r="HOD51" s="136"/>
      <c r="HOE51" s="136"/>
      <c r="HOF51" s="136"/>
      <c r="HOG51" s="136"/>
      <c r="HOH51" s="136"/>
      <c r="HOI51" s="136"/>
      <c r="HOJ51" s="136"/>
      <c r="HOK51" s="136"/>
      <c r="HOL51" s="136"/>
      <c r="HOM51" s="136"/>
      <c r="HON51" s="136"/>
      <c r="HOO51" s="136"/>
      <c r="HOP51" s="136"/>
      <c r="HOQ51" s="136"/>
      <c r="HOR51" s="136"/>
      <c r="HOS51" s="136"/>
      <c r="HOT51" s="136"/>
      <c r="HOU51" s="136"/>
      <c r="HOV51" s="136"/>
      <c r="HOW51" s="136"/>
      <c r="HOX51" s="136"/>
      <c r="HOY51" s="136"/>
      <c r="HOZ51" s="136"/>
      <c r="HPA51" s="136"/>
      <c r="HPB51" s="136"/>
      <c r="HPC51" s="136"/>
      <c r="HPD51" s="136"/>
      <c r="HPE51" s="136"/>
      <c r="HPF51" s="136"/>
      <c r="HPG51" s="136"/>
      <c r="HPH51" s="136"/>
      <c r="HPI51" s="136"/>
      <c r="HPJ51" s="136"/>
      <c r="HPK51" s="136"/>
      <c r="HPL51" s="136"/>
      <c r="HPM51" s="136"/>
      <c r="HPN51" s="136"/>
      <c r="HPO51" s="136"/>
      <c r="HPP51" s="136"/>
      <c r="HPQ51" s="136"/>
      <c r="HPR51" s="136"/>
      <c r="HPS51" s="136"/>
      <c r="HPT51" s="136"/>
      <c r="HPU51" s="136"/>
      <c r="HPV51" s="136"/>
      <c r="HPW51" s="136"/>
      <c r="HPX51" s="136"/>
      <c r="HPY51" s="136"/>
      <c r="HPZ51" s="136"/>
      <c r="HQA51" s="136"/>
      <c r="HQB51" s="136"/>
      <c r="HQC51" s="136"/>
      <c r="HQD51" s="136"/>
      <c r="HQE51" s="136"/>
      <c r="HQF51" s="136"/>
      <c r="HQG51" s="136"/>
      <c r="HQH51" s="136"/>
      <c r="HQI51" s="136"/>
      <c r="HQJ51" s="136"/>
      <c r="HQK51" s="136"/>
      <c r="HQL51" s="136"/>
      <c r="HQM51" s="136"/>
      <c r="HQN51" s="136"/>
      <c r="HQO51" s="136"/>
      <c r="HQP51" s="136"/>
      <c r="HQQ51" s="136"/>
      <c r="HQR51" s="136"/>
      <c r="HQS51" s="136"/>
      <c r="HQT51" s="136"/>
      <c r="HQU51" s="136"/>
      <c r="HQV51" s="136"/>
      <c r="HQW51" s="136"/>
      <c r="HQX51" s="136"/>
      <c r="HQY51" s="136"/>
      <c r="HQZ51" s="136"/>
      <c r="HRA51" s="136"/>
      <c r="HRB51" s="136"/>
      <c r="HRC51" s="136"/>
      <c r="HRD51" s="136"/>
      <c r="HRE51" s="136"/>
      <c r="HRF51" s="136"/>
      <c r="HRG51" s="136"/>
      <c r="HRH51" s="136"/>
      <c r="HRI51" s="136"/>
      <c r="HRJ51" s="136"/>
      <c r="HRK51" s="136"/>
      <c r="HRL51" s="136"/>
      <c r="HRM51" s="136"/>
      <c r="HRN51" s="136"/>
      <c r="HRO51" s="136"/>
      <c r="HRP51" s="136"/>
      <c r="HRQ51" s="136"/>
      <c r="HRR51" s="136"/>
      <c r="HRS51" s="136"/>
      <c r="HRT51" s="136"/>
      <c r="HRU51" s="136"/>
      <c r="HRV51" s="136"/>
      <c r="HRW51" s="136"/>
      <c r="HRX51" s="136"/>
      <c r="HRY51" s="136"/>
      <c r="HRZ51" s="136"/>
      <c r="HSA51" s="136"/>
      <c r="HSB51" s="136"/>
      <c r="HSC51" s="136"/>
      <c r="HSD51" s="136"/>
      <c r="HSE51" s="136"/>
      <c r="HSF51" s="136"/>
      <c r="HSG51" s="136"/>
      <c r="HSH51" s="136"/>
      <c r="HSI51" s="136"/>
      <c r="HSJ51" s="136"/>
      <c r="HSK51" s="136"/>
      <c r="HSL51" s="136"/>
      <c r="HSM51" s="136"/>
      <c r="HSN51" s="136"/>
      <c r="HSO51" s="136"/>
      <c r="HSP51" s="136"/>
      <c r="HSQ51" s="136"/>
      <c r="HSR51" s="136"/>
      <c r="HSS51" s="136"/>
      <c r="HST51" s="136"/>
      <c r="HSU51" s="136"/>
      <c r="HSV51" s="136"/>
      <c r="HSW51" s="136"/>
      <c r="HSX51" s="136"/>
      <c r="HSY51" s="136"/>
      <c r="HSZ51" s="136"/>
      <c r="HTA51" s="136"/>
      <c r="HTB51" s="136"/>
      <c r="HTC51" s="136"/>
      <c r="HTD51" s="136"/>
      <c r="HTE51" s="136"/>
      <c r="HTF51" s="136"/>
      <c r="HTG51" s="136"/>
      <c r="HTH51" s="136"/>
      <c r="HTI51" s="136"/>
      <c r="HTJ51" s="136"/>
      <c r="HTK51" s="136"/>
      <c r="HTL51" s="136"/>
      <c r="HTM51" s="136"/>
      <c r="HTN51" s="136"/>
      <c r="HTO51" s="136"/>
      <c r="HTP51" s="136"/>
      <c r="HTQ51" s="136"/>
      <c r="HTR51" s="136"/>
      <c r="HTS51" s="136"/>
      <c r="HTT51" s="136"/>
      <c r="HTU51" s="136"/>
      <c r="HTV51" s="136"/>
      <c r="HTW51" s="136"/>
      <c r="HTX51" s="136"/>
      <c r="HTY51" s="136"/>
      <c r="HTZ51" s="136"/>
      <c r="HUA51" s="136"/>
      <c r="HUB51" s="136"/>
      <c r="HUC51" s="136"/>
      <c r="HUD51" s="136"/>
      <c r="HUE51" s="136"/>
      <c r="HUF51" s="136"/>
      <c r="HUG51" s="136"/>
      <c r="HUH51" s="136"/>
      <c r="HUI51" s="136"/>
      <c r="HUJ51" s="136"/>
      <c r="HUK51" s="136"/>
      <c r="HUL51" s="136"/>
      <c r="HUM51" s="136"/>
      <c r="HUN51" s="136"/>
      <c r="HUO51" s="136"/>
      <c r="HUP51" s="136"/>
      <c r="HUQ51" s="136"/>
      <c r="HUR51" s="136"/>
      <c r="HUS51" s="136"/>
      <c r="HUT51" s="136"/>
      <c r="HUU51" s="136"/>
      <c r="HUV51" s="136"/>
      <c r="HUW51" s="136"/>
      <c r="HUX51" s="136"/>
      <c r="HUY51" s="136"/>
      <c r="HUZ51" s="136"/>
      <c r="HVA51" s="136"/>
      <c r="HVB51" s="136"/>
      <c r="HVC51" s="136"/>
      <c r="HVD51" s="136"/>
      <c r="HVE51" s="136"/>
      <c r="HVF51" s="136"/>
      <c r="HVG51" s="136"/>
      <c r="HVH51" s="136"/>
      <c r="HVI51" s="136"/>
      <c r="HVJ51" s="136"/>
      <c r="HVK51" s="136"/>
      <c r="HVL51" s="136"/>
      <c r="HVM51" s="136"/>
      <c r="HVN51" s="136"/>
      <c r="HVO51" s="136"/>
      <c r="HVP51" s="136"/>
      <c r="HVQ51" s="136"/>
      <c r="HVR51" s="136"/>
      <c r="HVS51" s="136"/>
      <c r="HVT51" s="136"/>
      <c r="HVU51" s="136"/>
      <c r="HVV51" s="136"/>
      <c r="HVW51" s="136"/>
      <c r="HVX51" s="136"/>
      <c r="HVY51" s="136"/>
      <c r="HVZ51" s="136"/>
      <c r="HWA51" s="136"/>
      <c r="HWB51" s="136"/>
      <c r="HWC51" s="136"/>
      <c r="HWD51" s="136"/>
      <c r="HWE51" s="136"/>
      <c r="HWF51" s="136"/>
      <c r="HWG51" s="136"/>
      <c r="HWH51" s="136"/>
      <c r="HWI51" s="136"/>
      <c r="HWJ51" s="136"/>
      <c r="HWK51" s="136"/>
      <c r="HWL51" s="136"/>
      <c r="HWM51" s="136"/>
      <c r="HWN51" s="136"/>
      <c r="HWO51" s="136"/>
      <c r="HWP51" s="136"/>
      <c r="HWQ51" s="136"/>
      <c r="HWR51" s="136"/>
      <c r="HWS51" s="136"/>
      <c r="HWT51" s="136"/>
      <c r="HWU51" s="136"/>
      <c r="HWV51" s="136"/>
      <c r="HWW51" s="136"/>
      <c r="HWX51" s="136"/>
      <c r="HWY51" s="136"/>
      <c r="HWZ51" s="136"/>
      <c r="HXA51" s="136"/>
      <c r="HXB51" s="136"/>
      <c r="HXC51" s="136"/>
      <c r="HXD51" s="136"/>
      <c r="HXE51" s="136"/>
      <c r="HXF51" s="136"/>
      <c r="HXG51" s="136"/>
      <c r="HXH51" s="136"/>
      <c r="HXI51" s="136"/>
      <c r="HXJ51" s="136"/>
      <c r="HXK51" s="136"/>
      <c r="HXL51" s="136"/>
      <c r="HXM51" s="136"/>
      <c r="HXN51" s="136"/>
      <c r="HXO51" s="136"/>
      <c r="HXP51" s="136"/>
      <c r="HXQ51" s="136"/>
      <c r="HXR51" s="136"/>
      <c r="HXS51" s="136"/>
      <c r="HXT51" s="136"/>
      <c r="HXU51" s="136"/>
      <c r="HXV51" s="136"/>
      <c r="HXW51" s="136"/>
      <c r="HXX51" s="136"/>
      <c r="HXY51" s="136"/>
      <c r="HXZ51" s="136"/>
      <c r="HYA51" s="136"/>
      <c r="HYB51" s="136"/>
      <c r="HYC51" s="136"/>
      <c r="HYD51" s="136"/>
      <c r="HYE51" s="136"/>
      <c r="HYF51" s="136"/>
      <c r="HYG51" s="136"/>
      <c r="HYH51" s="136"/>
      <c r="HYI51" s="136"/>
      <c r="HYJ51" s="136"/>
      <c r="HYK51" s="136"/>
      <c r="HYL51" s="136"/>
      <c r="HYM51" s="136"/>
      <c r="HYN51" s="136"/>
      <c r="HYO51" s="136"/>
      <c r="HYP51" s="136"/>
      <c r="HYQ51" s="136"/>
      <c r="HYR51" s="136"/>
      <c r="HYS51" s="136"/>
      <c r="HYT51" s="136"/>
      <c r="HYU51" s="136"/>
      <c r="HYV51" s="136"/>
      <c r="HYW51" s="136"/>
      <c r="HYX51" s="136"/>
      <c r="HYY51" s="136"/>
      <c r="HYZ51" s="136"/>
      <c r="HZA51" s="136"/>
      <c r="HZB51" s="136"/>
      <c r="HZC51" s="136"/>
      <c r="HZD51" s="136"/>
      <c r="HZE51" s="136"/>
      <c r="HZF51" s="136"/>
      <c r="HZG51" s="136"/>
      <c r="HZH51" s="136"/>
      <c r="HZI51" s="136"/>
      <c r="HZJ51" s="136"/>
      <c r="HZK51" s="136"/>
      <c r="HZL51" s="136"/>
      <c r="HZM51" s="136"/>
      <c r="HZN51" s="136"/>
      <c r="HZO51" s="136"/>
      <c r="HZP51" s="136"/>
      <c r="HZQ51" s="136"/>
      <c r="HZR51" s="136"/>
      <c r="HZS51" s="136"/>
      <c r="HZT51" s="136"/>
      <c r="HZU51" s="136"/>
      <c r="HZV51" s="136"/>
      <c r="HZW51" s="136"/>
      <c r="HZX51" s="136"/>
      <c r="HZY51" s="136"/>
      <c r="HZZ51" s="136"/>
      <c r="IAA51" s="136"/>
      <c r="IAB51" s="136"/>
      <c r="IAC51" s="136"/>
      <c r="IAD51" s="136"/>
      <c r="IAE51" s="136"/>
      <c r="IAF51" s="136"/>
      <c r="IAG51" s="136"/>
      <c r="IAH51" s="136"/>
      <c r="IAI51" s="136"/>
      <c r="IAJ51" s="136"/>
      <c r="IAK51" s="136"/>
      <c r="IAL51" s="136"/>
      <c r="IAM51" s="136"/>
      <c r="IAN51" s="136"/>
      <c r="IAO51" s="136"/>
      <c r="IAP51" s="136"/>
      <c r="IAQ51" s="136"/>
      <c r="IAR51" s="136"/>
      <c r="IAS51" s="136"/>
      <c r="IAT51" s="136"/>
      <c r="IAU51" s="136"/>
      <c r="IAV51" s="136"/>
      <c r="IAW51" s="136"/>
      <c r="IAX51" s="136"/>
      <c r="IAY51" s="136"/>
      <c r="IAZ51" s="136"/>
      <c r="IBA51" s="136"/>
      <c r="IBB51" s="136"/>
      <c r="IBC51" s="136"/>
      <c r="IBD51" s="136"/>
      <c r="IBE51" s="136"/>
      <c r="IBF51" s="136"/>
      <c r="IBG51" s="136"/>
      <c r="IBH51" s="136"/>
      <c r="IBI51" s="136"/>
      <c r="IBJ51" s="136"/>
      <c r="IBK51" s="136"/>
      <c r="IBL51" s="136"/>
      <c r="IBM51" s="136"/>
      <c r="IBN51" s="136"/>
      <c r="IBO51" s="136"/>
      <c r="IBP51" s="136"/>
      <c r="IBQ51" s="136"/>
      <c r="IBR51" s="136"/>
      <c r="IBS51" s="136"/>
      <c r="IBT51" s="136"/>
      <c r="IBU51" s="136"/>
      <c r="IBV51" s="136"/>
      <c r="IBW51" s="136"/>
      <c r="IBX51" s="136"/>
      <c r="IBY51" s="136"/>
      <c r="IBZ51" s="136"/>
      <c r="ICA51" s="136"/>
      <c r="ICB51" s="136"/>
      <c r="ICC51" s="136"/>
      <c r="ICD51" s="136"/>
      <c r="ICE51" s="136"/>
      <c r="ICF51" s="136"/>
      <c r="ICG51" s="136"/>
      <c r="ICH51" s="136"/>
      <c r="ICI51" s="136"/>
      <c r="ICJ51" s="136"/>
      <c r="ICK51" s="136"/>
      <c r="ICL51" s="136"/>
      <c r="ICM51" s="136"/>
      <c r="ICN51" s="136"/>
      <c r="ICO51" s="136"/>
      <c r="ICP51" s="136"/>
      <c r="ICQ51" s="136"/>
      <c r="ICR51" s="136"/>
      <c r="ICS51" s="136"/>
      <c r="ICT51" s="136"/>
      <c r="ICU51" s="136"/>
      <c r="ICV51" s="136"/>
      <c r="ICW51" s="136"/>
      <c r="ICX51" s="136"/>
      <c r="ICY51" s="136"/>
      <c r="ICZ51" s="136"/>
      <c r="IDA51" s="136"/>
      <c r="IDB51" s="136"/>
      <c r="IDC51" s="136"/>
      <c r="IDD51" s="136"/>
      <c r="IDE51" s="136"/>
      <c r="IDF51" s="136"/>
      <c r="IDG51" s="136"/>
      <c r="IDH51" s="136"/>
      <c r="IDI51" s="136"/>
      <c r="IDJ51" s="136"/>
      <c r="IDK51" s="136"/>
      <c r="IDL51" s="136"/>
      <c r="IDM51" s="136"/>
      <c r="IDN51" s="136"/>
      <c r="IDO51" s="136"/>
      <c r="IDP51" s="136"/>
      <c r="IDQ51" s="136"/>
      <c r="IDR51" s="136"/>
      <c r="IDS51" s="136"/>
      <c r="IDT51" s="136"/>
      <c r="IDU51" s="136"/>
      <c r="IDV51" s="136"/>
      <c r="IDW51" s="136"/>
      <c r="IDX51" s="136"/>
      <c r="IDY51" s="136"/>
      <c r="IDZ51" s="136"/>
      <c r="IEA51" s="136"/>
      <c r="IEB51" s="136"/>
      <c r="IEC51" s="136"/>
      <c r="IED51" s="136"/>
      <c r="IEE51" s="136"/>
      <c r="IEF51" s="136"/>
      <c r="IEG51" s="136"/>
      <c r="IEH51" s="136"/>
      <c r="IEI51" s="136"/>
      <c r="IEJ51" s="136"/>
      <c r="IEK51" s="136"/>
      <c r="IEL51" s="136"/>
      <c r="IEM51" s="136"/>
      <c r="IEN51" s="136"/>
      <c r="IEO51" s="136"/>
      <c r="IEP51" s="136"/>
      <c r="IEQ51" s="136"/>
      <c r="IER51" s="136"/>
      <c r="IES51" s="136"/>
      <c r="IET51" s="136"/>
      <c r="IEU51" s="136"/>
      <c r="IEV51" s="136"/>
      <c r="IEW51" s="136"/>
      <c r="IEX51" s="136"/>
      <c r="IEY51" s="136"/>
      <c r="IEZ51" s="136"/>
      <c r="IFA51" s="136"/>
      <c r="IFB51" s="136"/>
      <c r="IFC51" s="136"/>
      <c r="IFD51" s="136"/>
      <c r="IFE51" s="136"/>
      <c r="IFF51" s="136"/>
      <c r="IFG51" s="136"/>
      <c r="IFH51" s="136"/>
      <c r="IFI51" s="136"/>
      <c r="IFJ51" s="136"/>
      <c r="IFK51" s="136"/>
      <c r="IFL51" s="136"/>
      <c r="IFM51" s="136"/>
      <c r="IFN51" s="136"/>
      <c r="IFO51" s="136"/>
      <c r="IFP51" s="136"/>
      <c r="IFQ51" s="136"/>
      <c r="IFR51" s="136"/>
      <c r="IFS51" s="136"/>
      <c r="IFT51" s="136"/>
      <c r="IFU51" s="136"/>
      <c r="IFV51" s="136"/>
      <c r="IFW51" s="136"/>
      <c r="IFX51" s="136"/>
      <c r="IFY51" s="136"/>
      <c r="IFZ51" s="136"/>
      <c r="IGA51" s="136"/>
      <c r="IGB51" s="136"/>
      <c r="IGC51" s="136"/>
      <c r="IGD51" s="136"/>
      <c r="IGE51" s="136"/>
      <c r="IGF51" s="136"/>
      <c r="IGG51" s="136"/>
      <c r="IGH51" s="136"/>
      <c r="IGI51" s="136"/>
      <c r="IGJ51" s="136"/>
      <c r="IGK51" s="136"/>
      <c r="IGL51" s="136"/>
      <c r="IGM51" s="136"/>
      <c r="IGN51" s="136"/>
      <c r="IGO51" s="136"/>
      <c r="IGP51" s="136"/>
      <c r="IGQ51" s="136"/>
      <c r="IGR51" s="136"/>
      <c r="IGS51" s="136"/>
      <c r="IGT51" s="136"/>
      <c r="IGU51" s="136"/>
      <c r="IGV51" s="136"/>
      <c r="IGW51" s="136"/>
      <c r="IGX51" s="136"/>
      <c r="IGY51" s="136"/>
      <c r="IGZ51" s="136"/>
      <c r="IHA51" s="136"/>
      <c r="IHB51" s="136"/>
      <c r="IHC51" s="136"/>
      <c r="IHD51" s="136"/>
      <c r="IHE51" s="136"/>
      <c r="IHF51" s="136"/>
      <c r="IHG51" s="136"/>
      <c r="IHH51" s="136"/>
      <c r="IHI51" s="136"/>
      <c r="IHJ51" s="136"/>
      <c r="IHK51" s="136"/>
      <c r="IHL51" s="136"/>
      <c r="IHM51" s="136"/>
      <c r="IHN51" s="136"/>
      <c r="IHO51" s="136"/>
      <c r="IHP51" s="136"/>
      <c r="IHQ51" s="136"/>
      <c r="IHR51" s="136"/>
      <c r="IHS51" s="136"/>
      <c r="IHT51" s="136"/>
      <c r="IHU51" s="136"/>
      <c r="IHV51" s="136"/>
      <c r="IHW51" s="136"/>
      <c r="IHX51" s="136"/>
      <c r="IHY51" s="136"/>
      <c r="IHZ51" s="136"/>
      <c r="IIA51" s="136"/>
      <c r="IIB51" s="136"/>
      <c r="IIC51" s="136"/>
      <c r="IID51" s="136"/>
      <c r="IIE51" s="136"/>
      <c r="IIF51" s="136"/>
      <c r="IIG51" s="136"/>
      <c r="IIH51" s="136"/>
      <c r="III51" s="136"/>
      <c r="IIJ51" s="136"/>
      <c r="IIK51" s="136"/>
      <c r="IIL51" s="136"/>
      <c r="IIM51" s="136"/>
      <c r="IIN51" s="136"/>
      <c r="IIO51" s="136"/>
      <c r="IIP51" s="136"/>
      <c r="IIQ51" s="136"/>
      <c r="IIR51" s="136"/>
      <c r="IIS51" s="136"/>
      <c r="IIT51" s="136"/>
      <c r="IIU51" s="136"/>
      <c r="IIV51" s="136"/>
      <c r="IIW51" s="136"/>
      <c r="IIX51" s="136"/>
      <c r="IIY51" s="136"/>
      <c r="IIZ51" s="136"/>
      <c r="IJA51" s="136"/>
      <c r="IJB51" s="136"/>
      <c r="IJC51" s="136"/>
      <c r="IJD51" s="136"/>
      <c r="IJE51" s="136"/>
      <c r="IJF51" s="136"/>
      <c r="IJG51" s="136"/>
      <c r="IJH51" s="136"/>
      <c r="IJI51" s="136"/>
      <c r="IJJ51" s="136"/>
      <c r="IJK51" s="136"/>
      <c r="IJL51" s="136"/>
      <c r="IJM51" s="136"/>
      <c r="IJN51" s="136"/>
      <c r="IJO51" s="136"/>
      <c r="IJP51" s="136"/>
      <c r="IJQ51" s="136"/>
      <c r="IJR51" s="136"/>
      <c r="IJS51" s="136"/>
      <c r="IJT51" s="136"/>
      <c r="IJU51" s="136"/>
      <c r="IJV51" s="136"/>
      <c r="IJW51" s="136"/>
      <c r="IJX51" s="136"/>
      <c r="IJY51" s="136"/>
      <c r="IJZ51" s="136"/>
      <c r="IKA51" s="136"/>
      <c r="IKB51" s="136"/>
      <c r="IKC51" s="136"/>
      <c r="IKD51" s="136"/>
      <c r="IKE51" s="136"/>
      <c r="IKF51" s="136"/>
      <c r="IKG51" s="136"/>
      <c r="IKH51" s="136"/>
      <c r="IKI51" s="136"/>
      <c r="IKJ51" s="136"/>
      <c r="IKK51" s="136"/>
      <c r="IKL51" s="136"/>
      <c r="IKM51" s="136"/>
      <c r="IKN51" s="136"/>
      <c r="IKO51" s="136"/>
      <c r="IKP51" s="136"/>
      <c r="IKQ51" s="136"/>
      <c r="IKR51" s="136"/>
      <c r="IKS51" s="136"/>
      <c r="IKT51" s="136"/>
      <c r="IKU51" s="136"/>
      <c r="IKV51" s="136"/>
      <c r="IKW51" s="136"/>
      <c r="IKX51" s="136"/>
      <c r="IKY51" s="136"/>
      <c r="IKZ51" s="136"/>
      <c r="ILA51" s="136"/>
      <c r="ILB51" s="136"/>
      <c r="ILC51" s="136"/>
      <c r="ILD51" s="136"/>
      <c r="ILE51" s="136"/>
      <c r="ILF51" s="136"/>
      <c r="ILG51" s="136"/>
      <c r="ILH51" s="136"/>
      <c r="ILI51" s="136"/>
      <c r="ILJ51" s="136"/>
      <c r="ILK51" s="136"/>
      <c r="ILL51" s="136"/>
      <c r="ILM51" s="136"/>
      <c r="ILN51" s="136"/>
      <c r="ILO51" s="136"/>
      <c r="ILP51" s="136"/>
      <c r="ILQ51" s="136"/>
      <c r="ILR51" s="136"/>
      <c r="ILS51" s="136"/>
      <c r="ILT51" s="136"/>
      <c r="ILU51" s="136"/>
      <c r="ILV51" s="136"/>
      <c r="ILW51" s="136"/>
      <c r="ILX51" s="136"/>
      <c r="ILY51" s="136"/>
      <c r="ILZ51" s="136"/>
      <c r="IMA51" s="136"/>
      <c r="IMB51" s="136"/>
      <c r="IMC51" s="136"/>
      <c r="IMD51" s="136"/>
      <c r="IME51" s="136"/>
      <c r="IMF51" s="136"/>
      <c r="IMG51" s="136"/>
      <c r="IMH51" s="136"/>
      <c r="IMI51" s="136"/>
      <c r="IMJ51" s="136"/>
      <c r="IMK51" s="136"/>
      <c r="IML51" s="136"/>
      <c r="IMM51" s="136"/>
      <c r="IMN51" s="136"/>
      <c r="IMO51" s="136"/>
      <c r="IMP51" s="136"/>
      <c r="IMQ51" s="136"/>
      <c r="IMR51" s="136"/>
      <c r="IMS51" s="136"/>
      <c r="IMT51" s="136"/>
      <c r="IMU51" s="136"/>
      <c r="IMV51" s="136"/>
      <c r="IMW51" s="136"/>
      <c r="IMX51" s="136"/>
      <c r="IMY51" s="136"/>
      <c r="IMZ51" s="136"/>
      <c r="INA51" s="136"/>
      <c r="INB51" s="136"/>
      <c r="INC51" s="136"/>
      <c r="IND51" s="136"/>
      <c r="INE51" s="136"/>
      <c r="INF51" s="136"/>
      <c r="ING51" s="136"/>
      <c r="INH51" s="136"/>
      <c r="INI51" s="136"/>
      <c r="INJ51" s="136"/>
      <c r="INK51" s="136"/>
      <c r="INL51" s="136"/>
      <c r="INM51" s="136"/>
      <c r="INN51" s="136"/>
      <c r="INO51" s="136"/>
      <c r="INP51" s="136"/>
      <c r="INQ51" s="136"/>
      <c r="INR51" s="136"/>
      <c r="INS51" s="136"/>
      <c r="INT51" s="136"/>
      <c r="INU51" s="136"/>
      <c r="INV51" s="136"/>
      <c r="INW51" s="136"/>
      <c r="INX51" s="136"/>
      <c r="INY51" s="136"/>
      <c r="INZ51" s="136"/>
      <c r="IOA51" s="136"/>
      <c r="IOB51" s="136"/>
      <c r="IOC51" s="136"/>
      <c r="IOD51" s="136"/>
      <c r="IOE51" s="136"/>
      <c r="IOF51" s="136"/>
      <c r="IOG51" s="136"/>
      <c r="IOH51" s="136"/>
      <c r="IOI51" s="136"/>
      <c r="IOJ51" s="136"/>
      <c r="IOK51" s="136"/>
      <c r="IOL51" s="136"/>
      <c r="IOM51" s="136"/>
      <c r="ION51" s="136"/>
      <c r="IOO51" s="136"/>
      <c r="IOP51" s="136"/>
      <c r="IOQ51" s="136"/>
      <c r="IOR51" s="136"/>
      <c r="IOS51" s="136"/>
      <c r="IOT51" s="136"/>
      <c r="IOU51" s="136"/>
      <c r="IOV51" s="136"/>
      <c r="IOW51" s="136"/>
      <c r="IOX51" s="136"/>
      <c r="IOY51" s="136"/>
      <c r="IOZ51" s="136"/>
      <c r="IPA51" s="136"/>
      <c r="IPB51" s="136"/>
      <c r="IPC51" s="136"/>
      <c r="IPD51" s="136"/>
      <c r="IPE51" s="136"/>
      <c r="IPF51" s="136"/>
      <c r="IPG51" s="136"/>
      <c r="IPH51" s="136"/>
      <c r="IPI51" s="136"/>
      <c r="IPJ51" s="136"/>
      <c r="IPK51" s="136"/>
      <c r="IPL51" s="136"/>
      <c r="IPM51" s="136"/>
      <c r="IPN51" s="136"/>
      <c r="IPO51" s="136"/>
      <c r="IPP51" s="136"/>
      <c r="IPQ51" s="136"/>
      <c r="IPR51" s="136"/>
      <c r="IPS51" s="136"/>
      <c r="IPT51" s="136"/>
      <c r="IPU51" s="136"/>
      <c r="IPV51" s="136"/>
      <c r="IPW51" s="136"/>
      <c r="IPX51" s="136"/>
      <c r="IPY51" s="136"/>
      <c r="IPZ51" s="136"/>
      <c r="IQA51" s="136"/>
      <c r="IQB51" s="136"/>
      <c r="IQC51" s="136"/>
      <c r="IQD51" s="136"/>
      <c r="IQE51" s="136"/>
      <c r="IQF51" s="136"/>
      <c r="IQG51" s="136"/>
      <c r="IQH51" s="136"/>
      <c r="IQI51" s="136"/>
      <c r="IQJ51" s="136"/>
      <c r="IQK51" s="136"/>
      <c r="IQL51" s="136"/>
      <c r="IQM51" s="136"/>
      <c r="IQN51" s="136"/>
      <c r="IQO51" s="136"/>
      <c r="IQP51" s="136"/>
      <c r="IQQ51" s="136"/>
      <c r="IQR51" s="136"/>
      <c r="IQS51" s="136"/>
      <c r="IQT51" s="136"/>
      <c r="IQU51" s="136"/>
      <c r="IQV51" s="136"/>
      <c r="IQW51" s="136"/>
      <c r="IQX51" s="136"/>
      <c r="IQY51" s="136"/>
      <c r="IQZ51" s="136"/>
      <c r="IRA51" s="136"/>
      <c r="IRB51" s="136"/>
      <c r="IRC51" s="136"/>
      <c r="IRD51" s="136"/>
      <c r="IRE51" s="136"/>
      <c r="IRF51" s="136"/>
      <c r="IRG51" s="136"/>
      <c r="IRH51" s="136"/>
      <c r="IRI51" s="136"/>
      <c r="IRJ51" s="136"/>
      <c r="IRK51" s="136"/>
      <c r="IRL51" s="136"/>
      <c r="IRM51" s="136"/>
      <c r="IRN51" s="136"/>
      <c r="IRO51" s="136"/>
      <c r="IRP51" s="136"/>
      <c r="IRQ51" s="136"/>
      <c r="IRR51" s="136"/>
      <c r="IRS51" s="136"/>
      <c r="IRT51" s="136"/>
      <c r="IRU51" s="136"/>
      <c r="IRV51" s="136"/>
      <c r="IRW51" s="136"/>
      <c r="IRX51" s="136"/>
      <c r="IRY51" s="136"/>
      <c r="IRZ51" s="136"/>
      <c r="ISA51" s="136"/>
      <c r="ISB51" s="136"/>
      <c r="ISC51" s="136"/>
      <c r="ISD51" s="136"/>
      <c r="ISE51" s="136"/>
      <c r="ISF51" s="136"/>
      <c r="ISG51" s="136"/>
      <c r="ISH51" s="136"/>
      <c r="ISI51" s="136"/>
      <c r="ISJ51" s="136"/>
      <c r="ISK51" s="136"/>
      <c r="ISL51" s="136"/>
      <c r="ISM51" s="136"/>
      <c r="ISN51" s="136"/>
      <c r="ISO51" s="136"/>
      <c r="ISP51" s="136"/>
      <c r="ISQ51" s="136"/>
      <c r="ISR51" s="136"/>
      <c r="ISS51" s="136"/>
      <c r="IST51" s="136"/>
      <c r="ISU51" s="136"/>
      <c r="ISV51" s="136"/>
      <c r="ISW51" s="136"/>
      <c r="ISX51" s="136"/>
      <c r="ISY51" s="136"/>
      <c r="ISZ51" s="136"/>
      <c r="ITA51" s="136"/>
      <c r="ITB51" s="136"/>
      <c r="ITC51" s="136"/>
      <c r="ITD51" s="136"/>
      <c r="ITE51" s="136"/>
      <c r="ITF51" s="136"/>
      <c r="ITG51" s="136"/>
      <c r="ITH51" s="136"/>
      <c r="ITI51" s="136"/>
      <c r="ITJ51" s="136"/>
      <c r="ITK51" s="136"/>
      <c r="ITL51" s="136"/>
      <c r="ITM51" s="136"/>
      <c r="ITN51" s="136"/>
      <c r="ITO51" s="136"/>
      <c r="ITP51" s="136"/>
      <c r="ITQ51" s="136"/>
      <c r="ITR51" s="136"/>
      <c r="ITS51" s="136"/>
      <c r="ITT51" s="136"/>
      <c r="ITU51" s="136"/>
      <c r="ITV51" s="136"/>
      <c r="ITW51" s="136"/>
      <c r="ITX51" s="136"/>
      <c r="ITY51" s="136"/>
      <c r="ITZ51" s="136"/>
      <c r="IUA51" s="136"/>
      <c r="IUB51" s="136"/>
      <c r="IUC51" s="136"/>
      <c r="IUD51" s="136"/>
      <c r="IUE51" s="136"/>
      <c r="IUF51" s="136"/>
      <c r="IUG51" s="136"/>
      <c r="IUH51" s="136"/>
      <c r="IUI51" s="136"/>
      <c r="IUJ51" s="136"/>
      <c r="IUK51" s="136"/>
      <c r="IUL51" s="136"/>
      <c r="IUM51" s="136"/>
      <c r="IUN51" s="136"/>
      <c r="IUO51" s="136"/>
      <c r="IUP51" s="136"/>
      <c r="IUQ51" s="136"/>
      <c r="IUR51" s="136"/>
      <c r="IUS51" s="136"/>
      <c r="IUT51" s="136"/>
      <c r="IUU51" s="136"/>
      <c r="IUV51" s="136"/>
      <c r="IUW51" s="136"/>
      <c r="IUX51" s="136"/>
      <c r="IUY51" s="136"/>
      <c r="IUZ51" s="136"/>
      <c r="IVA51" s="136"/>
      <c r="IVB51" s="136"/>
      <c r="IVC51" s="136"/>
      <c r="IVD51" s="136"/>
      <c r="IVE51" s="136"/>
      <c r="IVF51" s="136"/>
      <c r="IVG51" s="136"/>
      <c r="IVH51" s="136"/>
      <c r="IVI51" s="136"/>
      <c r="IVJ51" s="136"/>
      <c r="IVK51" s="136"/>
      <c r="IVL51" s="136"/>
      <c r="IVM51" s="136"/>
      <c r="IVN51" s="136"/>
      <c r="IVO51" s="136"/>
      <c r="IVP51" s="136"/>
      <c r="IVQ51" s="136"/>
      <c r="IVR51" s="136"/>
      <c r="IVS51" s="136"/>
      <c r="IVT51" s="136"/>
      <c r="IVU51" s="136"/>
      <c r="IVV51" s="136"/>
      <c r="IVW51" s="136"/>
      <c r="IVX51" s="136"/>
      <c r="IVY51" s="136"/>
      <c r="IVZ51" s="136"/>
      <c r="IWA51" s="136"/>
      <c r="IWB51" s="136"/>
      <c r="IWC51" s="136"/>
      <c r="IWD51" s="136"/>
      <c r="IWE51" s="136"/>
      <c r="IWF51" s="136"/>
      <c r="IWG51" s="136"/>
      <c r="IWH51" s="136"/>
      <c r="IWI51" s="136"/>
      <c r="IWJ51" s="136"/>
      <c r="IWK51" s="136"/>
      <c r="IWL51" s="136"/>
      <c r="IWM51" s="136"/>
      <c r="IWN51" s="136"/>
      <c r="IWO51" s="136"/>
      <c r="IWP51" s="136"/>
      <c r="IWQ51" s="136"/>
      <c r="IWR51" s="136"/>
      <c r="IWS51" s="136"/>
      <c r="IWT51" s="136"/>
      <c r="IWU51" s="136"/>
      <c r="IWV51" s="136"/>
      <c r="IWW51" s="136"/>
      <c r="IWX51" s="136"/>
      <c r="IWY51" s="136"/>
      <c r="IWZ51" s="136"/>
      <c r="IXA51" s="136"/>
      <c r="IXB51" s="136"/>
      <c r="IXC51" s="136"/>
      <c r="IXD51" s="136"/>
      <c r="IXE51" s="136"/>
      <c r="IXF51" s="136"/>
      <c r="IXG51" s="136"/>
      <c r="IXH51" s="136"/>
      <c r="IXI51" s="136"/>
      <c r="IXJ51" s="136"/>
      <c r="IXK51" s="136"/>
      <c r="IXL51" s="136"/>
      <c r="IXM51" s="136"/>
      <c r="IXN51" s="136"/>
      <c r="IXO51" s="136"/>
      <c r="IXP51" s="136"/>
      <c r="IXQ51" s="136"/>
      <c r="IXR51" s="136"/>
      <c r="IXS51" s="136"/>
      <c r="IXT51" s="136"/>
      <c r="IXU51" s="136"/>
      <c r="IXV51" s="136"/>
      <c r="IXW51" s="136"/>
      <c r="IXX51" s="136"/>
      <c r="IXY51" s="136"/>
      <c r="IXZ51" s="136"/>
      <c r="IYA51" s="136"/>
      <c r="IYB51" s="136"/>
      <c r="IYC51" s="136"/>
      <c r="IYD51" s="136"/>
      <c r="IYE51" s="136"/>
      <c r="IYF51" s="136"/>
      <c r="IYG51" s="136"/>
      <c r="IYH51" s="136"/>
      <c r="IYI51" s="136"/>
      <c r="IYJ51" s="136"/>
      <c r="IYK51" s="136"/>
      <c r="IYL51" s="136"/>
      <c r="IYM51" s="136"/>
      <c r="IYN51" s="136"/>
      <c r="IYO51" s="136"/>
      <c r="IYP51" s="136"/>
      <c r="IYQ51" s="136"/>
      <c r="IYR51" s="136"/>
      <c r="IYS51" s="136"/>
      <c r="IYT51" s="136"/>
      <c r="IYU51" s="136"/>
      <c r="IYV51" s="136"/>
      <c r="IYW51" s="136"/>
      <c r="IYX51" s="136"/>
      <c r="IYY51" s="136"/>
      <c r="IYZ51" s="136"/>
      <c r="IZA51" s="136"/>
      <c r="IZB51" s="136"/>
      <c r="IZC51" s="136"/>
      <c r="IZD51" s="136"/>
      <c r="IZE51" s="136"/>
      <c r="IZF51" s="136"/>
      <c r="IZG51" s="136"/>
      <c r="IZH51" s="136"/>
      <c r="IZI51" s="136"/>
      <c r="IZJ51" s="136"/>
      <c r="IZK51" s="136"/>
      <c r="IZL51" s="136"/>
      <c r="IZM51" s="136"/>
      <c r="IZN51" s="136"/>
      <c r="IZO51" s="136"/>
      <c r="IZP51" s="136"/>
      <c r="IZQ51" s="136"/>
      <c r="IZR51" s="136"/>
      <c r="IZS51" s="136"/>
      <c r="IZT51" s="136"/>
      <c r="IZU51" s="136"/>
      <c r="IZV51" s="136"/>
      <c r="IZW51" s="136"/>
      <c r="IZX51" s="136"/>
      <c r="IZY51" s="136"/>
      <c r="IZZ51" s="136"/>
      <c r="JAA51" s="136"/>
      <c r="JAB51" s="136"/>
      <c r="JAC51" s="136"/>
      <c r="JAD51" s="136"/>
      <c r="JAE51" s="136"/>
      <c r="JAF51" s="136"/>
      <c r="JAG51" s="136"/>
      <c r="JAH51" s="136"/>
      <c r="JAI51" s="136"/>
      <c r="JAJ51" s="136"/>
      <c r="JAK51" s="136"/>
      <c r="JAL51" s="136"/>
      <c r="JAM51" s="136"/>
      <c r="JAN51" s="136"/>
      <c r="JAO51" s="136"/>
      <c r="JAP51" s="136"/>
      <c r="JAQ51" s="136"/>
      <c r="JAR51" s="136"/>
      <c r="JAS51" s="136"/>
      <c r="JAT51" s="136"/>
      <c r="JAU51" s="136"/>
      <c r="JAV51" s="136"/>
      <c r="JAW51" s="136"/>
      <c r="JAX51" s="136"/>
      <c r="JAY51" s="136"/>
      <c r="JAZ51" s="136"/>
      <c r="JBA51" s="136"/>
      <c r="JBB51" s="136"/>
      <c r="JBC51" s="136"/>
      <c r="JBD51" s="136"/>
      <c r="JBE51" s="136"/>
      <c r="JBF51" s="136"/>
      <c r="JBG51" s="136"/>
      <c r="JBH51" s="136"/>
      <c r="JBI51" s="136"/>
      <c r="JBJ51" s="136"/>
      <c r="JBK51" s="136"/>
      <c r="JBL51" s="136"/>
      <c r="JBM51" s="136"/>
      <c r="JBN51" s="136"/>
      <c r="JBO51" s="136"/>
      <c r="JBP51" s="136"/>
      <c r="JBQ51" s="136"/>
      <c r="JBR51" s="136"/>
      <c r="JBS51" s="136"/>
      <c r="JBT51" s="136"/>
      <c r="JBU51" s="136"/>
      <c r="JBV51" s="136"/>
      <c r="JBW51" s="136"/>
      <c r="JBX51" s="136"/>
      <c r="JBY51" s="136"/>
      <c r="JBZ51" s="136"/>
      <c r="JCA51" s="136"/>
      <c r="JCB51" s="136"/>
      <c r="JCC51" s="136"/>
      <c r="JCD51" s="136"/>
      <c r="JCE51" s="136"/>
      <c r="JCF51" s="136"/>
      <c r="JCG51" s="136"/>
      <c r="JCH51" s="136"/>
      <c r="JCI51" s="136"/>
      <c r="JCJ51" s="136"/>
      <c r="JCK51" s="136"/>
      <c r="JCL51" s="136"/>
      <c r="JCM51" s="136"/>
      <c r="JCN51" s="136"/>
      <c r="JCO51" s="136"/>
      <c r="JCP51" s="136"/>
      <c r="JCQ51" s="136"/>
      <c r="JCR51" s="136"/>
      <c r="JCS51" s="136"/>
      <c r="JCT51" s="136"/>
      <c r="JCU51" s="136"/>
      <c r="JCV51" s="136"/>
      <c r="JCW51" s="136"/>
      <c r="JCX51" s="136"/>
      <c r="JCY51" s="136"/>
      <c r="JCZ51" s="136"/>
      <c r="JDA51" s="136"/>
      <c r="JDB51" s="136"/>
      <c r="JDC51" s="136"/>
      <c r="JDD51" s="136"/>
      <c r="JDE51" s="136"/>
      <c r="JDF51" s="136"/>
      <c r="JDG51" s="136"/>
      <c r="JDH51" s="136"/>
      <c r="JDI51" s="136"/>
      <c r="JDJ51" s="136"/>
      <c r="JDK51" s="136"/>
      <c r="JDL51" s="136"/>
      <c r="JDM51" s="136"/>
      <c r="JDN51" s="136"/>
      <c r="JDO51" s="136"/>
      <c r="JDP51" s="136"/>
      <c r="JDQ51" s="136"/>
      <c r="JDR51" s="136"/>
      <c r="JDS51" s="136"/>
      <c r="JDT51" s="136"/>
      <c r="JDU51" s="136"/>
      <c r="JDV51" s="136"/>
      <c r="JDW51" s="136"/>
      <c r="JDX51" s="136"/>
      <c r="JDY51" s="136"/>
      <c r="JDZ51" s="136"/>
      <c r="JEA51" s="136"/>
      <c r="JEB51" s="136"/>
      <c r="JEC51" s="136"/>
      <c r="JED51" s="136"/>
      <c r="JEE51" s="136"/>
      <c r="JEF51" s="136"/>
      <c r="JEG51" s="136"/>
      <c r="JEH51" s="136"/>
      <c r="JEI51" s="136"/>
      <c r="JEJ51" s="136"/>
      <c r="JEK51" s="136"/>
      <c r="JEL51" s="136"/>
      <c r="JEM51" s="136"/>
      <c r="JEN51" s="136"/>
      <c r="JEO51" s="136"/>
      <c r="JEP51" s="136"/>
      <c r="JEQ51" s="136"/>
      <c r="JER51" s="136"/>
      <c r="JES51" s="136"/>
      <c r="JET51" s="136"/>
      <c r="JEU51" s="136"/>
      <c r="JEV51" s="136"/>
      <c r="JEW51" s="136"/>
      <c r="JEX51" s="136"/>
      <c r="JEY51" s="136"/>
      <c r="JEZ51" s="136"/>
      <c r="JFA51" s="136"/>
      <c r="JFB51" s="136"/>
      <c r="JFC51" s="136"/>
      <c r="JFD51" s="136"/>
      <c r="JFE51" s="136"/>
      <c r="JFF51" s="136"/>
      <c r="JFG51" s="136"/>
      <c r="JFH51" s="136"/>
      <c r="JFI51" s="136"/>
      <c r="JFJ51" s="136"/>
      <c r="JFK51" s="136"/>
      <c r="JFL51" s="136"/>
      <c r="JFM51" s="136"/>
      <c r="JFN51" s="136"/>
      <c r="JFO51" s="136"/>
      <c r="JFP51" s="136"/>
      <c r="JFQ51" s="136"/>
      <c r="JFR51" s="136"/>
      <c r="JFS51" s="136"/>
      <c r="JFT51" s="136"/>
      <c r="JFU51" s="136"/>
      <c r="JFV51" s="136"/>
      <c r="JFW51" s="136"/>
      <c r="JFX51" s="136"/>
      <c r="JFY51" s="136"/>
      <c r="JFZ51" s="136"/>
      <c r="JGA51" s="136"/>
      <c r="JGB51" s="136"/>
      <c r="JGC51" s="136"/>
      <c r="JGD51" s="136"/>
      <c r="JGE51" s="136"/>
      <c r="JGF51" s="136"/>
      <c r="JGG51" s="136"/>
      <c r="JGH51" s="136"/>
      <c r="JGI51" s="136"/>
      <c r="JGJ51" s="136"/>
      <c r="JGK51" s="136"/>
      <c r="JGL51" s="136"/>
      <c r="JGM51" s="136"/>
      <c r="JGN51" s="136"/>
      <c r="JGO51" s="136"/>
      <c r="JGP51" s="136"/>
      <c r="JGQ51" s="136"/>
      <c r="JGR51" s="136"/>
      <c r="JGS51" s="136"/>
      <c r="JGT51" s="136"/>
      <c r="JGU51" s="136"/>
      <c r="JGV51" s="136"/>
      <c r="JGW51" s="136"/>
      <c r="JGX51" s="136"/>
      <c r="JGY51" s="136"/>
      <c r="JGZ51" s="136"/>
      <c r="JHA51" s="136"/>
      <c r="JHB51" s="136"/>
      <c r="JHC51" s="136"/>
      <c r="JHD51" s="136"/>
      <c r="JHE51" s="136"/>
      <c r="JHF51" s="136"/>
      <c r="JHG51" s="136"/>
      <c r="JHH51" s="136"/>
      <c r="JHI51" s="136"/>
      <c r="JHJ51" s="136"/>
      <c r="JHK51" s="136"/>
      <c r="JHL51" s="136"/>
      <c r="JHM51" s="136"/>
      <c r="JHN51" s="136"/>
      <c r="JHO51" s="136"/>
      <c r="JHP51" s="136"/>
      <c r="JHQ51" s="136"/>
      <c r="JHR51" s="136"/>
      <c r="JHS51" s="136"/>
      <c r="JHT51" s="136"/>
      <c r="JHU51" s="136"/>
      <c r="JHV51" s="136"/>
      <c r="JHW51" s="136"/>
      <c r="JHX51" s="136"/>
      <c r="JHY51" s="136"/>
      <c r="JHZ51" s="136"/>
      <c r="JIA51" s="136"/>
      <c r="JIB51" s="136"/>
      <c r="JIC51" s="136"/>
      <c r="JID51" s="136"/>
      <c r="JIE51" s="136"/>
      <c r="JIF51" s="136"/>
      <c r="JIG51" s="136"/>
      <c r="JIH51" s="136"/>
      <c r="JII51" s="136"/>
      <c r="JIJ51" s="136"/>
      <c r="JIK51" s="136"/>
      <c r="JIL51" s="136"/>
      <c r="JIM51" s="136"/>
      <c r="JIN51" s="136"/>
      <c r="JIO51" s="136"/>
      <c r="JIP51" s="136"/>
      <c r="JIQ51" s="136"/>
      <c r="JIR51" s="136"/>
      <c r="JIS51" s="136"/>
      <c r="JIT51" s="136"/>
      <c r="JIU51" s="136"/>
      <c r="JIV51" s="136"/>
      <c r="JIW51" s="136"/>
      <c r="JIX51" s="136"/>
      <c r="JIY51" s="136"/>
      <c r="JIZ51" s="136"/>
      <c r="JJA51" s="136"/>
      <c r="JJB51" s="136"/>
      <c r="JJC51" s="136"/>
      <c r="JJD51" s="136"/>
      <c r="JJE51" s="136"/>
      <c r="JJF51" s="136"/>
      <c r="JJG51" s="136"/>
      <c r="JJH51" s="136"/>
      <c r="JJI51" s="136"/>
      <c r="JJJ51" s="136"/>
      <c r="JJK51" s="136"/>
      <c r="JJL51" s="136"/>
      <c r="JJM51" s="136"/>
      <c r="JJN51" s="136"/>
      <c r="JJO51" s="136"/>
      <c r="JJP51" s="136"/>
      <c r="JJQ51" s="136"/>
      <c r="JJR51" s="136"/>
      <c r="JJS51" s="136"/>
      <c r="JJT51" s="136"/>
      <c r="JJU51" s="136"/>
      <c r="JJV51" s="136"/>
      <c r="JJW51" s="136"/>
      <c r="JJX51" s="136"/>
      <c r="JJY51" s="136"/>
      <c r="JJZ51" s="136"/>
      <c r="JKA51" s="136"/>
      <c r="JKB51" s="136"/>
      <c r="JKC51" s="136"/>
      <c r="JKD51" s="136"/>
      <c r="JKE51" s="136"/>
      <c r="JKF51" s="136"/>
      <c r="JKG51" s="136"/>
      <c r="JKH51" s="136"/>
      <c r="JKI51" s="136"/>
      <c r="JKJ51" s="136"/>
      <c r="JKK51" s="136"/>
      <c r="JKL51" s="136"/>
      <c r="JKM51" s="136"/>
      <c r="JKN51" s="136"/>
      <c r="JKO51" s="136"/>
      <c r="JKP51" s="136"/>
      <c r="JKQ51" s="136"/>
      <c r="JKR51" s="136"/>
      <c r="JKS51" s="136"/>
      <c r="JKT51" s="136"/>
      <c r="JKU51" s="136"/>
      <c r="JKV51" s="136"/>
      <c r="JKW51" s="136"/>
      <c r="JKX51" s="136"/>
      <c r="JKY51" s="136"/>
      <c r="JKZ51" s="136"/>
      <c r="JLA51" s="136"/>
      <c r="JLB51" s="136"/>
      <c r="JLC51" s="136"/>
      <c r="JLD51" s="136"/>
      <c r="JLE51" s="136"/>
      <c r="JLF51" s="136"/>
      <c r="JLG51" s="136"/>
      <c r="JLH51" s="136"/>
      <c r="JLI51" s="136"/>
      <c r="JLJ51" s="136"/>
      <c r="JLK51" s="136"/>
      <c r="JLL51" s="136"/>
      <c r="JLM51" s="136"/>
      <c r="JLN51" s="136"/>
      <c r="JLO51" s="136"/>
      <c r="JLP51" s="136"/>
      <c r="JLQ51" s="136"/>
      <c r="JLR51" s="136"/>
      <c r="JLS51" s="136"/>
      <c r="JLT51" s="136"/>
      <c r="JLU51" s="136"/>
      <c r="JLV51" s="136"/>
      <c r="JLW51" s="136"/>
      <c r="JLX51" s="136"/>
      <c r="JLY51" s="136"/>
      <c r="JLZ51" s="136"/>
      <c r="JMA51" s="136"/>
      <c r="JMB51" s="136"/>
      <c r="JMC51" s="136"/>
      <c r="JMD51" s="136"/>
      <c r="JME51" s="136"/>
      <c r="JMF51" s="136"/>
      <c r="JMG51" s="136"/>
      <c r="JMH51" s="136"/>
      <c r="JMI51" s="136"/>
      <c r="JMJ51" s="136"/>
      <c r="JMK51" s="136"/>
      <c r="JML51" s="136"/>
      <c r="JMM51" s="136"/>
      <c r="JMN51" s="136"/>
      <c r="JMO51" s="136"/>
      <c r="JMP51" s="136"/>
      <c r="JMQ51" s="136"/>
      <c r="JMR51" s="136"/>
      <c r="JMS51" s="136"/>
      <c r="JMT51" s="136"/>
      <c r="JMU51" s="136"/>
      <c r="JMV51" s="136"/>
      <c r="JMW51" s="136"/>
      <c r="JMX51" s="136"/>
      <c r="JMY51" s="136"/>
      <c r="JMZ51" s="136"/>
      <c r="JNA51" s="136"/>
      <c r="JNB51" s="136"/>
      <c r="JNC51" s="136"/>
      <c r="JND51" s="136"/>
      <c r="JNE51" s="136"/>
      <c r="JNF51" s="136"/>
      <c r="JNG51" s="136"/>
      <c r="JNH51" s="136"/>
      <c r="JNI51" s="136"/>
      <c r="JNJ51" s="136"/>
      <c r="JNK51" s="136"/>
      <c r="JNL51" s="136"/>
      <c r="JNM51" s="136"/>
      <c r="JNN51" s="136"/>
      <c r="JNO51" s="136"/>
      <c r="JNP51" s="136"/>
      <c r="JNQ51" s="136"/>
      <c r="JNR51" s="136"/>
      <c r="JNS51" s="136"/>
      <c r="JNT51" s="136"/>
      <c r="JNU51" s="136"/>
      <c r="JNV51" s="136"/>
      <c r="JNW51" s="136"/>
      <c r="JNX51" s="136"/>
      <c r="JNY51" s="136"/>
      <c r="JNZ51" s="136"/>
      <c r="JOA51" s="136"/>
      <c r="JOB51" s="136"/>
      <c r="JOC51" s="136"/>
      <c r="JOD51" s="136"/>
      <c r="JOE51" s="136"/>
      <c r="JOF51" s="136"/>
      <c r="JOG51" s="136"/>
      <c r="JOH51" s="136"/>
      <c r="JOI51" s="136"/>
      <c r="JOJ51" s="136"/>
      <c r="JOK51" s="136"/>
      <c r="JOL51" s="136"/>
      <c r="JOM51" s="136"/>
      <c r="JON51" s="136"/>
      <c r="JOO51" s="136"/>
      <c r="JOP51" s="136"/>
      <c r="JOQ51" s="136"/>
      <c r="JOR51" s="136"/>
      <c r="JOS51" s="136"/>
      <c r="JOT51" s="136"/>
      <c r="JOU51" s="136"/>
      <c r="JOV51" s="136"/>
      <c r="JOW51" s="136"/>
      <c r="JOX51" s="136"/>
      <c r="JOY51" s="136"/>
      <c r="JOZ51" s="136"/>
      <c r="JPA51" s="136"/>
      <c r="JPB51" s="136"/>
      <c r="JPC51" s="136"/>
      <c r="JPD51" s="136"/>
      <c r="JPE51" s="136"/>
      <c r="JPF51" s="136"/>
      <c r="JPG51" s="136"/>
      <c r="JPH51" s="136"/>
      <c r="JPI51" s="136"/>
      <c r="JPJ51" s="136"/>
      <c r="JPK51" s="136"/>
      <c r="JPL51" s="136"/>
      <c r="JPM51" s="136"/>
      <c r="JPN51" s="136"/>
      <c r="JPO51" s="136"/>
      <c r="JPP51" s="136"/>
      <c r="JPQ51" s="136"/>
      <c r="JPR51" s="136"/>
      <c r="JPS51" s="136"/>
      <c r="JPT51" s="136"/>
      <c r="JPU51" s="136"/>
      <c r="JPV51" s="136"/>
      <c r="JPW51" s="136"/>
      <c r="JPX51" s="136"/>
      <c r="JPY51" s="136"/>
      <c r="JPZ51" s="136"/>
      <c r="JQA51" s="136"/>
      <c r="JQB51" s="136"/>
      <c r="JQC51" s="136"/>
      <c r="JQD51" s="136"/>
      <c r="JQE51" s="136"/>
      <c r="JQF51" s="136"/>
      <c r="JQG51" s="136"/>
      <c r="JQH51" s="136"/>
      <c r="JQI51" s="136"/>
      <c r="JQJ51" s="136"/>
      <c r="JQK51" s="136"/>
      <c r="JQL51" s="136"/>
      <c r="JQM51" s="136"/>
      <c r="JQN51" s="136"/>
      <c r="JQO51" s="136"/>
      <c r="JQP51" s="136"/>
      <c r="JQQ51" s="136"/>
      <c r="JQR51" s="136"/>
      <c r="JQS51" s="136"/>
      <c r="JQT51" s="136"/>
      <c r="JQU51" s="136"/>
      <c r="JQV51" s="136"/>
      <c r="JQW51" s="136"/>
      <c r="JQX51" s="136"/>
      <c r="JQY51" s="136"/>
      <c r="JQZ51" s="136"/>
      <c r="JRA51" s="136"/>
      <c r="JRB51" s="136"/>
      <c r="JRC51" s="136"/>
      <c r="JRD51" s="136"/>
      <c r="JRE51" s="136"/>
      <c r="JRF51" s="136"/>
      <c r="JRG51" s="136"/>
      <c r="JRH51" s="136"/>
      <c r="JRI51" s="136"/>
      <c r="JRJ51" s="136"/>
      <c r="JRK51" s="136"/>
      <c r="JRL51" s="136"/>
      <c r="JRM51" s="136"/>
      <c r="JRN51" s="136"/>
      <c r="JRO51" s="136"/>
      <c r="JRP51" s="136"/>
      <c r="JRQ51" s="136"/>
      <c r="JRR51" s="136"/>
      <c r="JRS51" s="136"/>
      <c r="JRT51" s="136"/>
      <c r="JRU51" s="136"/>
      <c r="JRV51" s="136"/>
      <c r="JRW51" s="136"/>
      <c r="JRX51" s="136"/>
      <c r="JRY51" s="136"/>
      <c r="JRZ51" s="136"/>
      <c r="JSA51" s="136"/>
      <c r="JSB51" s="136"/>
      <c r="JSC51" s="136"/>
      <c r="JSD51" s="136"/>
      <c r="JSE51" s="136"/>
      <c r="JSF51" s="136"/>
      <c r="JSG51" s="136"/>
      <c r="JSH51" s="136"/>
      <c r="JSI51" s="136"/>
      <c r="JSJ51" s="136"/>
      <c r="JSK51" s="136"/>
      <c r="JSL51" s="136"/>
      <c r="JSM51" s="136"/>
      <c r="JSN51" s="136"/>
      <c r="JSO51" s="136"/>
      <c r="JSP51" s="136"/>
      <c r="JSQ51" s="136"/>
      <c r="JSR51" s="136"/>
      <c r="JSS51" s="136"/>
      <c r="JST51" s="136"/>
      <c r="JSU51" s="136"/>
      <c r="JSV51" s="136"/>
      <c r="JSW51" s="136"/>
      <c r="JSX51" s="136"/>
      <c r="JSY51" s="136"/>
      <c r="JSZ51" s="136"/>
      <c r="JTA51" s="136"/>
      <c r="JTB51" s="136"/>
      <c r="JTC51" s="136"/>
      <c r="JTD51" s="136"/>
      <c r="JTE51" s="136"/>
      <c r="JTF51" s="136"/>
      <c r="JTG51" s="136"/>
      <c r="JTH51" s="136"/>
      <c r="JTI51" s="136"/>
      <c r="JTJ51" s="136"/>
      <c r="JTK51" s="136"/>
      <c r="JTL51" s="136"/>
      <c r="JTM51" s="136"/>
      <c r="JTN51" s="136"/>
      <c r="JTO51" s="136"/>
      <c r="JTP51" s="136"/>
      <c r="JTQ51" s="136"/>
      <c r="JTR51" s="136"/>
      <c r="JTS51" s="136"/>
      <c r="JTT51" s="136"/>
      <c r="JTU51" s="136"/>
      <c r="JTV51" s="136"/>
      <c r="JTW51" s="136"/>
      <c r="JTX51" s="136"/>
      <c r="JTY51" s="136"/>
      <c r="JTZ51" s="136"/>
      <c r="JUA51" s="136"/>
      <c r="JUB51" s="136"/>
      <c r="JUC51" s="136"/>
      <c r="JUD51" s="136"/>
      <c r="JUE51" s="136"/>
      <c r="JUF51" s="136"/>
      <c r="JUG51" s="136"/>
      <c r="JUH51" s="136"/>
      <c r="JUI51" s="136"/>
      <c r="JUJ51" s="136"/>
      <c r="JUK51" s="136"/>
      <c r="JUL51" s="136"/>
      <c r="JUM51" s="136"/>
      <c r="JUN51" s="136"/>
      <c r="JUO51" s="136"/>
      <c r="JUP51" s="136"/>
      <c r="JUQ51" s="136"/>
      <c r="JUR51" s="136"/>
      <c r="JUS51" s="136"/>
      <c r="JUT51" s="136"/>
      <c r="JUU51" s="136"/>
      <c r="JUV51" s="136"/>
      <c r="JUW51" s="136"/>
      <c r="JUX51" s="136"/>
      <c r="JUY51" s="136"/>
      <c r="JUZ51" s="136"/>
      <c r="JVA51" s="136"/>
      <c r="JVB51" s="136"/>
      <c r="JVC51" s="136"/>
      <c r="JVD51" s="136"/>
      <c r="JVE51" s="136"/>
      <c r="JVF51" s="136"/>
      <c r="JVG51" s="136"/>
      <c r="JVH51" s="136"/>
      <c r="JVI51" s="136"/>
      <c r="JVJ51" s="136"/>
      <c r="JVK51" s="136"/>
      <c r="JVL51" s="136"/>
      <c r="JVM51" s="136"/>
      <c r="JVN51" s="136"/>
      <c r="JVO51" s="136"/>
      <c r="JVP51" s="136"/>
      <c r="JVQ51" s="136"/>
      <c r="JVR51" s="136"/>
      <c r="JVS51" s="136"/>
      <c r="JVT51" s="136"/>
      <c r="JVU51" s="136"/>
      <c r="JVV51" s="136"/>
      <c r="JVW51" s="136"/>
      <c r="JVX51" s="136"/>
      <c r="JVY51" s="136"/>
      <c r="JVZ51" s="136"/>
      <c r="JWA51" s="136"/>
      <c r="JWB51" s="136"/>
      <c r="JWC51" s="136"/>
      <c r="JWD51" s="136"/>
      <c r="JWE51" s="136"/>
      <c r="JWF51" s="136"/>
      <c r="JWG51" s="136"/>
      <c r="JWH51" s="136"/>
      <c r="JWI51" s="136"/>
      <c r="JWJ51" s="136"/>
      <c r="JWK51" s="136"/>
      <c r="JWL51" s="136"/>
      <c r="JWM51" s="136"/>
      <c r="JWN51" s="136"/>
      <c r="JWO51" s="136"/>
      <c r="JWP51" s="136"/>
      <c r="JWQ51" s="136"/>
      <c r="JWR51" s="136"/>
      <c r="JWS51" s="136"/>
      <c r="JWT51" s="136"/>
      <c r="JWU51" s="136"/>
      <c r="JWV51" s="136"/>
      <c r="JWW51" s="136"/>
      <c r="JWX51" s="136"/>
      <c r="JWY51" s="136"/>
      <c r="JWZ51" s="136"/>
      <c r="JXA51" s="136"/>
      <c r="JXB51" s="136"/>
      <c r="JXC51" s="136"/>
      <c r="JXD51" s="136"/>
      <c r="JXE51" s="136"/>
      <c r="JXF51" s="136"/>
      <c r="JXG51" s="136"/>
      <c r="JXH51" s="136"/>
      <c r="JXI51" s="136"/>
      <c r="JXJ51" s="136"/>
      <c r="JXK51" s="136"/>
      <c r="JXL51" s="136"/>
      <c r="JXM51" s="136"/>
      <c r="JXN51" s="136"/>
      <c r="JXO51" s="136"/>
      <c r="JXP51" s="136"/>
      <c r="JXQ51" s="136"/>
      <c r="JXR51" s="136"/>
      <c r="JXS51" s="136"/>
      <c r="JXT51" s="136"/>
      <c r="JXU51" s="136"/>
      <c r="JXV51" s="136"/>
      <c r="JXW51" s="136"/>
      <c r="JXX51" s="136"/>
      <c r="JXY51" s="136"/>
      <c r="JXZ51" s="136"/>
      <c r="JYA51" s="136"/>
      <c r="JYB51" s="136"/>
      <c r="JYC51" s="136"/>
      <c r="JYD51" s="136"/>
      <c r="JYE51" s="136"/>
      <c r="JYF51" s="136"/>
      <c r="JYG51" s="136"/>
      <c r="JYH51" s="136"/>
      <c r="JYI51" s="136"/>
      <c r="JYJ51" s="136"/>
      <c r="JYK51" s="136"/>
      <c r="JYL51" s="136"/>
      <c r="JYM51" s="136"/>
      <c r="JYN51" s="136"/>
      <c r="JYO51" s="136"/>
      <c r="JYP51" s="136"/>
      <c r="JYQ51" s="136"/>
      <c r="JYR51" s="136"/>
      <c r="JYS51" s="136"/>
      <c r="JYT51" s="136"/>
      <c r="JYU51" s="136"/>
      <c r="JYV51" s="136"/>
      <c r="JYW51" s="136"/>
      <c r="JYX51" s="136"/>
      <c r="JYY51" s="136"/>
      <c r="JYZ51" s="136"/>
      <c r="JZA51" s="136"/>
      <c r="JZB51" s="136"/>
      <c r="JZC51" s="136"/>
      <c r="JZD51" s="136"/>
      <c r="JZE51" s="136"/>
      <c r="JZF51" s="136"/>
      <c r="JZG51" s="136"/>
      <c r="JZH51" s="136"/>
      <c r="JZI51" s="136"/>
      <c r="JZJ51" s="136"/>
      <c r="JZK51" s="136"/>
      <c r="JZL51" s="136"/>
      <c r="JZM51" s="136"/>
      <c r="JZN51" s="136"/>
      <c r="JZO51" s="136"/>
      <c r="JZP51" s="136"/>
      <c r="JZQ51" s="136"/>
      <c r="JZR51" s="136"/>
      <c r="JZS51" s="136"/>
      <c r="JZT51" s="136"/>
      <c r="JZU51" s="136"/>
      <c r="JZV51" s="136"/>
      <c r="JZW51" s="136"/>
      <c r="JZX51" s="136"/>
      <c r="JZY51" s="136"/>
      <c r="JZZ51" s="136"/>
      <c r="KAA51" s="136"/>
      <c r="KAB51" s="136"/>
      <c r="KAC51" s="136"/>
      <c r="KAD51" s="136"/>
      <c r="KAE51" s="136"/>
      <c r="KAF51" s="136"/>
      <c r="KAG51" s="136"/>
      <c r="KAH51" s="136"/>
      <c r="KAI51" s="136"/>
      <c r="KAJ51" s="136"/>
      <c r="KAK51" s="136"/>
      <c r="KAL51" s="136"/>
      <c r="KAM51" s="136"/>
      <c r="KAN51" s="136"/>
      <c r="KAO51" s="136"/>
      <c r="KAP51" s="136"/>
      <c r="KAQ51" s="136"/>
      <c r="KAR51" s="136"/>
      <c r="KAS51" s="136"/>
      <c r="KAT51" s="136"/>
      <c r="KAU51" s="136"/>
      <c r="KAV51" s="136"/>
      <c r="KAW51" s="136"/>
      <c r="KAX51" s="136"/>
      <c r="KAY51" s="136"/>
      <c r="KAZ51" s="136"/>
      <c r="KBA51" s="136"/>
      <c r="KBB51" s="136"/>
      <c r="KBC51" s="136"/>
      <c r="KBD51" s="136"/>
      <c r="KBE51" s="136"/>
      <c r="KBF51" s="136"/>
      <c r="KBG51" s="136"/>
      <c r="KBH51" s="136"/>
      <c r="KBI51" s="136"/>
      <c r="KBJ51" s="136"/>
      <c r="KBK51" s="136"/>
      <c r="KBL51" s="136"/>
      <c r="KBM51" s="136"/>
      <c r="KBN51" s="136"/>
      <c r="KBO51" s="136"/>
      <c r="KBP51" s="136"/>
      <c r="KBQ51" s="136"/>
      <c r="KBR51" s="136"/>
      <c r="KBS51" s="136"/>
      <c r="KBT51" s="136"/>
      <c r="KBU51" s="136"/>
      <c r="KBV51" s="136"/>
      <c r="KBW51" s="136"/>
      <c r="KBX51" s="136"/>
      <c r="KBY51" s="136"/>
      <c r="KBZ51" s="136"/>
      <c r="KCA51" s="136"/>
      <c r="KCB51" s="136"/>
      <c r="KCC51" s="136"/>
      <c r="KCD51" s="136"/>
      <c r="KCE51" s="136"/>
      <c r="KCF51" s="136"/>
      <c r="KCG51" s="136"/>
      <c r="KCH51" s="136"/>
      <c r="KCI51" s="136"/>
      <c r="KCJ51" s="136"/>
      <c r="KCK51" s="136"/>
      <c r="KCL51" s="136"/>
      <c r="KCM51" s="136"/>
      <c r="KCN51" s="136"/>
      <c r="KCO51" s="136"/>
      <c r="KCP51" s="136"/>
      <c r="KCQ51" s="136"/>
      <c r="KCR51" s="136"/>
      <c r="KCS51" s="136"/>
      <c r="KCT51" s="136"/>
      <c r="KCU51" s="136"/>
      <c r="KCV51" s="136"/>
      <c r="KCW51" s="136"/>
      <c r="KCX51" s="136"/>
      <c r="KCY51" s="136"/>
      <c r="KCZ51" s="136"/>
      <c r="KDA51" s="136"/>
      <c r="KDB51" s="136"/>
      <c r="KDC51" s="136"/>
      <c r="KDD51" s="136"/>
      <c r="KDE51" s="136"/>
      <c r="KDF51" s="136"/>
      <c r="KDG51" s="136"/>
      <c r="KDH51" s="136"/>
      <c r="KDI51" s="136"/>
      <c r="KDJ51" s="136"/>
      <c r="KDK51" s="136"/>
      <c r="KDL51" s="136"/>
      <c r="KDM51" s="136"/>
      <c r="KDN51" s="136"/>
      <c r="KDO51" s="136"/>
      <c r="KDP51" s="136"/>
      <c r="KDQ51" s="136"/>
      <c r="KDR51" s="136"/>
      <c r="KDS51" s="136"/>
      <c r="KDT51" s="136"/>
      <c r="KDU51" s="136"/>
      <c r="KDV51" s="136"/>
      <c r="KDW51" s="136"/>
      <c r="KDX51" s="136"/>
      <c r="KDY51" s="136"/>
      <c r="KDZ51" s="136"/>
      <c r="KEA51" s="136"/>
      <c r="KEB51" s="136"/>
      <c r="KEC51" s="136"/>
      <c r="KED51" s="136"/>
      <c r="KEE51" s="136"/>
      <c r="KEF51" s="136"/>
      <c r="KEG51" s="136"/>
      <c r="KEH51" s="136"/>
      <c r="KEI51" s="136"/>
      <c r="KEJ51" s="136"/>
      <c r="KEK51" s="136"/>
      <c r="KEL51" s="136"/>
      <c r="KEM51" s="136"/>
      <c r="KEN51" s="136"/>
      <c r="KEO51" s="136"/>
      <c r="KEP51" s="136"/>
      <c r="KEQ51" s="136"/>
      <c r="KER51" s="136"/>
      <c r="KES51" s="136"/>
      <c r="KET51" s="136"/>
      <c r="KEU51" s="136"/>
      <c r="KEV51" s="136"/>
      <c r="KEW51" s="136"/>
      <c r="KEX51" s="136"/>
      <c r="KEY51" s="136"/>
      <c r="KEZ51" s="136"/>
      <c r="KFA51" s="136"/>
      <c r="KFB51" s="136"/>
      <c r="KFC51" s="136"/>
      <c r="KFD51" s="136"/>
      <c r="KFE51" s="136"/>
      <c r="KFF51" s="136"/>
      <c r="KFG51" s="136"/>
      <c r="KFH51" s="136"/>
      <c r="KFI51" s="136"/>
      <c r="KFJ51" s="136"/>
      <c r="KFK51" s="136"/>
      <c r="KFL51" s="136"/>
      <c r="KFM51" s="136"/>
      <c r="KFN51" s="136"/>
      <c r="KFO51" s="136"/>
      <c r="KFP51" s="136"/>
      <c r="KFQ51" s="136"/>
      <c r="KFR51" s="136"/>
      <c r="KFS51" s="136"/>
      <c r="KFT51" s="136"/>
      <c r="KFU51" s="136"/>
      <c r="KFV51" s="136"/>
      <c r="KFW51" s="136"/>
      <c r="KFX51" s="136"/>
      <c r="KFY51" s="136"/>
      <c r="KFZ51" s="136"/>
      <c r="KGA51" s="136"/>
      <c r="KGB51" s="136"/>
      <c r="KGC51" s="136"/>
      <c r="KGD51" s="136"/>
      <c r="KGE51" s="136"/>
      <c r="KGF51" s="136"/>
      <c r="KGG51" s="136"/>
      <c r="KGH51" s="136"/>
      <c r="KGI51" s="136"/>
      <c r="KGJ51" s="136"/>
      <c r="KGK51" s="136"/>
      <c r="KGL51" s="136"/>
      <c r="KGM51" s="136"/>
      <c r="KGN51" s="136"/>
      <c r="KGO51" s="136"/>
      <c r="KGP51" s="136"/>
      <c r="KGQ51" s="136"/>
      <c r="KGR51" s="136"/>
      <c r="KGS51" s="136"/>
      <c r="KGT51" s="136"/>
      <c r="KGU51" s="136"/>
      <c r="KGV51" s="136"/>
      <c r="KGW51" s="136"/>
      <c r="KGX51" s="136"/>
      <c r="KGY51" s="136"/>
      <c r="KGZ51" s="136"/>
      <c r="KHA51" s="136"/>
      <c r="KHB51" s="136"/>
      <c r="KHC51" s="136"/>
      <c r="KHD51" s="136"/>
      <c r="KHE51" s="136"/>
      <c r="KHF51" s="136"/>
      <c r="KHG51" s="136"/>
      <c r="KHH51" s="136"/>
      <c r="KHI51" s="136"/>
      <c r="KHJ51" s="136"/>
      <c r="KHK51" s="136"/>
      <c r="KHL51" s="136"/>
      <c r="KHM51" s="136"/>
      <c r="KHN51" s="136"/>
      <c r="KHO51" s="136"/>
      <c r="KHP51" s="136"/>
      <c r="KHQ51" s="136"/>
      <c r="KHR51" s="136"/>
      <c r="KHS51" s="136"/>
      <c r="KHT51" s="136"/>
      <c r="KHU51" s="136"/>
      <c r="KHV51" s="136"/>
      <c r="KHW51" s="136"/>
      <c r="KHX51" s="136"/>
      <c r="KHY51" s="136"/>
      <c r="KHZ51" s="136"/>
      <c r="KIA51" s="136"/>
      <c r="KIB51" s="136"/>
      <c r="KIC51" s="136"/>
      <c r="KID51" s="136"/>
      <c r="KIE51" s="136"/>
      <c r="KIF51" s="136"/>
      <c r="KIG51" s="136"/>
      <c r="KIH51" s="136"/>
      <c r="KII51" s="136"/>
      <c r="KIJ51" s="136"/>
      <c r="KIK51" s="136"/>
      <c r="KIL51" s="136"/>
      <c r="KIM51" s="136"/>
      <c r="KIN51" s="136"/>
      <c r="KIO51" s="136"/>
      <c r="KIP51" s="136"/>
      <c r="KIQ51" s="136"/>
      <c r="KIR51" s="136"/>
      <c r="KIS51" s="136"/>
      <c r="KIT51" s="136"/>
      <c r="KIU51" s="136"/>
      <c r="KIV51" s="136"/>
      <c r="KIW51" s="136"/>
      <c r="KIX51" s="136"/>
      <c r="KIY51" s="136"/>
      <c r="KIZ51" s="136"/>
      <c r="KJA51" s="136"/>
      <c r="KJB51" s="136"/>
      <c r="KJC51" s="136"/>
      <c r="KJD51" s="136"/>
      <c r="KJE51" s="136"/>
      <c r="KJF51" s="136"/>
      <c r="KJG51" s="136"/>
      <c r="KJH51" s="136"/>
      <c r="KJI51" s="136"/>
      <c r="KJJ51" s="136"/>
      <c r="KJK51" s="136"/>
      <c r="KJL51" s="136"/>
      <c r="KJM51" s="136"/>
      <c r="KJN51" s="136"/>
      <c r="KJO51" s="136"/>
      <c r="KJP51" s="136"/>
      <c r="KJQ51" s="136"/>
      <c r="KJR51" s="136"/>
      <c r="KJS51" s="136"/>
      <c r="KJT51" s="136"/>
      <c r="KJU51" s="136"/>
      <c r="KJV51" s="136"/>
      <c r="KJW51" s="136"/>
      <c r="KJX51" s="136"/>
      <c r="KJY51" s="136"/>
      <c r="KJZ51" s="136"/>
      <c r="KKA51" s="136"/>
      <c r="KKB51" s="136"/>
      <c r="KKC51" s="136"/>
      <c r="KKD51" s="136"/>
      <c r="KKE51" s="136"/>
      <c r="KKF51" s="136"/>
      <c r="KKG51" s="136"/>
      <c r="KKH51" s="136"/>
      <c r="KKI51" s="136"/>
      <c r="KKJ51" s="136"/>
      <c r="KKK51" s="136"/>
      <c r="KKL51" s="136"/>
      <c r="KKM51" s="136"/>
      <c r="KKN51" s="136"/>
      <c r="KKO51" s="136"/>
      <c r="KKP51" s="136"/>
      <c r="KKQ51" s="136"/>
      <c r="KKR51" s="136"/>
      <c r="KKS51" s="136"/>
      <c r="KKT51" s="136"/>
      <c r="KKU51" s="136"/>
      <c r="KKV51" s="136"/>
      <c r="KKW51" s="136"/>
      <c r="KKX51" s="136"/>
      <c r="KKY51" s="136"/>
      <c r="KKZ51" s="136"/>
      <c r="KLA51" s="136"/>
      <c r="KLB51" s="136"/>
      <c r="KLC51" s="136"/>
      <c r="KLD51" s="136"/>
      <c r="KLE51" s="136"/>
      <c r="KLF51" s="136"/>
      <c r="KLG51" s="136"/>
      <c r="KLH51" s="136"/>
      <c r="KLI51" s="136"/>
      <c r="KLJ51" s="136"/>
      <c r="KLK51" s="136"/>
      <c r="KLL51" s="136"/>
      <c r="KLM51" s="136"/>
      <c r="KLN51" s="136"/>
      <c r="KLO51" s="136"/>
      <c r="KLP51" s="136"/>
      <c r="KLQ51" s="136"/>
      <c r="KLR51" s="136"/>
      <c r="KLS51" s="136"/>
      <c r="KLT51" s="136"/>
      <c r="KLU51" s="136"/>
      <c r="KLV51" s="136"/>
      <c r="KLW51" s="136"/>
      <c r="KLX51" s="136"/>
      <c r="KLY51" s="136"/>
      <c r="KLZ51" s="136"/>
      <c r="KMA51" s="136"/>
      <c r="KMB51" s="136"/>
      <c r="KMC51" s="136"/>
      <c r="KMD51" s="136"/>
      <c r="KME51" s="136"/>
      <c r="KMF51" s="136"/>
      <c r="KMG51" s="136"/>
      <c r="KMH51" s="136"/>
      <c r="KMI51" s="136"/>
      <c r="KMJ51" s="136"/>
      <c r="KMK51" s="136"/>
      <c r="KML51" s="136"/>
      <c r="KMM51" s="136"/>
      <c r="KMN51" s="136"/>
      <c r="KMO51" s="136"/>
      <c r="KMP51" s="136"/>
      <c r="KMQ51" s="136"/>
      <c r="KMR51" s="136"/>
      <c r="KMS51" s="136"/>
      <c r="KMT51" s="136"/>
      <c r="KMU51" s="136"/>
      <c r="KMV51" s="136"/>
      <c r="KMW51" s="136"/>
      <c r="KMX51" s="136"/>
      <c r="KMY51" s="136"/>
      <c r="KMZ51" s="136"/>
      <c r="KNA51" s="136"/>
      <c r="KNB51" s="136"/>
      <c r="KNC51" s="136"/>
      <c r="KND51" s="136"/>
      <c r="KNE51" s="136"/>
      <c r="KNF51" s="136"/>
      <c r="KNG51" s="136"/>
      <c r="KNH51" s="136"/>
      <c r="KNI51" s="136"/>
      <c r="KNJ51" s="136"/>
      <c r="KNK51" s="136"/>
      <c r="KNL51" s="136"/>
      <c r="KNM51" s="136"/>
      <c r="KNN51" s="136"/>
      <c r="KNO51" s="136"/>
      <c r="KNP51" s="136"/>
      <c r="KNQ51" s="136"/>
      <c r="KNR51" s="136"/>
      <c r="KNS51" s="136"/>
      <c r="KNT51" s="136"/>
      <c r="KNU51" s="136"/>
      <c r="KNV51" s="136"/>
      <c r="KNW51" s="136"/>
      <c r="KNX51" s="136"/>
      <c r="KNY51" s="136"/>
      <c r="KNZ51" s="136"/>
      <c r="KOA51" s="136"/>
      <c r="KOB51" s="136"/>
      <c r="KOC51" s="136"/>
      <c r="KOD51" s="136"/>
      <c r="KOE51" s="136"/>
      <c r="KOF51" s="136"/>
      <c r="KOG51" s="136"/>
      <c r="KOH51" s="136"/>
      <c r="KOI51" s="136"/>
      <c r="KOJ51" s="136"/>
      <c r="KOK51" s="136"/>
      <c r="KOL51" s="136"/>
      <c r="KOM51" s="136"/>
      <c r="KON51" s="136"/>
      <c r="KOO51" s="136"/>
      <c r="KOP51" s="136"/>
      <c r="KOQ51" s="136"/>
      <c r="KOR51" s="136"/>
      <c r="KOS51" s="136"/>
      <c r="KOT51" s="136"/>
      <c r="KOU51" s="136"/>
      <c r="KOV51" s="136"/>
      <c r="KOW51" s="136"/>
      <c r="KOX51" s="136"/>
      <c r="KOY51" s="136"/>
      <c r="KOZ51" s="136"/>
      <c r="KPA51" s="136"/>
      <c r="KPB51" s="136"/>
      <c r="KPC51" s="136"/>
      <c r="KPD51" s="136"/>
      <c r="KPE51" s="136"/>
      <c r="KPF51" s="136"/>
      <c r="KPG51" s="136"/>
      <c r="KPH51" s="136"/>
      <c r="KPI51" s="136"/>
      <c r="KPJ51" s="136"/>
      <c r="KPK51" s="136"/>
      <c r="KPL51" s="136"/>
      <c r="KPM51" s="136"/>
      <c r="KPN51" s="136"/>
      <c r="KPO51" s="136"/>
      <c r="KPP51" s="136"/>
      <c r="KPQ51" s="136"/>
      <c r="KPR51" s="136"/>
      <c r="KPS51" s="136"/>
      <c r="KPT51" s="136"/>
      <c r="KPU51" s="136"/>
      <c r="KPV51" s="136"/>
      <c r="KPW51" s="136"/>
      <c r="KPX51" s="136"/>
      <c r="KPY51" s="136"/>
      <c r="KPZ51" s="136"/>
      <c r="KQA51" s="136"/>
      <c r="KQB51" s="136"/>
      <c r="KQC51" s="136"/>
      <c r="KQD51" s="136"/>
      <c r="KQE51" s="136"/>
      <c r="KQF51" s="136"/>
      <c r="KQG51" s="136"/>
      <c r="KQH51" s="136"/>
      <c r="KQI51" s="136"/>
      <c r="KQJ51" s="136"/>
      <c r="KQK51" s="136"/>
      <c r="KQL51" s="136"/>
      <c r="KQM51" s="136"/>
      <c r="KQN51" s="136"/>
      <c r="KQO51" s="136"/>
      <c r="KQP51" s="136"/>
      <c r="KQQ51" s="136"/>
      <c r="KQR51" s="136"/>
      <c r="KQS51" s="136"/>
      <c r="KQT51" s="136"/>
      <c r="KQU51" s="136"/>
      <c r="KQV51" s="136"/>
      <c r="KQW51" s="136"/>
      <c r="KQX51" s="136"/>
      <c r="KQY51" s="136"/>
      <c r="KQZ51" s="136"/>
      <c r="KRA51" s="136"/>
      <c r="KRB51" s="136"/>
      <c r="KRC51" s="136"/>
      <c r="KRD51" s="136"/>
      <c r="KRE51" s="136"/>
      <c r="KRF51" s="136"/>
      <c r="KRG51" s="136"/>
      <c r="KRH51" s="136"/>
      <c r="KRI51" s="136"/>
      <c r="KRJ51" s="136"/>
      <c r="KRK51" s="136"/>
      <c r="KRL51" s="136"/>
      <c r="KRM51" s="136"/>
      <c r="KRN51" s="136"/>
      <c r="KRO51" s="136"/>
      <c r="KRP51" s="136"/>
      <c r="KRQ51" s="136"/>
      <c r="KRR51" s="136"/>
      <c r="KRS51" s="136"/>
      <c r="KRT51" s="136"/>
      <c r="KRU51" s="136"/>
      <c r="KRV51" s="136"/>
      <c r="KRW51" s="136"/>
      <c r="KRX51" s="136"/>
      <c r="KRY51" s="136"/>
      <c r="KRZ51" s="136"/>
      <c r="KSA51" s="136"/>
      <c r="KSB51" s="136"/>
      <c r="KSC51" s="136"/>
      <c r="KSD51" s="136"/>
      <c r="KSE51" s="136"/>
      <c r="KSF51" s="136"/>
      <c r="KSG51" s="136"/>
      <c r="KSH51" s="136"/>
      <c r="KSI51" s="136"/>
      <c r="KSJ51" s="136"/>
      <c r="KSK51" s="136"/>
      <c r="KSL51" s="136"/>
      <c r="KSM51" s="136"/>
      <c r="KSN51" s="136"/>
      <c r="KSO51" s="136"/>
      <c r="KSP51" s="136"/>
      <c r="KSQ51" s="136"/>
      <c r="KSR51" s="136"/>
      <c r="KSS51" s="136"/>
      <c r="KST51" s="136"/>
      <c r="KSU51" s="136"/>
      <c r="KSV51" s="136"/>
      <c r="KSW51" s="136"/>
      <c r="KSX51" s="136"/>
      <c r="KSY51" s="136"/>
      <c r="KSZ51" s="136"/>
      <c r="KTA51" s="136"/>
      <c r="KTB51" s="136"/>
      <c r="KTC51" s="136"/>
      <c r="KTD51" s="136"/>
      <c r="KTE51" s="136"/>
      <c r="KTF51" s="136"/>
      <c r="KTG51" s="136"/>
      <c r="KTH51" s="136"/>
      <c r="KTI51" s="136"/>
      <c r="KTJ51" s="136"/>
      <c r="KTK51" s="136"/>
      <c r="KTL51" s="136"/>
      <c r="KTM51" s="136"/>
      <c r="KTN51" s="136"/>
      <c r="KTO51" s="136"/>
      <c r="KTP51" s="136"/>
      <c r="KTQ51" s="136"/>
      <c r="KTR51" s="136"/>
      <c r="KTS51" s="136"/>
      <c r="KTT51" s="136"/>
      <c r="KTU51" s="136"/>
      <c r="KTV51" s="136"/>
      <c r="KTW51" s="136"/>
      <c r="KTX51" s="136"/>
      <c r="KTY51" s="136"/>
      <c r="KTZ51" s="136"/>
      <c r="KUA51" s="136"/>
      <c r="KUB51" s="136"/>
      <c r="KUC51" s="136"/>
      <c r="KUD51" s="136"/>
      <c r="KUE51" s="136"/>
      <c r="KUF51" s="136"/>
      <c r="KUG51" s="136"/>
      <c r="KUH51" s="136"/>
      <c r="KUI51" s="136"/>
      <c r="KUJ51" s="136"/>
      <c r="KUK51" s="136"/>
      <c r="KUL51" s="136"/>
      <c r="KUM51" s="136"/>
      <c r="KUN51" s="136"/>
      <c r="KUO51" s="136"/>
      <c r="KUP51" s="136"/>
      <c r="KUQ51" s="136"/>
      <c r="KUR51" s="136"/>
      <c r="KUS51" s="136"/>
      <c r="KUT51" s="136"/>
      <c r="KUU51" s="136"/>
      <c r="KUV51" s="136"/>
      <c r="KUW51" s="136"/>
      <c r="KUX51" s="136"/>
      <c r="KUY51" s="136"/>
      <c r="KUZ51" s="136"/>
      <c r="KVA51" s="136"/>
      <c r="KVB51" s="136"/>
      <c r="KVC51" s="136"/>
      <c r="KVD51" s="136"/>
      <c r="KVE51" s="136"/>
      <c r="KVF51" s="136"/>
      <c r="KVG51" s="136"/>
      <c r="KVH51" s="136"/>
      <c r="KVI51" s="136"/>
      <c r="KVJ51" s="136"/>
      <c r="KVK51" s="136"/>
      <c r="KVL51" s="136"/>
      <c r="KVM51" s="136"/>
      <c r="KVN51" s="136"/>
      <c r="KVO51" s="136"/>
      <c r="KVP51" s="136"/>
      <c r="KVQ51" s="136"/>
      <c r="KVR51" s="136"/>
      <c r="KVS51" s="136"/>
      <c r="KVT51" s="136"/>
      <c r="KVU51" s="136"/>
      <c r="KVV51" s="136"/>
      <c r="KVW51" s="136"/>
      <c r="KVX51" s="136"/>
      <c r="KVY51" s="136"/>
      <c r="KVZ51" s="136"/>
      <c r="KWA51" s="136"/>
      <c r="KWB51" s="136"/>
      <c r="KWC51" s="136"/>
      <c r="KWD51" s="136"/>
      <c r="KWE51" s="136"/>
      <c r="KWF51" s="136"/>
      <c r="KWG51" s="136"/>
      <c r="KWH51" s="136"/>
      <c r="KWI51" s="136"/>
      <c r="KWJ51" s="136"/>
      <c r="KWK51" s="136"/>
      <c r="KWL51" s="136"/>
      <c r="KWM51" s="136"/>
      <c r="KWN51" s="136"/>
      <c r="KWO51" s="136"/>
      <c r="KWP51" s="136"/>
      <c r="KWQ51" s="136"/>
      <c r="KWR51" s="136"/>
      <c r="KWS51" s="136"/>
      <c r="KWT51" s="136"/>
      <c r="KWU51" s="136"/>
      <c r="KWV51" s="136"/>
      <c r="KWW51" s="136"/>
      <c r="KWX51" s="136"/>
      <c r="KWY51" s="136"/>
      <c r="KWZ51" s="136"/>
      <c r="KXA51" s="136"/>
      <c r="KXB51" s="136"/>
      <c r="KXC51" s="136"/>
      <c r="KXD51" s="136"/>
      <c r="KXE51" s="136"/>
      <c r="KXF51" s="136"/>
      <c r="KXG51" s="136"/>
      <c r="KXH51" s="136"/>
      <c r="KXI51" s="136"/>
      <c r="KXJ51" s="136"/>
      <c r="KXK51" s="136"/>
      <c r="KXL51" s="136"/>
      <c r="KXM51" s="136"/>
      <c r="KXN51" s="136"/>
      <c r="KXO51" s="136"/>
      <c r="KXP51" s="136"/>
      <c r="KXQ51" s="136"/>
      <c r="KXR51" s="136"/>
      <c r="KXS51" s="136"/>
      <c r="KXT51" s="136"/>
      <c r="KXU51" s="136"/>
      <c r="KXV51" s="136"/>
      <c r="KXW51" s="136"/>
      <c r="KXX51" s="136"/>
      <c r="KXY51" s="136"/>
      <c r="KXZ51" s="136"/>
      <c r="KYA51" s="136"/>
      <c r="KYB51" s="136"/>
      <c r="KYC51" s="136"/>
      <c r="KYD51" s="136"/>
      <c r="KYE51" s="136"/>
      <c r="KYF51" s="136"/>
      <c r="KYG51" s="136"/>
      <c r="KYH51" s="136"/>
      <c r="KYI51" s="136"/>
      <c r="KYJ51" s="136"/>
      <c r="KYK51" s="136"/>
      <c r="KYL51" s="136"/>
      <c r="KYM51" s="136"/>
      <c r="KYN51" s="136"/>
      <c r="KYO51" s="136"/>
      <c r="KYP51" s="136"/>
      <c r="KYQ51" s="136"/>
      <c r="KYR51" s="136"/>
      <c r="KYS51" s="136"/>
      <c r="KYT51" s="136"/>
      <c r="KYU51" s="136"/>
      <c r="KYV51" s="136"/>
      <c r="KYW51" s="136"/>
      <c r="KYX51" s="136"/>
      <c r="KYY51" s="136"/>
      <c r="KYZ51" s="136"/>
      <c r="KZA51" s="136"/>
      <c r="KZB51" s="136"/>
      <c r="KZC51" s="136"/>
      <c r="KZD51" s="136"/>
      <c r="KZE51" s="136"/>
      <c r="KZF51" s="136"/>
      <c r="KZG51" s="136"/>
      <c r="KZH51" s="136"/>
      <c r="KZI51" s="136"/>
      <c r="KZJ51" s="136"/>
      <c r="KZK51" s="136"/>
      <c r="KZL51" s="136"/>
      <c r="KZM51" s="136"/>
      <c r="KZN51" s="136"/>
      <c r="KZO51" s="136"/>
      <c r="KZP51" s="136"/>
      <c r="KZQ51" s="136"/>
      <c r="KZR51" s="136"/>
      <c r="KZS51" s="136"/>
      <c r="KZT51" s="136"/>
      <c r="KZU51" s="136"/>
      <c r="KZV51" s="136"/>
      <c r="KZW51" s="136"/>
      <c r="KZX51" s="136"/>
      <c r="KZY51" s="136"/>
      <c r="KZZ51" s="136"/>
      <c r="LAA51" s="136"/>
      <c r="LAB51" s="136"/>
      <c r="LAC51" s="136"/>
      <c r="LAD51" s="136"/>
      <c r="LAE51" s="136"/>
      <c r="LAF51" s="136"/>
      <c r="LAG51" s="136"/>
      <c r="LAH51" s="136"/>
      <c r="LAI51" s="136"/>
      <c r="LAJ51" s="136"/>
      <c r="LAK51" s="136"/>
      <c r="LAL51" s="136"/>
      <c r="LAM51" s="136"/>
      <c r="LAN51" s="136"/>
      <c r="LAO51" s="136"/>
      <c r="LAP51" s="136"/>
      <c r="LAQ51" s="136"/>
      <c r="LAR51" s="136"/>
      <c r="LAS51" s="136"/>
      <c r="LAT51" s="136"/>
      <c r="LAU51" s="136"/>
      <c r="LAV51" s="136"/>
      <c r="LAW51" s="136"/>
      <c r="LAX51" s="136"/>
      <c r="LAY51" s="136"/>
      <c r="LAZ51" s="136"/>
      <c r="LBA51" s="136"/>
      <c r="LBB51" s="136"/>
      <c r="LBC51" s="136"/>
      <c r="LBD51" s="136"/>
      <c r="LBE51" s="136"/>
      <c r="LBF51" s="136"/>
      <c r="LBG51" s="136"/>
      <c r="LBH51" s="136"/>
      <c r="LBI51" s="136"/>
      <c r="LBJ51" s="136"/>
      <c r="LBK51" s="136"/>
      <c r="LBL51" s="136"/>
      <c r="LBM51" s="136"/>
      <c r="LBN51" s="136"/>
      <c r="LBO51" s="136"/>
      <c r="LBP51" s="136"/>
      <c r="LBQ51" s="136"/>
      <c r="LBR51" s="136"/>
      <c r="LBS51" s="136"/>
      <c r="LBT51" s="136"/>
      <c r="LBU51" s="136"/>
      <c r="LBV51" s="136"/>
      <c r="LBW51" s="136"/>
      <c r="LBX51" s="136"/>
      <c r="LBY51" s="136"/>
      <c r="LBZ51" s="136"/>
      <c r="LCA51" s="136"/>
      <c r="LCB51" s="136"/>
      <c r="LCC51" s="136"/>
      <c r="LCD51" s="136"/>
      <c r="LCE51" s="136"/>
      <c r="LCF51" s="136"/>
      <c r="LCG51" s="136"/>
      <c r="LCH51" s="136"/>
      <c r="LCI51" s="136"/>
      <c r="LCJ51" s="136"/>
      <c r="LCK51" s="136"/>
      <c r="LCL51" s="136"/>
      <c r="LCM51" s="136"/>
      <c r="LCN51" s="136"/>
      <c r="LCO51" s="136"/>
      <c r="LCP51" s="136"/>
      <c r="LCQ51" s="136"/>
      <c r="LCR51" s="136"/>
      <c r="LCS51" s="136"/>
      <c r="LCT51" s="136"/>
      <c r="LCU51" s="136"/>
      <c r="LCV51" s="136"/>
      <c r="LCW51" s="136"/>
      <c r="LCX51" s="136"/>
      <c r="LCY51" s="136"/>
      <c r="LCZ51" s="136"/>
      <c r="LDA51" s="136"/>
      <c r="LDB51" s="136"/>
      <c r="LDC51" s="136"/>
      <c r="LDD51" s="136"/>
      <c r="LDE51" s="136"/>
      <c r="LDF51" s="136"/>
      <c r="LDG51" s="136"/>
      <c r="LDH51" s="136"/>
      <c r="LDI51" s="136"/>
      <c r="LDJ51" s="136"/>
      <c r="LDK51" s="136"/>
      <c r="LDL51" s="136"/>
      <c r="LDM51" s="136"/>
      <c r="LDN51" s="136"/>
      <c r="LDO51" s="136"/>
      <c r="LDP51" s="136"/>
      <c r="LDQ51" s="136"/>
      <c r="LDR51" s="136"/>
      <c r="LDS51" s="136"/>
      <c r="LDT51" s="136"/>
      <c r="LDU51" s="136"/>
      <c r="LDV51" s="136"/>
      <c r="LDW51" s="136"/>
      <c r="LDX51" s="136"/>
      <c r="LDY51" s="136"/>
      <c r="LDZ51" s="136"/>
      <c r="LEA51" s="136"/>
      <c r="LEB51" s="136"/>
      <c r="LEC51" s="136"/>
      <c r="LED51" s="136"/>
      <c r="LEE51" s="136"/>
      <c r="LEF51" s="136"/>
      <c r="LEG51" s="136"/>
      <c r="LEH51" s="136"/>
      <c r="LEI51" s="136"/>
      <c r="LEJ51" s="136"/>
      <c r="LEK51" s="136"/>
      <c r="LEL51" s="136"/>
      <c r="LEM51" s="136"/>
      <c r="LEN51" s="136"/>
      <c r="LEO51" s="136"/>
      <c r="LEP51" s="136"/>
      <c r="LEQ51" s="136"/>
      <c r="LER51" s="136"/>
      <c r="LES51" s="136"/>
      <c r="LET51" s="136"/>
      <c r="LEU51" s="136"/>
      <c r="LEV51" s="136"/>
      <c r="LEW51" s="136"/>
      <c r="LEX51" s="136"/>
      <c r="LEY51" s="136"/>
      <c r="LEZ51" s="136"/>
      <c r="LFA51" s="136"/>
      <c r="LFB51" s="136"/>
      <c r="LFC51" s="136"/>
      <c r="LFD51" s="136"/>
      <c r="LFE51" s="136"/>
      <c r="LFF51" s="136"/>
      <c r="LFG51" s="136"/>
      <c r="LFH51" s="136"/>
      <c r="LFI51" s="136"/>
      <c r="LFJ51" s="136"/>
      <c r="LFK51" s="136"/>
      <c r="LFL51" s="136"/>
      <c r="LFM51" s="136"/>
      <c r="LFN51" s="136"/>
      <c r="LFO51" s="136"/>
      <c r="LFP51" s="136"/>
      <c r="LFQ51" s="136"/>
      <c r="LFR51" s="136"/>
      <c r="LFS51" s="136"/>
      <c r="LFT51" s="136"/>
      <c r="LFU51" s="136"/>
      <c r="LFV51" s="136"/>
      <c r="LFW51" s="136"/>
      <c r="LFX51" s="136"/>
      <c r="LFY51" s="136"/>
      <c r="LFZ51" s="136"/>
      <c r="LGA51" s="136"/>
      <c r="LGB51" s="136"/>
      <c r="LGC51" s="136"/>
      <c r="LGD51" s="136"/>
      <c r="LGE51" s="136"/>
      <c r="LGF51" s="136"/>
      <c r="LGG51" s="136"/>
      <c r="LGH51" s="136"/>
      <c r="LGI51" s="136"/>
      <c r="LGJ51" s="136"/>
      <c r="LGK51" s="136"/>
      <c r="LGL51" s="136"/>
      <c r="LGM51" s="136"/>
      <c r="LGN51" s="136"/>
      <c r="LGO51" s="136"/>
      <c r="LGP51" s="136"/>
      <c r="LGQ51" s="136"/>
      <c r="LGR51" s="136"/>
      <c r="LGS51" s="136"/>
      <c r="LGT51" s="136"/>
      <c r="LGU51" s="136"/>
      <c r="LGV51" s="136"/>
      <c r="LGW51" s="136"/>
      <c r="LGX51" s="136"/>
      <c r="LGY51" s="136"/>
      <c r="LGZ51" s="136"/>
      <c r="LHA51" s="136"/>
      <c r="LHB51" s="136"/>
      <c r="LHC51" s="136"/>
      <c r="LHD51" s="136"/>
      <c r="LHE51" s="136"/>
      <c r="LHF51" s="136"/>
      <c r="LHG51" s="136"/>
      <c r="LHH51" s="136"/>
      <c r="LHI51" s="136"/>
      <c r="LHJ51" s="136"/>
      <c r="LHK51" s="136"/>
      <c r="LHL51" s="136"/>
      <c r="LHM51" s="136"/>
      <c r="LHN51" s="136"/>
      <c r="LHO51" s="136"/>
      <c r="LHP51" s="136"/>
      <c r="LHQ51" s="136"/>
      <c r="LHR51" s="136"/>
      <c r="LHS51" s="136"/>
      <c r="LHT51" s="136"/>
      <c r="LHU51" s="136"/>
      <c r="LHV51" s="136"/>
      <c r="LHW51" s="136"/>
      <c r="LHX51" s="136"/>
      <c r="LHY51" s="136"/>
      <c r="LHZ51" s="136"/>
      <c r="LIA51" s="136"/>
      <c r="LIB51" s="136"/>
      <c r="LIC51" s="136"/>
      <c r="LID51" s="136"/>
      <c r="LIE51" s="136"/>
      <c r="LIF51" s="136"/>
      <c r="LIG51" s="136"/>
      <c r="LIH51" s="136"/>
      <c r="LII51" s="136"/>
      <c r="LIJ51" s="136"/>
      <c r="LIK51" s="136"/>
      <c r="LIL51" s="136"/>
      <c r="LIM51" s="136"/>
      <c r="LIN51" s="136"/>
      <c r="LIO51" s="136"/>
      <c r="LIP51" s="136"/>
      <c r="LIQ51" s="136"/>
      <c r="LIR51" s="136"/>
      <c r="LIS51" s="136"/>
      <c r="LIT51" s="136"/>
      <c r="LIU51" s="136"/>
      <c r="LIV51" s="136"/>
      <c r="LIW51" s="136"/>
      <c r="LIX51" s="136"/>
      <c r="LIY51" s="136"/>
      <c r="LIZ51" s="136"/>
      <c r="LJA51" s="136"/>
      <c r="LJB51" s="136"/>
      <c r="LJC51" s="136"/>
      <c r="LJD51" s="136"/>
      <c r="LJE51" s="136"/>
      <c r="LJF51" s="136"/>
      <c r="LJG51" s="136"/>
      <c r="LJH51" s="136"/>
      <c r="LJI51" s="136"/>
      <c r="LJJ51" s="136"/>
      <c r="LJK51" s="136"/>
      <c r="LJL51" s="136"/>
      <c r="LJM51" s="136"/>
      <c r="LJN51" s="136"/>
      <c r="LJO51" s="136"/>
      <c r="LJP51" s="136"/>
      <c r="LJQ51" s="136"/>
      <c r="LJR51" s="136"/>
      <c r="LJS51" s="136"/>
      <c r="LJT51" s="136"/>
      <c r="LJU51" s="136"/>
      <c r="LJV51" s="136"/>
      <c r="LJW51" s="136"/>
      <c r="LJX51" s="136"/>
      <c r="LJY51" s="136"/>
      <c r="LJZ51" s="136"/>
      <c r="LKA51" s="136"/>
      <c r="LKB51" s="136"/>
      <c r="LKC51" s="136"/>
      <c r="LKD51" s="136"/>
      <c r="LKE51" s="136"/>
      <c r="LKF51" s="136"/>
      <c r="LKG51" s="136"/>
      <c r="LKH51" s="136"/>
      <c r="LKI51" s="136"/>
      <c r="LKJ51" s="136"/>
      <c r="LKK51" s="136"/>
      <c r="LKL51" s="136"/>
      <c r="LKM51" s="136"/>
      <c r="LKN51" s="136"/>
      <c r="LKO51" s="136"/>
      <c r="LKP51" s="136"/>
      <c r="LKQ51" s="136"/>
      <c r="LKR51" s="136"/>
      <c r="LKS51" s="136"/>
      <c r="LKT51" s="136"/>
      <c r="LKU51" s="136"/>
      <c r="LKV51" s="136"/>
      <c r="LKW51" s="136"/>
      <c r="LKX51" s="136"/>
      <c r="LKY51" s="136"/>
      <c r="LKZ51" s="136"/>
      <c r="LLA51" s="136"/>
      <c r="LLB51" s="136"/>
      <c r="LLC51" s="136"/>
      <c r="LLD51" s="136"/>
      <c r="LLE51" s="136"/>
      <c r="LLF51" s="136"/>
      <c r="LLG51" s="136"/>
      <c r="LLH51" s="136"/>
      <c r="LLI51" s="136"/>
      <c r="LLJ51" s="136"/>
      <c r="LLK51" s="136"/>
      <c r="LLL51" s="136"/>
      <c r="LLM51" s="136"/>
      <c r="LLN51" s="136"/>
      <c r="LLO51" s="136"/>
      <c r="LLP51" s="136"/>
      <c r="LLQ51" s="136"/>
      <c r="LLR51" s="136"/>
      <c r="LLS51" s="136"/>
      <c r="LLT51" s="136"/>
      <c r="LLU51" s="136"/>
      <c r="LLV51" s="136"/>
      <c r="LLW51" s="136"/>
      <c r="LLX51" s="136"/>
      <c r="LLY51" s="136"/>
      <c r="LLZ51" s="136"/>
      <c r="LMA51" s="136"/>
      <c r="LMB51" s="136"/>
      <c r="LMC51" s="136"/>
      <c r="LMD51" s="136"/>
      <c r="LME51" s="136"/>
      <c r="LMF51" s="136"/>
      <c r="LMG51" s="136"/>
      <c r="LMH51" s="136"/>
      <c r="LMI51" s="136"/>
      <c r="LMJ51" s="136"/>
      <c r="LMK51" s="136"/>
      <c r="LML51" s="136"/>
      <c r="LMM51" s="136"/>
      <c r="LMN51" s="136"/>
      <c r="LMO51" s="136"/>
      <c r="LMP51" s="136"/>
      <c r="LMQ51" s="136"/>
      <c r="LMR51" s="136"/>
      <c r="LMS51" s="136"/>
      <c r="LMT51" s="136"/>
      <c r="LMU51" s="136"/>
      <c r="LMV51" s="136"/>
      <c r="LMW51" s="136"/>
      <c r="LMX51" s="136"/>
      <c r="LMY51" s="136"/>
      <c r="LMZ51" s="136"/>
      <c r="LNA51" s="136"/>
      <c r="LNB51" s="136"/>
      <c r="LNC51" s="136"/>
      <c r="LND51" s="136"/>
      <c r="LNE51" s="136"/>
      <c r="LNF51" s="136"/>
      <c r="LNG51" s="136"/>
      <c r="LNH51" s="136"/>
      <c r="LNI51" s="136"/>
      <c r="LNJ51" s="136"/>
      <c r="LNK51" s="136"/>
      <c r="LNL51" s="136"/>
      <c r="LNM51" s="136"/>
      <c r="LNN51" s="136"/>
      <c r="LNO51" s="136"/>
      <c r="LNP51" s="136"/>
      <c r="LNQ51" s="136"/>
      <c r="LNR51" s="136"/>
      <c r="LNS51" s="136"/>
      <c r="LNT51" s="136"/>
      <c r="LNU51" s="136"/>
      <c r="LNV51" s="136"/>
      <c r="LNW51" s="136"/>
      <c r="LNX51" s="136"/>
      <c r="LNY51" s="136"/>
      <c r="LNZ51" s="136"/>
      <c r="LOA51" s="136"/>
      <c r="LOB51" s="136"/>
      <c r="LOC51" s="136"/>
      <c r="LOD51" s="136"/>
      <c r="LOE51" s="136"/>
      <c r="LOF51" s="136"/>
      <c r="LOG51" s="136"/>
      <c r="LOH51" s="136"/>
      <c r="LOI51" s="136"/>
      <c r="LOJ51" s="136"/>
      <c r="LOK51" s="136"/>
      <c r="LOL51" s="136"/>
      <c r="LOM51" s="136"/>
      <c r="LON51" s="136"/>
      <c r="LOO51" s="136"/>
      <c r="LOP51" s="136"/>
      <c r="LOQ51" s="136"/>
      <c r="LOR51" s="136"/>
      <c r="LOS51" s="136"/>
      <c r="LOT51" s="136"/>
      <c r="LOU51" s="136"/>
      <c r="LOV51" s="136"/>
      <c r="LOW51" s="136"/>
      <c r="LOX51" s="136"/>
      <c r="LOY51" s="136"/>
      <c r="LOZ51" s="136"/>
      <c r="LPA51" s="136"/>
      <c r="LPB51" s="136"/>
      <c r="LPC51" s="136"/>
      <c r="LPD51" s="136"/>
      <c r="LPE51" s="136"/>
      <c r="LPF51" s="136"/>
      <c r="LPG51" s="136"/>
      <c r="LPH51" s="136"/>
      <c r="LPI51" s="136"/>
      <c r="LPJ51" s="136"/>
      <c r="LPK51" s="136"/>
      <c r="LPL51" s="136"/>
      <c r="LPM51" s="136"/>
      <c r="LPN51" s="136"/>
      <c r="LPO51" s="136"/>
      <c r="LPP51" s="136"/>
      <c r="LPQ51" s="136"/>
      <c r="LPR51" s="136"/>
      <c r="LPS51" s="136"/>
      <c r="LPT51" s="136"/>
      <c r="LPU51" s="136"/>
      <c r="LPV51" s="136"/>
      <c r="LPW51" s="136"/>
      <c r="LPX51" s="136"/>
      <c r="LPY51" s="136"/>
      <c r="LPZ51" s="136"/>
      <c r="LQA51" s="136"/>
      <c r="LQB51" s="136"/>
      <c r="LQC51" s="136"/>
      <c r="LQD51" s="136"/>
      <c r="LQE51" s="136"/>
      <c r="LQF51" s="136"/>
      <c r="LQG51" s="136"/>
      <c r="LQH51" s="136"/>
      <c r="LQI51" s="136"/>
      <c r="LQJ51" s="136"/>
      <c r="LQK51" s="136"/>
      <c r="LQL51" s="136"/>
      <c r="LQM51" s="136"/>
      <c r="LQN51" s="136"/>
      <c r="LQO51" s="136"/>
      <c r="LQP51" s="136"/>
      <c r="LQQ51" s="136"/>
      <c r="LQR51" s="136"/>
      <c r="LQS51" s="136"/>
      <c r="LQT51" s="136"/>
      <c r="LQU51" s="136"/>
      <c r="LQV51" s="136"/>
      <c r="LQW51" s="136"/>
      <c r="LQX51" s="136"/>
      <c r="LQY51" s="136"/>
      <c r="LQZ51" s="136"/>
      <c r="LRA51" s="136"/>
      <c r="LRB51" s="136"/>
      <c r="LRC51" s="136"/>
      <c r="LRD51" s="136"/>
      <c r="LRE51" s="136"/>
      <c r="LRF51" s="136"/>
      <c r="LRG51" s="136"/>
      <c r="LRH51" s="136"/>
      <c r="LRI51" s="136"/>
      <c r="LRJ51" s="136"/>
      <c r="LRK51" s="136"/>
      <c r="LRL51" s="136"/>
      <c r="LRM51" s="136"/>
      <c r="LRN51" s="136"/>
      <c r="LRO51" s="136"/>
      <c r="LRP51" s="136"/>
      <c r="LRQ51" s="136"/>
      <c r="LRR51" s="136"/>
      <c r="LRS51" s="136"/>
      <c r="LRT51" s="136"/>
      <c r="LRU51" s="136"/>
      <c r="LRV51" s="136"/>
      <c r="LRW51" s="136"/>
      <c r="LRX51" s="136"/>
      <c r="LRY51" s="136"/>
      <c r="LRZ51" s="136"/>
      <c r="LSA51" s="136"/>
      <c r="LSB51" s="136"/>
      <c r="LSC51" s="136"/>
      <c r="LSD51" s="136"/>
      <c r="LSE51" s="136"/>
      <c r="LSF51" s="136"/>
      <c r="LSG51" s="136"/>
      <c r="LSH51" s="136"/>
      <c r="LSI51" s="136"/>
      <c r="LSJ51" s="136"/>
      <c r="LSK51" s="136"/>
      <c r="LSL51" s="136"/>
      <c r="LSM51" s="136"/>
      <c r="LSN51" s="136"/>
      <c r="LSO51" s="136"/>
      <c r="LSP51" s="136"/>
      <c r="LSQ51" s="136"/>
      <c r="LSR51" s="136"/>
      <c r="LSS51" s="136"/>
      <c r="LST51" s="136"/>
      <c r="LSU51" s="136"/>
      <c r="LSV51" s="136"/>
      <c r="LSW51" s="136"/>
      <c r="LSX51" s="136"/>
      <c r="LSY51" s="136"/>
      <c r="LSZ51" s="136"/>
      <c r="LTA51" s="136"/>
      <c r="LTB51" s="136"/>
      <c r="LTC51" s="136"/>
      <c r="LTD51" s="136"/>
      <c r="LTE51" s="136"/>
      <c r="LTF51" s="136"/>
      <c r="LTG51" s="136"/>
      <c r="LTH51" s="136"/>
      <c r="LTI51" s="136"/>
      <c r="LTJ51" s="136"/>
      <c r="LTK51" s="136"/>
      <c r="LTL51" s="136"/>
      <c r="LTM51" s="136"/>
      <c r="LTN51" s="136"/>
      <c r="LTO51" s="136"/>
      <c r="LTP51" s="136"/>
      <c r="LTQ51" s="136"/>
      <c r="LTR51" s="136"/>
      <c r="LTS51" s="136"/>
      <c r="LTT51" s="136"/>
      <c r="LTU51" s="136"/>
      <c r="LTV51" s="136"/>
      <c r="LTW51" s="136"/>
      <c r="LTX51" s="136"/>
      <c r="LTY51" s="136"/>
      <c r="LTZ51" s="136"/>
      <c r="LUA51" s="136"/>
      <c r="LUB51" s="136"/>
      <c r="LUC51" s="136"/>
      <c r="LUD51" s="136"/>
      <c r="LUE51" s="136"/>
      <c r="LUF51" s="136"/>
      <c r="LUG51" s="136"/>
      <c r="LUH51" s="136"/>
      <c r="LUI51" s="136"/>
      <c r="LUJ51" s="136"/>
      <c r="LUK51" s="136"/>
      <c r="LUL51" s="136"/>
      <c r="LUM51" s="136"/>
      <c r="LUN51" s="136"/>
      <c r="LUO51" s="136"/>
      <c r="LUP51" s="136"/>
      <c r="LUQ51" s="136"/>
      <c r="LUR51" s="136"/>
      <c r="LUS51" s="136"/>
      <c r="LUT51" s="136"/>
      <c r="LUU51" s="136"/>
      <c r="LUV51" s="136"/>
      <c r="LUW51" s="136"/>
      <c r="LUX51" s="136"/>
      <c r="LUY51" s="136"/>
      <c r="LUZ51" s="136"/>
      <c r="LVA51" s="136"/>
      <c r="LVB51" s="136"/>
      <c r="LVC51" s="136"/>
      <c r="LVD51" s="136"/>
      <c r="LVE51" s="136"/>
      <c r="LVF51" s="136"/>
      <c r="LVG51" s="136"/>
      <c r="LVH51" s="136"/>
      <c r="LVI51" s="136"/>
      <c r="LVJ51" s="136"/>
      <c r="LVK51" s="136"/>
      <c r="LVL51" s="136"/>
      <c r="LVM51" s="136"/>
      <c r="LVN51" s="136"/>
      <c r="LVO51" s="136"/>
      <c r="LVP51" s="136"/>
      <c r="LVQ51" s="136"/>
      <c r="LVR51" s="136"/>
      <c r="LVS51" s="136"/>
      <c r="LVT51" s="136"/>
      <c r="LVU51" s="136"/>
      <c r="LVV51" s="136"/>
      <c r="LVW51" s="136"/>
      <c r="LVX51" s="136"/>
      <c r="LVY51" s="136"/>
      <c r="LVZ51" s="136"/>
      <c r="LWA51" s="136"/>
      <c r="LWB51" s="136"/>
      <c r="LWC51" s="136"/>
      <c r="LWD51" s="136"/>
      <c r="LWE51" s="136"/>
      <c r="LWF51" s="136"/>
      <c r="LWG51" s="136"/>
      <c r="LWH51" s="136"/>
      <c r="LWI51" s="136"/>
      <c r="LWJ51" s="136"/>
      <c r="LWK51" s="136"/>
      <c r="LWL51" s="136"/>
      <c r="LWM51" s="136"/>
      <c r="LWN51" s="136"/>
      <c r="LWO51" s="136"/>
      <c r="LWP51" s="136"/>
      <c r="LWQ51" s="136"/>
      <c r="LWR51" s="136"/>
      <c r="LWS51" s="136"/>
      <c r="LWT51" s="136"/>
      <c r="LWU51" s="136"/>
      <c r="LWV51" s="136"/>
      <c r="LWW51" s="136"/>
      <c r="LWX51" s="136"/>
      <c r="LWY51" s="136"/>
      <c r="LWZ51" s="136"/>
      <c r="LXA51" s="136"/>
      <c r="LXB51" s="136"/>
      <c r="LXC51" s="136"/>
      <c r="LXD51" s="136"/>
      <c r="LXE51" s="136"/>
      <c r="LXF51" s="136"/>
      <c r="LXG51" s="136"/>
      <c r="LXH51" s="136"/>
      <c r="LXI51" s="136"/>
      <c r="LXJ51" s="136"/>
      <c r="LXK51" s="136"/>
      <c r="LXL51" s="136"/>
      <c r="LXM51" s="136"/>
      <c r="LXN51" s="136"/>
      <c r="LXO51" s="136"/>
      <c r="LXP51" s="136"/>
      <c r="LXQ51" s="136"/>
      <c r="LXR51" s="136"/>
      <c r="LXS51" s="136"/>
      <c r="LXT51" s="136"/>
      <c r="LXU51" s="136"/>
      <c r="LXV51" s="136"/>
      <c r="LXW51" s="136"/>
      <c r="LXX51" s="136"/>
      <c r="LXY51" s="136"/>
      <c r="LXZ51" s="136"/>
      <c r="LYA51" s="136"/>
      <c r="LYB51" s="136"/>
      <c r="LYC51" s="136"/>
      <c r="LYD51" s="136"/>
      <c r="LYE51" s="136"/>
      <c r="LYF51" s="136"/>
      <c r="LYG51" s="136"/>
      <c r="LYH51" s="136"/>
      <c r="LYI51" s="136"/>
      <c r="LYJ51" s="136"/>
      <c r="LYK51" s="136"/>
      <c r="LYL51" s="136"/>
      <c r="LYM51" s="136"/>
      <c r="LYN51" s="136"/>
      <c r="LYO51" s="136"/>
      <c r="LYP51" s="136"/>
      <c r="LYQ51" s="136"/>
      <c r="LYR51" s="136"/>
      <c r="LYS51" s="136"/>
      <c r="LYT51" s="136"/>
      <c r="LYU51" s="136"/>
      <c r="LYV51" s="136"/>
      <c r="LYW51" s="136"/>
      <c r="LYX51" s="136"/>
      <c r="LYY51" s="136"/>
      <c r="LYZ51" s="136"/>
      <c r="LZA51" s="136"/>
      <c r="LZB51" s="136"/>
      <c r="LZC51" s="136"/>
      <c r="LZD51" s="136"/>
      <c r="LZE51" s="136"/>
      <c r="LZF51" s="136"/>
      <c r="LZG51" s="136"/>
      <c r="LZH51" s="136"/>
      <c r="LZI51" s="136"/>
      <c r="LZJ51" s="136"/>
      <c r="LZK51" s="136"/>
      <c r="LZL51" s="136"/>
      <c r="LZM51" s="136"/>
      <c r="LZN51" s="136"/>
      <c r="LZO51" s="136"/>
      <c r="LZP51" s="136"/>
      <c r="LZQ51" s="136"/>
      <c r="LZR51" s="136"/>
      <c r="LZS51" s="136"/>
      <c r="LZT51" s="136"/>
      <c r="LZU51" s="136"/>
      <c r="LZV51" s="136"/>
      <c r="LZW51" s="136"/>
      <c r="LZX51" s="136"/>
      <c r="LZY51" s="136"/>
      <c r="LZZ51" s="136"/>
      <c r="MAA51" s="136"/>
      <c r="MAB51" s="136"/>
      <c r="MAC51" s="136"/>
      <c r="MAD51" s="136"/>
      <c r="MAE51" s="136"/>
      <c r="MAF51" s="136"/>
      <c r="MAG51" s="136"/>
      <c r="MAH51" s="136"/>
      <c r="MAI51" s="136"/>
      <c r="MAJ51" s="136"/>
      <c r="MAK51" s="136"/>
      <c r="MAL51" s="136"/>
      <c r="MAM51" s="136"/>
      <c r="MAN51" s="136"/>
      <c r="MAO51" s="136"/>
      <c r="MAP51" s="136"/>
      <c r="MAQ51" s="136"/>
      <c r="MAR51" s="136"/>
      <c r="MAS51" s="136"/>
      <c r="MAT51" s="136"/>
      <c r="MAU51" s="136"/>
      <c r="MAV51" s="136"/>
      <c r="MAW51" s="136"/>
      <c r="MAX51" s="136"/>
      <c r="MAY51" s="136"/>
      <c r="MAZ51" s="136"/>
      <c r="MBA51" s="136"/>
      <c r="MBB51" s="136"/>
      <c r="MBC51" s="136"/>
      <c r="MBD51" s="136"/>
      <c r="MBE51" s="136"/>
      <c r="MBF51" s="136"/>
      <c r="MBG51" s="136"/>
      <c r="MBH51" s="136"/>
      <c r="MBI51" s="136"/>
      <c r="MBJ51" s="136"/>
      <c r="MBK51" s="136"/>
      <c r="MBL51" s="136"/>
      <c r="MBM51" s="136"/>
      <c r="MBN51" s="136"/>
      <c r="MBO51" s="136"/>
      <c r="MBP51" s="136"/>
      <c r="MBQ51" s="136"/>
      <c r="MBR51" s="136"/>
      <c r="MBS51" s="136"/>
      <c r="MBT51" s="136"/>
      <c r="MBU51" s="136"/>
      <c r="MBV51" s="136"/>
      <c r="MBW51" s="136"/>
      <c r="MBX51" s="136"/>
      <c r="MBY51" s="136"/>
      <c r="MBZ51" s="136"/>
      <c r="MCA51" s="136"/>
      <c r="MCB51" s="136"/>
      <c r="MCC51" s="136"/>
      <c r="MCD51" s="136"/>
      <c r="MCE51" s="136"/>
      <c r="MCF51" s="136"/>
      <c r="MCG51" s="136"/>
      <c r="MCH51" s="136"/>
      <c r="MCI51" s="136"/>
      <c r="MCJ51" s="136"/>
      <c r="MCK51" s="136"/>
      <c r="MCL51" s="136"/>
      <c r="MCM51" s="136"/>
      <c r="MCN51" s="136"/>
      <c r="MCO51" s="136"/>
      <c r="MCP51" s="136"/>
      <c r="MCQ51" s="136"/>
      <c r="MCR51" s="136"/>
      <c r="MCS51" s="136"/>
      <c r="MCT51" s="136"/>
      <c r="MCU51" s="136"/>
      <c r="MCV51" s="136"/>
      <c r="MCW51" s="136"/>
      <c r="MCX51" s="136"/>
      <c r="MCY51" s="136"/>
      <c r="MCZ51" s="136"/>
      <c r="MDA51" s="136"/>
      <c r="MDB51" s="136"/>
      <c r="MDC51" s="136"/>
      <c r="MDD51" s="136"/>
      <c r="MDE51" s="136"/>
      <c r="MDF51" s="136"/>
      <c r="MDG51" s="136"/>
      <c r="MDH51" s="136"/>
      <c r="MDI51" s="136"/>
      <c r="MDJ51" s="136"/>
      <c r="MDK51" s="136"/>
      <c r="MDL51" s="136"/>
      <c r="MDM51" s="136"/>
      <c r="MDN51" s="136"/>
      <c r="MDO51" s="136"/>
      <c r="MDP51" s="136"/>
      <c r="MDQ51" s="136"/>
      <c r="MDR51" s="136"/>
      <c r="MDS51" s="136"/>
      <c r="MDT51" s="136"/>
      <c r="MDU51" s="136"/>
      <c r="MDV51" s="136"/>
      <c r="MDW51" s="136"/>
      <c r="MDX51" s="136"/>
      <c r="MDY51" s="136"/>
      <c r="MDZ51" s="136"/>
      <c r="MEA51" s="136"/>
      <c r="MEB51" s="136"/>
      <c r="MEC51" s="136"/>
      <c r="MED51" s="136"/>
      <c r="MEE51" s="136"/>
      <c r="MEF51" s="136"/>
      <c r="MEG51" s="136"/>
      <c r="MEH51" s="136"/>
      <c r="MEI51" s="136"/>
      <c r="MEJ51" s="136"/>
      <c r="MEK51" s="136"/>
      <c r="MEL51" s="136"/>
      <c r="MEM51" s="136"/>
      <c r="MEN51" s="136"/>
      <c r="MEO51" s="136"/>
      <c r="MEP51" s="136"/>
      <c r="MEQ51" s="136"/>
      <c r="MER51" s="136"/>
      <c r="MES51" s="136"/>
      <c r="MET51" s="136"/>
      <c r="MEU51" s="136"/>
      <c r="MEV51" s="136"/>
      <c r="MEW51" s="136"/>
      <c r="MEX51" s="136"/>
      <c r="MEY51" s="136"/>
      <c r="MEZ51" s="136"/>
      <c r="MFA51" s="136"/>
      <c r="MFB51" s="136"/>
      <c r="MFC51" s="136"/>
      <c r="MFD51" s="136"/>
      <c r="MFE51" s="136"/>
      <c r="MFF51" s="136"/>
      <c r="MFG51" s="136"/>
      <c r="MFH51" s="136"/>
      <c r="MFI51" s="136"/>
      <c r="MFJ51" s="136"/>
      <c r="MFK51" s="136"/>
      <c r="MFL51" s="136"/>
      <c r="MFM51" s="136"/>
      <c r="MFN51" s="136"/>
      <c r="MFO51" s="136"/>
      <c r="MFP51" s="136"/>
      <c r="MFQ51" s="136"/>
      <c r="MFR51" s="136"/>
      <c r="MFS51" s="136"/>
      <c r="MFT51" s="136"/>
      <c r="MFU51" s="136"/>
      <c r="MFV51" s="136"/>
      <c r="MFW51" s="136"/>
      <c r="MFX51" s="136"/>
      <c r="MFY51" s="136"/>
      <c r="MFZ51" s="136"/>
      <c r="MGA51" s="136"/>
      <c r="MGB51" s="136"/>
      <c r="MGC51" s="136"/>
      <c r="MGD51" s="136"/>
      <c r="MGE51" s="136"/>
      <c r="MGF51" s="136"/>
      <c r="MGG51" s="136"/>
      <c r="MGH51" s="136"/>
      <c r="MGI51" s="136"/>
      <c r="MGJ51" s="136"/>
      <c r="MGK51" s="136"/>
      <c r="MGL51" s="136"/>
      <c r="MGM51" s="136"/>
      <c r="MGN51" s="136"/>
      <c r="MGO51" s="136"/>
      <c r="MGP51" s="136"/>
      <c r="MGQ51" s="136"/>
      <c r="MGR51" s="136"/>
      <c r="MGS51" s="136"/>
      <c r="MGT51" s="136"/>
      <c r="MGU51" s="136"/>
      <c r="MGV51" s="136"/>
      <c r="MGW51" s="136"/>
      <c r="MGX51" s="136"/>
      <c r="MGY51" s="136"/>
      <c r="MGZ51" s="136"/>
      <c r="MHA51" s="136"/>
      <c r="MHB51" s="136"/>
      <c r="MHC51" s="136"/>
      <c r="MHD51" s="136"/>
      <c r="MHE51" s="136"/>
      <c r="MHF51" s="136"/>
      <c r="MHG51" s="136"/>
      <c r="MHH51" s="136"/>
      <c r="MHI51" s="136"/>
      <c r="MHJ51" s="136"/>
      <c r="MHK51" s="136"/>
      <c r="MHL51" s="136"/>
      <c r="MHM51" s="136"/>
      <c r="MHN51" s="136"/>
      <c r="MHO51" s="136"/>
      <c r="MHP51" s="136"/>
      <c r="MHQ51" s="136"/>
      <c r="MHR51" s="136"/>
      <c r="MHS51" s="136"/>
      <c r="MHT51" s="136"/>
      <c r="MHU51" s="136"/>
      <c r="MHV51" s="136"/>
      <c r="MHW51" s="136"/>
      <c r="MHX51" s="136"/>
      <c r="MHY51" s="136"/>
      <c r="MHZ51" s="136"/>
      <c r="MIA51" s="136"/>
      <c r="MIB51" s="136"/>
      <c r="MIC51" s="136"/>
      <c r="MID51" s="136"/>
      <c r="MIE51" s="136"/>
      <c r="MIF51" s="136"/>
      <c r="MIG51" s="136"/>
      <c r="MIH51" s="136"/>
      <c r="MII51" s="136"/>
      <c r="MIJ51" s="136"/>
      <c r="MIK51" s="136"/>
      <c r="MIL51" s="136"/>
      <c r="MIM51" s="136"/>
      <c r="MIN51" s="136"/>
      <c r="MIO51" s="136"/>
      <c r="MIP51" s="136"/>
      <c r="MIQ51" s="136"/>
      <c r="MIR51" s="136"/>
      <c r="MIS51" s="136"/>
      <c r="MIT51" s="136"/>
      <c r="MIU51" s="136"/>
      <c r="MIV51" s="136"/>
      <c r="MIW51" s="136"/>
      <c r="MIX51" s="136"/>
      <c r="MIY51" s="136"/>
      <c r="MIZ51" s="136"/>
      <c r="MJA51" s="136"/>
      <c r="MJB51" s="136"/>
      <c r="MJC51" s="136"/>
      <c r="MJD51" s="136"/>
      <c r="MJE51" s="136"/>
      <c r="MJF51" s="136"/>
      <c r="MJG51" s="136"/>
      <c r="MJH51" s="136"/>
      <c r="MJI51" s="136"/>
      <c r="MJJ51" s="136"/>
      <c r="MJK51" s="136"/>
      <c r="MJL51" s="136"/>
      <c r="MJM51" s="136"/>
      <c r="MJN51" s="136"/>
      <c r="MJO51" s="136"/>
      <c r="MJP51" s="136"/>
      <c r="MJQ51" s="136"/>
      <c r="MJR51" s="136"/>
      <c r="MJS51" s="136"/>
      <c r="MJT51" s="136"/>
      <c r="MJU51" s="136"/>
      <c r="MJV51" s="136"/>
      <c r="MJW51" s="136"/>
      <c r="MJX51" s="136"/>
      <c r="MJY51" s="136"/>
      <c r="MJZ51" s="136"/>
      <c r="MKA51" s="136"/>
      <c r="MKB51" s="136"/>
      <c r="MKC51" s="136"/>
      <c r="MKD51" s="136"/>
      <c r="MKE51" s="136"/>
      <c r="MKF51" s="136"/>
      <c r="MKG51" s="136"/>
      <c r="MKH51" s="136"/>
      <c r="MKI51" s="136"/>
      <c r="MKJ51" s="136"/>
      <c r="MKK51" s="136"/>
      <c r="MKL51" s="136"/>
      <c r="MKM51" s="136"/>
      <c r="MKN51" s="136"/>
      <c r="MKO51" s="136"/>
      <c r="MKP51" s="136"/>
      <c r="MKQ51" s="136"/>
      <c r="MKR51" s="136"/>
      <c r="MKS51" s="136"/>
      <c r="MKT51" s="136"/>
      <c r="MKU51" s="136"/>
      <c r="MKV51" s="136"/>
      <c r="MKW51" s="136"/>
      <c r="MKX51" s="136"/>
      <c r="MKY51" s="136"/>
      <c r="MKZ51" s="136"/>
      <c r="MLA51" s="136"/>
      <c r="MLB51" s="136"/>
      <c r="MLC51" s="136"/>
      <c r="MLD51" s="136"/>
      <c r="MLE51" s="136"/>
      <c r="MLF51" s="136"/>
      <c r="MLG51" s="136"/>
      <c r="MLH51" s="136"/>
      <c r="MLI51" s="136"/>
      <c r="MLJ51" s="136"/>
      <c r="MLK51" s="136"/>
      <c r="MLL51" s="136"/>
      <c r="MLM51" s="136"/>
      <c r="MLN51" s="136"/>
      <c r="MLO51" s="136"/>
      <c r="MLP51" s="136"/>
      <c r="MLQ51" s="136"/>
      <c r="MLR51" s="136"/>
      <c r="MLS51" s="136"/>
      <c r="MLT51" s="136"/>
      <c r="MLU51" s="136"/>
      <c r="MLV51" s="136"/>
      <c r="MLW51" s="136"/>
      <c r="MLX51" s="136"/>
      <c r="MLY51" s="136"/>
      <c r="MLZ51" s="136"/>
      <c r="MMA51" s="136"/>
      <c r="MMB51" s="136"/>
      <c r="MMC51" s="136"/>
      <c r="MMD51" s="136"/>
      <c r="MME51" s="136"/>
      <c r="MMF51" s="136"/>
      <c r="MMG51" s="136"/>
      <c r="MMH51" s="136"/>
      <c r="MMI51" s="136"/>
      <c r="MMJ51" s="136"/>
      <c r="MMK51" s="136"/>
      <c r="MML51" s="136"/>
      <c r="MMM51" s="136"/>
      <c r="MMN51" s="136"/>
      <c r="MMO51" s="136"/>
      <c r="MMP51" s="136"/>
      <c r="MMQ51" s="136"/>
      <c r="MMR51" s="136"/>
      <c r="MMS51" s="136"/>
      <c r="MMT51" s="136"/>
      <c r="MMU51" s="136"/>
      <c r="MMV51" s="136"/>
      <c r="MMW51" s="136"/>
      <c r="MMX51" s="136"/>
      <c r="MMY51" s="136"/>
      <c r="MMZ51" s="136"/>
      <c r="MNA51" s="136"/>
      <c r="MNB51" s="136"/>
      <c r="MNC51" s="136"/>
      <c r="MND51" s="136"/>
      <c r="MNE51" s="136"/>
      <c r="MNF51" s="136"/>
      <c r="MNG51" s="136"/>
      <c r="MNH51" s="136"/>
      <c r="MNI51" s="136"/>
      <c r="MNJ51" s="136"/>
      <c r="MNK51" s="136"/>
      <c r="MNL51" s="136"/>
      <c r="MNM51" s="136"/>
      <c r="MNN51" s="136"/>
      <c r="MNO51" s="136"/>
      <c r="MNP51" s="136"/>
      <c r="MNQ51" s="136"/>
      <c r="MNR51" s="136"/>
      <c r="MNS51" s="136"/>
      <c r="MNT51" s="136"/>
      <c r="MNU51" s="136"/>
      <c r="MNV51" s="136"/>
      <c r="MNW51" s="136"/>
      <c r="MNX51" s="136"/>
      <c r="MNY51" s="136"/>
      <c r="MNZ51" s="136"/>
      <c r="MOA51" s="136"/>
      <c r="MOB51" s="136"/>
      <c r="MOC51" s="136"/>
      <c r="MOD51" s="136"/>
      <c r="MOE51" s="136"/>
      <c r="MOF51" s="136"/>
      <c r="MOG51" s="136"/>
      <c r="MOH51" s="136"/>
      <c r="MOI51" s="136"/>
      <c r="MOJ51" s="136"/>
      <c r="MOK51" s="136"/>
      <c r="MOL51" s="136"/>
      <c r="MOM51" s="136"/>
      <c r="MON51" s="136"/>
      <c r="MOO51" s="136"/>
      <c r="MOP51" s="136"/>
      <c r="MOQ51" s="136"/>
      <c r="MOR51" s="136"/>
      <c r="MOS51" s="136"/>
      <c r="MOT51" s="136"/>
      <c r="MOU51" s="136"/>
      <c r="MOV51" s="136"/>
      <c r="MOW51" s="136"/>
      <c r="MOX51" s="136"/>
      <c r="MOY51" s="136"/>
      <c r="MOZ51" s="136"/>
      <c r="MPA51" s="136"/>
      <c r="MPB51" s="136"/>
      <c r="MPC51" s="136"/>
      <c r="MPD51" s="136"/>
      <c r="MPE51" s="136"/>
      <c r="MPF51" s="136"/>
      <c r="MPG51" s="136"/>
      <c r="MPH51" s="136"/>
      <c r="MPI51" s="136"/>
      <c r="MPJ51" s="136"/>
      <c r="MPK51" s="136"/>
      <c r="MPL51" s="136"/>
      <c r="MPM51" s="136"/>
      <c r="MPN51" s="136"/>
      <c r="MPO51" s="136"/>
      <c r="MPP51" s="136"/>
      <c r="MPQ51" s="136"/>
      <c r="MPR51" s="136"/>
      <c r="MPS51" s="136"/>
      <c r="MPT51" s="136"/>
      <c r="MPU51" s="136"/>
      <c r="MPV51" s="136"/>
      <c r="MPW51" s="136"/>
      <c r="MPX51" s="136"/>
      <c r="MPY51" s="136"/>
      <c r="MPZ51" s="136"/>
      <c r="MQA51" s="136"/>
      <c r="MQB51" s="136"/>
      <c r="MQC51" s="136"/>
      <c r="MQD51" s="136"/>
      <c r="MQE51" s="136"/>
      <c r="MQF51" s="136"/>
      <c r="MQG51" s="136"/>
      <c r="MQH51" s="136"/>
      <c r="MQI51" s="136"/>
      <c r="MQJ51" s="136"/>
      <c r="MQK51" s="136"/>
      <c r="MQL51" s="136"/>
      <c r="MQM51" s="136"/>
      <c r="MQN51" s="136"/>
      <c r="MQO51" s="136"/>
      <c r="MQP51" s="136"/>
      <c r="MQQ51" s="136"/>
      <c r="MQR51" s="136"/>
      <c r="MQS51" s="136"/>
      <c r="MQT51" s="136"/>
      <c r="MQU51" s="136"/>
      <c r="MQV51" s="136"/>
      <c r="MQW51" s="136"/>
      <c r="MQX51" s="136"/>
      <c r="MQY51" s="136"/>
      <c r="MQZ51" s="136"/>
      <c r="MRA51" s="136"/>
      <c r="MRB51" s="136"/>
      <c r="MRC51" s="136"/>
      <c r="MRD51" s="136"/>
      <c r="MRE51" s="136"/>
      <c r="MRF51" s="136"/>
      <c r="MRG51" s="136"/>
      <c r="MRH51" s="136"/>
      <c r="MRI51" s="136"/>
      <c r="MRJ51" s="136"/>
      <c r="MRK51" s="136"/>
      <c r="MRL51" s="136"/>
      <c r="MRM51" s="136"/>
      <c r="MRN51" s="136"/>
      <c r="MRO51" s="136"/>
      <c r="MRP51" s="136"/>
      <c r="MRQ51" s="136"/>
      <c r="MRR51" s="136"/>
      <c r="MRS51" s="136"/>
      <c r="MRT51" s="136"/>
      <c r="MRU51" s="136"/>
      <c r="MRV51" s="136"/>
      <c r="MRW51" s="136"/>
      <c r="MRX51" s="136"/>
      <c r="MRY51" s="136"/>
      <c r="MRZ51" s="136"/>
      <c r="MSA51" s="136"/>
      <c r="MSB51" s="136"/>
      <c r="MSC51" s="136"/>
      <c r="MSD51" s="136"/>
      <c r="MSE51" s="136"/>
      <c r="MSF51" s="136"/>
      <c r="MSG51" s="136"/>
      <c r="MSH51" s="136"/>
      <c r="MSI51" s="136"/>
      <c r="MSJ51" s="136"/>
      <c r="MSK51" s="136"/>
      <c r="MSL51" s="136"/>
      <c r="MSM51" s="136"/>
      <c r="MSN51" s="136"/>
      <c r="MSO51" s="136"/>
      <c r="MSP51" s="136"/>
      <c r="MSQ51" s="136"/>
      <c r="MSR51" s="136"/>
      <c r="MSS51" s="136"/>
      <c r="MST51" s="136"/>
      <c r="MSU51" s="136"/>
      <c r="MSV51" s="136"/>
      <c r="MSW51" s="136"/>
      <c r="MSX51" s="136"/>
      <c r="MSY51" s="136"/>
      <c r="MSZ51" s="136"/>
      <c r="MTA51" s="136"/>
      <c r="MTB51" s="136"/>
      <c r="MTC51" s="136"/>
      <c r="MTD51" s="136"/>
      <c r="MTE51" s="136"/>
      <c r="MTF51" s="136"/>
      <c r="MTG51" s="136"/>
      <c r="MTH51" s="136"/>
      <c r="MTI51" s="136"/>
      <c r="MTJ51" s="136"/>
      <c r="MTK51" s="136"/>
      <c r="MTL51" s="136"/>
      <c r="MTM51" s="136"/>
      <c r="MTN51" s="136"/>
      <c r="MTO51" s="136"/>
      <c r="MTP51" s="136"/>
      <c r="MTQ51" s="136"/>
      <c r="MTR51" s="136"/>
      <c r="MTS51" s="136"/>
      <c r="MTT51" s="136"/>
      <c r="MTU51" s="136"/>
      <c r="MTV51" s="136"/>
      <c r="MTW51" s="136"/>
      <c r="MTX51" s="136"/>
      <c r="MTY51" s="136"/>
      <c r="MTZ51" s="136"/>
      <c r="MUA51" s="136"/>
      <c r="MUB51" s="136"/>
      <c r="MUC51" s="136"/>
      <c r="MUD51" s="136"/>
      <c r="MUE51" s="136"/>
      <c r="MUF51" s="136"/>
      <c r="MUG51" s="136"/>
      <c r="MUH51" s="136"/>
      <c r="MUI51" s="136"/>
      <c r="MUJ51" s="136"/>
      <c r="MUK51" s="136"/>
      <c r="MUL51" s="136"/>
      <c r="MUM51" s="136"/>
      <c r="MUN51" s="136"/>
      <c r="MUO51" s="136"/>
      <c r="MUP51" s="136"/>
      <c r="MUQ51" s="136"/>
      <c r="MUR51" s="136"/>
      <c r="MUS51" s="136"/>
      <c r="MUT51" s="136"/>
      <c r="MUU51" s="136"/>
      <c r="MUV51" s="136"/>
      <c r="MUW51" s="136"/>
      <c r="MUX51" s="136"/>
      <c r="MUY51" s="136"/>
      <c r="MUZ51" s="136"/>
      <c r="MVA51" s="136"/>
      <c r="MVB51" s="136"/>
      <c r="MVC51" s="136"/>
      <c r="MVD51" s="136"/>
      <c r="MVE51" s="136"/>
      <c r="MVF51" s="136"/>
      <c r="MVG51" s="136"/>
      <c r="MVH51" s="136"/>
      <c r="MVI51" s="136"/>
      <c r="MVJ51" s="136"/>
      <c r="MVK51" s="136"/>
      <c r="MVL51" s="136"/>
      <c r="MVM51" s="136"/>
      <c r="MVN51" s="136"/>
      <c r="MVO51" s="136"/>
      <c r="MVP51" s="136"/>
      <c r="MVQ51" s="136"/>
      <c r="MVR51" s="136"/>
      <c r="MVS51" s="136"/>
      <c r="MVT51" s="136"/>
      <c r="MVU51" s="136"/>
      <c r="MVV51" s="136"/>
      <c r="MVW51" s="136"/>
      <c r="MVX51" s="136"/>
      <c r="MVY51" s="136"/>
      <c r="MVZ51" s="136"/>
      <c r="MWA51" s="136"/>
      <c r="MWB51" s="136"/>
      <c r="MWC51" s="136"/>
      <c r="MWD51" s="136"/>
      <c r="MWE51" s="136"/>
      <c r="MWF51" s="136"/>
      <c r="MWG51" s="136"/>
      <c r="MWH51" s="136"/>
      <c r="MWI51" s="136"/>
      <c r="MWJ51" s="136"/>
      <c r="MWK51" s="136"/>
      <c r="MWL51" s="136"/>
      <c r="MWM51" s="136"/>
      <c r="MWN51" s="136"/>
      <c r="MWO51" s="136"/>
      <c r="MWP51" s="136"/>
      <c r="MWQ51" s="136"/>
      <c r="MWR51" s="136"/>
      <c r="MWS51" s="136"/>
      <c r="MWT51" s="136"/>
      <c r="MWU51" s="136"/>
      <c r="MWV51" s="136"/>
      <c r="MWW51" s="136"/>
      <c r="MWX51" s="136"/>
      <c r="MWY51" s="136"/>
      <c r="MWZ51" s="136"/>
      <c r="MXA51" s="136"/>
      <c r="MXB51" s="136"/>
      <c r="MXC51" s="136"/>
      <c r="MXD51" s="136"/>
      <c r="MXE51" s="136"/>
      <c r="MXF51" s="136"/>
      <c r="MXG51" s="136"/>
      <c r="MXH51" s="136"/>
      <c r="MXI51" s="136"/>
      <c r="MXJ51" s="136"/>
      <c r="MXK51" s="136"/>
      <c r="MXL51" s="136"/>
      <c r="MXM51" s="136"/>
      <c r="MXN51" s="136"/>
      <c r="MXO51" s="136"/>
      <c r="MXP51" s="136"/>
      <c r="MXQ51" s="136"/>
      <c r="MXR51" s="136"/>
      <c r="MXS51" s="136"/>
      <c r="MXT51" s="136"/>
      <c r="MXU51" s="136"/>
      <c r="MXV51" s="136"/>
      <c r="MXW51" s="136"/>
      <c r="MXX51" s="136"/>
      <c r="MXY51" s="136"/>
      <c r="MXZ51" s="136"/>
      <c r="MYA51" s="136"/>
      <c r="MYB51" s="136"/>
      <c r="MYC51" s="136"/>
      <c r="MYD51" s="136"/>
      <c r="MYE51" s="136"/>
      <c r="MYF51" s="136"/>
      <c r="MYG51" s="136"/>
      <c r="MYH51" s="136"/>
      <c r="MYI51" s="136"/>
      <c r="MYJ51" s="136"/>
      <c r="MYK51" s="136"/>
      <c r="MYL51" s="136"/>
      <c r="MYM51" s="136"/>
      <c r="MYN51" s="136"/>
      <c r="MYO51" s="136"/>
      <c r="MYP51" s="136"/>
      <c r="MYQ51" s="136"/>
      <c r="MYR51" s="136"/>
      <c r="MYS51" s="136"/>
      <c r="MYT51" s="136"/>
      <c r="MYU51" s="136"/>
      <c r="MYV51" s="136"/>
      <c r="MYW51" s="136"/>
      <c r="MYX51" s="136"/>
      <c r="MYY51" s="136"/>
      <c r="MYZ51" s="136"/>
      <c r="MZA51" s="136"/>
      <c r="MZB51" s="136"/>
      <c r="MZC51" s="136"/>
      <c r="MZD51" s="136"/>
      <c r="MZE51" s="136"/>
      <c r="MZF51" s="136"/>
      <c r="MZG51" s="136"/>
      <c r="MZH51" s="136"/>
      <c r="MZI51" s="136"/>
      <c r="MZJ51" s="136"/>
      <c r="MZK51" s="136"/>
      <c r="MZL51" s="136"/>
      <c r="MZM51" s="136"/>
      <c r="MZN51" s="136"/>
      <c r="MZO51" s="136"/>
      <c r="MZP51" s="136"/>
      <c r="MZQ51" s="136"/>
      <c r="MZR51" s="136"/>
      <c r="MZS51" s="136"/>
      <c r="MZT51" s="136"/>
      <c r="MZU51" s="136"/>
      <c r="MZV51" s="136"/>
      <c r="MZW51" s="136"/>
      <c r="MZX51" s="136"/>
      <c r="MZY51" s="136"/>
      <c r="MZZ51" s="136"/>
      <c r="NAA51" s="136"/>
      <c r="NAB51" s="136"/>
      <c r="NAC51" s="136"/>
      <c r="NAD51" s="136"/>
      <c r="NAE51" s="136"/>
      <c r="NAF51" s="136"/>
      <c r="NAG51" s="136"/>
      <c r="NAH51" s="136"/>
      <c r="NAI51" s="136"/>
      <c r="NAJ51" s="136"/>
      <c r="NAK51" s="136"/>
      <c r="NAL51" s="136"/>
      <c r="NAM51" s="136"/>
      <c r="NAN51" s="136"/>
      <c r="NAO51" s="136"/>
      <c r="NAP51" s="136"/>
      <c r="NAQ51" s="136"/>
      <c r="NAR51" s="136"/>
      <c r="NAS51" s="136"/>
      <c r="NAT51" s="136"/>
      <c r="NAU51" s="136"/>
      <c r="NAV51" s="136"/>
      <c r="NAW51" s="136"/>
      <c r="NAX51" s="136"/>
      <c r="NAY51" s="136"/>
      <c r="NAZ51" s="136"/>
      <c r="NBA51" s="136"/>
      <c r="NBB51" s="136"/>
      <c r="NBC51" s="136"/>
      <c r="NBD51" s="136"/>
      <c r="NBE51" s="136"/>
      <c r="NBF51" s="136"/>
      <c r="NBG51" s="136"/>
      <c r="NBH51" s="136"/>
      <c r="NBI51" s="136"/>
      <c r="NBJ51" s="136"/>
      <c r="NBK51" s="136"/>
      <c r="NBL51" s="136"/>
      <c r="NBM51" s="136"/>
      <c r="NBN51" s="136"/>
      <c r="NBO51" s="136"/>
      <c r="NBP51" s="136"/>
      <c r="NBQ51" s="136"/>
      <c r="NBR51" s="136"/>
      <c r="NBS51" s="136"/>
      <c r="NBT51" s="136"/>
      <c r="NBU51" s="136"/>
      <c r="NBV51" s="136"/>
      <c r="NBW51" s="136"/>
      <c r="NBX51" s="136"/>
      <c r="NBY51" s="136"/>
      <c r="NBZ51" s="136"/>
      <c r="NCA51" s="136"/>
      <c r="NCB51" s="136"/>
      <c r="NCC51" s="136"/>
      <c r="NCD51" s="136"/>
      <c r="NCE51" s="136"/>
      <c r="NCF51" s="136"/>
      <c r="NCG51" s="136"/>
      <c r="NCH51" s="136"/>
      <c r="NCI51" s="136"/>
      <c r="NCJ51" s="136"/>
      <c r="NCK51" s="136"/>
      <c r="NCL51" s="136"/>
      <c r="NCM51" s="136"/>
      <c r="NCN51" s="136"/>
      <c r="NCO51" s="136"/>
      <c r="NCP51" s="136"/>
      <c r="NCQ51" s="136"/>
      <c r="NCR51" s="136"/>
      <c r="NCS51" s="136"/>
      <c r="NCT51" s="136"/>
      <c r="NCU51" s="136"/>
      <c r="NCV51" s="136"/>
      <c r="NCW51" s="136"/>
      <c r="NCX51" s="136"/>
      <c r="NCY51" s="136"/>
      <c r="NCZ51" s="136"/>
      <c r="NDA51" s="136"/>
      <c r="NDB51" s="136"/>
      <c r="NDC51" s="136"/>
      <c r="NDD51" s="136"/>
      <c r="NDE51" s="136"/>
      <c r="NDF51" s="136"/>
      <c r="NDG51" s="136"/>
      <c r="NDH51" s="136"/>
      <c r="NDI51" s="136"/>
      <c r="NDJ51" s="136"/>
      <c r="NDK51" s="136"/>
      <c r="NDL51" s="136"/>
      <c r="NDM51" s="136"/>
      <c r="NDN51" s="136"/>
      <c r="NDO51" s="136"/>
      <c r="NDP51" s="136"/>
      <c r="NDQ51" s="136"/>
      <c r="NDR51" s="136"/>
      <c r="NDS51" s="136"/>
      <c r="NDT51" s="136"/>
      <c r="NDU51" s="136"/>
      <c r="NDV51" s="136"/>
      <c r="NDW51" s="136"/>
      <c r="NDX51" s="136"/>
      <c r="NDY51" s="136"/>
      <c r="NDZ51" s="136"/>
      <c r="NEA51" s="136"/>
      <c r="NEB51" s="136"/>
      <c r="NEC51" s="136"/>
      <c r="NED51" s="136"/>
      <c r="NEE51" s="136"/>
      <c r="NEF51" s="136"/>
      <c r="NEG51" s="136"/>
      <c r="NEH51" s="136"/>
      <c r="NEI51" s="136"/>
      <c r="NEJ51" s="136"/>
      <c r="NEK51" s="136"/>
      <c r="NEL51" s="136"/>
      <c r="NEM51" s="136"/>
      <c r="NEN51" s="136"/>
      <c r="NEO51" s="136"/>
      <c r="NEP51" s="136"/>
      <c r="NEQ51" s="136"/>
      <c r="NER51" s="136"/>
      <c r="NES51" s="136"/>
      <c r="NET51" s="136"/>
      <c r="NEU51" s="136"/>
      <c r="NEV51" s="136"/>
      <c r="NEW51" s="136"/>
      <c r="NEX51" s="136"/>
      <c r="NEY51" s="136"/>
      <c r="NEZ51" s="136"/>
      <c r="NFA51" s="136"/>
      <c r="NFB51" s="136"/>
      <c r="NFC51" s="136"/>
      <c r="NFD51" s="136"/>
      <c r="NFE51" s="136"/>
      <c r="NFF51" s="136"/>
      <c r="NFG51" s="136"/>
      <c r="NFH51" s="136"/>
      <c r="NFI51" s="136"/>
      <c r="NFJ51" s="136"/>
      <c r="NFK51" s="136"/>
      <c r="NFL51" s="136"/>
      <c r="NFM51" s="136"/>
      <c r="NFN51" s="136"/>
      <c r="NFO51" s="136"/>
      <c r="NFP51" s="136"/>
      <c r="NFQ51" s="136"/>
      <c r="NFR51" s="136"/>
      <c r="NFS51" s="136"/>
      <c r="NFT51" s="136"/>
      <c r="NFU51" s="136"/>
      <c r="NFV51" s="136"/>
      <c r="NFW51" s="136"/>
      <c r="NFX51" s="136"/>
      <c r="NFY51" s="136"/>
      <c r="NFZ51" s="136"/>
      <c r="NGA51" s="136"/>
      <c r="NGB51" s="136"/>
      <c r="NGC51" s="136"/>
      <c r="NGD51" s="136"/>
      <c r="NGE51" s="136"/>
      <c r="NGF51" s="136"/>
      <c r="NGG51" s="136"/>
      <c r="NGH51" s="136"/>
      <c r="NGI51" s="136"/>
      <c r="NGJ51" s="136"/>
      <c r="NGK51" s="136"/>
      <c r="NGL51" s="136"/>
      <c r="NGM51" s="136"/>
      <c r="NGN51" s="136"/>
      <c r="NGO51" s="136"/>
      <c r="NGP51" s="136"/>
      <c r="NGQ51" s="136"/>
      <c r="NGR51" s="136"/>
      <c r="NGS51" s="136"/>
      <c r="NGT51" s="136"/>
      <c r="NGU51" s="136"/>
      <c r="NGV51" s="136"/>
      <c r="NGW51" s="136"/>
      <c r="NGX51" s="136"/>
      <c r="NGY51" s="136"/>
      <c r="NGZ51" s="136"/>
      <c r="NHA51" s="136"/>
      <c r="NHB51" s="136"/>
      <c r="NHC51" s="136"/>
      <c r="NHD51" s="136"/>
      <c r="NHE51" s="136"/>
      <c r="NHF51" s="136"/>
      <c r="NHG51" s="136"/>
      <c r="NHH51" s="136"/>
      <c r="NHI51" s="136"/>
      <c r="NHJ51" s="136"/>
      <c r="NHK51" s="136"/>
      <c r="NHL51" s="136"/>
      <c r="NHM51" s="136"/>
      <c r="NHN51" s="136"/>
      <c r="NHO51" s="136"/>
      <c r="NHP51" s="136"/>
      <c r="NHQ51" s="136"/>
      <c r="NHR51" s="136"/>
      <c r="NHS51" s="136"/>
      <c r="NHT51" s="136"/>
      <c r="NHU51" s="136"/>
      <c r="NHV51" s="136"/>
      <c r="NHW51" s="136"/>
      <c r="NHX51" s="136"/>
      <c r="NHY51" s="136"/>
      <c r="NHZ51" s="136"/>
      <c r="NIA51" s="136"/>
      <c r="NIB51" s="136"/>
      <c r="NIC51" s="136"/>
      <c r="NID51" s="136"/>
      <c r="NIE51" s="136"/>
      <c r="NIF51" s="136"/>
      <c r="NIG51" s="136"/>
      <c r="NIH51" s="136"/>
      <c r="NII51" s="136"/>
      <c r="NIJ51" s="136"/>
      <c r="NIK51" s="136"/>
      <c r="NIL51" s="136"/>
      <c r="NIM51" s="136"/>
      <c r="NIN51" s="136"/>
      <c r="NIO51" s="136"/>
      <c r="NIP51" s="136"/>
      <c r="NIQ51" s="136"/>
      <c r="NIR51" s="136"/>
      <c r="NIS51" s="136"/>
      <c r="NIT51" s="136"/>
      <c r="NIU51" s="136"/>
      <c r="NIV51" s="136"/>
      <c r="NIW51" s="136"/>
      <c r="NIX51" s="136"/>
      <c r="NIY51" s="136"/>
      <c r="NIZ51" s="136"/>
      <c r="NJA51" s="136"/>
      <c r="NJB51" s="136"/>
      <c r="NJC51" s="136"/>
      <c r="NJD51" s="136"/>
      <c r="NJE51" s="136"/>
      <c r="NJF51" s="136"/>
      <c r="NJG51" s="136"/>
      <c r="NJH51" s="136"/>
      <c r="NJI51" s="136"/>
      <c r="NJJ51" s="136"/>
      <c r="NJK51" s="136"/>
      <c r="NJL51" s="136"/>
      <c r="NJM51" s="136"/>
      <c r="NJN51" s="136"/>
      <c r="NJO51" s="136"/>
      <c r="NJP51" s="136"/>
      <c r="NJQ51" s="136"/>
      <c r="NJR51" s="136"/>
      <c r="NJS51" s="136"/>
      <c r="NJT51" s="136"/>
      <c r="NJU51" s="136"/>
      <c r="NJV51" s="136"/>
      <c r="NJW51" s="136"/>
      <c r="NJX51" s="136"/>
      <c r="NJY51" s="136"/>
      <c r="NJZ51" s="136"/>
      <c r="NKA51" s="136"/>
      <c r="NKB51" s="136"/>
      <c r="NKC51" s="136"/>
      <c r="NKD51" s="136"/>
      <c r="NKE51" s="136"/>
      <c r="NKF51" s="136"/>
      <c r="NKG51" s="136"/>
      <c r="NKH51" s="136"/>
      <c r="NKI51" s="136"/>
      <c r="NKJ51" s="136"/>
      <c r="NKK51" s="136"/>
      <c r="NKL51" s="136"/>
      <c r="NKM51" s="136"/>
      <c r="NKN51" s="136"/>
      <c r="NKO51" s="136"/>
      <c r="NKP51" s="136"/>
      <c r="NKQ51" s="136"/>
      <c r="NKR51" s="136"/>
      <c r="NKS51" s="136"/>
      <c r="NKT51" s="136"/>
      <c r="NKU51" s="136"/>
      <c r="NKV51" s="136"/>
      <c r="NKW51" s="136"/>
      <c r="NKX51" s="136"/>
      <c r="NKY51" s="136"/>
      <c r="NKZ51" s="136"/>
      <c r="NLA51" s="136"/>
      <c r="NLB51" s="136"/>
      <c r="NLC51" s="136"/>
      <c r="NLD51" s="136"/>
      <c r="NLE51" s="136"/>
      <c r="NLF51" s="136"/>
      <c r="NLG51" s="136"/>
      <c r="NLH51" s="136"/>
      <c r="NLI51" s="136"/>
      <c r="NLJ51" s="136"/>
      <c r="NLK51" s="136"/>
      <c r="NLL51" s="136"/>
      <c r="NLM51" s="136"/>
      <c r="NLN51" s="136"/>
      <c r="NLO51" s="136"/>
      <c r="NLP51" s="136"/>
      <c r="NLQ51" s="136"/>
      <c r="NLR51" s="136"/>
      <c r="NLS51" s="136"/>
      <c r="NLT51" s="136"/>
      <c r="NLU51" s="136"/>
      <c r="NLV51" s="136"/>
      <c r="NLW51" s="136"/>
      <c r="NLX51" s="136"/>
      <c r="NLY51" s="136"/>
      <c r="NLZ51" s="136"/>
      <c r="NMA51" s="136"/>
      <c r="NMB51" s="136"/>
      <c r="NMC51" s="136"/>
      <c r="NMD51" s="136"/>
      <c r="NME51" s="136"/>
      <c r="NMF51" s="136"/>
      <c r="NMG51" s="136"/>
      <c r="NMH51" s="136"/>
      <c r="NMI51" s="136"/>
      <c r="NMJ51" s="136"/>
      <c r="NMK51" s="136"/>
      <c r="NML51" s="136"/>
      <c r="NMM51" s="136"/>
      <c r="NMN51" s="136"/>
      <c r="NMO51" s="136"/>
      <c r="NMP51" s="136"/>
      <c r="NMQ51" s="136"/>
      <c r="NMR51" s="136"/>
      <c r="NMS51" s="136"/>
      <c r="NMT51" s="136"/>
      <c r="NMU51" s="136"/>
      <c r="NMV51" s="136"/>
      <c r="NMW51" s="136"/>
      <c r="NMX51" s="136"/>
      <c r="NMY51" s="136"/>
      <c r="NMZ51" s="136"/>
      <c r="NNA51" s="136"/>
      <c r="NNB51" s="136"/>
      <c r="NNC51" s="136"/>
      <c r="NND51" s="136"/>
      <c r="NNE51" s="136"/>
      <c r="NNF51" s="136"/>
      <c r="NNG51" s="136"/>
      <c r="NNH51" s="136"/>
      <c r="NNI51" s="136"/>
      <c r="NNJ51" s="136"/>
      <c r="NNK51" s="136"/>
      <c r="NNL51" s="136"/>
      <c r="NNM51" s="136"/>
      <c r="NNN51" s="136"/>
      <c r="NNO51" s="136"/>
      <c r="NNP51" s="136"/>
      <c r="NNQ51" s="136"/>
      <c r="NNR51" s="136"/>
      <c r="NNS51" s="136"/>
      <c r="NNT51" s="136"/>
      <c r="NNU51" s="136"/>
      <c r="NNV51" s="136"/>
      <c r="NNW51" s="136"/>
      <c r="NNX51" s="136"/>
      <c r="NNY51" s="136"/>
      <c r="NNZ51" s="136"/>
      <c r="NOA51" s="136"/>
      <c r="NOB51" s="136"/>
      <c r="NOC51" s="136"/>
      <c r="NOD51" s="136"/>
      <c r="NOE51" s="136"/>
      <c r="NOF51" s="136"/>
      <c r="NOG51" s="136"/>
      <c r="NOH51" s="136"/>
      <c r="NOI51" s="136"/>
      <c r="NOJ51" s="136"/>
      <c r="NOK51" s="136"/>
      <c r="NOL51" s="136"/>
      <c r="NOM51" s="136"/>
      <c r="NON51" s="136"/>
      <c r="NOO51" s="136"/>
      <c r="NOP51" s="136"/>
      <c r="NOQ51" s="136"/>
      <c r="NOR51" s="136"/>
      <c r="NOS51" s="136"/>
      <c r="NOT51" s="136"/>
      <c r="NOU51" s="136"/>
      <c r="NOV51" s="136"/>
      <c r="NOW51" s="136"/>
      <c r="NOX51" s="136"/>
      <c r="NOY51" s="136"/>
      <c r="NOZ51" s="136"/>
      <c r="NPA51" s="136"/>
      <c r="NPB51" s="136"/>
      <c r="NPC51" s="136"/>
      <c r="NPD51" s="136"/>
      <c r="NPE51" s="136"/>
      <c r="NPF51" s="136"/>
      <c r="NPG51" s="136"/>
      <c r="NPH51" s="136"/>
      <c r="NPI51" s="136"/>
      <c r="NPJ51" s="136"/>
      <c r="NPK51" s="136"/>
      <c r="NPL51" s="136"/>
      <c r="NPM51" s="136"/>
      <c r="NPN51" s="136"/>
      <c r="NPO51" s="136"/>
      <c r="NPP51" s="136"/>
      <c r="NPQ51" s="136"/>
      <c r="NPR51" s="136"/>
      <c r="NPS51" s="136"/>
      <c r="NPT51" s="136"/>
      <c r="NPU51" s="136"/>
      <c r="NPV51" s="136"/>
      <c r="NPW51" s="136"/>
      <c r="NPX51" s="136"/>
      <c r="NPY51" s="136"/>
      <c r="NPZ51" s="136"/>
      <c r="NQA51" s="136"/>
      <c r="NQB51" s="136"/>
      <c r="NQC51" s="136"/>
      <c r="NQD51" s="136"/>
      <c r="NQE51" s="136"/>
      <c r="NQF51" s="136"/>
      <c r="NQG51" s="136"/>
      <c r="NQH51" s="136"/>
      <c r="NQI51" s="136"/>
      <c r="NQJ51" s="136"/>
      <c r="NQK51" s="136"/>
      <c r="NQL51" s="136"/>
      <c r="NQM51" s="136"/>
      <c r="NQN51" s="136"/>
      <c r="NQO51" s="136"/>
      <c r="NQP51" s="136"/>
      <c r="NQQ51" s="136"/>
      <c r="NQR51" s="136"/>
      <c r="NQS51" s="136"/>
      <c r="NQT51" s="136"/>
      <c r="NQU51" s="136"/>
      <c r="NQV51" s="136"/>
      <c r="NQW51" s="136"/>
      <c r="NQX51" s="136"/>
      <c r="NQY51" s="136"/>
      <c r="NQZ51" s="136"/>
      <c r="NRA51" s="136"/>
      <c r="NRB51" s="136"/>
      <c r="NRC51" s="136"/>
      <c r="NRD51" s="136"/>
      <c r="NRE51" s="136"/>
      <c r="NRF51" s="136"/>
      <c r="NRG51" s="136"/>
      <c r="NRH51" s="136"/>
      <c r="NRI51" s="136"/>
      <c r="NRJ51" s="136"/>
      <c r="NRK51" s="136"/>
      <c r="NRL51" s="136"/>
      <c r="NRM51" s="136"/>
      <c r="NRN51" s="136"/>
      <c r="NRO51" s="136"/>
      <c r="NRP51" s="136"/>
      <c r="NRQ51" s="136"/>
      <c r="NRR51" s="136"/>
      <c r="NRS51" s="136"/>
      <c r="NRT51" s="136"/>
      <c r="NRU51" s="136"/>
      <c r="NRV51" s="136"/>
      <c r="NRW51" s="136"/>
      <c r="NRX51" s="136"/>
      <c r="NRY51" s="136"/>
      <c r="NRZ51" s="136"/>
      <c r="NSA51" s="136"/>
      <c r="NSB51" s="136"/>
      <c r="NSC51" s="136"/>
      <c r="NSD51" s="136"/>
      <c r="NSE51" s="136"/>
      <c r="NSF51" s="136"/>
      <c r="NSG51" s="136"/>
      <c r="NSH51" s="136"/>
      <c r="NSI51" s="136"/>
      <c r="NSJ51" s="136"/>
      <c r="NSK51" s="136"/>
      <c r="NSL51" s="136"/>
      <c r="NSM51" s="136"/>
      <c r="NSN51" s="136"/>
      <c r="NSO51" s="136"/>
      <c r="NSP51" s="136"/>
      <c r="NSQ51" s="136"/>
      <c r="NSR51" s="136"/>
      <c r="NSS51" s="136"/>
      <c r="NST51" s="136"/>
      <c r="NSU51" s="136"/>
      <c r="NSV51" s="136"/>
      <c r="NSW51" s="136"/>
      <c r="NSX51" s="136"/>
      <c r="NSY51" s="136"/>
      <c r="NSZ51" s="136"/>
      <c r="NTA51" s="136"/>
      <c r="NTB51" s="136"/>
      <c r="NTC51" s="136"/>
      <c r="NTD51" s="136"/>
      <c r="NTE51" s="136"/>
      <c r="NTF51" s="136"/>
      <c r="NTG51" s="136"/>
      <c r="NTH51" s="136"/>
      <c r="NTI51" s="136"/>
      <c r="NTJ51" s="136"/>
      <c r="NTK51" s="136"/>
      <c r="NTL51" s="136"/>
      <c r="NTM51" s="136"/>
      <c r="NTN51" s="136"/>
      <c r="NTO51" s="136"/>
      <c r="NTP51" s="136"/>
      <c r="NTQ51" s="136"/>
      <c r="NTR51" s="136"/>
      <c r="NTS51" s="136"/>
      <c r="NTT51" s="136"/>
      <c r="NTU51" s="136"/>
      <c r="NTV51" s="136"/>
      <c r="NTW51" s="136"/>
      <c r="NTX51" s="136"/>
      <c r="NTY51" s="136"/>
      <c r="NTZ51" s="136"/>
      <c r="NUA51" s="136"/>
      <c r="NUB51" s="136"/>
      <c r="NUC51" s="136"/>
      <c r="NUD51" s="136"/>
      <c r="NUE51" s="136"/>
      <c r="NUF51" s="136"/>
      <c r="NUG51" s="136"/>
      <c r="NUH51" s="136"/>
      <c r="NUI51" s="136"/>
      <c r="NUJ51" s="136"/>
      <c r="NUK51" s="136"/>
      <c r="NUL51" s="136"/>
      <c r="NUM51" s="136"/>
      <c r="NUN51" s="136"/>
      <c r="NUO51" s="136"/>
      <c r="NUP51" s="136"/>
      <c r="NUQ51" s="136"/>
      <c r="NUR51" s="136"/>
      <c r="NUS51" s="136"/>
      <c r="NUT51" s="136"/>
      <c r="NUU51" s="136"/>
      <c r="NUV51" s="136"/>
      <c r="NUW51" s="136"/>
      <c r="NUX51" s="136"/>
      <c r="NUY51" s="136"/>
      <c r="NUZ51" s="136"/>
      <c r="NVA51" s="136"/>
      <c r="NVB51" s="136"/>
      <c r="NVC51" s="136"/>
      <c r="NVD51" s="136"/>
      <c r="NVE51" s="136"/>
      <c r="NVF51" s="136"/>
      <c r="NVG51" s="136"/>
      <c r="NVH51" s="136"/>
      <c r="NVI51" s="136"/>
      <c r="NVJ51" s="136"/>
      <c r="NVK51" s="136"/>
      <c r="NVL51" s="136"/>
      <c r="NVM51" s="136"/>
      <c r="NVN51" s="136"/>
      <c r="NVO51" s="136"/>
      <c r="NVP51" s="136"/>
      <c r="NVQ51" s="136"/>
      <c r="NVR51" s="136"/>
      <c r="NVS51" s="136"/>
      <c r="NVT51" s="136"/>
      <c r="NVU51" s="136"/>
      <c r="NVV51" s="136"/>
      <c r="NVW51" s="136"/>
      <c r="NVX51" s="136"/>
      <c r="NVY51" s="136"/>
      <c r="NVZ51" s="136"/>
      <c r="NWA51" s="136"/>
      <c r="NWB51" s="136"/>
      <c r="NWC51" s="136"/>
      <c r="NWD51" s="136"/>
      <c r="NWE51" s="136"/>
      <c r="NWF51" s="136"/>
      <c r="NWG51" s="136"/>
      <c r="NWH51" s="136"/>
      <c r="NWI51" s="136"/>
      <c r="NWJ51" s="136"/>
      <c r="NWK51" s="136"/>
      <c r="NWL51" s="136"/>
      <c r="NWM51" s="136"/>
      <c r="NWN51" s="136"/>
      <c r="NWO51" s="136"/>
      <c r="NWP51" s="136"/>
      <c r="NWQ51" s="136"/>
      <c r="NWR51" s="136"/>
      <c r="NWS51" s="136"/>
      <c r="NWT51" s="136"/>
      <c r="NWU51" s="136"/>
      <c r="NWV51" s="136"/>
      <c r="NWW51" s="136"/>
      <c r="NWX51" s="136"/>
      <c r="NWY51" s="136"/>
      <c r="NWZ51" s="136"/>
      <c r="NXA51" s="136"/>
      <c r="NXB51" s="136"/>
      <c r="NXC51" s="136"/>
      <c r="NXD51" s="136"/>
      <c r="NXE51" s="136"/>
      <c r="NXF51" s="136"/>
      <c r="NXG51" s="136"/>
      <c r="NXH51" s="136"/>
      <c r="NXI51" s="136"/>
      <c r="NXJ51" s="136"/>
      <c r="NXK51" s="136"/>
      <c r="NXL51" s="136"/>
      <c r="NXM51" s="136"/>
      <c r="NXN51" s="136"/>
      <c r="NXO51" s="136"/>
      <c r="NXP51" s="136"/>
      <c r="NXQ51" s="136"/>
      <c r="NXR51" s="136"/>
      <c r="NXS51" s="136"/>
      <c r="NXT51" s="136"/>
      <c r="NXU51" s="136"/>
      <c r="NXV51" s="136"/>
      <c r="NXW51" s="136"/>
      <c r="NXX51" s="136"/>
      <c r="NXY51" s="136"/>
      <c r="NXZ51" s="136"/>
      <c r="NYA51" s="136"/>
      <c r="NYB51" s="136"/>
      <c r="NYC51" s="136"/>
      <c r="NYD51" s="136"/>
      <c r="NYE51" s="136"/>
      <c r="NYF51" s="136"/>
      <c r="NYG51" s="136"/>
      <c r="NYH51" s="136"/>
      <c r="NYI51" s="136"/>
      <c r="NYJ51" s="136"/>
      <c r="NYK51" s="136"/>
      <c r="NYL51" s="136"/>
      <c r="NYM51" s="136"/>
      <c r="NYN51" s="136"/>
      <c r="NYO51" s="136"/>
      <c r="NYP51" s="136"/>
      <c r="NYQ51" s="136"/>
      <c r="NYR51" s="136"/>
      <c r="NYS51" s="136"/>
      <c r="NYT51" s="136"/>
      <c r="NYU51" s="136"/>
      <c r="NYV51" s="136"/>
      <c r="NYW51" s="136"/>
      <c r="NYX51" s="136"/>
      <c r="NYY51" s="136"/>
      <c r="NYZ51" s="136"/>
      <c r="NZA51" s="136"/>
      <c r="NZB51" s="136"/>
      <c r="NZC51" s="136"/>
      <c r="NZD51" s="136"/>
      <c r="NZE51" s="136"/>
      <c r="NZF51" s="136"/>
      <c r="NZG51" s="136"/>
      <c r="NZH51" s="136"/>
      <c r="NZI51" s="136"/>
      <c r="NZJ51" s="136"/>
      <c r="NZK51" s="136"/>
      <c r="NZL51" s="136"/>
      <c r="NZM51" s="136"/>
      <c r="NZN51" s="136"/>
      <c r="NZO51" s="136"/>
      <c r="NZP51" s="136"/>
      <c r="NZQ51" s="136"/>
      <c r="NZR51" s="136"/>
      <c r="NZS51" s="136"/>
      <c r="NZT51" s="136"/>
      <c r="NZU51" s="136"/>
      <c r="NZV51" s="136"/>
      <c r="NZW51" s="136"/>
      <c r="NZX51" s="136"/>
      <c r="NZY51" s="136"/>
      <c r="NZZ51" s="136"/>
      <c r="OAA51" s="136"/>
      <c r="OAB51" s="136"/>
      <c r="OAC51" s="136"/>
      <c r="OAD51" s="136"/>
      <c r="OAE51" s="136"/>
      <c r="OAF51" s="136"/>
      <c r="OAG51" s="136"/>
      <c r="OAH51" s="136"/>
      <c r="OAI51" s="136"/>
      <c r="OAJ51" s="136"/>
      <c r="OAK51" s="136"/>
      <c r="OAL51" s="136"/>
      <c r="OAM51" s="136"/>
      <c r="OAN51" s="136"/>
      <c r="OAO51" s="136"/>
      <c r="OAP51" s="136"/>
      <c r="OAQ51" s="136"/>
      <c r="OAR51" s="136"/>
      <c r="OAS51" s="136"/>
      <c r="OAT51" s="136"/>
      <c r="OAU51" s="136"/>
      <c r="OAV51" s="136"/>
      <c r="OAW51" s="136"/>
      <c r="OAX51" s="136"/>
      <c r="OAY51" s="136"/>
      <c r="OAZ51" s="136"/>
      <c r="OBA51" s="136"/>
      <c r="OBB51" s="136"/>
      <c r="OBC51" s="136"/>
      <c r="OBD51" s="136"/>
      <c r="OBE51" s="136"/>
      <c r="OBF51" s="136"/>
      <c r="OBG51" s="136"/>
      <c r="OBH51" s="136"/>
      <c r="OBI51" s="136"/>
      <c r="OBJ51" s="136"/>
      <c r="OBK51" s="136"/>
      <c r="OBL51" s="136"/>
      <c r="OBM51" s="136"/>
      <c r="OBN51" s="136"/>
      <c r="OBO51" s="136"/>
      <c r="OBP51" s="136"/>
      <c r="OBQ51" s="136"/>
      <c r="OBR51" s="136"/>
      <c r="OBS51" s="136"/>
      <c r="OBT51" s="136"/>
      <c r="OBU51" s="136"/>
      <c r="OBV51" s="136"/>
      <c r="OBW51" s="136"/>
      <c r="OBX51" s="136"/>
      <c r="OBY51" s="136"/>
      <c r="OBZ51" s="136"/>
      <c r="OCA51" s="136"/>
      <c r="OCB51" s="136"/>
      <c r="OCC51" s="136"/>
      <c r="OCD51" s="136"/>
      <c r="OCE51" s="136"/>
      <c r="OCF51" s="136"/>
      <c r="OCG51" s="136"/>
      <c r="OCH51" s="136"/>
      <c r="OCI51" s="136"/>
      <c r="OCJ51" s="136"/>
      <c r="OCK51" s="136"/>
      <c r="OCL51" s="136"/>
      <c r="OCM51" s="136"/>
      <c r="OCN51" s="136"/>
      <c r="OCO51" s="136"/>
      <c r="OCP51" s="136"/>
      <c r="OCQ51" s="136"/>
      <c r="OCR51" s="136"/>
      <c r="OCS51" s="136"/>
      <c r="OCT51" s="136"/>
      <c r="OCU51" s="136"/>
      <c r="OCV51" s="136"/>
      <c r="OCW51" s="136"/>
      <c r="OCX51" s="136"/>
      <c r="OCY51" s="136"/>
      <c r="OCZ51" s="136"/>
      <c r="ODA51" s="136"/>
      <c r="ODB51" s="136"/>
      <c r="ODC51" s="136"/>
      <c r="ODD51" s="136"/>
      <c r="ODE51" s="136"/>
      <c r="ODF51" s="136"/>
      <c r="ODG51" s="136"/>
      <c r="ODH51" s="136"/>
      <c r="ODI51" s="136"/>
      <c r="ODJ51" s="136"/>
      <c r="ODK51" s="136"/>
      <c r="ODL51" s="136"/>
      <c r="ODM51" s="136"/>
      <c r="ODN51" s="136"/>
      <c r="ODO51" s="136"/>
      <c r="ODP51" s="136"/>
      <c r="ODQ51" s="136"/>
      <c r="ODR51" s="136"/>
      <c r="ODS51" s="136"/>
      <c r="ODT51" s="136"/>
      <c r="ODU51" s="136"/>
      <c r="ODV51" s="136"/>
      <c r="ODW51" s="136"/>
      <c r="ODX51" s="136"/>
      <c r="ODY51" s="136"/>
      <c r="ODZ51" s="136"/>
      <c r="OEA51" s="136"/>
      <c r="OEB51" s="136"/>
      <c r="OEC51" s="136"/>
      <c r="OED51" s="136"/>
      <c r="OEE51" s="136"/>
      <c r="OEF51" s="136"/>
      <c r="OEG51" s="136"/>
      <c r="OEH51" s="136"/>
      <c r="OEI51" s="136"/>
      <c r="OEJ51" s="136"/>
      <c r="OEK51" s="136"/>
      <c r="OEL51" s="136"/>
      <c r="OEM51" s="136"/>
      <c r="OEN51" s="136"/>
      <c r="OEO51" s="136"/>
      <c r="OEP51" s="136"/>
      <c r="OEQ51" s="136"/>
      <c r="OER51" s="136"/>
      <c r="OES51" s="136"/>
      <c r="OET51" s="136"/>
      <c r="OEU51" s="136"/>
      <c r="OEV51" s="136"/>
      <c r="OEW51" s="136"/>
      <c r="OEX51" s="136"/>
      <c r="OEY51" s="136"/>
      <c r="OEZ51" s="136"/>
      <c r="OFA51" s="136"/>
      <c r="OFB51" s="136"/>
      <c r="OFC51" s="136"/>
      <c r="OFD51" s="136"/>
      <c r="OFE51" s="136"/>
      <c r="OFF51" s="136"/>
      <c r="OFG51" s="136"/>
      <c r="OFH51" s="136"/>
      <c r="OFI51" s="136"/>
      <c r="OFJ51" s="136"/>
      <c r="OFK51" s="136"/>
      <c r="OFL51" s="136"/>
      <c r="OFM51" s="136"/>
      <c r="OFN51" s="136"/>
      <c r="OFO51" s="136"/>
      <c r="OFP51" s="136"/>
      <c r="OFQ51" s="136"/>
      <c r="OFR51" s="136"/>
      <c r="OFS51" s="136"/>
      <c r="OFT51" s="136"/>
      <c r="OFU51" s="136"/>
      <c r="OFV51" s="136"/>
      <c r="OFW51" s="136"/>
      <c r="OFX51" s="136"/>
      <c r="OFY51" s="136"/>
      <c r="OFZ51" s="136"/>
      <c r="OGA51" s="136"/>
      <c r="OGB51" s="136"/>
      <c r="OGC51" s="136"/>
      <c r="OGD51" s="136"/>
      <c r="OGE51" s="136"/>
      <c r="OGF51" s="136"/>
      <c r="OGG51" s="136"/>
      <c r="OGH51" s="136"/>
      <c r="OGI51" s="136"/>
      <c r="OGJ51" s="136"/>
      <c r="OGK51" s="136"/>
      <c r="OGL51" s="136"/>
      <c r="OGM51" s="136"/>
      <c r="OGN51" s="136"/>
      <c r="OGO51" s="136"/>
      <c r="OGP51" s="136"/>
      <c r="OGQ51" s="136"/>
      <c r="OGR51" s="136"/>
      <c r="OGS51" s="136"/>
      <c r="OGT51" s="136"/>
      <c r="OGU51" s="136"/>
      <c r="OGV51" s="136"/>
      <c r="OGW51" s="136"/>
      <c r="OGX51" s="136"/>
      <c r="OGY51" s="136"/>
      <c r="OGZ51" s="136"/>
      <c r="OHA51" s="136"/>
      <c r="OHB51" s="136"/>
      <c r="OHC51" s="136"/>
      <c r="OHD51" s="136"/>
      <c r="OHE51" s="136"/>
      <c r="OHF51" s="136"/>
      <c r="OHG51" s="136"/>
      <c r="OHH51" s="136"/>
      <c r="OHI51" s="136"/>
      <c r="OHJ51" s="136"/>
      <c r="OHK51" s="136"/>
      <c r="OHL51" s="136"/>
      <c r="OHM51" s="136"/>
      <c r="OHN51" s="136"/>
      <c r="OHO51" s="136"/>
      <c r="OHP51" s="136"/>
      <c r="OHQ51" s="136"/>
      <c r="OHR51" s="136"/>
      <c r="OHS51" s="136"/>
      <c r="OHT51" s="136"/>
      <c r="OHU51" s="136"/>
      <c r="OHV51" s="136"/>
      <c r="OHW51" s="136"/>
      <c r="OHX51" s="136"/>
      <c r="OHY51" s="136"/>
      <c r="OHZ51" s="136"/>
      <c r="OIA51" s="136"/>
      <c r="OIB51" s="136"/>
      <c r="OIC51" s="136"/>
      <c r="OID51" s="136"/>
      <c r="OIE51" s="136"/>
      <c r="OIF51" s="136"/>
      <c r="OIG51" s="136"/>
      <c r="OIH51" s="136"/>
      <c r="OII51" s="136"/>
      <c r="OIJ51" s="136"/>
      <c r="OIK51" s="136"/>
      <c r="OIL51" s="136"/>
      <c r="OIM51" s="136"/>
      <c r="OIN51" s="136"/>
      <c r="OIO51" s="136"/>
      <c r="OIP51" s="136"/>
      <c r="OIQ51" s="136"/>
      <c r="OIR51" s="136"/>
      <c r="OIS51" s="136"/>
      <c r="OIT51" s="136"/>
      <c r="OIU51" s="136"/>
      <c r="OIV51" s="136"/>
      <c r="OIW51" s="136"/>
      <c r="OIX51" s="136"/>
      <c r="OIY51" s="136"/>
      <c r="OIZ51" s="136"/>
      <c r="OJA51" s="136"/>
      <c r="OJB51" s="136"/>
      <c r="OJC51" s="136"/>
      <c r="OJD51" s="136"/>
      <c r="OJE51" s="136"/>
      <c r="OJF51" s="136"/>
      <c r="OJG51" s="136"/>
      <c r="OJH51" s="136"/>
      <c r="OJI51" s="136"/>
      <c r="OJJ51" s="136"/>
      <c r="OJK51" s="136"/>
      <c r="OJL51" s="136"/>
      <c r="OJM51" s="136"/>
      <c r="OJN51" s="136"/>
      <c r="OJO51" s="136"/>
      <c r="OJP51" s="136"/>
      <c r="OJQ51" s="136"/>
      <c r="OJR51" s="136"/>
      <c r="OJS51" s="136"/>
      <c r="OJT51" s="136"/>
      <c r="OJU51" s="136"/>
      <c r="OJV51" s="136"/>
      <c r="OJW51" s="136"/>
      <c r="OJX51" s="136"/>
      <c r="OJY51" s="136"/>
      <c r="OJZ51" s="136"/>
      <c r="OKA51" s="136"/>
      <c r="OKB51" s="136"/>
      <c r="OKC51" s="136"/>
      <c r="OKD51" s="136"/>
      <c r="OKE51" s="136"/>
      <c r="OKF51" s="136"/>
      <c r="OKG51" s="136"/>
      <c r="OKH51" s="136"/>
      <c r="OKI51" s="136"/>
      <c r="OKJ51" s="136"/>
      <c r="OKK51" s="136"/>
      <c r="OKL51" s="136"/>
      <c r="OKM51" s="136"/>
      <c r="OKN51" s="136"/>
      <c r="OKO51" s="136"/>
      <c r="OKP51" s="136"/>
      <c r="OKQ51" s="136"/>
      <c r="OKR51" s="136"/>
      <c r="OKS51" s="136"/>
      <c r="OKT51" s="136"/>
      <c r="OKU51" s="136"/>
      <c r="OKV51" s="136"/>
      <c r="OKW51" s="136"/>
      <c r="OKX51" s="136"/>
      <c r="OKY51" s="136"/>
      <c r="OKZ51" s="136"/>
      <c r="OLA51" s="136"/>
      <c r="OLB51" s="136"/>
      <c r="OLC51" s="136"/>
      <c r="OLD51" s="136"/>
      <c r="OLE51" s="136"/>
      <c r="OLF51" s="136"/>
      <c r="OLG51" s="136"/>
      <c r="OLH51" s="136"/>
      <c r="OLI51" s="136"/>
      <c r="OLJ51" s="136"/>
      <c r="OLK51" s="136"/>
      <c r="OLL51" s="136"/>
      <c r="OLM51" s="136"/>
      <c r="OLN51" s="136"/>
      <c r="OLO51" s="136"/>
      <c r="OLP51" s="136"/>
      <c r="OLQ51" s="136"/>
      <c r="OLR51" s="136"/>
      <c r="OLS51" s="136"/>
      <c r="OLT51" s="136"/>
      <c r="OLU51" s="136"/>
      <c r="OLV51" s="136"/>
      <c r="OLW51" s="136"/>
      <c r="OLX51" s="136"/>
      <c r="OLY51" s="136"/>
      <c r="OLZ51" s="136"/>
      <c r="OMA51" s="136"/>
      <c r="OMB51" s="136"/>
      <c r="OMC51" s="136"/>
      <c r="OMD51" s="136"/>
      <c r="OME51" s="136"/>
      <c r="OMF51" s="136"/>
      <c r="OMG51" s="136"/>
      <c r="OMH51" s="136"/>
      <c r="OMI51" s="136"/>
      <c r="OMJ51" s="136"/>
      <c r="OMK51" s="136"/>
      <c r="OML51" s="136"/>
      <c r="OMM51" s="136"/>
      <c r="OMN51" s="136"/>
      <c r="OMO51" s="136"/>
      <c r="OMP51" s="136"/>
      <c r="OMQ51" s="136"/>
      <c r="OMR51" s="136"/>
      <c r="OMS51" s="136"/>
      <c r="OMT51" s="136"/>
      <c r="OMU51" s="136"/>
      <c r="OMV51" s="136"/>
      <c r="OMW51" s="136"/>
      <c r="OMX51" s="136"/>
      <c r="OMY51" s="136"/>
      <c r="OMZ51" s="136"/>
      <c r="ONA51" s="136"/>
      <c r="ONB51" s="136"/>
      <c r="ONC51" s="136"/>
      <c r="OND51" s="136"/>
      <c r="ONE51" s="136"/>
      <c r="ONF51" s="136"/>
      <c r="ONG51" s="136"/>
      <c r="ONH51" s="136"/>
      <c r="ONI51" s="136"/>
      <c r="ONJ51" s="136"/>
      <c r="ONK51" s="136"/>
      <c r="ONL51" s="136"/>
      <c r="ONM51" s="136"/>
      <c r="ONN51" s="136"/>
      <c r="ONO51" s="136"/>
      <c r="ONP51" s="136"/>
      <c r="ONQ51" s="136"/>
      <c r="ONR51" s="136"/>
      <c r="ONS51" s="136"/>
      <c r="ONT51" s="136"/>
      <c r="ONU51" s="136"/>
      <c r="ONV51" s="136"/>
      <c r="ONW51" s="136"/>
      <c r="ONX51" s="136"/>
      <c r="ONY51" s="136"/>
      <c r="ONZ51" s="136"/>
      <c r="OOA51" s="136"/>
      <c r="OOB51" s="136"/>
      <c r="OOC51" s="136"/>
      <c r="OOD51" s="136"/>
      <c r="OOE51" s="136"/>
      <c r="OOF51" s="136"/>
      <c r="OOG51" s="136"/>
      <c r="OOH51" s="136"/>
      <c r="OOI51" s="136"/>
      <c r="OOJ51" s="136"/>
      <c r="OOK51" s="136"/>
      <c r="OOL51" s="136"/>
      <c r="OOM51" s="136"/>
      <c r="OON51" s="136"/>
      <c r="OOO51" s="136"/>
      <c r="OOP51" s="136"/>
      <c r="OOQ51" s="136"/>
      <c r="OOR51" s="136"/>
      <c r="OOS51" s="136"/>
      <c r="OOT51" s="136"/>
      <c r="OOU51" s="136"/>
      <c r="OOV51" s="136"/>
      <c r="OOW51" s="136"/>
      <c r="OOX51" s="136"/>
      <c r="OOY51" s="136"/>
      <c r="OOZ51" s="136"/>
      <c r="OPA51" s="136"/>
      <c r="OPB51" s="136"/>
      <c r="OPC51" s="136"/>
      <c r="OPD51" s="136"/>
      <c r="OPE51" s="136"/>
      <c r="OPF51" s="136"/>
      <c r="OPG51" s="136"/>
      <c r="OPH51" s="136"/>
      <c r="OPI51" s="136"/>
      <c r="OPJ51" s="136"/>
      <c r="OPK51" s="136"/>
      <c r="OPL51" s="136"/>
      <c r="OPM51" s="136"/>
      <c r="OPN51" s="136"/>
      <c r="OPO51" s="136"/>
      <c r="OPP51" s="136"/>
      <c r="OPQ51" s="136"/>
      <c r="OPR51" s="136"/>
      <c r="OPS51" s="136"/>
      <c r="OPT51" s="136"/>
      <c r="OPU51" s="136"/>
      <c r="OPV51" s="136"/>
      <c r="OPW51" s="136"/>
      <c r="OPX51" s="136"/>
      <c r="OPY51" s="136"/>
      <c r="OPZ51" s="136"/>
      <c r="OQA51" s="136"/>
      <c r="OQB51" s="136"/>
      <c r="OQC51" s="136"/>
      <c r="OQD51" s="136"/>
      <c r="OQE51" s="136"/>
      <c r="OQF51" s="136"/>
      <c r="OQG51" s="136"/>
      <c r="OQH51" s="136"/>
      <c r="OQI51" s="136"/>
      <c r="OQJ51" s="136"/>
      <c r="OQK51" s="136"/>
      <c r="OQL51" s="136"/>
      <c r="OQM51" s="136"/>
      <c r="OQN51" s="136"/>
      <c r="OQO51" s="136"/>
      <c r="OQP51" s="136"/>
      <c r="OQQ51" s="136"/>
      <c r="OQR51" s="136"/>
      <c r="OQS51" s="136"/>
      <c r="OQT51" s="136"/>
      <c r="OQU51" s="136"/>
      <c r="OQV51" s="136"/>
      <c r="OQW51" s="136"/>
      <c r="OQX51" s="136"/>
      <c r="OQY51" s="136"/>
      <c r="OQZ51" s="136"/>
      <c r="ORA51" s="136"/>
      <c r="ORB51" s="136"/>
      <c r="ORC51" s="136"/>
      <c r="ORD51" s="136"/>
      <c r="ORE51" s="136"/>
      <c r="ORF51" s="136"/>
      <c r="ORG51" s="136"/>
      <c r="ORH51" s="136"/>
      <c r="ORI51" s="136"/>
      <c r="ORJ51" s="136"/>
      <c r="ORK51" s="136"/>
      <c r="ORL51" s="136"/>
      <c r="ORM51" s="136"/>
      <c r="ORN51" s="136"/>
      <c r="ORO51" s="136"/>
      <c r="ORP51" s="136"/>
      <c r="ORQ51" s="136"/>
      <c r="ORR51" s="136"/>
      <c r="ORS51" s="136"/>
      <c r="ORT51" s="136"/>
      <c r="ORU51" s="136"/>
      <c r="ORV51" s="136"/>
      <c r="ORW51" s="136"/>
      <c r="ORX51" s="136"/>
      <c r="ORY51" s="136"/>
      <c r="ORZ51" s="136"/>
      <c r="OSA51" s="136"/>
      <c r="OSB51" s="136"/>
      <c r="OSC51" s="136"/>
      <c r="OSD51" s="136"/>
      <c r="OSE51" s="136"/>
      <c r="OSF51" s="136"/>
      <c r="OSG51" s="136"/>
      <c r="OSH51" s="136"/>
      <c r="OSI51" s="136"/>
      <c r="OSJ51" s="136"/>
      <c r="OSK51" s="136"/>
      <c r="OSL51" s="136"/>
      <c r="OSM51" s="136"/>
      <c r="OSN51" s="136"/>
      <c r="OSO51" s="136"/>
      <c r="OSP51" s="136"/>
      <c r="OSQ51" s="136"/>
      <c r="OSR51" s="136"/>
      <c r="OSS51" s="136"/>
      <c r="OST51" s="136"/>
      <c r="OSU51" s="136"/>
      <c r="OSV51" s="136"/>
      <c r="OSW51" s="136"/>
      <c r="OSX51" s="136"/>
      <c r="OSY51" s="136"/>
      <c r="OSZ51" s="136"/>
      <c r="OTA51" s="136"/>
      <c r="OTB51" s="136"/>
      <c r="OTC51" s="136"/>
      <c r="OTD51" s="136"/>
      <c r="OTE51" s="136"/>
      <c r="OTF51" s="136"/>
      <c r="OTG51" s="136"/>
      <c r="OTH51" s="136"/>
      <c r="OTI51" s="136"/>
      <c r="OTJ51" s="136"/>
      <c r="OTK51" s="136"/>
      <c r="OTL51" s="136"/>
      <c r="OTM51" s="136"/>
      <c r="OTN51" s="136"/>
      <c r="OTO51" s="136"/>
      <c r="OTP51" s="136"/>
      <c r="OTQ51" s="136"/>
      <c r="OTR51" s="136"/>
      <c r="OTS51" s="136"/>
      <c r="OTT51" s="136"/>
      <c r="OTU51" s="136"/>
      <c r="OTV51" s="136"/>
      <c r="OTW51" s="136"/>
      <c r="OTX51" s="136"/>
      <c r="OTY51" s="136"/>
      <c r="OTZ51" s="136"/>
      <c r="OUA51" s="136"/>
      <c r="OUB51" s="136"/>
      <c r="OUC51" s="136"/>
      <c r="OUD51" s="136"/>
      <c r="OUE51" s="136"/>
      <c r="OUF51" s="136"/>
      <c r="OUG51" s="136"/>
      <c r="OUH51" s="136"/>
      <c r="OUI51" s="136"/>
      <c r="OUJ51" s="136"/>
      <c r="OUK51" s="136"/>
      <c r="OUL51" s="136"/>
      <c r="OUM51" s="136"/>
      <c r="OUN51" s="136"/>
      <c r="OUO51" s="136"/>
      <c r="OUP51" s="136"/>
      <c r="OUQ51" s="136"/>
      <c r="OUR51" s="136"/>
      <c r="OUS51" s="136"/>
      <c r="OUT51" s="136"/>
      <c r="OUU51" s="136"/>
      <c r="OUV51" s="136"/>
      <c r="OUW51" s="136"/>
      <c r="OUX51" s="136"/>
      <c r="OUY51" s="136"/>
      <c r="OUZ51" s="136"/>
      <c r="OVA51" s="136"/>
      <c r="OVB51" s="136"/>
      <c r="OVC51" s="136"/>
      <c r="OVD51" s="136"/>
      <c r="OVE51" s="136"/>
      <c r="OVF51" s="136"/>
      <c r="OVG51" s="136"/>
      <c r="OVH51" s="136"/>
      <c r="OVI51" s="136"/>
      <c r="OVJ51" s="136"/>
      <c r="OVK51" s="136"/>
      <c r="OVL51" s="136"/>
      <c r="OVM51" s="136"/>
      <c r="OVN51" s="136"/>
      <c r="OVO51" s="136"/>
      <c r="OVP51" s="136"/>
      <c r="OVQ51" s="136"/>
      <c r="OVR51" s="136"/>
      <c r="OVS51" s="136"/>
      <c r="OVT51" s="136"/>
      <c r="OVU51" s="136"/>
      <c r="OVV51" s="136"/>
      <c r="OVW51" s="136"/>
      <c r="OVX51" s="136"/>
      <c r="OVY51" s="136"/>
      <c r="OVZ51" s="136"/>
      <c r="OWA51" s="136"/>
      <c r="OWB51" s="136"/>
      <c r="OWC51" s="136"/>
      <c r="OWD51" s="136"/>
      <c r="OWE51" s="136"/>
      <c r="OWF51" s="136"/>
      <c r="OWG51" s="136"/>
      <c r="OWH51" s="136"/>
      <c r="OWI51" s="136"/>
      <c r="OWJ51" s="136"/>
      <c r="OWK51" s="136"/>
      <c r="OWL51" s="136"/>
      <c r="OWM51" s="136"/>
      <c r="OWN51" s="136"/>
      <c r="OWO51" s="136"/>
      <c r="OWP51" s="136"/>
      <c r="OWQ51" s="136"/>
      <c r="OWR51" s="136"/>
      <c r="OWS51" s="136"/>
      <c r="OWT51" s="136"/>
      <c r="OWU51" s="136"/>
      <c r="OWV51" s="136"/>
      <c r="OWW51" s="136"/>
      <c r="OWX51" s="136"/>
      <c r="OWY51" s="136"/>
      <c r="OWZ51" s="136"/>
      <c r="OXA51" s="136"/>
      <c r="OXB51" s="136"/>
      <c r="OXC51" s="136"/>
      <c r="OXD51" s="136"/>
      <c r="OXE51" s="136"/>
      <c r="OXF51" s="136"/>
      <c r="OXG51" s="136"/>
      <c r="OXH51" s="136"/>
      <c r="OXI51" s="136"/>
      <c r="OXJ51" s="136"/>
      <c r="OXK51" s="136"/>
      <c r="OXL51" s="136"/>
      <c r="OXM51" s="136"/>
      <c r="OXN51" s="136"/>
      <c r="OXO51" s="136"/>
      <c r="OXP51" s="136"/>
      <c r="OXQ51" s="136"/>
      <c r="OXR51" s="136"/>
      <c r="OXS51" s="136"/>
      <c r="OXT51" s="136"/>
      <c r="OXU51" s="136"/>
      <c r="OXV51" s="136"/>
      <c r="OXW51" s="136"/>
      <c r="OXX51" s="136"/>
      <c r="OXY51" s="136"/>
      <c r="OXZ51" s="136"/>
      <c r="OYA51" s="136"/>
      <c r="OYB51" s="136"/>
      <c r="OYC51" s="136"/>
      <c r="OYD51" s="136"/>
      <c r="OYE51" s="136"/>
      <c r="OYF51" s="136"/>
      <c r="OYG51" s="136"/>
      <c r="OYH51" s="136"/>
      <c r="OYI51" s="136"/>
      <c r="OYJ51" s="136"/>
      <c r="OYK51" s="136"/>
      <c r="OYL51" s="136"/>
      <c r="OYM51" s="136"/>
      <c r="OYN51" s="136"/>
      <c r="OYO51" s="136"/>
      <c r="OYP51" s="136"/>
      <c r="OYQ51" s="136"/>
      <c r="OYR51" s="136"/>
      <c r="OYS51" s="136"/>
      <c r="OYT51" s="136"/>
      <c r="OYU51" s="136"/>
      <c r="OYV51" s="136"/>
      <c r="OYW51" s="136"/>
      <c r="OYX51" s="136"/>
      <c r="OYY51" s="136"/>
      <c r="OYZ51" s="136"/>
      <c r="OZA51" s="136"/>
      <c r="OZB51" s="136"/>
      <c r="OZC51" s="136"/>
      <c r="OZD51" s="136"/>
      <c r="OZE51" s="136"/>
      <c r="OZF51" s="136"/>
      <c r="OZG51" s="136"/>
      <c r="OZH51" s="136"/>
      <c r="OZI51" s="136"/>
      <c r="OZJ51" s="136"/>
      <c r="OZK51" s="136"/>
      <c r="OZL51" s="136"/>
      <c r="OZM51" s="136"/>
      <c r="OZN51" s="136"/>
      <c r="OZO51" s="136"/>
      <c r="OZP51" s="136"/>
      <c r="OZQ51" s="136"/>
      <c r="OZR51" s="136"/>
      <c r="OZS51" s="136"/>
      <c r="OZT51" s="136"/>
      <c r="OZU51" s="136"/>
      <c r="OZV51" s="136"/>
      <c r="OZW51" s="136"/>
      <c r="OZX51" s="136"/>
      <c r="OZY51" s="136"/>
      <c r="OZZ51" s="136"/>
      <c r="PAA51" s="136"/>
      <c r="PAB51" s="136"/>
      <c r="PAC51" s="136"/>
      <c r="PAD51" s="136"/>
      <c r="PAE51" s="136"/>
      <c r="PAF51" s="136"/>
      <c r="PAG51" s="136"/>
      <c r="PAH51" s="136"/>
      <c r="PAI51" s="136"/>
      <c r="PAJ51" s="136"/>
      <c r="PAK51" s="136"/>
      <c r="PAL51" s="136"/>
      <c r="PAM51" s="136"/>
      <c r="PAN51" s="136"/>
      <c r="PAO51" s="136"/>
      <c r="PAP51" s="136"/>
      <c r="PAQ51" s="136"/>
      <c r="PAR51" s="136"/>
      <c r="PAS51" s="136"/>
      <c r="PAT51" s="136"/>
      <c r="PAU51" s="136"/>
      <c r="PAV51" s="136"/>
      <c r="PAW51" s="136"/>
      <c r="PAX51" s="136"/>
      <c r="PAY51" s="136"/>
      <c r="PAZ51" s="136"/>
      <c r="PBA51" s="136"/>
      <c r="PBB51" s="136"/>
      <c r="PBC51" s="136"/>
      <c r="PBD51" s="136"/>
      <c r="PBE51" s="136"/>
      <c r="PBF51" s="136"/>
      <c r="PBG51" s="136"/>
      <c r="PBH51" s="136"/>
      <c r="PBI51" s="136"/>
      <c r="PBJ51" s="136"/>
      <c r="PBK51" s="136"/>
      <c r="PBL51" s="136"/>
      <c r="PBM51" s="136"/>
      <c r="PBN51" s="136"/>
      <c r="PBO51" s="136"/>
      <c r="PBP51" s="136"/>
      <c r="PBQ51" s="136"/>
      <c r="PBR51" s="136"/>
      <c r="PBS51" s="136"/>
      <c r="PBT51" s="136"/>
      <c r="PBU51" s="136"/>
      <c r="PBV51" s="136"/>
      <c r="PBW51" s="136"/>
      <c r="PBX51" s="136"/>
      <c r="PBY51" s="136"/>
      <c r="PBZ51" s="136"/>
      <c r="PCA51" s="136"/>
      <c r="PCB51" s="136"/>
      <c r="PCC51" s="136"/>
      <c r="PCD51" s="136"/>
      <c r="PCE51" s="136"/>
      <c r="PCF51" s="136"/>
      <c r="PCG51" s="136"/>
      <c r="PCH51" s="136"/>
      <c r="PCI51" s="136"/>
      <c r="PCJ51" s="136"/>
      <c r="PCK51" s="136"/>
      <c r="PCL51" s="136"/>
      <c r="PCM51" s="136"/>
      <c r="PCN51" s="136"/>
      <c r="PCO51" s="136"/>
      <c r="PCP51" s="136"/>
      <c r="PCQ51" s="136"/>
      <c r="PCR51" s="136"/>
      <c r="PCS51" s="136"/>
      <c r="PCT51" s="136"/>
      <c r="PCU51" s="136"/>
      <c r="PCV51" s="136"/>
      <c r="PCW51" s="136"/>
      <c r="PCX51" s="136"/>
      <c r="PCY51" s="136"/>
      <c r="PCZ51" s="136"/>
      <c r="PDA51" s="136"/>
      <c r="PDB51" s="136"/>
      <c r="PDC51" s="136"/>
      <c r="PDD51" s="136"/>
      <c r="PDE51" s="136"/>
      <c r="PDF51" s="136"/>
      <c r="PDG51" s="136"/>
      <c r="PDH51" s="136"/>
      <c r="PDI51" s="136"/>
      <c r="PDJ51" s="136"/>
      <c r="PDK51" s="136"/>
      <c r="PDL51" s="136"/>
      <c r="PDM51" s="136"/>
      <c r="PDN51" s="136"/>
      <c r="PDO51" s="136"/>
      <c r="PDP51" s="136"/>
      <c r="PDQ51" s="136"/>
      <c r="PDR51" s="136"/>
      <c r="PDS51" s="136"/>
      <c r="PDT51" s="136"/>
      <c r="PDU51" s="136"/>
      <c r="PDV51" s="136"/>
      <c r="PDW51" s="136"/>
      <c r="PDX51" s="136"/>
      <c r="PDY51" s="136"/>
      <c r="PDZ51" s="136"/>
      <c r="PEA51" s="136"/>
      <c r="PEB51" s="136"/>
      <c r="PEC51" s="136"/>
      <c r="PED51" s="136"/>
      <c r="PEE51" s="136"/>
      <c r="PEF51" s="136"/>
      <c r="PEG51" s="136"/>
      <c r="PEH51" s="136"/>
      <c r="PEI51" s="136"/>
      <c r="PEJ51" s="136"/>
      <c r="PEK51" s="136"/>
      <c r="PEL51" s="136"/>
      <c r="PEM51" s="136"/>
      <c r="PEN51" s="136"/>
      <c r="PEO51" s="136"/>
      <c r="PEP51" s="136"/>
      <c r="PEQ51" s="136"/>
      <c r="PER51" s="136"/>
      <c r="PES51" s="136"/>
      <c r="PET51" s="136"/>
      <c r="PEU51" s="136"/>
      <c r="PEV51" s="136"/>
      <c r="PEW51" s="136"/>
      <c r="PEX51" s="136"/>
      <c r="PEY51" s="136"/>
      <c r="PEZ51" s="136"/>
      <c r="PFA51" s="136"/>
      <c r="PFB51" s="136"/>
      <c r="PFC51" s="136"/>
      <c r="PFD51" s="136"/>
      <c r="PFE51" s="136"/>
      <c r="PFF51" s="136"/>
      <c r="PFG51" s="136"/>
      <c r="PFH51" s="136"/>
      <c r="PFI51" s="136"/>
      <c r="PFJ51" s="136"/>
      <c r="PFK51" s="136"/>
      <c r="PFL51" s="136"/>
      <c r="PFM51" s="136"/>
      <c r="PFN51" s="136"/>
      <c r="PFO51" s="136"/>
      <c r="PFP51" s="136"/>
      <c r="PFQ51" s="136"/>
      <c r="PFR51" s="136"/>
      <c r="PFS51" s="136"/>
      <c r="PFT51" s="136"/>
      <c r="PFU51" s="136"/>
      <c r="PFV51" s="136"/>
      <c r="PFW51" s="136"/>
      <c r="PFX51" s="136"/>
      <c r="PFY51" s="136"/>
      <c r="PFZ51" s="136"/>
      <c r="PGA51" s="136"/>
      <c r="PGB51" s="136"/>
      <c r="PGC51" s="136"/>
      <c r="PGD51" s="136"/>
      <c r="PGE51" s="136"/>
      <c r="PGF51" s="136"/>
      <c r="PGG51" s="136"/>
      <c r="PGH51" s="136"/>
      <c r="PGI51" s="136"/>
      <c r="PGJ51" s="136"/>
      <c r="PGK51" s="136"/>
      <c r="PGL51" s="136"/>
      <c r="PGM51" s="136"/>
      <c r="PGN51" s="136"/>
      <c r="PGO51" s="136"/>
      <c r="PGP51" s="136"/>
      <c r="PGQ51" s="136"/>
      <c r="PGR51" s="136"/>
      <c r="PGS51" s="136"/>
      <c r="PGT51" s="136"/>
      <c r="PGU51" s="136"/>
      <c r="PGV51" s="136"/>
      <c r="PGW51" s="136"/>
      <c r="PGX51" s="136"/>
      <c r="PGY51" s="136"/>
      <c r="PGZ51" s="136"/>
      <c r="PHA51" s="136"/>
      <c r="PHB51" s="136"/>
      <c r="PHC51" s="136"/>
      <c r="PHD51" s="136"/>
      <c r="PHE51" s="136"/>
      <c r="PHF51" s="136"/>
      <c r="PHG51" s="136"/>
      <c r="PHH51" s="136"/>
      <c r="PHI51" s="136"/>
      <c r="PHJ51" s="136"/>
      <c r="PHK51" s="136"/>
      <c r="PHL51" s="136"/>
      <c r="PHM51" s="136"/>
      <c r="PHN51" s="136"/>
      <c r="PHO51" s="136"/>
      <c r="PHP51" s="136"/>
      <c r="PHQ51" s="136"/>
      <c r="PHR51" s="136"/>
      <c r="PHS51" s="136"/>
      <c r="PHT51" s="136"/>
      <c r="PHU51" s="136"/>
      <c r="PHV51" s="136"/>
      <c r="PHW51" s="136"/>
      <c r="PHX51" s="136"/>
      <c r="PHY51" s="136"/>
      <c r="PHZ51" s="136"/>
      <c r="PIA51" s="136"/>
      <c r="PIB51" s="136"/>
      <c r="PIC51" s="136"/>
      <c r="PID51" s="136"/>
      <c r="PIE51" s="136"/>
      <c r="PIF51" s="136"/>
      <c r="PIG51" s="136"/>
      <c r="PIH51" s="136"/>
      <c r="PII51" s="136"/>
      <c r="PIJ51" s="136"/>
      <c r="PIK51" s="136"/>
      <c r="PIL51" s="136"/>
      <c r="PIM51" s="136"/>
      <c r="PIN51" s="136"/>
      <c r="PIO51" s="136"/>
      <c r="PIP51" s="136"/>
      <c r="PIQ51" s="136"/>
      <c r="PIR51" s="136"/>
      <c r="PIS51" s="136"/>
      <c r="PIT51" s="136"/>
      <c r="PIU51" s="136"/>
      <c r="PIV51" s="136"/>
      <c r="PIW51" s="136"/>
      <c r="PIX51" s="136"/>
      <c r="PIY51" s="136"/>
      <c r="PIZ51" s="136"/>
      <c r="PJA51" s="136"/>
      <c r="PJB51" s="136"/>
      <c r="PJC51" s="136"/>
      <c r="PJD51" s="136"/>
      <c r="PJE51" s="136"/>
      <c r="PJF51" s="136"/>
      <c r="PJG51" s="136"/>
      <c r="PJH51" s="136"/>
      <c r="PJI51" s="136"/>
      <c r="PJJ51" s="136"/>
      <c r="PJK51" s="136"/>
      <c r="PJL51" s="136"/>
      <c r="PJM51" s="136"/>
      <c r="PJN51" s="136"/>
      <c r="PJO51" s="136"/>
      <c r="PJP51" s="136"/>
      <c r="PJQ51" s="136"/>
      <c r="PJR51" s="136"/>
      <c r="PJS51" s="136"/>
      <c r="PJT51" s="136"/>
      <c r="PJU51" s="136"/>
      <c r="PJV51" s="136"/>
      <c r="PJW51" s="136"/>
      <c r="PJX51" s="136"/>
      <c r="PJY51" s="136"/>
      <c r="PJZ51" s="136"/>
      <c r="PKA51" s="136"/>
      <c r="PKB51" s="136"/>
      <c r="PKC51" s="136"/>
      <c r="PKD51" s="136"/>
      <c r="PKE51" s="136"/>
      <c r="PKF51" s="136"/>
      <c r="PKG51" s="136"/>
      <c r="PKH51" s="136"/>
      <c r="PKI51" s="136"/>
      <c r="PKJ51" s="136"/>
      <c r="PKK51" s="136"/>
      <c r="PKL51" s="136"/>
      <c r="PKM51" s="136"/>
      <c r="PKN51" s="136"/>
      <c r="PKO51" s="136"/>
      <c r="PKP51" s="136"/>
      <c r="PKQ51" s="136"/>
      <c r="PKR51" s="136"/>
      <c r="PKS51" s="136"/>
      <c r="PKT51" s="136"/>
      <c r="PKU51" s="136"/>
      <c r="PKV51" s="136"/>
      <c r="PKW51" s="136"/>
      <c r="PKX51" s="136"/>
      <c r="PKY51" s="136"/>
      <c r="PKZ51" s="136"/>
      <c r="PLA51" s="136"/>
      <c r="PLB51" s="136"/>
      <c r="PLC51" s="136"/>
      <c r="PLD51" s="136"/>
      <c r="PLE51" s="136"/>
      <c r="PLF51" s="136"/>
      <c r="PLG51" s="136"/>
      <c r="PLH51" s="136"/>
      <c r="PLI51" s="136"/>
      <c r="PLJ51" s="136"/>
      <c r="PLK51" s="136"/>
      <c r="PLL51" s="136"/>
      <c r="PLM51" s="136"/>
      <c r="PLN51" s="136"/>
      <c r="PLO51" s="136"/>
      <c r="PLP51" s="136"/>
      <c r="PLQ51" s="136"/>
      <c r="PLR51" s="136"/>
      <c r="PLS51" s="136"/>
      <c r="PLT51" s="136"/>
      <c r="PLU51" s="136"/>
      <c r="PLV51" s="136"/>
      <c r="PLW51" s="136"/>
      <c r="PLX51" s="136"/>
      <c r="PLY51" s="136"/>
      <c r="PLZ51" s="136"/>
      <c r="PMA51" s="136"/>
      <c r="PMB51" s="136"/>
      <c r="PMC51" s="136"/>
      <c r="PMD51" s="136"/>
      <c r="PME51" s="136"/>
      <c r="PMF51" s="136"/>
      <c r="PMG51" s="136"/>
      <c r="PMH51" s="136"/>
      <c r="PMI51" s="136"/>
      <c r="PMJ51" s="136"/>
      <c r="PMK51" s="136"/>
      <c r="PML51" s="136"/>
      <c r="PMM51" s="136"/>
      <c r="PMN51" s="136"/>
      <c r="PMO51" s="136"/>
      <c r="PMP51" s="136"/>
      <c r="PMQ51" s="136"/>
      <c r="PMR51" s="136"/>
      <c r="PMS51" s="136"/>
      <c r="PMT51" s="136"/>
      <c r="PMU51" s="136"/>
      <c r="PMV51" s="136"/>
      <c r="PMW51" s="136"/>
      <c r="PMX51" s="136"/>
      <c r="PMY51" s="136"/>
      <c r="PMZ51" s="136"/>
      <c r="PNA51" s="136"/>
      <c r="PNB51" s="136"/>
      <c r="PNC51" s="136"/>
      <c r="PND51" s="136"/>
      <c r="PNE51" s="136"/>
      <c r="PNF51" s="136"/>
      <c r="PNG51" s="136"/>
      <c r="PNH51" s="136"/>
      <c r="PNI51" s="136"/>
      <c r="PNJ51" s="136"/>
      <c r="PNK51" s="136"/>
      <c r="PNL51" s="136"/>
      <c r="PNM51" s="136"/>
      <c r="PNN51" s="136"/>
      <c r="PNO51" s="136"/>
      <c r="PNP51" s="136"/>
      <c r="PNQ51" s="136"/>
      <c r="PNR51" s="136"/>
      <c r="PNS51" s="136"/>
      <c r="PNT51" s="136"/>
      <c r="PNU51" s="136"/>
      <c r="PNV51" s="136"/>
      <c r="PNW51" s="136"/>
      <c r="PNX51" s="136"/>
      <c r="PNY51" s="136"/>
      <c r="PNZ51" s="136"/>
      <c r="POA51" s="136"/>
      <c r="POB51" s="136"/>
      <c r="POC51" s="136"/>
      <c r="POD51" s="136"/>
      <c r="POE51" s="136"/>
      <c r="POF51" s="136"/>
      <c r="POG51" s="136"/>
      <c r="POH51" s="136"/>
      <c r="POI51" s="136"/>
      <c r="POJ51" s="136"/>
      <c r="POK51" s="136"/>
      <c r="POL51" s="136"/>
      <c r="POM51" s="136"/>
      <c r="PON51" s="136"/>
      <c r="POO51" s="136"/>
      <c r="POP51" s="136"/>
      <c r="POQ51" s="136"/>
      <c r="POR51" s="136"/>
      <c r="POS51" s="136"/>
      <c r="POT51" s="136"/>
      <c r="POU51" s="136"/>
      <c r="POV51" s="136"/>
      <c r="POW51" s="136"/>
      <c r="POX51" s="136"/>
      <c r="POY51" s="136"/>
      <c r="POZ51" s="136"/>
      <c r="PPA51" s="136"/>
      <c r="PPB51" s="136"/>
      <c r="PPC51" s="136"/>
      <c r="PPD51" s="136"/>
      <c r="PPE51" s="136"/>
      <c r="PPF51" s="136"/>
      <c r="PPG51" s="136"/>
      <c r="PPH51" s="136"/>
      <c r="PPI51" s="136"/>
      <c r="PPJ51" s="136"/>
      <c r="PPK51" s="136"/>
      <c r="PPL51" s="136"/>
      <c r="PPM51" s="136"/>
      <c r="PPN51" s="136"/>
      <c r="PPO51" s="136"/>
      <c r="PPP51" s="136"/>
      <c r="PPQ51" s="136"/>
      <c r="PPR51" s="136"/>
      <c r="PPS51" s="136"/>
      <c r="PPT51" s="136"/>
      <c r="PPU51" s="136"/>
      <c r="PPV51" s="136"/>
      <c r="PPW51" s="136"/>
      <c r="PPX51" s="136"/>
      <c r="PPY51" s="136"/>
      <c r="PPZ51" s="136"/>
      <c r="PQA51" s="136"/>
      <c r="PQB51" s="136"/>
      <c r="PQC51" s="136"/>
      <c r="PQD51" s="136"/>
      <c r="PQE51" s="136"/>
      <c r="PQF51" s="136"/>
      <c r="PQG51" s="136"/>
      <c r="PQH51" s="136"/>
      <c r="PQI51" s="136"/>
      <c r="PQJ51" s="136"/>
      <c r="PQK51" s="136"/>
      <c r="PQL51" s="136"/>
      <c r="PQM51" s="136"/>
      <c r="PQN51" s="136"/>
      <c r="PQO51" s="136"/>
      <c r="PQP51" s="136"/>
      <c r="PQQ51" s="136"/>
      <c r="PQR51" s="136"/>
      <c r="PQS51" s="136"/>
      <c r="PQT51" s="136"/>
      <c r="PQU51" s="136"/>
      <c r="PQV51" s="136"/>
      <c r="PQW51" s="136"/>
      <c r="PQX51" s="136"/>
      <c r="PQY51" s="136"/>
      <c r="PQZ51" s="136"/>
      <c r="PRA51" s="136"/>
      <c r="PRB51" s="136"/>
      <c r="PRC51" s="136"/>
      <c r="PRD51" s="136"/>
      <c r="PRE51" s="136"/>
      <c r="PRF51" s="136"/>
      <c r="PRG51" s="136"/>
      <c r="PRH51" s="136"/>
      <c r="PRI51" s="136"/>
      <c r="PRJ51" s="136"/>
      <c r="PRK51" s="136"/>
      <c r="PRL51" s="136"/>
      <c r="PRM51" s="136"/>
      <c r="PRN51" s="136"/>
      <c r="PRO51" s="136"/>
      <c r="PRP51" s="136"/>
      <c r="PRQ51" s="136"/>
      <c r="PRR51" s="136"/>
      <c r="PRS51" s="136"/>
      <c r="PRT51" s="136"/>
      <c r="PRU51" s="136"/>
      <c r="PRV51" s="136"/>
      <c r="PRW51" s="136"/>
      <c r="PRX51" s="136"/>
      <c r="PRY51" s="136"/>
      <c r="PRZ51" s="136"/>
      <c r="PSA51" s="136"/>
      <c r="PSB51" s="136"/>
      <c r="PSC51" s="136"/>
      <c r="PSD51" s="136"/>
      <c r="PSE51" s="136"/>
      <c r="PSF51" s="136"/>
      <c r="PSG51" s="136"/>
      <c r="PSH51" s="136"/>
      <c r="PSI51" s="136"/>
      <c r="PSJ51" s="136"/>
      <c r="PSK51" s="136"/>
      <c r="PSL51" s="136"/>
      <c r="PSM51" s="136"/>
      <c r="PSN51" s="136"/>
      <c r="PSO51" s="136"/>
      <c r="PSP51" s="136"/>
      <c r="PSQ51" s="136"/>
      <c r="PSR51" s="136"/>
      <c r="PSS51" s="136"/>
      <c r="PST51" s="136"/>
      <c r="PSU51" s="136"/>
      <c r="PSV51" s="136"/>
      <c r="PSW51" s="136"/>
      <c r="PSX51" s="136"/>
      <c r="PSY51" s="136"/>
      <c r="PSZ51" s="136"/>
      <c r="PTA51" s="136"/>
      <c r="PTB51" s="136"/>
      <c r="PTC51" s="136"/>
      <c r="PTD51" s="136"/>
      <c r="PTE51" s="136"/>
      <c r="PTF51" s="136"/>
      <c r="PTG51" s="136"/>
      <c r="PTH51" s="136"/>
      <c r="PTI51" s="136"/>
      <c r="PTJ51" s="136"/>
      <c r="PTK51" s="136"/>
      <c r="PTL51" s="136"/>
      <c r="PTM51" s="136"/>
      <c r="PTN51" s="136"/>
      <c r="PTO51" s="136"/>
      <c r="PTP51" s="136"/>
      <c r="PTQ51" s="136"/>
      <c r="PTR51" s="136"/>
      <c r="PTS51" s="136"/>
      <c r="PTT51" s="136"/>
      <c r="PTU51" s="136"/>
      <c r="PTV51" s="136"/>
      <c r="PTW51" s="136"/>
      <c r="PTX51" s="136"/>
      <c r="PTY51" s="136"/>
      <c r="PTZ51" s="136"/>
      <c r="PUA51" s="136"/>
      <c r="PUB51" s="136"/>
      <c r="PUC51" s="136"/>
      <c r="PUD51" s="136"/>
      <c r="PUE51" s="136"/>
      <c r="PUF51" s="136"/>
      <c r="PUG51" s="136"/>
      <c r="PUH51" s="136"/>
      <c r="PUI51" s="136"/>
      <c r="PUJ51" s="136"/>
      <c r="PUK51" s="136"/>
      <c r="PUL51" s="136"/>
      <c r="PUM51" s="136"/>
      <c r="PUN51" s="136"/>
      <c r="PUO51" s="136"/>
      <c r="PUP51" s="136"/>
      <c r="PUQ51" s="136"/>
      <c r="PUR51" s="136"/>
      <c r="PUS51" s="136"/>
      <c r="PUT51" s="136"/>
      <c r="PUU51" s="136"/>
      <c r="PUV51" s="136"/>
      <c r="PUW51" s="136"/>
      <c r="PUX51" s="136"/>
      <c r="PUY51" s="136"/>
      <c r="PUZ51" s="136"/>
      <c r="PVA51" s="136"/>
      <c r="PVB51" s="136"/>
      <c r="PVC51" s="136"/>
      <c r="PVD51" s="136"/>
      <c r="PVE51" s="136"/>
      <c r="PVF51" s="136"/>
      <c r="PVG51" s="136"/>
      <c r="PVH51" s="136"/>
      <c r="PVI51" s="136"/>
      <c r="PVJ51" s="136"/>
      <c r="PVK51" s="136"/>
      <c r="PVL51" s="136"/>
      <c r="PVM51" s="136"/>
      <c r="PVN51" s="136"/>
      <c r="PVO51" s="136"/>
      <c r="PVP51" s="136"/>
      <c r="PVQ51" s="136"/>
      <c r="PVR51" s="136"/>
      <c r="PVS51" s="136"/>
      <c r="PVT51" s="136"/>
      <c r="PVU51" s="136"/>
      <c r="PVV51" s="136"/>
      <c r="PVW51" s="136"/>
      <c r="PVX51" s="136"/>
      <c r="PVY51" s="136"/>
      <c r="PVZ51" s="136"/>
      <c r="PWA51" s="136"/>
      <c r="PWB51" s="136"/>
      <c r="PWC51" s="136"/>
      <c r="PWD51" s="136"/>
      <c r="PWE51" s="136"/>
      <c r="PWF51" s="136"/>
      <c r="PWG51" s="136"/>
      <c r="PWH51" s="136"/>
      <c r="PWI51" s="136"/>
      <c r="PWJ51" s="136"/>
      <c r="PWK51" s="136"/>
      <c r="PWL51" s="136"/>
      <c r="PWM51" s="136"/>
      <c r="PWN51" s="136"/>
      <c r="PWO51" s="136"/>
      <c r="PWP51" s="136"/>
      <c r="PWQ51" s="136"/>
      <c r="PWR51" s="136"/>
      <c r="PWS51" s="136"/>
      <c r="PWT51" s="136"/>
      <c r="PWU51" s="136"/>
      <c r="PWV51" s="136"/>
      <c r="PWW51" s="136"/>
      <c r="PWX51" s="136"/>
      <c r="PWY51" s="136"/>
      <c r="PWZ51" s="136"/>
      <c r="PXA51" s="136"/>
      <c r="PXB51" s="136"/>
      <c r="PXC51" s="136"/>
      <c r="PXD51" s="136"/>
      <c r="PXE51" s="136"/>
      <c r="PXF51" s="136"/>
      <c r="PXG51" s="136"/>
      <c r="PXH51" s="136"/>
      <c r="PXI51" s="136"/>
      <c r="PXJ51" s="136"/>
      <c r="PXK51" s="136"/>
      <c r="PXL51" s="136"/>
      <c r="PXM51" s="136"/>
      <c r="PXN51" s="136"/>
      <c r="PXO51" s="136"/>
      <c r="PXP51" s="136"/>
      <c r="PXQ51" s="136"/>
      <c r="PXR51" s="136"/>
      <c r="PXS51" s="136"/>
      <c r="PXT51" s="136"/>
      <c r="PXU51" s="136"/>
      <c r="PXV51" s="136"/>
      <c r="PXW51" s="136"/>
      <c r="PXX51" s="136"/>
      <c r="PXY51" s="136"/>
      <c r="PXZ51" s="136"/>
      <c r="PYA51" s="136"/>
      <c r="PYB51" s="136"/>
      <c r="PYC51" s="136"/>
      <c r="PYD51" s="136"/>
      <c r="PYE51" s="136"/>
      <c r="PYF51" s="136"/>
      <c r="PYG51" s="136"/>
      <c r="PYH51" s="136"/>
      <c r="PYI51" s="136"/>
      <c r="PYJ51" s="136"/>
      <c r="PYK51" s="136"/>
      <c r="PYL51" s="136"/>
      <c r="PYM51" s="136"/>
      <c r="PYN51" s="136"/>
      <c r="PYO51" s="136"/>
      <c r="PYP51" s="136"/>
      <c r="PYQ51" s="136"/>
      <c r="PYR51" s="136"/>
      <c r="PYS51" s="136"/>
      <c r="PYT51" s="136"/>
      <c r="PYU51" s="136"/>
      <c r="PYV51" s="136"/>
      <c r="PYW51" s="136"/>
      <c r="PYX51" s="136"/>
      <c r="PYY51" s="136"/>
      <c r="PYZ51" s="136"/>
      <c r="PZA51" s="136"/>
      <c r="PZB51" s="136"/>
      <c r="PZC51" s="136"/>
      <c r="PZD51" s="136"/>
      <c r="PZE51" s="136"/>
      <c r="PZF51" s="136"/>
      <c r="PZG51" s="136"/>
      <c r="PZH51" s="136"/>
      <c r="PZI51" s="136"/>
      <c r="PZJ51" s="136"/>
      <c r="PZK51" s="136"/>
      <c r="PZL51" s="136"/>
      <c r="PZM51" s="136"/>
      <c r="PZN51" s="136"/>
      <c r="PZO51" s="136"/>
      <c r="PZP51" s="136"/>
      <c r="PZQ51" s="136"/>
      <c r="PZR51" s="136"/>
      <c r="PZS51" s="136"/>
      <c r="PZT51" s="136"/>
      <c r="PZU51" s="136"/>
      <c r="PZV51" s="136"/>
      <c r="PZW51" s="136"/>
      <c r="PZX51" s="136"/>
      <c r="PZY51" s="136"/>
      <c r="PZZ51" s="136"/>
      <c r="QAA51" s="136"/>
      <c r="QAB51" s="136"/>
      <c r="QAC51" s="136"/>
      <c r="QAD51" s="136"/>
      <c r="QAE51" s="136"/>
      <c r="QAF51" s="136"/>
      <c r="QAG51" s="136"/>
      <c r="QAH51" s="136"/>
      <c r="QAI51" s="136"/>
      <c r="QAJ51" s="136"/>
      <c r="QAK51" s="136"/>
      <c r="QAL51" s="136"/>
      <c r="QAM51" s="136"/>
      <c r="QAN51" s="136"/>
      <c r="QAO51" s="136"/>
      <c r="QAP51" s="136"/>
      <c r="QAQ51" s="136"/>
      <c r="QAR51" s="136"/>
      <c r="QAS51" s="136"/>
      <c r="QAT51" s="136"/>
      <c r="QAU51" s="136"/>
      <c r="QAV51" s="136"/>
      <c r="QAW51" s="136"/>
      <c r="QAX51" s="136"/>
      <c r="QAY51" s="136"/>
      <c r="QAZ51" s="136"/>
      <c r="QBA51" s="136"/>
      <c r="QBB51" s="136"/>
      <c r="QBC51" s="136"/>
      <c r="QBD51" s="136"/>
      <c r="QBE51" s="136"/>
      <c r="QBF51" s="136"/>
      <c r="QBG51" s="136"/>
      <c r="QBH51" s="136"/>
      <c r="QBI51" s="136"/>
      <c r="QBJ51" s="136"/>
      <c r="QBK51" s="136"/>
      <c r="QBL51" s="136"/>
      <c r="QBM51" s="136"/>
      <c r="QBN51" s="136"/>
      <c r="QBO51" s="136"/>
      <c r="QBP51" s="136"/>
      <c r="QBQ51" s="136"/>
      <c r="QBR51" s="136"/>
      <c r="QBS51" s="136"/>
      <c r="QBT51" s="136"/>
      <c r="QBU51" s="136"/>
      <c r="QBV51" s="136"/>
      <c r="QBW51" s="136"/>
      <c r="QBX51" s="136"/>
      <c r="QBY51" s="136"/>
      <c r="QBZ51" s="136"/>
      <c r="QCA51" s="136"/>
      <c r="QCB51" s="136"/>
      <c r="QCC51" s="136"/>
      <c r="QCD51" s="136"/>
      <c r="QCE51" s="136"/>
      <c r="QCF51" s="136"/>
      <c r="QCG51" s="136"/>
      <c r="QCH51" s="136"/>
      <c r="QCI51" s="136"/>
      <c r="QCJ51" s="136"/>
      <c r="QCK51" s="136"/>
      <c r="QCL51" s="136"/>
      <c r="QCM51" s="136"/>
      <c r="QCN51" s="136"/>
      <c r="QCO51" s="136"/>
      <c r="QCP51" s="136"/>
      <c r="QCQ51" s="136"/>
      <c r="QCR51" s="136"/>
      <c r="QCS51" s="136"/>
      <c r="QCT51" s="136"/>
      <c r="QCU51" s="136"/>
      <c r="QCV51" s="136"/>
      <c r="QCW51" s="136"/>
      <c r="QCX51" s="136"/>
      <c r="QCY51" s="136"/>
      <c r="QCZ51" s="136"/>
      <c r="QDA51" s="136"/>
      <c r="QDB51" s="136"/>
      <c r="QDC51" s="136"/>
      <c r="QDD51" s="136"/>
      <c r="QDE51" s="136"/>
      <c r="QDF51" s="136"/>
      <c r="QDG51" s="136"/>
      <c r="QDH51" s="136"/>
      <c r="QDI51" s="136"/>
      <c r="QDJ51" s="136"/>
      <c r="QDK51" s="136"/>
      <c r="QDL51" s="136"/>
      <c r="QDM51" s="136"/>
      <c r="QDN51" s="136"/>
      <c r="QDO51" s="136"/>
      <c r="QDP51" s="136"/>
      <c r="QDQ51" s="136"/>
      <c r="QDR51" s="136"/>
      <c r="QDS51" s="136"/>
      <c r="QDT51" s="136"/>
      <c r="QDU51" s="136"/>
      <c r="QDV51" s="136"/>
      <c r="QDW51" s="136"/>
      <c r="QDX51" s="136"/>
      <c r="QDY51" s="136"/>
      <c r="QDZ51" s="136"/>
      <c r="QEA51" s="136"/>
      <c r="QEB51" s="136"/>
      <c r="QEC51" s="136"/>
      <c r="QED51" s="136"/>
      <c r="QEE51" s="136"/>
      <c r="QEF51" s="136"/>
      <c r="QEG51" s="136"/>
      <c r="QEH51" s="136"/>
      <c r="QEI51" s="136"/>
      <c r="QEJ51" s="136"/>
      <c r="QEK51" s="136"/>
      <c r="QEL51" s="136"/>
      <c r="QEM51" s="136"/>
      <c r="QEN51" s="136"/>
      <c r="QEO51" s="136"/>
      <c r="QEP51" s="136"/>
      <c r="QEQ51" s="136"/>
      <c r="QER51" s="136"/>
      <c r="QES51" s="136"/>
      <c r="QET51" s="136"/>
      <c r="QEU51" s="136"/>
      <c r="QEV51" s="136"/>
      <c r="QEW51" s="136"/>
      <c r="QEX51" s="136"/>
      <c r="QEY51" s="136"/>
      <c r="QEZ51" s="136"/>
      <c r="QFA51" s="136"/>
      <c r="QFB51" s="136"/>
      <c r="QFC51" s="136"/>
      <c r="QFD51" s="136"/>
      <c r="QFE51" s="136"/>
      <c r="QFF51" s="136"/>
      <c r="QFG51" s="136"/>
      <c r="QFH51" s="136"/>
      <c r="QFI51" s="136"/>
      <c r="QFJ51" s="136"/>
      <c r="QFK51" s="136"/>
      <c r="QFL51" s="136"/>
      <c r="QFM51" s="136"/>
      <c r="QFN51" s="136"/>
      <c r="QFO51" s="136"/>
      <c r="QFP51" s="136"/>
      <c r="QFQ51" s="136"/>
      <c r="QFR51" s="136"/>
      <c r="QFS51" s="136"/>
      <c r="QFT51" s="136"/>
      <c r="QFU51" s="136"/>
      <c r="QFV51" s="136"/>
      <c r="QFW51" s="136"/>
      <c r="QFX51" s="136"/>
      <c r="QFY51" s="136"/>
      <c r="QFZ51" s="136"/>
      <c r="QGA51" s="136"/>
      <c r="QGB51" s="136"/>
      <c r="QGC51" s="136"/>
      <c r="QGD51" s="136"/>
      <c r="QGE51" s="136"/>
      <c r="QGF51" s="136"/>
      <c r="QGG51" s="136"/>
      <c r="QGH51" s="136"/>
      <c r="QGI51" s="136"/>
      <c r="QGJ51" s="136"/>
      <c r="QGK51" s="136"/>
      <c r="QGL51" s="136"/>
      <c r="QGM51" s="136"/>
      <c r="QGN51" s="136"/>
      <c r="QGO51" s="136"/>
      <c r="QGP51" s="136"/>
      <c r="QGQ51" s="136"/>
      <c r="QGR51" s="136"/>
      <c r="QGS51" s="136"/>
      <c r="QGT51" s="136"/>
      <c r="QGU51" s="136"/>
      <c r="QGV51" s="136"/>
      <c r="QGW51" s="136"/>
      <c r="QGX51" s="136"/>
      <c r="QGY51" s="136"/>
      <c r="QGZ51" s="136"/>
      <c r="QHA51" s="136"/>
      <c r="QHB51" s="136"/>
      <c r="QHC51" s="136"/>
      <c r="QHD51" s="136"/>
      <c r="QHE51" s="136"/>
      <c r="QHF51" s="136"/>
      <c r="QHG51" s="136"/>
      <c r="QHH51" s="136"/>
      <c r="QHI51" s="136"/>
      <c r="QHJ51" s="136"/>
      <c r="QHK51" s="136"/>
      <c r="QHL51" s="136"/>
      <c r="QHM51" s="136"/>
      <c r="QHN51" s="136"/>
      <c r="QHO51" s="136"/>
      <c r="QHP51" s="136"/>
      <c r="QHQ51" s="136"/>
      <c r="QHR51" s="136"/>
      <c r="QHS51" s="136"/>
      <c r="QHT51" s="136"/>
      <c r="QHU51" s="136"/>
      <c r="QHV51" s="136"/>
      <c r="QHW51" s="136"/>
      <c r="QHX51" s="136"/>
      <c r="QHY51" s="136"/>
      <c r="QHZ51" s="136"/>
      <c r="QIA51" s="136"/>
      <c r="QIB51" s="136"/>
      <c r="QIC51" s="136"/>
      <c r="QID51" s="136"/>
      <c r="QIE51" s="136"/>
      <c r="QIF51" s="136"/>
      <c r="QIG51" s="136"/>
      <c r="QIH51" s="136"/>
      <c r="QII51" s="136"/>
      <c r="QIJ51" s="136"/>
      <c r="QIK51" s="136"/>
      <c r="QIL51" s="136"/>
      <c r="QIM51" s="136"/>
      <c r="QIN51" s="136"/>
      <c r="QIO51" s="136"/>
      <c r="QIP51" s="136"/>
      <c r="QIQ51" s="136"/>
      <c r="QIR51" s="136"/>
      <c r="QIS51" s="136"/>
      <c r="QIT51" s="136"/>
      <c r="QIU51" s="136"/>
      <c r="QIV51" s="136"/>
      <c r="QIW51" s="136"/>
      <c r="QIX51" s="136"/>
      <c r="QIY51" s="136"/>
      <c r="QIZ51" s="136"/>
      <c r="QJA51" s="136"/>
      <c r="QJB51" s="136"/>
      <c r="QJC51" s="136"/>
      <c r="QJD51" s="136"/>
      <c r="QJE51" s="136"/>
      <c r="QJF51" s="136"/>
      <c r="QJG51" s="136"/>
      <c r="QJH51" s="136"/>
      <c r="QJI51" s="136"/>
      <c r="QJJ51" s="136"/>
      <c r="QJK51" s="136"/>
      <c r="QJL51" s="136"/>
      <c r="QJM51" s="136"/>
      <c r="QJN51" s="136"/>
      <c r="QJO51" s="136"/>
      <c r="QJP51" s="136"/>
      <c r="QJQ51" s="136"/>
      <c r="QJR51" s="136"/>
      <c r="QJS51" s="136"/>
      <c r="QJT51" s="136"/>
      <c r="QJU51" s="136"/>
      <c r="QJV51" s="136"/>
      <c r="QJW51" s="136"/>
      <c r="QJX51" s="136"/>
      <c r="QJY51" s="136"/>
      <c r="QJZ51" s="136"/>
      <c r="QKA51" s="136"/>
      <c r="QKB51" s="136"/>
      <c r="QKC51" s="136"/>
      <c r="QKD51" s="136"/>
      <c r="QKE51" s="136"/>
      <c r="QKF51" s="136"/>
      <c r="QKG51" s="136"/>
      <c r="QKH51" s="136"/>
      <c r="QKI51" s="136"/>
      <c r="QKJ51" s="136"/>
      <c r="QKK51" s="136"/>
      <c r="QKL51" s="136"/>
      <c r="QKM51" s="136"/>
      <c r="QKN51" s="136"/>
      <c r="QKO51" s="136"/>
      <c r="QKP51" s="136"/>
      <c r="QKQ51" s="136"/>
      <c r="QKR51" s="136"/>
      <c r="QKS51" s="136"/>
      <c r="QKT51" s="136"/>
      <c r="QKU51" s="136"/>
      <c r="QKV51" s="136"/>
      <c r="QKW51" s="136"/>
      <c r="QKX51" s="136"/>
      <c r="QKY51" s="136"/>
      <c r="QKZ51" s="136"/>
      <c r="QLA51" s="136"/>
      <c r="QLB51" s="136"/>
      <c r="QLC51" s="136"/>
      <c r="QLD51" s="136"/>
      <c r="QLE51" s="136"/>
      <c r="QLF51" s="136"/>
      <c r="QLG51" s="136"/>
      <c r="QLH51" s="136"/>
      <c r="QLI51" s="136"/>
      <c r="QLJ51" s="136"/>
      <c r="QLK51" s="136"/>
      <c r="QLL51" s="136"/>
      <c r="QLM51" s="136"/>
      <c r="QLN51" s="136"/>
      <c r="QLO51" s="136"/>
      <c r="QLP51" s="136"/>
      <c r="QLQ51" s="136"/>
      <c r="QLR51" s="136"/>
      <c r="QLS51" s="136"/>
      <c r="QLT51" s="136"/>
      <c r="QLU51" s="136"/>
      <c r="QLV51" s="136"/>
      <c r="QLW51" s="136"/>
      <c r="QLX51" s="136"/>
      <c r="QLY51" s="136"/>
      <c r="QLZ51" s="136"/>
      <c r="QMA51" s="136"/>
      <c r="QMB51" s="136"/>
      <c r="QMC51" s="136"/>
      <c r="QMD51" s="136"/>
      <c r="QME51" s="136"/>
      <c r="QMF51" s="136"/>
      <c r="QMG51" s="136"/>
      <c r="QMH51" s="136"/>
      <c r="QMI51" s="136"/>
      <c r="QMJ51" s="136"/>
      <c r="QMK51" s="136"/>
      <c r="QML51" s="136"/>
      <c r="QMM51" s="136"/>
      <c r="QMN51" s="136"/>
      <c r="QMO51" s="136"/>
      <c r="QMP51" s="136"/>
      <c r="QMQ51" s="136"/>
      <c r="QMR51" s="136"/>
      <c r="QMS51" s="136"/>
      <c r="QMT51" s="136"/>
      <c r="QMU51" s="136"/>
      <c r="QMV51" s="136"/>
      <c r="QMW51" s="136"/>
      <c r="QMX51" s="136"/>
      <c r="QMY51" s="136"/>
      <c r="QMZ51" s="136"/>
      <c r="QNA51" s="136"/>
      <c r="QNB51" s="136"/>
      <c r="QNC51" s="136"/>
      <c r="QND51" s="136"/>
      <c r="QNE51" s="136"/>
      <c r="QNF51" s="136"/>
      <c r="QNG51" s="136"/>
      <c r="QNH51" s="136"/>
      <c r="QNI51" s="136"/>
      <c r="QNJ51" s="136"/>
      <c r="QNK51" s="136"/>
      <c r="QNL51" s="136"/>
      <c r="QNM51" s="136"/>
      <c r="QNN51" s="136"/>
      <c r="QNO51" s="136"/>
      <c r="QNP51" s="136"/>
      <c r="QNQ51" s="136"/>
      <c r="QNR51" s="136"/>
      <c r="QNS51" s="136"/>
      <c r="QNT51" s="136"/>
      <c r="QNU51" s="136"/>
      <c r="QNV51" s="136"/>
      <c r="QNW51" s="136"/>
      <c r="QNX51" s="136"/>
      <c r="QNY51" s="136"/>
      <c r="QNZ51" s="136"/>
      <c r="QOA51" s="136"/>
      <c r="QOB51" s="136"/>
      <c r="QOC51" s="136"/>
      <c r="QOD51" s="136"/>
      <c r="QOE51" s="136"/>
      <c r="QOF51" s="136"/>
      <c r="QOG51" s="136"/>
      <c r="QOH51" s="136"/>
      <c r="QOI51" s="136"/>
      <c r="QOJ51" s="136"/>
      <c r="QOK51" s="136"/>
      <c r="QOL51" s="136"/>
      <c r="QOM51" s="136"/>
      <c r="QON51" s="136"/>
      <c r="QOO51" s="136"/>
      <c r="QOP51" s="136"/>
      <c r="QOQ51" s="136"/>
      <c r="QOR51" s="136"/>
      <c r="QOS51" s="136"/>
      <c r="QOT51" s="136"/>
      <c r="QOU51" s="136"/>
      <c r="QOV51" s="136"/>
      <c r="QOW51" s="136"/>
      <c r="QOX51" s="136"/>
      <c r="QOY51" s="136"/>
      <c r="QOZ51" s="136"/>
      <c r="QPA51" s="136"/>
      <c r="QPB51" s="136"/>
      <c r="QPC51" s="136"/>
      <c r="QPD51" s="136"/>
      <c r="QPE51" s="136"/>
      <c r="QPF51" s="136"/>
      <c r="QPG51" s="136"/>
      <c r="QPH51" s="136"/>
      <c r="QPI51" s="136"/>
      <c r="QPJ51" s="136"/>
      <c r="QPK51" s="136"/>
      <c r="QPL51" s="136"/>
      <c r="QPM51" s="136"/>
      <c r="QPN51" s="136"/>
      <c r="QPO51" s="136"/>
      <c r="QPP51" s="136"/>
      <c r="QPQ51" s="136"/>
      <c r="QPR51" s="136"/>
      <c r="QPS51" s="136"/>
      <c r="QPT51" s="136"/>
      <c r="QPU51" s="136"/>
      <c r="QPV51" s="136"/>
      <c r="QPW51" s="136"/>
      <c r="QPX51" s="136"/>
      <c r="QPY51" s="136"/>
      <c r="QPZ51" s="136"/>
      <c r="QQA51" s="136"/>
      <c r="QQB51" s="136"/>
      <c r="QQC51" s="136"/>
      <c r="QQD51" s="136"/>
      <c r="QQE51" s="136"/>
      <c r="QQF51" s="136"/>
      <c r="QQG51" s="136"/>
      <c r="QQH51" s="136"/>
      <c r="QQI51" s="136"/>
      <c r="QQJ51" s="136"/>
      <c r="QQK51" s="136"/>
      <c r="QQL51" s="136"/>
      <c r="QQM51" s="136"/>
      <c r="QQN51" s="136"/>
      <c r="QQO51" s="136"/>
      <c r="QQP51" s="136"/>
      <c r="QQQ51" s="136"/>
      <c r="QQR51" s="136"/>
      <c r="QQS51" s="136"/>
      <c r="QQT51" s="136"/>
      <c r="QQU51" s="136"/>
      <c r="QQV51" s="136"/>
      <c r="QQW51" s="136"/>
      <c r="QQX51" s="136"/>
      <c r="QQY51" s="136"/>
      <c r="QQZ51" s="136"/>
      <c r="QRA51" s="136"/>
      <c r="QRB51" s="136"/>
      <c r="QRC51" s="136"/>
      <c r="QRD51" s="136"/>
      <c r="QRE51" s="136"/>
      <c r="QRF51" s="136"/>
      <c r="QRG51" s="136"/>
      <c r="QRH51" s="136"/>
      <c r="QRI51" s="136"/>
      <c r="QRJ51" s="136"/>
      <c r="QRK51" s="136"/>
      <c r="QRL51" s="136"/>
      <c r="QRM51" s="136"/>
      <c r="QRN51" s="136"/>
      <c r="QRO51" s="136"/>
      <c r="QRP51" s="136"/>
      <c r="QRQ51" s="136"/>
      <c r="QRR51" s="136"/>
      <c r="QRS51" s="136"/>
      <c r="QRT51" s="136"/>
      <c r="QRU51" s="136"/>
      <c r="QRV51" s="136"/>
      <c r="QRW51" s="136"/>
      <c r="QRX51" s="136"/>
      <c r="QRY51" s="136"/>
      <c r="QRZ51" s="136"/>
      <c r="QSA51" s="136"/>
      <c r="QSB51" s="136"/>
      <c r="QSC51" s="136"/>
      <c r="QSD51" s="136"/>
      <c r="QSE51" s="136"/>
      <c r="QSF51" s="136"/>
      <c r="QSG51" s="136"/>
      <c r="QSH51" s="136"/>
      <c r="QSI51" s="136"/>
      <c r="QSJ51" s="136"/>
      <c r="QSK51" s="136"/>
      <c r="QSL51" s="136"/>
      <c r="QSM51" s="136"/>
      <c r="QSN51" s="136"/>
      <c r="QSO51" s="136"/>
      <c r="QSP51" s="136"/>
      <c r="QSQ51" s="136"/>
      <c r="QSR51" s="136"/>
      <c r="QSS51" s="136"/>
      <c r="QST51" s="136"/>
      <c r="QSU51" s="136"/>
      <c r="QSV51" s="136"/>
      <c r="QSW51" s="136"/>
      <c r="QSX51" s="136"/>
      <c r="QSY51" s="136"/>
      <c r="QSZ51" s="136"/>
      <c r="QTA51" s="136"/>
      <c r="QTB51" s="136"/>
      <c r="QTC51" s="136"/>
      <c r="QTD51" s="136"/>
      <c r="QTE51" s="136"/>
      <c r="QTF51" s="136"/>
      <c r="QTG51" s="136"/>
      <c r="QTH51" s="136"/>
      <c r="QTI51" s="136"/>
      <c r="QTJ51" s="136"/>
      <c r="QTK51" s="136"/>
      <c r="QTL51" s="136"/>
      <c r="QTM51" s="136"/>
      <c r="QTN51" s="136"/>
      <c r="QTO51" s="136"/>
      <c r="QTP51" s="136"/>
      <c r="QTQ51" s="136"/>
      <c r="QTR51" s="136"/>
      <c r="QTS51" s="136"/>
      <c r="QTT51" s="136"/>
      <c r="QTU51" s="136"/>
      <c r="QTV51" s="136"/>
      <c r="QTW51" s="136"/>
      <c r="QTX51" s="136"/>
      <c r="QTY51" s="136"/>
      <c r="QTZ51" s="136"/>
      <c r="QUA51" s="136"/>
      <c r="QUB51" s="136"/>
      <c r="QUC51" s="136"/>
      <c r="QUD51" s="136"/>
      <c r="QUE51" s="136"/>
      <c r="QUF51" s="136"/>
      <c r="QUG51" s="136"/>
      <c r="QUH51" s="136"/>
      <c r="QUI51" s="136"/>
      <c r="QUJ51" s="136"/>
      <c r="QUK51" s="136"/>
      <c r="QUL51" s="136"/>
      <c r="QUM51" s="136"/>
      <c r="QUN51" s="136"/>
      <c r="QUO51" s="136"/>
      <c r="QUP51" s="136"/>
      <c r="QUQ51" s="136"/>
      <c r="QUR51" s="136"/>
      <c r="QUS51" s="136"/>
      <c r="QUT51" s="136"/>
      <c r="QUU51" s="136"/>
      <c r="QUV51" s="136"/>
      <c r="QUW51" s="136"/>
      <c r="QUX51" s="136"/>
      <c r="QUY51" s="136"/>
      <c r="QUZ51" s="136"/>
      <c r="QVA51" s="136"/>
      <c r="QVB51" s="136"/>
      <c r="QVC51" s="136"/>
      <c r="QVD51" s="136"/>
      <c r="QVE51" s="136"/>
      <c r="QVF51" s="136"/>
      <c r="QVG51" s="136"/>
      <c r="QVH51" s="136"/>
      <c r="QVI51" s="136"/>
      <c r="QVJ51" s="136"/>
      <c r="QVK51" s="136"/>
      <c r="QVL51" s="136"/>
      <c r="QVM51" s="136"/>
      <c r="QVN51" s="136"/>
      <c r="QVO51" s="136"/>
      <c r="QVP51" s="136"/>
      <c r="QVQ51" s="136"/>
      <c r="QVR51" s="136"/>
      <c r="QVS51" s="136"/>
      <c r="QVT51" s="136"/>
      <c r="QVU51" s="136"/>
      <c r="QVV51" s="136"/>
      <c r="QVW51" s="136"/>
      <c r="QVX51" s="136"/>
      <c r="QVY51" s="136"/>
      <c r="QVZ51" s="136"/>
      <c r="QWA51" s="136"/>
      <c r="QWB51" s="136"/>
      <c r="QWC51" s="136"/>
      <c r="QWD51" s="136"/>
      <c r="QWE51" s="136"/>
      <c r="QWF51" s="136"/>
      <c r="QWG51" s="136"/>
      <c r="QWH51" s="136"/>
      <c r="QWI51" s="136"/>
      <c r="QWJ51" s="136"/>
      <c r="QWK51" s="136"/>
      <c r="QWL51" s="136"/>
      <c r="QWM51" s="136"/>
      <c r="QWN51" s="136"/>
      <c r="QWO51" s="136"/>
      <c r="QWP51" s="136"/>
      <c r="QWQ51" s="136"/>
      <c r="QWR51" s="136"/>
      <c r="QWS51" s="136"/>
      <c r="QWT51" s="136"/>
      <c r="QWU51" s="136"/>
      <c r="QWV51" s="136"/>
      <c r="QWW51" s="136"/>
      <c r="QWX51" s="136"/>
      <c r="QWY51" s="136"/>
      <c r="QWZ51" s="136"/>
      <c r="QXA51" s="136"/>
      <c r="QXB51" s="136"/>
      <c r="QXC51" s="136"/>
      <c r="QXD51" s="136"/>
      <c r="QXE51" s="136"/>
      <c r="QXF51" s="136"/>
      <c r="QXG51" s="136"/>
      <c r="QXH51" s="136"/>
      <c r="QXI51" s="136"/>
      <c r="QXJ51" s="136"/>
      <c r="QXK51" s="136"/>
      <c r="QXL51" s="136"/>
      <c r="QXM51" s="136"/>
      <c r="QXN51" s="136"/>
      <c r="QXO51" s="136"/>
      <c r="QXP51" s="136"/>
      <c r="QXQ51" s="136"/>
      <c r="QXR51" s="136"/>
      <c r="QXS51" s="136"/>
      <c r="QXT51" s="136"/>
      <c r="QXU51" s="136"/>
      <c r="QXV51" s="136"/>
      <c r="QXW51" s="136"/>
      <c r="QXX51" s="136"/>
      <c r="QXY51" s="136"/>
      <c r="QXZ51" s="136"/>
      <c r="QYA51" s="136"/>
      <c r="QYB51" s="136"/>
      <c r="QYC51" s="136"/>
      <c r="QYD51" s="136"/>
      <c r="QYE51" s="136"/>
      <c r="QYF51" s="136"/>
      <c r="QYG51" s="136"/>
      <c r="QYH51" s="136"/>
      <c r="QYI51" s="136"/>
      <c r="QYJ51" s="136"/>
      <c r="QYK51" s="136"/>
      <c r="QYL51" s="136"/>
      <c r="QYM51" s="136"/>
      <c r="QYN51" s="136"/>
      <c r="QYO51" s="136"/>
      <c r="QYP51" s="136"/>
      <c r="QYQ51" s="136"/>
      <c r="QYR51" s="136"/>
      <c r="QYS51" s="136"/>
      <c r="QYT51" s="136"/>
      <c r="QYU51" s="136"/>
      <c r="QYV51" s="136"/>
      <c r="QYW51" s="136"/>
      <c r="QYX51" s="136"/>
      <c r="QYY51" s="136"/>
      <c r="QYZ51" s="136"/>
      <c r="QZA51" s="136"/>
      <c r="QZB51" s="136"/>
      <c r="QZC51" s="136"/>
      <c r="QZD51" s="136"/>
      <c r="QZE51" s="136"/>
      <c r="QZF51" s="136"/>
      <c r="QZG51" s="136"/>
      <c r="QZH51" s="136"/>
      <c r="QZI51" s="136"/>
      <c r="QZJ51" s="136"/>
      <c r="QZK51" s="136"/>
      <c r="QZL51" s="136"/>
      <c r="QZM51" s="136"/>
      <c r="QZN51" s="136"/>
      <c r="QZO51" s="136"/>
      <c r="QZP51" s="136"/>
      <c r="QZQ51" s="136"/>
      <c r="QZR51" s="136"/>
      <c r="QZS51" s="136"/>
      <c r="QZT51" s="136"/>
      <c r="QZU51" s="136"/>
      <c r="QZV51" s="136"/>
      <c r="QZW51" s="136"/>
      <c r="QZX51" s="136"/>
      <c r="QZY51" s="136"/>
      <c r="QZZ51" s="136"/>
      <c r="RAA51" s="136"/>
      <c r="RAB51" s="136"/>
      <c r="RAC51" s="136"/>
      <c r="RAD51" s="136"/>
      <c r="RAE51" s="136"/>
      <c r="RAF51" s="136"/>
      <c r="RAG51" s="136"/>
      <c r="RAH51" s="136"/>
      <c r="RAI51" s="136"/>
      <c r="RAJ51" s="136"/>
      <c r="RAK51" s="136"/>
      <c r="RAL51" s="136"/>
      <c r="RAM51" s="136"/>
      <c r="RAN51" s="136"/>
      <c r="RAO51" s="136"/>
      <c r="RAP51" s="136"/>
      <c r="RAQ51" s="136"/>
      <c r="RAR51" s="136"/>
      <c r="RAS51" s="136"/>
      <c r="RAT51" s="136"/>
      <c r="RAU51" s="136"/>
      <c r="RAV51" s="136"/>
      <c r="RAW51" s="136"/>
      <c r="RAX51" s="136"/>
      <c r="RAY51" s="136"/>
      <c r="RAZ51" s="136"/>
      <c r="RBA51" s="136"/>
      <c r="RBB51" s="136"/>
      <c r="RBC51" s="136"/>
      <c r="RBD51" s="136"/>
      <c r="RBE51" s="136"/>
      <c r="RBF51" s="136"/>
      <c r="RBG51" s="136"/>
      <c r="RBH51" s="136"/>
      <c r="RBI51" s="136"/>
      <c r="RBJ51" s="136"/>
      <c r="RBK51" s="136"/>
      <c r="RBL51" s="136"/>
      <c r="RBM51" s="136"/>
      <c r="RBN51" s="136"/>
      <c r="RBO51" s="136"/>
      <c r="RBP51" s="136"/>
      <c r="RBQ51" s="136"/>
      <c r="RBR51" s="136"/>
      <c r="RBS51" s="136"/>
      <c r="RBT51" s="136"/>
      <c r="RBU51" s="136"/>
      <c r="RBV51" s="136"/>
      <c r="RBW51" s="136"/>
      <c r="RBX51" s="136"/>
      <c r="RBY51" s="136"/>
      <c r="RBZ51" s="136"/>
      <c r="RCA51" s="136"/>
      <c r="RCB51" s="136"/>
      <c r="RCC51" s="136"/>
      <c r="RCD51" s="136"/>
      <c r="RCE51" s="136"/>
      <c r="RCF51" s="136"/>
      <c r="RCG51" s="136"/>
      <c r="RCH51" s="136"/>
      <c r="RCI51" s="136"/>
      <c r="RCJ51" s="136"/>
      <c r="RCK51" s="136"/>
      <c r="RCL51" s="136"/>
      <c r="RCM51" s="136"/>
      <c r="RCN51" s="136"/>
      <c r="RCO51" s="136"/>
      <c r="RCP51" s="136"/>
      <c r="RCQ51" s="136"/>
      <c r="RCR51" s="136"/>
      <c r="RCS51" s="136"/>
      <c r="RCT51" s="136"/>
      <c r="RCU51" s="136"/>
      <c r="RCV51" s="136"/>
      <c r="RCW51" s="136"/>
      <c r="RCX51" s="136"/>
      <c r="RCY51" s="136"/>
      <c r="RCZ51" s="136"/>
      <c r="RDA51" s="136"/>
      <c r="RDB51" s="136"/>
      <c r="RDC51" s="136"/>
      <c r="RDD51" s="136"/>
      <c r="RDE51" s="136"/>
      <c r="RDF51" s="136"/>
      <c r="RDG51" s="136"/>
      <c r="RDH51" s="136"/>
      <c r="RDI51" s="136"/>
      <c r="RDJ51" s="136"/>
      <c r="RDK51" s="136"/>
      <c r="RDL51" s="136"/>
      <c r="RDM51" s="136"/>
      <c r="RDN51" s="136"/>
      <c r="RDO51" s="136"/>
      <c r="RDP51" s="136"/>
      <c r="RDQ51" s="136"/>
      <c r="RDR51" s="136"/>
      <c r="RDS51" s="136"/>
      <c r="RDT51" s="136"/>
      <c r="RDU51" s="136"/>
      <c r="RDV51" s="136"/>
      <c r="RDW51" s="136"/>
      <c r="RDX51" s="136"/>
      <c r="RDY51" s="136"/>
      <c r="RDZ51" s="136"/>
      <c r="REA51" s="136"/>
      <c r="REB51" s="136"/>
      <c r="REC51" s="136"/>
      <c r="RED51" s="136"/>
      <c r="REE51" s="136"/>
      <c r="REF51" s="136"/>
      <c r="REG51" s="136"/>
      <c r="REH51" s="136"/>
      <c r="REI51" s="136"/>
      <c r="REJ51" s="136"/>
      <c r="REK51" s="136"/>
      <c r="REL51" s="136"/>
      <c r="REM51" s="136"/>
      <c r="REN51" s="136"/>
      <c r="REO51" s="136"/>
      <c r="REP51" s="136"/>
      <c r="REQ51" s="136"/>
      <c r="RER51" s="136"/>
      <c r="RES51" s="136"/>
      <c r="RET51" s="136"/>
      <c r="REU51" s="136"/>
      <c r="REV51" s="136"/>
      <c r="REW51" s="136"/>
      <c r="REX51" s="136"/>
      <c r="REY51" s="136"/>
      <c r="REZ51" s="136"/>
      <c r="RFA51" s="136"/>
      <c r="RFB51" s="136"/>
      <c r="RFC51" s="136"/>
      <c r="RFD51" s="136"/>
      <c r="RFE51" s="136"/>
      <c r="RFF51" s="136"/>
      <c r="RFG51" s="136"/>
      <c r="RFH51" s="136"/>
      <c r="RFI51" s="136"/>
      <c r="RFJ51" s="136"/>
      <c r="RFK51" s="136"/>
      <c r="RFL51" s="136"/>
      <c r="RFM51" s="136"/>
      <c r="RFN51" s="136"/>
      <c r="RFO51" s="136"/>
      <c r="RFP51" s="136"/>
      <c r="RFQ51" s="136"/>
      <c r="RFR51" s="136"/>
      <c r="RFS51" s="136"/>
      <c r="RFT51" s="136"/>
      <c r="RFU51" s="136"/>
      <c r="RFV51" s="136"/>
      <c r="RFW51" s="136"/>
      <c r="RFX51" s="136"/>
      <c r="RFY51" s="136"/>
      <c r="RFZ51" s="136"/>
      <c r="RGA51" s="136"/>
      <c r="RGB51" s="136"/>
      <c r="RGC51" s="136"/>
      <c r="RGD51" s="136"/>
      <c r="RGE51" s="136"/>
      <c r="RGF51" s="136"/>
      <c r="RGG51" s="136"/>
      <c r="RGH51" s="136"/>
      <c r="RGI51" s="136"/>
      <c r="RGJ51" s="136"/>
      <c r="RGK51" s="136"/>
      <c r="RGL51" s="136"/>
      <c r="RGM51" s="136"/>
      <c r="RGN51" s="136"/>
      <c r="RGO51" s="136"/>
      <c r="RGP51" s="136"/>
      <c r="RGQ51" s="136"/>
      <c r="RGR51" s="136"/>
      <c r="RGS51" s="136"/>
      <c r="RGT51" s="136"/>
      <c r="RGU51" s="136"/>
      <c r="RGV51" s="136"/>
      <c r="RGW51" s="136"/>
      <c r="RGX51" s="136"/>
      <c r="RGY51" s="136"/>
      <c r="RGZ51" s="136"/>
      <c r="RHA51" s="136"/>
      <c r="RHB51" s="136"/>
      <c r="RHC51" s="136"/>
      <c r="RHD51" s="136"/>
      <c r="RHE51" s="136"/>
      <c r="RHF51" s="136"/>
      <c r="RHG51" s="136"/>
      <c r="RHH51" s="136"/>
      <c r="RHI51" s="136"/>
      <c r="RHJ51" s="136"/>
      <c r="RHK51" s="136"/>
      <c r="RHL51" s="136"/>
      <c r="RHM51" s="136"/>
      <c r="RHN51" s="136"/>
      <c r="RHO51" s="136"/>
      <c r="RHP51" s="136"/>
      <c r="RHQ51" s="136"/>
      <c r="RHR51" s="136"/>
      <c r="RHS51" s="136"/>
      <c r="RHT51" s="136"/>
      <c r="RHU51" s="136"/>
      <c r="RHV51" s="136"/>
      <c r="RHW51" s="136"/>
      <c r="RHX51" s="136"/>
      <c r="RHY51" s="136"/>
      <c r="RHZ51" s="136"/>
      <c r="RIA51" s="136"/>
      <c r="RIB51" s="136"/>
      <c r="RIC51" s="136"/>
      <c r="RID51" s="136"/>
      <c r="RIE51" s="136"/>
      <c r="RIF51" s="136"/>
      <c r="RIG51" s="136"/>
      <c r="RIH51" s="136"/>
      <c r="RII51" s="136"/>
      <c r="RIJ51" s="136"/>
      <c r="RIK51" s="136"/>
      <c r="RIL51" s="136"/>
      <c r="RIM51" s="136"/>
      <c r="RIN51" s="136"/>
      <c r="RIO51" s="136"/>
      <c r="RIP51" s="136"/>
      <c r="RIQ51" s="136"/>
      <c r="RIR51" s="136"/>
      <c r="RIS51" s="136"/>
      <c r="RIT51" s="136"/>
      <c r="RIU51" s="136"/>
      <c r="RIV51" s="136"/>
      <c r="RIW51" s="136"/>
      <c r="RIX51" s="136"/>
      <c r="RIY51" s="136"/>
      <c r="RIZ51" s="136"/>
      <c r="RJA51" s="136"/>
      <c r="RJB51" s="136"/>
      <c r="RJC51" s="136"/>
      <c r="RJD51" s="136"/>
      <c r="RJE51" s="136"/>
      <c r="RJF51" s="136"/>
      <c r="RJG51" s="136"/>
      <c r="RJH51" s="136"/>
      <c r="RJI51" s="136"/>
      <c r="RJJ51" s="136"/>
      <c r="RJK51" s="136"/>
      <c r="RJL51" s="136"/>
      <c r="RJM51" s="136"/>
      <c r="RJN51" s="136"/>
      <c r="RJO51" s="136"/>
      <c r="RJP51" s="136"/>
      <c r="RJQ51" s="136"/>
      <c r="RJR51" s="136"/>
      <c r="RJS51" s="136"/>
      <c r="RJT51" s="136"/>
      <c r="RJU51" s="136"/>
      <c r="RJV51" s="136"/>
      <c r="RJW51" s="136"/>
      <c r="RJX51" s="136"/>
      <c r="RJY51" s="136"/>
      <c r="RJZ51" s="136"/>
      <c r="RKA51" s="136"/>
      <c r="RKB51" s="136"/>
      <c r="RKC51" s="136"/>
      <c r="RKD51" s="136"/>
      <c r="RKE51" s="136"/>
      <c r="RKF51" s="136"/>
      <c r="RKG51" s="136"/>
      <c r="RKH51" s="136"/>
      <c r="RKI51" s="136"/>
      <c r="RKJ51" s="136"/>
      <c r="RKK51" s="136"/>
      <c r="RKL51" s="136"/>
      <c r="RKM51" s="136"/>
      <c r="RKN51" s="136"/>
      <c r="RKO51" s="136"/>
      <c r="RKP51" s="136"/>
      <c r="RKQ51" s="136"/>
      <c r="RKR51" s="136"/>
      <c r="RKS51" s="136"/>
      <c r="RKT51" s="136"/>
      <c r="RKU51" s="136"/>
      <c r="RKV51" s="136"/>
      <c r="RKW51" s="136"/>
      <c r="RKX51" s="136"/>
      <c r="RKY51" s="136"/>
      <c r="RKZ51" s="136"/>
      <c r="RLA51" s="136"/>
      <c r="RLB51" s="136"/>
      <c r="RLC51" s="136"/>
      <c r="RLD51" s="136"/>
      <c r="RLE51" s="136"/>
      <c r="RLF51" s="136"/>
      <c r="RLG51" s="136"/>
      <c r="RLH51" s="136"/>
      <c r="RLI51" s="136"/>
      <c r="RLJ51" s="136"/>
      <c r="RLK51" s="136"/>
      <c r="RLL51" s="136"/>
      <c r="RLM51" s="136"/>
      <c r="RLN51" s="136"/>
      <c r="RLO51" s="136"/>
      <c r="RLP51" s="136"/>
      <c r="RLQ51" s="136"/>
      <c r="RLR51" s="136"/>
      <c r="RLS51" s="136"/>
      <c r="RLT51" s="136"/>
      <c r="RLU51" s="136"/>
      <c r="RLV51" s="136"/>
      <c r="RLW51" s="136"/>
      <c r="RLX51" s="136"/>
      <c r="RLY51" s="136"/>
      <c r="RLZ51" s="136"/>
      <c r="RMA51" s="136"/>
      <c r="RMB51" s="136"/>
      <c r="RMC51" s="136"/>
      <c r="RMD51" s="136"/>
      <c r="RME51" s="136"/>
      <c r="RMF51" s="136"/>
      <c r="RMG51" s="136"/>
      <c r="RMH51" s="136"/>
      <c r="RMI51" s="136"/>
      <c r="RMJ51" s="136"/>
      <c r="RMK51" s="136"/>
      <c r="RML51" s="136"/>
      <c r="RMM51" s="136"/>
      <c r="RMN51" s="136"/>
      <c r="RMO51" s="136"/>
      <c r="RMP51" s="136"/>
      <c r="RMQ51" s="136"/>
      <c r="RMR51" s="136"/>
      <c r="RMS51" s="136"/>
      <c r="RMT51" s="136"/>
      <c r="RMU51" s="136"/>
      <c r="RMV51" s="136"/>
      <c r="RMW51" s="136"/>
      <c r="RMX51" s="136"/>
      <c r="RMY51" s="136"/>
      <c r="RMZ51" s="136"/>
      <c r="RNA51" s="136"/>
      <c r="RNB51" s="136"/>
      <c r="RNC51" s="136"/>
      <c r="RND51" s="136"/>
      <c r="RNE51" s="136"/>
      <c r="RNF51" s="136"/>
      <c r="RNG51" s="136"/>
      <c r="RNH51" s="136"/>
      <c r="RNI51" s="136"/>
      <c r="RNJ51" s="136"/>
      <c r="RNK51" s="136"/>
      <c r="RNL51" s="136"/>
      <c r="RNM51" s="136"/>
      <c r="RNN51" s="136"/>
      <c r="RNO51" s="136"/>
      <c r="RNP51" s="136"/>
      <c r="RNQ51" s="136"/>
      <c r="RNR51" s="136"/>
      <c r="RNS51" s="136"/>
      <c r="RNT51" s="136"/>
      <c r="RNU51" s="136"/>
      <c r="RNV51" s="136"/>
      <c r="RNW51" s="136"/>
      <c r="RNX51" s="136"/>
      <c r="RNY51" s="136"/>
      <c r="RNZ51" s="136"/>
      <c r="ROA51" s="136"/>
      <c r="ROB51" s="136"/>
      <c r="ROC51" s="136"/>
      <c r="ROD51" s="136"/>
      <c r="ROE51" s="136"/>
      <c r="ROF51" s="136"/>
      <c r="ROG51" s="136"/>
      <c r="ROH51" s="136"/>
      <c r="ROI51" s="136"/>
      <c r="ROJ51" s="136"/>
      <c r="ROK51" s="136"/>
      <c r="ROL51" s="136"/>
      <c r="ROM51" s="136"/>
      <c r="RON51" s="136"/>
      <c r="ROO51" s="136"/>
      <c r="ROP51" s="136"/>
      <c r="ROQ51" s="136"/>
      <c r="ROR51" s="136"/>
      <c r="ROS51" s="136"/>
      <c r="ROT51" s="136"/>
      <c r="ROU51" s="136"/>
      <c r="ROV51" s="136"/>
      <c r="ROW51" s="136"/>
      <c r="ROX51" s="136"/>
      <c r="ROY51" s="136"/>
      <c r="ROZ51" s="136"/>
      <c r="RPA51" s="136"/>
      <c r="RPB51" s="136"/>
      <c r="RPC51" s="136"/>
      <c r="RPD51" s="136"/>
      <c r="RPE51" s="136"/>
      <c r="RPF51" s="136"/>
      <c r="RPG51" s="136"/>
      <c r="RPH51" s="136"/>
      <c r="RPI51" s="136"/>
      <c r="RPJ51" s="136"/>
      <c r="RPK51" s="136"/>
      <c r="RPL51" s="136"/>
      <c r="RPM51" s="136"/>
      <c r="RPN51" s="136"/>
      <c r="RPO51" s="136"/>
      <c r="RPP51" s="136"/>
      <c r="RPQ51" s="136"/>
      <c r="RPR51" s="136"/>
      <c r="RPS51" s="136"/>
      <c r="RPT51" s="136"/>
      <c r="RPU51" s="136"/>
      <c r="RPV51" s="136"/>
      <c r="RPW51" s="136"/>
      <c r="RPX51" s="136"/>
      <c r="RPY51" s="136"/>
      <c r="RPZ51" s="136"/>
      <c r="RQA51" s="136"/>
      <c r="RQB51" s="136"/>
      <c r="RQC51" s="136"/>
      <c r="RQD51" s="136"/>
      <c r="RQE51" s="136"/>
      <c r="RQF51" s="136"/>
      <c r="RQG51" s="136"/>
      <c r="RQH51" s="136"/>
      <c r="RQI51" s="136"/>
      <c r="RQJ51" s="136"/>
      <c r="RQK51" s="136"/>
      <c r="RQL51" s="136"/>
      <c r="RQM51" s="136"/>
      <c r="RQN51" s="136"/>
      <c r="RQO51" s="136"/>
      <c r="RQP51" s="136"/>
      <c r="RQQ51" s="136"/>
      <c r="RQR51" s="136"/>
      <c r="RQS51" s="136"/>
      <c r="RQT51" s="136"/>
      <c r="RQU51" s="136"/>
      <c r="RQV51" s="136"/>
      <c r="RQW51" s="136"/>
      <c r="RQX51" s="136"/>
      <c r="RQY51" s="136"/>
      <c r="RQZ51" s="136"/>
      <c r="RRA51" s="136"/>
      <c r="RRB51" s="136"/>
      <c r="RRC51" s="136"/>
      <c r="RRD51" s="136"/>
      <c r="RRE51" s="136"/>
      <c r="RRF51" s="136"/>
      <c r="RRG51" s="136"/>
      <c r="RRH51" s="136"/>
      <c r="RRI51" s="136"/>
      <c r="RRJ51" s="136"/>
      <c r="RRK51" s="136"/>
      <c r="RRL51" s="136"/>
      <c r="RRM51" s="136"/>
      <c r="RRN51" s="136"/>
      <c r="RRO51" s="136"/>
      <c r="RRP51" s="136"/>
      <c r="RRQ51" s="136"/>
      <c r="RRR51" s="136"/>
      <c r="RRS51" s="136"/>
      <c r="RRT51" s="136"/>
      <c r="RRU51" s="136"/>
      <c r="RRV51" s="136"/>
      <c r="RRW51" s="136"/>
      <c r="RRX51" s="136"/>
      <c r="RRY51" s="136"/>
      <c r="RRZ51" s="136"/>
      <c r="RSA51" s="136"/>
      <c r="RSB51" s="136"/>
      <c r="RSC51" s="136"/>
      <c r="RSD51" s="136"/>
      <c r="RSE51" s="136"/>
      <c r="RSF51" s="136"/>
      <c r="RSG51" s="136"/>
      <c r="RSH51" s="136"/>
      <c r="RSI51" s="136"/>
      <c r="RSJ51" s="136"/>
      <c r="RSK51" s="136"/>
      <c r="RSL51" s="136"/>
      <c r="RSM51" s="136"/>
      <c r="RSN51" s="136"/>
      <c r="RSO51" s="136"/>
      <c r="RSP51" s="136"/>
      <c r="RSQ51" s="136"/>
      <c r="RSR51" s="136"/>
      <c r="RSS51" s="136"/>
      <c r="RST51" s="136"/>
      <c r="RSU51" s="136"/>
      <c r="RSV51" s="136"/>
      <c r="RSW51" s="136"/>
      <c r="RSX51" s="136"/>
      <c r="RSY51" s="136"/>
      <c r="RSZ51" s="136"/>
      <c r="RTA51" s="136"/>
      <c r="RTB51" s="136"/>
      <c r="RTC51" s="136"/>
      <c r="RTD51" s="136"/>
      <c r="RTE51" s="136"/>
      <c r="RTF51" s="136"/>
      <c r="RTG51" s="136"/>
      <c r="RTH51" s="136"/>
      <c r="RTI51" s="136"/>
      <c r="RTJ51" s="136"/>
      <c r="RTK51" s="136"/>
      <c r="RTL51" s="136"/>
      <c r="RTM51" s="136"/>
      <c r="RTN51" s="136"/>
      <c r="RTO51" s="136"/>
      <c r="RTP51" s="136"/>
      <c r="RTQ51" s="136"/>
      <c r="RTR51" s="136"/>
      <c r="RTS51" s="136"/>
      <c r="RTT51" s="136"/>
      <c r="RTU51" s="136"/>
      <c r="RTV51" s="136"/>
      <c r="RTW51" s="136"/>
      <c r="RTX51" s="136"/>
      <c r="RTY51" s="136"/>
      <c r="RTZ51" s="136"/>
      <c r="RUA51" s="136"/>
      <c r="RUB51" s="136"/>
      <c r="RUC51" s="136"/>
      <c r="RUD51" s="136"/>
      <c r="RUE51" s="136"/>
      <c r="RUF51" s="136"/>
      <c r="RUG51" s="136"/>
      <c r="RUH51" s="136"/>
      <c r="RUI51" s="136"/>
      <c r="RUJ51" s="136"/>
      <c r="RUK51" s="136"/>
      <c r="RUL51" s="136"/>
      <c r="RUM51" s="136"/>
      <c r="RUN51" s="136"/>
      <c r="RUO51" s="136"/>
      <c r="RUP51" s="136"/>
      <c r="RUQ51" s="136"/>
      <c r="RUR51" s="136"/>
      <c r="RUS51" s="136"/>
      <c r="RUT51" s="136"/>
      <c r="RUU51" s="136"/>
      <c r="RUV51" s="136"/>
      <c r="RUW51" s="136"/>
      <c r="RUX51" s="136"/>
      <c r="RUY51" s="136"/>
      <c r="RUZ51" s="136"/>
      <c r="RVA51" s="136"/>
      <c r="RVB51" s="136"/>
      <c r="RVC51" s="136"/>
      <c r="RVD51" s="136"/>
      <c r="RVE51" s="136"/>
      <c r="RVF51" s="136"/>
      <c r="RVG51" s="136"/>
      <c r="RVH51" s="136"/>
      <c r="RVI51" s="136"/>
      <c r="RVJ51" s="136"/>
      <c r="RVK51" s="136"/>
      <c r="RVL51" s="136"/>
      <c r="RVM51" s="136"/>
      <c r="RVN51" s="136"/>
      <c r="RVO51" s="136"/>
      <c r="RVP51" s="136"/>
      <c r="RVQ51" s="136"/>
      <c r="RVR51" s="136"/>
      <c r="RVS51" s="136"/>
      <c r="RVT51" s="136"/>
      <c r="RVU51" s="136"/>
      <c r="RVV51" s="136"/>
      <c r="RVW51" s="136"/>
      <c r="RVX51" s="136"/>
      <c r="RVY51" s="136"/>
      <c r="RVZ51" s="136"/>
      <c r="RWA51" s="136"/>
      <c r="RWB51" s="136"/>
      <c r="RWC51" s="136"/>
      <c r="RWD51" s="136"/>
      <c r="RWE51" s="136"/>
      <c r="RWF51" s="136"/>
      <c r="RWG51" s="136"/>
      <c r="RWH51" s="136"/>
      <c r="RWI51" s="136"/>
      <c r="RWJ51" s="136"/>
      <c r="RWK51" s="136"/>
      <c r="RWL51" s="136"/>
      <c r="RWM51" s="136"/>
      <c r="RWN51" s="136"/>
      <c r="RWO51" s="136"/>
      <c r="RWP51" s="136"/>
      <c r="RWQ51" s="136"/>
      <c r="RWR51" s="136"/>
      <c r="RWS51" s="136"/>
      <c r="RWT51" s="136"/>
      <c r="RWU51" s="136"/>
      <c r="RWV51" s="136"/>
      <c r="RWW51" s="136"/>
      <c r="RWX51" s="136"/>
      <c r="RWY51" s="136"/>
      <c r="RWZ51" s="136"/>
      <c r="RXA51" s="136"/>
      <c r="RXB51" s="136"/>
      <c r="RXC51" s="136"/>
      <c r="RXD51" s="136"/>
      <c r="RXE51" s="136"/>
      <c r="RXF51" s="136"/>
      <c r="RXG51" s="136"/>
      <c r="RXH51" s="136"/>
      <c r="RXI51" s="136"/>
      <c r="RXJ51" s="136"/>
      <c r="RXK51" s="136"/>
      <c r="RXL51" s="136"/>
      <c r="RXM51" s="136"/>
      <c r="RXN51" s="136"/>
      <c r="RXO51" s="136"/>
      <c r="RXP51" s="136"/>
      <c r="RXQ51" s="136"/>
      <c r="RXR51" s="136"/>
      <c r="RXS51" s="136"/>
      <c r="RXT51" s="136"/>
      <c r="RXU51" s="136"/>
      <c r="RXV51" s="136"/>
      <c r="RXW51" s="136"/>
      <c r="RXX51" s="136"/>
      <c r="RXY51" s="136"/>
      <c r="RXZ51" s="136"/>
      <c r="RYA51" s="136"/>
      <c r="RYB51" s="136"/>
      <c r="RYC51" s="136"/>
      <c r="RYD51" s="136"/>
      <c r="RYE51" s="136"/>
      <c r="RYF51" s="136"/>
      <c r="RYG51" s="136"/>
      <c r="RYH51" s="136"/>
      <c r="RYI51" s="136"/>
      <c r="RYJ51" s="136"/>
      <c r="RYK51" s="136"/>
      <c r="RYL51" s="136"/>
      <c r="RYM51" s="136"/>
      <c r="RYN51" s="136"/>
      <c r="RYO51" s="136"/>
      <c r="RYP51" s="136"/>
      <c r="RYQ51" s="136"/>
      <c r="RYR51" s="136"/>
      <c r="RYS51" s="136"/>
      <c r="RYT51" s="136"/>
      <c r="RYU51" s="136"/>
      <c r="RYV51" s="136"/>
      <c r="RYW51" s="136"/>
      <c r="RYX51" s="136"/>
      <c r="RYY51" s="136"/>
      <c r="RYZ51" s="136"/>
      <c r="RZA51" s="136"/>
      <c r="RZB51" s="136"/>
      <c r="RZC51" s="136"/>
      <c r="RZD51" s="136"/>
      <c r="RZE51" s="136"/>
      <c r="RZF51" s="136"/>
      <c r="RZG51" s="136"/>
      <c r="RZH51" s="136"/>
      <c r="RZI51" s="136"/>
      <c r="RZJ51" s="136"/>
      <c r="RZK51" s="136"/>
      <c r="RZL51" s="136"/>
      <c r="RZM51" s="136"/>
      <c r="RZN51" s="136"/>
      <c r="RZO51" s="136"/>
      <c r="RZP51" s="136"/>
      <c r="RZQ51" s="136"/>
      <c r="RZR51" s="136"/>
      <c r="RZS51" s="136"/>
      <c r="RZT51" s="136"/>
      <c r="RZU51" s="136"/>
      <c r="RZV51" s="136"/>
      <c r="RZW51" s="136"/>
      <c r="RZX51" s="136"/>
      <c r="RZY51" s="136"/>
      <c r="RZZ51" s="136"/>
      <c r="SAA51" s="136"/>
      <c r="SAB51" s="136"/>
      <c r="SAC51" s="136"/>
      <c r="SAD51" s="136"/>
      <c r="SAE51" s="136"/>
      <c r="SAF51" s="136"/>
      <c r="SAG51" s="136"/>
      <c r="SAH51" s="136"/>
      <c r="SAI51" s="136"/>
      <c r="SAJ51" s="136"/>
      <c r="SAK51" s="136"/>
      <c r="SAL51" s="136"/>
      <c r="SAM51" s="136"/>
      <c r="SAN51" s="136"/>
      <c r="SAO51" s="136"/>
      <c r="SAP51" s="136"/>
      <c r="SAQ51" s="136"/>
      <c r="SAR51" s="136"/>
      <c r="SAS51" s="136"/>
      <c r="SAT51" s="136"/>
      <c r="SAU51" s="136"/>
      <c r="SAV51" s="136"/>
      <c r="SAW51" s="136"/>
      <c r="SAX51" s="136"/>
      <c r="SAY51" s="136"/>
      <c r="SAZ51" s="136"/>
      <c r="SBA51" s="136"/>
      <c r="SBB51" s="136"/>
      <c r="SBC51" s="136"/>
      <c r="SBD51" s="136"/>
      <c r="SBE51" s="136"/>
      <c r="SBF51" s="136"/>
      <c r="SBG51" s="136"/>
      <c r="SBH51" s="136"/>
      <c r="SBI51" s="136"/>
      <c r="SBJ51" s="136"/>
      <c r="SBK51" s="136"/>
      <c r="SBL51" s="136"/>
      <c r="SBM51" s="136"/>
      <c r="SBN51" s="136"/>
      <c r="SBO51" s="136"/>
      <c r="SBP51" s="136"/>
      <c r="SBQ51" s="136"/>
      <c r="SBR51" s="136"/>
      <c r="SBS51" s="136"/>
      <c r="SBT51" s="136"/>
      <c r="SBU51" s="136"/>
      <c r="SBV51" s="136"/>
      <c r="SBW51" s="136"/>
      <c r="SBX51" s="136"/>
      <c r="SBY51" s="136"/>
      <c r="SBZ51" s="136"/>
      <c r="SCA51" s="136"/>
      <c r="SCB51" s="136"/>
      <c r="SCC51" s="136"/>
      <c r="SCD51" s="136"/>
      <c r="SCE51" s="136"/>
      <c r="SCF51" s="136"/>
      <c r="SCG51" s="136"/>
      <c r="SCH51" s="136"/>
      <c r="SCI51" s="136"/>
      <c r="SCJ51" s="136"/>
      <c r="SCK51" s="136"/>
      <c r="SCL51" s="136"/>
      <c r="SCM51" s="136"/>
      <c r="SCN51" s="136"/>
      <c r="SCO51" s="136"/>
      <c r="SCP51" s="136"/>
      <c r="SCQ51" s="136"/>
      <c r="SCR51" s="136"/>
      <c r="SCS51" s="136"/>
      <c r="SCT51" s="136"/>
      <c r="SCU51" s="136"/>
      <c r="SCV51" s="136"/>
      <c r="SCW51" s="136"/>
      <c r="SCX51" s="136"/>
      <c r="SCY51" s="136"/>
      <c r="SCZ51" s="136"/>
      <c r="SDA51" s="136"/>
      <c r="SDB51" s="136"/>
      <c r="SDC51" s="136"/>
      <c r="SDD51" s="136"/>
      <c r="SDE51" s="136"/>
      <c r="SDF51" s="136"/>
      <c r="SDG51" s="136"/>
      <c r="SDH51" s="136"/>
      <c r="SDI51" s="136"/>
      <c r="SDJ51" s="136"/>
      <c r="SDK51" s="136"/>
      <c r="SDL51" s="136"/>
      <c r="SDM51" s="136"/>
      <c r="SDN51" s="136"/>
      <c r="SDO51" s="136"/>
      <c r="SDP51" s="136"/>
      <c r="SDQ51" s="136"/>
      <c r="SDR51" s="136"/>
      <c r="SDS51" s="136"/>
      <c r="SDT51" s="136"/>
      <c r="SDU51" s="136"/>
      <c r="SDV51" s="136"/>
      <c r="SDW51" s="136"/>
      <c r="SDX51" s="136"/>
      <c r="SDY51" s="136"/>
      <c r="SDZ51" s="136"/>
      <c r="SEA51" s="136"/>
      <c r="SEB51" s="136"/>
      <c r="SEC51" s="136"/>
      <c r="SED51" s="136"/>
      <c r="SEE51" s="136"/>
      <c r="SEF51" s="136"/>
      <c r="SEG51" s="136"/>
      <c r="SEH51" s="136"/>
      <c r="SEI51" s="136"/>
      <c r="SEJ51" s="136"/>
      <c r="SEK51" s="136"/>
      <c r="SEL51" s="136"/>
      <c r="SEM51" s="136"/>
      <c r="SEN51" s="136"/>
      <c r="SEO51" s="136"/>
      <c r="SEP51" s="136"/>
      <c r="SEQ51" s="136"/>
      <c r="SER51" s="136"/>
      <c r="SES51" s="136"/>
      <c r="SET51" s="136"/>
      <c r="SEU51" s="136"/>
      <c r="SEV51" s="136"/>
      <c r="SEW51" s="136"/>
      <c r="SEX51" s="136"/>
      <c r="SEY51" s="136"/>
      <c r="SEZ51" s="136"/>
      <c r="SFA51" s="136"/>
      <c r="SFB51" s="136"/>
      <c r="SFC51" s="136"/>
      <c r="SFD51" s="136"/>
      <c r="SFE51" s="136"/>
      <c r="SFF51" s="136"/>
      <c r="SFG51" s="136"/>
      <c r="SFH51" s="136"/>
      <c r="SFI51" s="136"/>
      <c r="SFJ51" s="136"/>
      <c r="SFK51" s="136"/>
      <c r="SFL51" s="136"/>
      <c r="SFM51" s="136"/>
      <c r="SFN51" s="136"/>
      <c r="SFO51" s="136"/>
      <c r="SFP51" s="136"/>
      <c r="SFQ51" s="136"/>
      <c r="SFR51" s="136"/>
      <c r="SFS51" s="136"/>
      <c r="SFT51" s="136"/>
      <c r="SFU51" s="136"/>
      <c r="SFV51" s="136"/>
      <c r="SFW51" s="136"/>
      <c r="SFX51" s="136"/>
      <c r="SFY51" s="136"/>
      <c r="SFZ51" s="136"/>
      <c r="SGA51" s="136"/>
      <c r="SGB51" s="136"/>
      <c r="SGC51" s="136"/>
      <c r="SGD51" s="136"/>
      <c r="SGE51" s="136"/>
      <c r="SGF51" s="136"/>
      <c r="SGG51" s="136"/>
      <c r="SGH51" s="136"/>
      <c r="SGI51" s="136"/>
      <c r="SGJ51" s="136"/>
      <c r="SGK51" s="136"/>
      <c r="SGL51" s="136"/>
      <c r="SGM51" s="136"/>
      <c r="SGN51" s="136"/>
      <c r="SGO51" s="136"/>
      <c r="SGP51" s="136"/>
      <c r="SGQ51" s="136"/>
      <c r="SGR51" s="136"/>
      <c r="SGS51" s="136"/>
      <c r="SGT51" s="136"/>
      <c r="SGU51" s="136"/>
      <c r="SGV51" s="136"/>
      <c r="SGW51" s="136"/>
      <c r="SGX51" s="136"/>
      <c r="SGY51" s="136"/>
      <c r="SGZ51" s="136"/>
      <c r="SHA51" s="136"/>
      <c r="SHB51" s="136"/>
      <c r="SHC51" s="136"/>
      <c r="SHD51" s="136"/>
      <c r="SHE51" s="136"/>
      <c r="SHF51" s="136"/>
      <c r="SHG51" s="136"/>
      <c r="SHH51" s="136"/>
      <c r="SHI51" s="136"/>
      <c r="SHJ51" s="136"/>
      <c r="SHK51" s="136"/>
      <c r="SHL51" s="136"/>
      <c r="SHM51" s="136"/>
      <c r="SHN51" s="136"/>
      <c r="SHO51" s="136"/>
      <c r="SHP51" s="136"/>
      <c r="SHQ51" s="136"/>
      <c r="SHR51" s="136"/>
      <c r="SHS51" s="136"/>
      <c r="SHT51" s="136"/>
      <c r="SHU51" s="136"/>
      <c r="SHV51" s="136"/>
      <c r="SHW51" s="136"/>
      <c r="SHX51" s="136"/>
      <c r="SHY51" s="136"/>
      <c r="SHZ51" s="136"/>
      <c r="SIA51" s="136"/>
      <c r="SIB51" s="136"/>
      <c r="SIC51" s="136"/>
      <c r="SID51" s="136"/>
      <c r="SIE51" s="136"/>
      <c r="SIF51" s="136"/>
      <c r="SIG51" s="136"/>
      <c r="SIH51" s="136"/>
      <c r="SII51" s="136"/>
      <c r="SIJ51" s="136"/>
      <c r="SIK51" s="136"/>
      <c r="SIL51" s="136"/>
      <c r="SIM51" s="136"/>
      <c r="SIN51" s="136"/>
      <c r="SIO51" s="136"/>
      <c r="SIP51" s="136"/>
      <c r="SIQ51" s="136"/>
      <c r="SIR51" s="136"/>
      <c r="SIS51" s="136"/>
      <c r="SIT51" s="136"/>
      <c r="SIU51" s="136"/>
      <c r="SIV51" s="136"/>
      <c r="SIW51" s="136"/>
      <c r="SIX51" s="136"/>
      <c r="SIY51" s="136"/>
      <c r="SIZ51" s="136"/>
      <c r="SJA51" s="136"/>
      <c r="SJB51" s="136"/>
      <c r="SJC51" s="136"/>
      <c r="SJD51" s="136"/>
      <c r="SJE51" s="136"/>
      <c r="SJF51" s="136"/>
      <c r="SJG51" s="136"/>
      <c r="SJH51" s="136"/>
      <c r="SJI51" s="136"/>
      <c r="SJJ51" s="136"/>
      <c r="SJK51" s="136"/>
      <c r="SJL51" s="136"/>
      <c r="SJM51" s="136"/>
      <c r="SJN51" s="136"/>
      <c r="SJO51" s="136"/>
      <c r="SJP51" s="136"/>
      <c r="SJQ51" s="136"/>
      <c r="SJR51" s="136"/>
      <c r="SJS51" s="136"/>
      <c r="SJT51" s="136"/>
      <c r="SJU51" s="136"/>
      <c r="SJV51" s="136"/>
      <c r="SJW51" s="136"/>
      <c r="SJX51" s="136"/>
      <c r="SJY51" s="136"/>
      <c r="SJZ51" s="136"/>
      <c r="SKA51" s="136"/>
      <c r="SKB51" s="136"/>
      <c r="SKC51" s="136"/>
      <c r="SKD51" s="136"/>
      <c r="SKE51" s="136"/>
      <c r="SKF51" s="136"/>
      <c r="SKG51" s="136"/>
      <c r="SKH51" s="136"/>
      <c r="SKI51" s="136"/>
      <c r="SKJ51" s="136"/>
      <c r="SKK51" s="136"/>
      <c r="SKL51" s="136"/>
      <c r="SKM51" s="136"/>
      <c r="SKN51" s="136"/>
      <c r="SKO51" s="136"/>
      <c r="SKP51" s="136"/>
      <c r="SKQ51" s="136"/>
      <c r="SKR51" s="136"/>
      <c r="SKS51" s="136"/>
      <c r="SKT51" s="136"/>
      <c r="SKU51" s="136"/>
      <c r="SKV51" s="136"/>
      <c r="SKW51" s="136"/>
      <c r="SKX51" s="136"/>
      <c r="SKY51" s="136"/>
      <c r="SKZ51" s="136"/>
      <c r="SLA51" s="136"/>
      <c r="SLB51" s="136"/>
      <c r="SLC51" s="136"/>
      <c r="SLD51" s="136"/>
      <c r="SLE51" s="136"/>
      <c r="SLF51" s="136"/>
      <c r="SLG51" s="136"/>
      <c r="SLH51" s="136"/>
      <c r="SLI51" s="136"/>
      <c r="SLJ51" s="136"/>
      <c r="SLK51" s="136"/>
      <c r="SLL51" s="136"/>
      <c r="SLM51" s="136"/>
      <c r="SLN51" s="136"/>
      <c r="SLO51" s="136"/>
      <c r="SLP51" s="136"/>
      <c r="SLQ51" s="136"/>
      <c r="SLR51" s="136"/>
      <c r="SLS51" s="136"/>
      <c r="SLT51" s="136"/>
      <c r="SLU51" s="136"/>
      <c r="SLV51" s="136"/>
      <c r="SLW51" s="136"/>
      <c r="SLX51" s="136"/>
      <c r="SLY51" s="136"/>
      <c r="SLZ51" s="136"/>
      <c r="SMA51" s="136"/>
      <c r="SMB51" s="136"/>
      <c r="SMC51" s="136"/>
      <c r="SMD51" s="136"/>
      <c r="SME51" s="136"/>
      <c r="SMF51" s="136"/>
      <c r="SMG51" s="136"/>
      <c r="SMH51" s="136"/>
      <c r="SMI51" s="136"/>
      <c r="SMJ51" s="136"/>
      <c r="SMK51" s="136"/>
      <c r="SML51" s="136"/>
      <c r="SMM51" s="136"/>
      <c r="SMN51" s="136"/>
      <c r="SMO51" s="136"/>
      <c r="SMP51" s="136"/>
      <c r="SMQ51" s="136"/>
      <c r="SMR51" s="136"/>
      <c r="SMS51" s="136"/>
      <c r="SMT51" s="136"/>
      <c r="SMU51" s="136"/>
      <c r="SMV51" s="136"/>
      <c r="SMW51" s="136"/>
      <c r="SMX51" s="136"/>
      <c r="SMY51" s="136"/>
      <c r="SMZ51" s="136"/>
      <c r="SNA51" s="136"/>
      <c r="SNB51" s="136"/>
      <c r="SNC51" s="136"/>
      <c r="SND51" s="136"/>
      <c r="SNE51" s="136"/>
      <c r="SNF51" s="136"/>
      <c r="SNG51" s="136"/>
      <c r="SNH51" s="136"/>
      <c r="SNI51" s="136"/>
      <c r="SNJ51" s="136"/>
      <c r="SNK51" s="136"/>
      <c r="SNL51" s="136"/>
      <c r="SNM51" s="136"/>
      <c r="SNN51" s="136"/>
      <c r="SNO51" s="136"/>
      <c r="SNP51" s="136"/>
      <c r="SNQ51" s="136"/>
      <c r="SNR51" s="136"/>
      <c r="SNS51" s="136"/>
      <c r="SNT51" s="136"/>
      <c r="SNU51" s="136"/>
      <c r="SNV51" s="136"/>
      <c r="SNW51" s="136"/>
      <c r="SNX51" s="136"/>
      <c r="SNY51" s="136"/>
      <c r="SNZ51" s="136"/>
      <c r="SOA51" s="136"/>
      <c r="SOB51" s="136"/>
      <c r="SOC51" s="136"/>
      <c r="SOD51" s="136"/>
      <c r="SOE51" s="136"/>
      <c r="SOF51" s="136"/>
      <c r="SOG51" s="136"/>
      <c r="SOH51" s="136"/>
      <c r="SOI51" s="136"/>
      <c r="SOJ51" s="136"/>
      <c r="SOK51" s="136"/>
      <c r="SOL51" s="136"/>
      <c r="SOM51" s="136"/>
      <c r="SON51" s="136"/>
      <c r="SOO51" s="136"/>
      <c r="SOP51" s="136"/>
      <c r="SOQ51" s="136"/>
      <c r="SOR51" s="136"/>
      <c r="SOS51" s="136"/>
      <c r="SOT51" s="136"/>
      <c r="SOU51" s="136"/>
      <c r="SOV51" s="136"/>
      <c r="SOW51" s="136"/>
      <c r="SOX51" s="136"/>
      <c r="SOY51" s="136"/>
      <c r="SOZ51" s="136"/>
      <c r="SPA51" s="136"/>
      <c r="SPB51" s="136"/>
      <c r="SPC51" s="136"/>
      <c r="SPD51" s="136"/>
      <c r="SPE51" s="136"/>
      <c r="SPF51" s="136"/>
      <c r="SPG51" s="136"/>
      <c r="SPH51" s="136"/>
      <c r="SPI51" s="136"/>
      <c r="SPJ51" s="136"/>
      <c r="SPK51" s="136"/>
      <c r="SPL51" s="136"/>
      <c r="SPM51" s="136"/>
      <c r="SPN51" s="136"/>
      <c r="SPO51" s="136"/>
      <c r="SPP51" s="136"/>
      <c r="SPQ51" s="136"/>
      <c r="SPR51" s="136"/>
      <c r="SPS51" s="136"/>
      <c r="SPT51" s="136"/>
      <c r="SPU51" s="136"/>
      <c r="SPV51" s="136"/>
      <c r="SPW51" s="136"/>
      <c r="SPX51" s="136"/>
      <c r="SPY51" s="136"/>
      <c r="SPZ51" s="136"/>
      <c r="SQA51" s="136"/>
      <c r="SQB51" s="136"/>
      <c r="SQC51" s="136"/>
      <c r="SQD51" s="136"/>
      <c r="SQE51" s="136"/>
      <c r="SQF51" s="136"/>
      <c r="SQG51" s="136"/>
      <c r="SQH51" s="136"/>
      <c r="SQI51" s="136"/>
      <c r="SQJ51" s="136"/>
      <c r="SQK51" s="136"/>
      <c r="SQL51" s="136"/>
      <c r="SQM51" s="136"/>
      <c r="SQN51" s="136"/>
      <c r="SQO51" s="136"/>
      <c r="SQP51" s="136"/>
      <c r="SQQ51" s="136"/>
      <c r="SQR51" s="136"/>
      <c r="SQS51" s="136"/>
      <c r="SQT51" s="136"/>
      <c r="SQU51" s="136"/>
      <c r="SQV51" s="136"/>
      <c r="SQW51" s="136"/>
      <c r="SQX51" s="136"/>
      <c r="SQY51" s="136"/>
      <c r="SQZ51" s="136"/>
      <c r="SRA51" s="136"/>
      <c r="SRB51" s="136"/>
      <c r="SRC51" s="136"/>
      <c r="SRD51" s="136"/>
      <c r="SRE51" s="136"/>
      <c r="SRF51" s="136"/>
      <c r="SRG51" s="136"/>
      <c r="SRH51" s="136"/>
      <c r="SRI51" s="136"/>
      <c r="SRJ51" s="136"/>
      <c r="SRK51" s="136"/>
      <c r="SRL51" s="136"/>
      <c r="SRM51" s="136"/>
      <c r="SRN51" s="136"/>
      <c r="SRO51" s="136"/>
      <c r="SRP51" s="136"/>
      <c r="SRQ51" s="136"/>
      <c r="SRR51" s="136"/>
      <c r="SRS51" s="136"/>
      <c r="SRT51" s="136"/>
      <c r="SRU51" s="136"/>
      <c r="SRV51" s="136"/>
      <c r="SRW51" s="136"/>
      <c r="SRX51" s="136"/>
      <c r="SRY51" s="136"/>
      <c r="SRZ51" s="136"/>
      <c r="SSA51" s="136"/>
      <c r="SSB51" s="136"/>
      <c r="SSC51" s="136"/>
      <c r="SSD51" s="136"/>
      <c r="SSE51" s="136"/>
      <c r="SSF51" s="136"/>
      <c r="SSG51" s="136"/>
      <c r="SSH51" s="136"/>
      <c r="SSI51" s="136"/>
      <c r="SSJ51" s="136"/>
      <c r="SSK51" s="136"/>
      <c r="SSL51" s="136"/>
      <c r="SSM51" s="136"/>
      <c r="SSN51" s="136"/>
      <c r="SSO51" s="136"/>
      <c r="SSP51" s="136"/>
      <c r="SSQ51" s="136"/>
      <c r="SSR51" s="136"/>
      <c r="SSS51" s="136"/>
      <c r="SST51" s="136"/>
      <c r="SSU51" s="136"/>
      <c r="SSV51" s="136"/>
      <c r="SSW51" s="136"/>
      <c r="SSX51" s="136"/>
      <c r="SSY51" s="136"/>
      <c r="SSZ51" s="136"/>
      <c r="STA51" s="136"/>
      <c r="STB51" s="136"/>
      <c r="STC51" s="136"/>
      <c r="STD51" s="136"/>
      <c r="STE51" s="136"/>
      <c r="STF51" s="136"/>
      <c r="STG51" s="136"/>
      <c r="STH51" s="136"/>
      <c r="STI51" s="136"/>
      <c r="STJ51" s="136"/>
      <c r="STK51" s="136"/>
      <c r="STL51" s="136"/>
      <c r="STM51" s="136"/>
      <c r="STN51" s="136"/>
      <c r="STO51" s="136"/>
      <c r="STP51" s="136"/>
      <c r="STQ51" s="136"/>
      <c r="STR51" s="136"/>
      <c r="STS51" s="136"/>
      <c r="STT51" s="136"/>
      <c r="STU51" s="136"/>
      <c r="STV51" s="136"/>
      <c r="STW51" s="136"/>
      <c r="STX51" s="136"/>
      <c r="STY51" s="136"/>
      <c r="STZ51" s="136"/>
      <c r="SUA51" s="136"/>
      <c r="SUB51" s="136"/>
      <c r="SUC51" s="136"/>
      <c r="SUD51" s="136"/>
      <c r="SUE51" s="136"/>
      <c r="SUF51" s="136"/>
      <c r="SUG51" s="136"/>
      <c r="SUH51" s="136"/>
      <c r="SUI51" s="136"/>
      <c r="SUJ51" s="136"/>
      <c r="SUK51" s="136"/>
      <c r="SUL51" s="136"/>
      <c r="SUM51" s="136"/>
      <c r="SUN51" s="136"/>
      <c r="SUO51" s="136"/>
      <c r="SUP51" s="136"/>
      <c r="SUQ51" s="136"/>
      <c r="SUR51" s="136"/>
      <c r="SUS51" s="136"/>
      <c r="SUT51" s="136"/>
      <c r="SUU51" s="136"/>
      <c r="SUV51" s="136"/>
      <c r="SUW51" s="136"/>
      <c r="SUX51" s="136"/>
      <c r="SUY51" s="136"/>
      <c r="SUZ51" s="136"/>
      <c r="SVA51" s="136"/>
      <c r="SVB51" s="136"/>
      <c r="SVC51" s="136"/>
      <c r="SVD51" s="136"/>
      <c r="SVE51" s="136"/>
      <c r="SVF51" s="136"/>
      <c r="SVG51" s="136"/>
      <c r="SVH51" s="136"/>
      <c r="SVI51" s="136"/>
      <c r="SVJ51" s="136"/>
      <c r="SVK51" s="136"/>
      <c r="SVL51" s="136"/>
      <c r="SVM51" s="136"/>
      <c r="SVN51" s="136"/>
      <c r="SVO51" s="136"/>
      <c r="SVP51" s="136"/>
      <c r="SVQ51" s="136"/>
      <c r="SVR51" s="136"/>
      <c r="SVS51" s="136"/>
      <c r="SVT51" s="136"/>
      <c r="SVU51" s="136"/>
      <c r="SVV51" s="136"/>
      <c r="SVW51" s="136"/>
      <c r="SVX51" s="136"/>
      <c r="SVY51" s="136"/>
      <c r="SVZ51" s="136"/>
      <c r="SWA51" s="136"/>
      <c r="SWB51" s="136"/>
      <c r="SWC51" s="136"/>
      <c r="SWD51" s="136"/>
      <c r="SWE51" s="136"/>
      <c r="SWF51" s="136"/>
      <c r="SWG51" s="136"/>
      <c r="SWH51" s="136"/>
      <c r="SWI51" s="136"/>
      <c r="SWJ51" s="136"/>
      <c r="SWK51" s="136"/>
      <c r="SWL51" s="136"/>
      <c r="SWM51" s="136"/>
      <c r="SWN51" s="136"/>
      <c r="SWO51" s="136"/>
      <c r="SWP51" s="136"/>
      <c r="SWQ51" s="136"/>
      <c r="SWR51" s="136"/>
      <c r="SWS51" s="136"/>
      <c r="SWT51" s="136"/>
      <c r="SWU51" s="136"/>
      <c r="SWV51" s="136"/>
      <c r="SWW51" s="136"/>
      <c r="SWX51" s="136"/>
      <c r="SWY51" s="136"/>
      <c r="SWZ51" s="136"/>
      <c r="SXA51" s="136"/>
      <c r="SXB51" s="136"/>
      <c r="SXC51" s="136"/>
      <c r="SXD51" s="136"/>
      <c r="SXE51" s="136"/>
      <c r="SXF51" s="136"/>
      <c r="SXG51" s="136"/>
      <c r="SXH51" s="136"/>
      <c r="SXI51" s="136"/>
      <c r="SXJ51" s="136"/>
      <c r="SXK51" s="136"/>
      <c r="SXL51" s="136"/>
      <c r="SXM51" s="136"/>
      <c r="SXN51" s="136"/>
      <c r="SXO51" s="136"/>
      <c r="SXP51" s="136"/>
      <c r="SXQ51" s="136"/>
      <c r="SXR51" s="136"/>
      <c r="SXS51" s="136"/>
      <c r="SXT51" s="136"/>
      <c r="SXU51" s="136"/>
      <c r="SXV51" s="136"/>
      <c r="SXW51" s="136"/>
      <c r="SXX51" s="136"/>
      <c r="SXY51" s="136"/>
      <c r="SXZ51" s="136"/>
      <c r="SYA51" s="136"/>
      <c r="SYB51" s="136"/>
      <c r="SYC51" s="136"/>
      <c r="SYD51" s="136"/>
      <c r="SYE51" s="136"/>
      <c r="SYF51" s="136"/>
      <c r="SYG51" s="136"/>
      <c r="SYH51" s="136"/>
      <c r="SYI51" s="136"/>
      <c r="SYJ51" s="136"/>
      <c r="SYK51" s="136"/>
      <c r="SYL51" s="136"/>
      <c r="SYM51" s="136"/>
      <c r="SYN51" s="136"/>
      <c r="SYO51" s="136"/>
      <c r="SYP51" s="136"/>
      <c r="SYQ51" s="136"/>
      <c r="SYR51" s="136"/>
      <c r="SYS51" s="136"/>
      <c r="SYT51" s="136"/>
      <c r="SYU51" s="136"/>
      <c r="SYV51" s="136"/>
      <c r="SYW51" s="136"/>
      <c r="SYX51" s="136"/>
      <c r="SYY51" s="136"/>
      <c r="SYZ51" s="136"/>
      <c r="SZA51" s="136"/>
      <c r="SZB51" s="136"/>
      <c r="SZC51" s="136"/>
      <c r="SZD51" s="136"/>
      <c r="SZE51" s="136"/>
      <c r="SZF51" s="136"/>
      <c r="SZG51" s="136"/>
      <c r="SZH51" s="136"/>
      <c r="SZI51" s="136"/>
      <c r="SZJ51" s="136"/>
      <c r="SZK51" s="136"/>
      <c r="SZL51" s="136"/>
      <c r="SZM51" s="136"/>
      <c r="SZN51" s="136"/>
      <c r="SZO51" s="136"/>
      <c r="SZP51" s="136"/>
      <c r="SZQ51" s="136"/>
      <c r="SZR51" s="136"/>
      <c r="SZS51" s="136"/>
      <c r="SZT51" s="136"/>
      <c r="SZU51" s="136"/>
      <c r="SZV51" s="136"/>
      <c r="SZW51" s="136"/>
      <c r="SZX51" s="136"/>
      <c r="SZY51" s="136"/>
      <c r="SZZ51" s="136"/>
      <c r="TAA51" s="136"/>
      <c r="TAB51" s="136"/>
      <c r="TAC51" s="136"/>
      <c r="TAD51" s="136"/>
      <c r="TAE51" s="136"/>
      <c r="TAF51" s="136"/>
      <c r="TAG51" s="136"/>
      <c r="TAH51" s="136"/>
      <c r="TAI51" s="136"/>
      <c r="TAJ51" s="136"/>
      <c r="TAK51" s="136"/>
      <c r="TAL51" s="136"/>
      <c r="TAM51" s="136"/>
      <c r="TAN51" s="136"/>
      <c r="TAO51" s="136"/>
      <c r="TAP51" s="136"/>
      <c r="TAQ51" s="136"/>
      <c r="TAR51" s="136"/>
      <c r="TAS51" s="136"/>
      <c r="TAT51" s="136"/>
      <c r="TAU51" s="136"/>
      <c r="TAV51" s="136"/>
      <c r="TAW51" s="136"/>
      <c r="TAX51" s="136"/>
      <c r="TAY51" s="136"/>
      <c r="TAZ51" s="136"/>
      <c r="TBA51" s="136"/>
      <c r="TBB51" s="136"/>
      <c r="TBC51" s="136"/>
      <c r="TBD51" s="136"/>
      <c r="TBE51" s="136"/>
      <c r="TBF51" s="136"/>
      <c r="TBG51" s="136"/>
      <c r="TBH51" s="136"/>
      <c r="TBI51" s="136"/>
      <c r="TBJ51" s="136"/>
      <c r="TBK51" s="136"/>
      <c r="TBL51" s="136"/>
      <c r="TBM51" s="136"/>
      <c r="TBN51" s="136"/>
      <c r="TBO51" s="136"/>
      <c r="TBP51" s="136"/>
      <c r="TBQ51" s="136"/>
      <c r="TBR51" s="136"/>
      <c r="TBS51" s="136"/>
      <c r="TBT51" s="136"/>
      <c r="TBU51" s="136"/>
      <c r="TBV51" s="136"/>
      <c r="TBW51" s="136"/>
      <c r="TBX51" s="136"/>
      <c r="TBY51" s="136"/>
      <c r="TBZ51" s="136"/>
      <c r="TCA51" s="136"/>
      <c r="TCB51" s="136"/>
      <c r="TCC51" s="136"/>
      <c r="TCD51" s="136"/>
      <c r="TCE51" s="136"/>
      <c r="TCF51" s="136"/>
      <c r="TCG51" s="136"/>
      <c r="TCH51" s="136"/>
      <c r="TCI51" s="136"/>
      <c r="TCJ51" s="136"/>
      <c r="TCK51" s="136"/>
      <c r="TCL51" s="136"/>
      <c r="TCM51" s="136"/>
      <c r="TCN51" s="136"/>
      <c r="TCO51" s="136"/>
      <c r="TCP51" s="136"/>
      <c r="TCQ51" s="136"/>
      <c r="TCR51" s="136"/>
      <c r="TCS51" s="136"/>
      <c r="TCT51" s="136"/>
      <c r="TCU51" s="136"/>
      <c r="TCV51" s="136"/>
      <c r="TCW51" s="136"/>
      <c r="TCX51" s="136"/>
      <c r="TCY51" s="136"/>
      <c r="TCZ51" s="136"/>
      <c r="TDA51" s="136"/>
      <c r="TDB51" s="136"/>
      <c r="TDC51" s="136"/>
      <c r="TDD51" s="136"/>
      <c r="TDE51" s="136"/>
      <c r="TDF51" s="136"/>
      <c r="TDG51" s="136"/>
      <c r="TDH51" s="136"/>
      <c r="TDI51" s="136"/>
      <c r="TDJ51" s="136"/>
      <c r="TDK51" s="136"/>
      <c r="TDL51" s="136"/>
      <c r="TDM51" s="136"/>
      <c r="TDN51" s="136"/>
      <c r="TDO51" s="136"/>
      <c r="TDP51" s="136"/>
      <c r="TDQ51" s="136"/>
      <c r="TDR51" s="136"/>
      <c r="TDS51" s="136"/>
      <c r="TDT51" s="136"/>
      <c r="TDU51" s="136"/>
      <c r="TDV51" s="136"/>
      <c r="TDW51" s="136"/>
      <c r="TDX51" s="136"/>
      <c r="TDY51" s="136"/>
      <c r="TDZ51" s="136"/>
      <c r="TEA51" s="136"/>
      <c r="TEB51" s="136"/>
      <c r="TEC51" s="136"/>
      <c r="TED51" s="136"/>
      <c r="TEE51" s="136"/>
      <c r="TEF51" s="136"/>
      <c r="TEG51" s="136"/>
      <c r="TEH51" s="136"/>
      <c r="TEI51" s="136"/>
      <c r="TEJ51" s="136"/>
      <c r="TEK51" s="136"/>
      <c r="TEL51" s="136"/>
      <c r="TEM51" s="136"/>
      <c r="TEN51" s="136"/>
      <c r="TEO51" s="136"/>
      <c r="TEP51" s="136"/>
      <c r="TEQ51" s="136"/>
      <c r="TER51" s="136"/>
      <c r="TES51" s="136"/>
      <c r="TET51" s="136"/>
      <c r="TEU51" s="136"/>
      <c r="TEV51" s="136"/>
      <c r="TEW51" s="136"/>
      <c r="TEX51" s="136"/>
      <c r="TEY51" s="136"/>
      <c r="TEZ51" s="136"/>
      <c r="TFA51" s="136"/>
      <c r="TFB51" s="136"/>
      <c r="TFC51" s="136"/>
      <c r="TFD51" s="136"/>
      <c r="TFE51" s="136"/>
      <c r="TFF51" s="136"/>
      <c r="TFG51" s="136"/>
      <c r="TFH51" s="136"/>
      <c r="TFI51" s="136"/>
      <c r="TFJ51" s="136"/>
      <c r="TFK51" s="136"/>
      <c r="TFL51" s="136"/>
      <c r="TFM51" s="136"/>
      <c r="TFN51" s="136"/>
      <c r="TFO51" s="136"/>
      <c r="TFP51" s="136"/>
      <c r="TFQ51" s="136"/>
      <c r="TFR51" s="136"/>
      <c r="TFS51" s="136"/>
      <c r="TFT51" s="136"/>
      <c r="TFU51" s="136"/>
      <c r="TFV51" s="136"/>
      <c r="TFW51" s="136"/>
      <c r="TFX51" s="136"/>
      <c r="TFY51" s="136"/>
      <c r="TFZ51" s="136"/>
      <c r="TGA51" s="136"/>
      <c r="TGB51" s="136"/>
      <c r="TGC51" s="136"/>
      <c r="TGD51" s="136"/>
      <c r="TGE51" s="136"/>
      <c r="TGF51" s="136"/>
      <c r="TGG51" s="136"/>
      <c r="TGH51" s="136"/>
      <c r="TGI51" s="136"/>
      <c r="TGJ51" s="136"/>
      <c r="TGK51" s="136"/>
      <c r="TGL51" s="136"/>
      <c r="TGM51" s="136"/>
      <c r="TGN51" s="136"/>
      <c r="TGO51" s="136"/>
      <c r="TGP51" s="136"/>
      <c r="TGQ51" s="136"/>
      <c r="TGR51" s="136"/>
      <c r="TGS51" s="136"/>
      <c r="TGT51" s="136"/>
      <c r="TGU51" s="136"/>
      <c r="TGV51" s="136"/>
      <c r="TGW51" s="136"/>
      <c r="TGX51" s="136"/>
      <c r="TGY51" s="136"/>
      <c r="TGZ51" s="136"/>
      <c r="THA51" s="136"/>
      <c r="THB51" s="136"/>
      <c r="THC51" s="136"/>
      <c r="THD51" s="136"/>
      <c r="THE51" s="136"/>
      <c r="THF51" s="136"/>
      <c r="THG51" s="136"/>
      <c r="THH51" s="136"/>
      <c r="THI51" s="136"/>
      <c r="THJ51" s="136"/>
      <c r="THK51" s="136"/>
      <c r="THL51" s="136"/>
      <c r="THM51" s="136"/>
      <c r="THN51" s="136"/>
      <c r="THO51" s="136"/>
      <c r="THP51" s="136"/>
      <c r="THQ51" s="136"/>
      <c r="THR51" s="136"/>
      <c r="THS51" s="136"/>
      <c r="THT51" s="136"/>
      <c r="THU51" s="136"/>
      <c r="THV51" s="136"/>
      <c r="THW51" s="136"/>
      <c r="THX51" s="136"/>
      <c r="THY51" s="136"/>
      <c r="THZ51" s="136"/>
      <c r="TIA51" s="136"/>
      <c r="TIB51" s="136"/>
      <c r="TIC51" s="136"/>
      <c r="TID51" s="136"/>
      <c r="TIE51" s="136"/>
      <c r="TIF51" s="136"/>
      <c r="TIG51" s="136"/>
      <c r="TIH51" s="136"/>
      <c r="TII51" s="136"/>
      <c r="TIJ51" s="136"/>
      <c r="TIK51" s="136"/>
      <c r="TIL51" s="136"/>
      <c r="TIM51" s="136"/>
      <c r="TIN51" s="136"/>
      <c r="TIO51" s="136"/>
      <c r="TIP51" s="136"/>
      <c r="TIQ51" s="136"/>
      <c r="TIR51" s="136"/>
      <c r="TIS51" s="136"/>
      <c r="TIT51" s="136"/>
      <c r="TIU51" s="136"/>
      <c r="TIV51" s="136"/>
      <c r="TIW51" s="136"/>
      <c r="TIX51" s="136"/>
      <c r="TIY51" s="136"/>
      <c r="TIZ51" s="136"/>
      <c r="TJA51" s="136"/>
      <c r="TJB51" s="136"/>
      <c r="TJC51" s="136"/>
      <c r="TJD51" s="136"/>
      <c r="TJE51" s="136"/>
      <c r="TJF51" s="136"/>
      <c r="TJG51" s="136"/>
      <c r="TJH51" s="136"/>
      <c r="TJI51" s="136"/>
      <c r="TJJ51" s="136"/>
      <c r="TJK51" s="136"/>
      <c r="TJL51" s="136"/>
      <c r="TJM51" s="136"/>
      <c r="TJN51" s="136"/>
      <c r="TJO51" s="136"/>
      <c r="TJP51" s="136"/>
      <c r="TJQ51" s="136"/>
      <c r="TJR51" s="136"/>
      <c r="TJS51" s="136"/>
      <c r="TJT51" s="136"/>
      <c r="TJU51" s="136"/>
      <c r="TJV51" s="136"/>
      <c r="TJW51" s="136"/>
      <c r="TJX51" s="136"/>
      <c r="TJY51" s="136"/>
      <c r="TJZ51" s="136"/>
      <c r="TKA51" s="136"/>
      <c r="TKB51" s="136"/>
      <c r="TKC51" s="136"/>
      <c r="TKD51" s="136"/>
      <c r="TKE51" s="136"/>
      <c r="TKF51" s="136"/>
      <c r="TKG51" s="136"/>
      <c r="TKH51" s="136"/>
      <c r="TKI51" s="136"/>
      <c r="TKJ51" s="136"/>
      <c r="TKK51" s="136"/>
      <c r="TKL51" s="136"/>
      <c r="TKM51" s="136"/>
      <c r="TKN51" s="136"/>
      <c r="TKO51" s="136"/>
      <c r="TKP51" s="136"/>
      <c r="TKQ51" s="136"/>
      <c r="TKR51" s="136"/>
      <c r="TKS51" s="136"/>
      <c r="TKT51" s="136"/>
      <c r="TKU51" s="136"/>
      <c r="TKV51" s="136"/>
      <c r="TKW51" s="136"/>
      <c r="TKX51" s="136"/>
      <c r="TKY51" s="136"/>
      <c r="TKZ51" s="136"/>
      <c r="TLA51" s="136"/>
      <c r="TLB51" s="136"/>
      <c r="TLC51" s="136"/>
      <c r="TLD51" s="136"/>
      <c r="TLE51" s="136"/>
      <c r="TLF51" s="136"/>
      <c r="TLG51" s="136"/>
      <c r="TLH51" s="136"/>
      <c r="TLI51" s="136"/>
      <c r="TLJ51" s="136"/>
      <c r="TLK51" s="136"/>
      <c r="TLL51" s="136"/>
      <c r="TLM51" s="136"/>
      <c r="TLN51" s="136"/>
      <c r="TLO51" s="136"/>
      <c r="TLP51" s="136"/>
      <c r="TLQ51" s="136"/>
      <c r="TLR51" s="136"/>
      <c r="TLS51" s="136"/>
      <c r="TLT51" s="136"/>
      <c r="TLU51" s="136"/>
      <c r="TLV51" s="136"/>
      <c r="TLW51" s="136"/>
      <c r="TLX51" s="136"/>
      <c r="TLY51" s="136"/>
      <c r="TLZ51" s="136"/>
      <c r="TMA51" s="136"/>
      <c r="TMB51" s="136"/>
      <c r="TMC51" s="136"/>
      <c r="TMD51" s="136"/>
      <c r="TME51" s="136"/>
      <c r="TMF51" s="136"/>
      <c r="TMG51" s="136"/>
      <c r="TMH51" s="136"/>
      <c r="TMI51" s="136"/>
      <c r="TMJ51" s="136"/>
      <c r="TMK51" s="136"/>
      <c r="TML51" s="136"/>
      <c r="TMM51" s="136"/>
      <c r="TMN51" s="136"/>
      <c r="TMO51" s="136"/>
      <c r="TMP51" s="136"/>
      <c r="TMQ51" s="136"/>
      <c r="TMR51" s="136"/>
      <c r="TMS51" s="136"/>
      <c r="TMT51" s="136"/>
      <c r="TMU51" s="136"/>
      <c r="TMV51" s="136"/>
      <c r="TMW51" s="136"/>
      <c r="TMX51" s="136"/>
      <c r="TMY51" s="136"/>
      <c r="TMZ51" s="136"/>
      <c r="TNA51" s="136"/>
      <c r="TNB51" s="136"/>
      <c r="TNC51" s="136"/>
      <c r="TND51" s="136"/>
      <c r="TNE51" s="136"/>
      <c r="TNF51" s="136"/>
      <c r="TNG51" s="136"/>
      <c r="TNH51" s="136"/>
      <c r="TNI51" s="136"/>
      <c r="TNJ51" s="136"/>
      <c r="TNK51" s="136"/>
      <c r="TNL51" s="136"/>
      <c r="TNM51" s="136"/>
      <c r="TNN51" s="136"/>
      <c r="TNO51" s="136"/>
      <c r="TNP51" s="136"/>
      <c r="TNQ51" s="136"/>
      <c r="TNR51" s="136"/>
      <c r="TNS51" s="136"/>
      <c r="TNT51" s="136"/>
      <c r="TNU51" s="136"/>
      <c r="TNV51" s="136"/>
      <c r="TNW51" s="136"/>
      <c r="TNX51" s="136"/>
      <c r="TNY51" s="136"/>
      <c r="TNZ51" s="136"/>
      <c r="TOA51" s="136"/>
      <c r="TOB51" s="136"/>
      <c r="TOC51" s="136"/>
      <c r="TOD51" s="136"/>
      <c r="TOE51" s="136"/>
      <c r="TOF51" s="136"/>
      <c r="TOG51" s="136"/>
      <c r="TOH51" s="136"/>
      <c r="TOI51" s="136"/>
      <c r="TOJ51" s="136"/>
      <c r="TOK51" s="136"/>
      <c r="TOL51" s="136"/>
      <c r="TOM51" s="136"/>
      <c r="TON51" s="136"/>
      <c r="TOO51" s="136"/>
      <c r="TOP51" s="136"/>
      <c r="TOQ51" s="136"/>
      <c r="TOR51" s="136"/>
      <c r="TOS51" s="136"/>
      <c r="TOT51" s="136"/>
      <c r="TOU51" s="136"/>
      <c r="TOV51" s="136"/>
      <c r="TOW51" s="136"/>
      <c r="TOX51" s="136"/>
      <c r="TOY51" s="136"/>
      <c r="TOZ51" s="136"/>
      <c r="TPA51" s="136"/>
      <c r="TPB51" s="136"/>
      <c r="TPC51" s="136"/>
      <c r="TPD51" s="136"/>
      <c r="TPE51" s="136"/>
      <c r="TPF51" s="136"/>
      <c r="TPG51" s="136"/>
      <c r="TPH51" s="136"/>
      <c r="TPI51" s="136"/>
      <c r="TPJ51" s="136"/>
      <c r="TPK51" s="136"/>
      <c r="TPL51" s="136"/>
      <c r="TPM51" s="136"/>
      <c r="TPN51" s="136"/>
      <c r="TPO51" s="136"/>
      <c r="TPP51" s="136"/>
      <c r="TPQ51" s="136"/>
      <c r="TPR51" s="136"/>
      <c r="TPS51" s="136"/>
      <c r="TPT51" s="136"/>
      <c r="TPU51" s="136"/>
      <c r="TPV51" s="136"/>
      <c r="TPW51" s="136"/>
      <c r="TPX51" s="136"/>
      <c r="TPY51" s="136"/>
      <c r="TPZ51" s="136"/>
      <c r="TQA51" s="136"/>
      <c r="TQB51" s="136"/>
      <c r="TQC51" s="136"/>
      <c r="TQD51" s="136"/>
      <c r="TQE51" s="136"/>
      <c r="TQF51" s="136"/>
      <c r="TQG51" s="136"/>
      <c r="TQH51" s="136"/>
      <c r="TQI51" s="136"/>
      <c r="TQJ51" s="136"/>
      <c r="TQK51" s="136"/>
      <c r="TQL51" s="136"/>
      <c r="TQM51" s="136"/>
      <c r="TQN51" s="136"/>
      <c r="TQO51" s="136"/>
      <c r="TQP51" s="136"/>
      <c r="TQQ51" s="136"/>
      <c r="TQR51" s="136"/>
      <c r="TQS51" s="136"/>
      <c r="TQT51" s="136"/>
      <c r="TQU51" s="136"/>
      <c r="TQV51" s="136"/>
      <c r="TQW51" s="136"/>
      <c r="TQX51" s="136"/>
      <c r="TQY51" s="136"/>
      <c r="TQZ51" s="136"/>
      <c r="TRA51" s="136"/>
      <c r="TRB51" s="136"/>
      <c r="TRC51" s="136"/>
      <c r="TRD51" s="136"/>
      <c r="TRE51" s="136"/>
      <c r="TRF51" s="136"/>
      <c r="TRG51" s="136"/>
      <c r="TRH51" s="136"/>
      <c r="TRI51" s="136"/>
      <c r="TRJ51" s="136"/>
      <c r="TRK51" s="136"/>
      <c r="TRL51" s="136"/>
      <c r="TRM51" s="136"/>
      <c r="TRN51" s="136"/>
      <c r="TRO51" s="136"/>
      <c r="TRP51" s="136"/>
      <c r="TRQ51" s="136"/>
      <c r="TRR51" s="136"/>
      <c r="TRS51" s="136"/>
      <c r="TRT51" s="136"/>
      <c r="TRU51" s="136"/>
      <c r="TRV51" s="136"/>
      <c r="TRW51" s="136"/>
      <c r="TRX51" s="136"/>
      <c r="TRY51" s="136"/>
      <c r="TRZ51" s="136"/>
      <c r="TSA51" s="136"/>
      <c r="TSB51" s="136"/>
      <c r="TSC51" s="136"/>
      <c r="TSD51" s="136"/>
      <c r="TSE51" s="136"/>
      <c r="TSF51" s="136"/>
      <c r="TSG51" s="136"/>
      <c r="TSH51" s="136"/>
      <c r="TSI51" s="136"/>
      <c r="TSJ51" s="136"/>
      <c r="TSK51" s="136"/>
      <c r="TSL51" s="136"/>
      <c r="TSM51" s="136"/>
      <c r="TSN51" s="136"/>
      <c r="TSO51" s="136"/>
      <c r="TSP51" s="136"/>
      <c r="TSQ51" s="136"/>
      <c r="TSR51" s="136"/>
      <c r="TSS51" s="136"/>
      <c r="TST51" s="136"/>
      <c r="TSU51" s="136"/>
      <c r="TSV51" s="136"/>
      <c r="TSW51" s="136"/>
      <c r="TSX51" s="136"/>
      <c r="TSY51" s="136"/>
      <c r="TSZ51" s="136"/>
      <c r="TTA51" s="136"/>
      <c r="TTB51" s="136"/>
      <c r="TTC51" s="136"/>
      <c r="TTD51" s="136"/>
      <c r="TTE51" s="136"/>
      <c r="TTF51" s="136"/>
      <c r="TTG51" s="136"/>
      <c r="TTH51" s="136"/>
      <c r="TTI51" s="136"/>
      <c r="TTJ51" s="136"/>
      <c r="TTK51" s="136"/>
      <c r="TTL51" s="136"/>
      <c r="TTM51" s="136"/>
      <c r="TTN51" s="136"/>
      <c r="TTO51" s="136"/>
      <c r="TTP51" s="136"/>
      <c r="TTQ51" s="136"/>
      <c r="TTR51" s="136"/>
      <c r="TTS51" s="136"/>
      <c r="TTT51" s="136"/>
      <c r="TTU51" s="136"/>
      <c r="TTV51" s="136"/>
      <c r="TTW51" s="136"/>
      <c r="TTX51" s="136"/>
      <c r="TTY51" s="136"/>
      <c r="TTZ51" s="136"/>
      <c r="TUA51" s="136"/>
      <c r="TUB51" s="136"/>
      <c r="TUC51" s="136"/>
      <c r="TUD51" s="136"/>
      <c r="TUE51" s="136"/>
      <c r="TUF51" s="136"/>
      <c r="TUG51" s="136"/>
      <c r="TUH51" s="136"/>
      <c r="TUI51" s="136"/>
      <c r="TUJ51" s="136"/>
      <c r="TUK51" s="136"/>
      <c r="TUL51" s="136"/>
      <c r="TUM51" s="136"/>
      <c r="TUN51" s="136"/>
      <c r="TUO51" s="136"/>
      <c r="TUP51" s="136"/>
      <c r="TUQ51" s="136"/>
      <c r="TUR51" s="136"/>
      <c r="TUS51" s="136"/>
      <c r="TUT51" s="136"/>
      <c r="TUU51" s="136"/>
      <c r="TUV51" s="136"/>
      <c r="TUW51" s="136"/>
      <c r="TUX51" s="136"/>
      <c r="TUY51" s="136"/>
      <c r="TUZ51" s="136"/>
      <c r="TVA51" s="136"/>
      <c r="TVB51" s="136"/>
      <c r="TVC51" s="136"/>
      <c r="TVD51" s="136"/>
      <c r="TVE51" s="136"/>
      <c r="TVF51" s="136"/>
      <c r="TVG51" s="136"/>
      <c r="TVH51" s="136"/>
      <c r="TVI51" s="136"/>
      <c r="TVJ51" s="136"/>
      <c r="TVK51" s="136"/>
      <c r="TVL51" s="136"/>
      <c r="TVM51" s="136"/>
      <c r="TVN51" s="136"/>
      <c r="TVO51" s="136"/>
      <c r="TVP51" s="136"/>
      <c r="TVQ51" s="136"/>
      <c r="TVR51" s="136"/>
      <c r="TVS51" s="136"/>
      <c r="TVT51" s="136"/>
      <c r="TVU51" s="136"/>
      <c r="TVV51" s="136"/>
      <c r="TVW51" s="136"/>
      <c r="TVX51" s="136"/>
      <c r="TVY51" s="136"/>
      <c r="TVZ51" s="136"/>
      <c r="TWA51" s="136"/>
      <c r="TWB51" s="136"/>
      <c r="TWC51" s="136"/>
      <c r="TWD51" s="136"/>
      <c r="TWE51" s="136"/>
      <c r="TWF51" s="136"/>
      <c r="TWG51" s="136"/>
      <c r="TWH51" s="136"/>
      <c r="TWI51" s="136"/>
      <c r="TWJ51" s="136"/>
      <c r="TWK51" s="136"/>
      <c r="TWL51" s="136"/>
      <c r="TWM51" s="136"/>
      <c r="TWN51" s="136"/>
      <c r="TWO51" s="136"/>
      <c r="TWP51" s="136"/>
      <c r="TWQ51" s="136"/>
      <c r="TWR51" s="136"/>
      <c r="TWS51" s="136"/>
      <c r="TWT51" s="136"/>
      <c r="TWU51" s="136"/>
      <c r="TWV51" s="136"/>
      <c r="TWW51" s="136"/>
      <c r="TWX51" s="136"/>
      <c r="TWY51" s="136"/>
      <c r="TWZ51" s="136"/>
      <c r="TXA51" s="136"/>
      <c r="TXB51" s="136"/>
      <c r="TXC51" s="136"/>
      <c r="TXD51" s="136"/>
      <c r="TXE51" s="136"/>
      <c r="TXF51" s="136"/>
      <c r="TXG51" s="136"/>
      <c r="TXH51" s="136"/>
      <c r="TXI51" s="136"/>
      <c r="TXJ51" s="136"/>
      <c r="TXK51" s="136"/>
      <c r="TXL51" s="136"/>
      <c r="TXM51" s="136"/>
      <c r="TXN51" s="136"/>
      <c r="TXO51" s="136"/>
      <c r="TXP51" s="136"/>
      <c r="TXQ51" s="136"/>
      <c r="TXR51" s="136"/>
      <c r="TXS51" s="136"/>
      <c r="TXT51" s="136"/>
      <c r="TXU51" s="136"/>
      <c r="TXV51" s="136"/>
      <c r="TXW51" s="136"/>
      <c r="TXX51" s="136"/>
      <c r="TXY51" s="136"/>
      <c r="TXZ51" s="136"/>
      <c r="TYA51" s="136"/>
      <c r="TYB51" s="136"/>
      <c r="TYC51" s="136"/>
      <c r="TYD51" s="136"/>
      <c r="TYE51" s="136"/>
      <c r="TYF51" s="136"/>
      <c r="TYG51" s="136"/>
      <c r="TYH51" s="136"/>
      <c r="TYI51" s="136"/>
      <c r="TYJ51" s="136"/>
      <c r="TYK51" s="136"/>
      <c r="TYL51" s="136"/>
      <c r="TYM51" s="136"/>
      <c r="TYN51" s="136"/>
      <c r="TYO51" s="136"/>
      <c r="TYP51" s="136"/>
      <c r="TYQ51" s="136"/>
      <c r="TYR51" s="136"/>
      <c r="TYS51" s="136"/>
      <c r="TYT51" s="136"/>
      <c r="TYU51" s="136"/>
      <c r="TYV51" s="136"/>
      <c r="TYW51" s="136"/>
      <c r="TYX51" s="136"/>
      <c r="TYY51" s="136"/>
      <c r="TYZ51" s="136"/>
      <c r="TZA51" s="136"/>
      <c r="TZB51" s="136"/>
      <c r="TZC51" s="136"/>
      <c r="TZD51" s="136"/>
      <c r="TZE51" s="136"/>
      <c r="TZF51" s="136"/>
      <c r="TZG51" s="136"/>
      <c r="TZH51" s="136"/>
      <c r="TZI51" s="136"/>
      <c r="TZJ51" s="136"/>
      <c r="TZK51" s="136"/>
      <c r="TZL51" s="136"/>
      <c r="TZM51" s="136"/>
      <c r="TZN51" s="136"/>
      <c r="TZO51" s="136"/>
      <c r="TZP51" s="136"/>
      <c r="TZQ51" s="136"/>
      <c r="TZR51" s="136"/>
      <c r="TZS51" s="136"/>
      <c r="TZT51" s="136"/>
      <c r="TZU51" s="136"/>
      <c r="TZV51" s="136"/>
      <c r="TZW51" s="136"/>
      <c r="TZX51" s="136"/>
      <c r="TZY51" s="136"/>
      <c r="TZZ51" s="136"/>
      <c r="UAA51" s="136"/>
      <c r="UAB51" s="136"/>
      <c r="UAC51" s="136"/>
      <c r="UAD51" s="136"/>
      <c r="UAE51" s="136"/>
      <c r="UAF51" s="136"/>
      <c r="UAG51" s="136"/>
      <c r="UAH51" s="136"/>
      <c r="UAI51" s="136"/>
      <c r="UAJ51" s="136"/>
      <c r="UAK51" s="136"/>
      <c r="UAL51" s="136"/>
      <c r="UAM51" s="136"/>
      <c r="UAN51" s="136"/>
      <c r="UAO51" s="136"/>
      <c r="UAP51" s="136"/>
      <c r="UAQ51" s="136"/>
      <c r="UAR51" s="136"/>
      <c r="UAS51" s="136"/>
      <c r="UAT51" s="136"/>
      <c r="UAU51" s="136"/>
      <c r="UAV51" s="136"/>
      <c r="UAW51" s="136"/>
      <c r="UAX51" s="136"/>
      <c r="UAY51" s="136"/>
      <c r="UAZ51" s="136"/>
      <c r="UBA51" s="136"/>
      <c r="UBB51" s="136"/>
      <c r="UBC51" s="136"/>
      <c r="UBD51" s="136"/>
      <c r="UBE51" s="136"/>
      <c r="UBF51" s="136"/>
      <c r="UBG51" s="136"/>
      <c r="UBH51" s="136"/>
      <c r="UBI51" s="136"/>
      <c r="UBJ51" s="136"/>
      <c r="UBK51" s="136"/>
      <c r="UBL51" s="136"/>
      <c r="UBM51" s="136"/>
      <c r="UBN51" s="136"/>
      <c r="UBO51" s="136"/>
      <c r="UBP51" s="136"/>
      <c r="UBQ51" s="136"/>
      <c r="UBR51" s="136"/>
      <c r="UBS51" s="136"/>
      <c r="UBT51" s="136"/>
      <c r="UBU51" s="136"/>
      <c r="UBV51" s="136"/>
      <c r="UBW51" s="136"/>
      <c r="UBX51" s="136"/>
      <c r="UBY51" s="136"/>
      <c r="UBZ51" s="136"/>
      <c r="UCA51" s="136"/>
      <c r="UCB51" s="136"/>
      <c r="UCC51" s="136"/>
      <c r="UCD51" s="136"/>
      <c r="UCE51" s="136"/>
      <c r="UCF51" s="136"/>
      <c r="UCG51" s="136"/>
      <c r="UCH51" s="136"/>
      <c r="UCI51" s="136"/>
      <c r="UCJ51" s="136"/>
      <c r="UCK51" s="136"/>
      <c r="UCL51" s="136"/>
      <c r="UCM51" s="136"/>
      <c r="UCN51" s="136"/>
      <c r="UCO51" s="136"/>
      <c r="UCP51" s="136"/>
      <c r="UCQ51" s="136"/>
      <c r="UCR51" s="136"/>
      <c r="UCS51" s="136"/>
      <c r="UCT51" s="136"/>
      <c r="UCU51" s="136"/>
      <c r="UCV51" s="136"/>
      <c r="UCW51" s="136"/>
      <c r="UCX51" s="136"/>
      <c r="UCY51" s="136"/>
      <c r="UCZ51" s="136"/>
      <c r="UDA51" s="136"/>
      <c r="UDB51" s="136"/>
      <c r="UDC51" s="136"/>
      <c r="UDD51" s="136"/>
      <c r="UDE51" s="136"/>
      <c r="UDF51" s="136"/>
      <c r="UDG51" s="136"/>
      <c r="UDH51" s="136"/>
      <c r="UDI51" s="136"/>
      <c r="UDJ51" s="136"/>
      <c r="UDK51" s="136"/>
      <c r="UDL51" s="136"/>
      <c r="UDM51" s="136"/>
      <c r="UDN51" s="136"/>
      <c r="UDO51" s="136"/>
      <c r="UDP51" s="136"/>
      <c r="UDQ51" s="136"/>
      <c r="UDR51" s="136"/>
      <c r="UDS51" s="136"/>
      <c r="UDT51" s="136"/>
      <c r="UDU51" s="136"/>
      <c r="UDV51" s="136"/>
      <c r="UDW51" s="136"/>
      <c r="UDX51" s="136"/>
      <c r="UDY51" s="136"/>
      <c r="UDZ51" s="136"/>
      <c r="UEA51" s="136"/>
      <c r="UEB51" s="136"/>
      <c r="UEC51" s="136"/>
      <c r="UED51" s="136"/>
      <c r="UEE51" s="136"/>
      <c r="UEF51" s="136"/>
      <c r="UEG51" s="136"/>
      <c r="UEH51" s="136"/>
      <c r="UEI51" s="136"/>
      <c r="UEJ51" s="136"/>
      <c r="UEK51" s="136"/>
      <c r="UEL51" s="136"/>
      <c r="UEM51" s="136"/>
      <c r="UEN51" s="136"/>
      <c r="UEO51" s="136"/>
      <c r="UEP51" s="136"/>
      <c r="UEQ51" s="136"/>
      <c r="UER51" s="136"/>
      <c r="UES51" s="136"/>
      <c r="UET51" s="136"/>
      <c r="UEU51" s="136"/>
      <c r="UEV51" s="136"/>
      <c r="UEW51" s="136"/>
      <c r="UEX51" s="136"/>
      <c r="UEY51" s="136"/>
      <c r="UEZ51" s="136"/>
      <c r="UFA51" s="136"/>
      <c r="UFB51" s="136"/>
      <c r="UFC51" s="136"/>
      <c r="UFD51" s="136"/>
      <c r="UFE51" s="136"/>
      <c r="UFF51" s="136"/>
      <c r="UFG51" s="136"/>
      <c r="UFH51" s="136"/>
      <c r="UFI51" s="136"/>
      <c r="UFJ51" s="136"/>
      <c r="UFK51" s="136"/>
      <c r="UFL51" s="136"/>
      <c r="UFM51" s="136"/>
      <c r="UFN51" s="136"/>
      <c r="UFO51" s="136"/>
      <c r="UFP51" s="136"/>
      <c r="UFQ51" s="136"/>
      <c r="UFR51" s="136"/>
      <c r="UFS51" s="136"/>
      <c r="UFT51" s="136"/>
      <c r="UFU51" s="136"/>
      <c r="UFV51" s="136"/>
      <c r="UFW51" s="136"/>
      <c r="UFX51" s="136"/>
      <c r="UFY51" s="136"/>
      <c r="UFZ51" s="136"/>
      <c r="UGA51" s="136"/>
      <c r="UGB51" s="136"/>
      <c r="UGC51" s="136"/>
      <c r="UGD51" s="136"/>
      <c r="UGE51" s="136"/>
      <c r="UGF51" s="136"/>
      <c r="UGG51" s="136"/>
      <c r="UGH51" s="136"/>
      <c r="UGI51" s="136"/>
      <c r="UGJ51" s="136"/>
      <c r="UGK51" s="136"/>
      <c r="UGL51" s="136"/>
      <c r="UGM51" s="136"/>
      <c r="UGN51" s="136"/>
      <c r="UGO51" s="136"/>
      <c r="UGP51" s="136"/>
      <c r="UGQ51" s="136"/>
      <c r="UGR51" s="136"/>
      <c r="UGS51" s="136"/>
      <c r="UGT51" s="136"/>
      <c r="UGU51" s="136"/>
      <c r="UGV51" s="136"/>
      <c r="UGW51" s="136"/>
      <c r="UGX51" s="136"/>
      <c r="UGY51" s="136"/>
      <c r="UGZ51" s="136"/>
      <c r="UHA51" s="136"/>
      <c r="UHB51" s="136"/>
      <c r="UHC51" s="136"/>
      <c r="UHD51" s="136"/>
      <c r="UHE51" s="136"/>
      <c r="UHF51" s="136"/>
      <c r="UHG51" s="136"/>
      <c r="UHH51" s="136"/>
      <c r="UHI51" s="136"/>
      <c r="UHJ51" s="136"/>
      <c r="UHK51" s="136"/>
      <c r="UHL51" s="136"/>
      <c r="UHM51" s="136"/>
      <c r="UHN51" s="136"/>
      <c r="UHO51" s="136"/>
      <c r="UHP51" s="136"/>
      <c r="UHQ51" s="136"/>
      <c r="UHR51" s="136"/>
      <c r="UHS51" s="136"/>
      <c r="UHT51" s="136"/>
      <c r="UHU51" s="136"/>
      <c r="UHV51" s="136"/>
      <c r="UHW51" s="136"/>
      <c r="UHX51" s="136"/>
      <c r="UHY51" s="136"/>
      <c r="UHZ51" s="136"/>
      <c r="UIA51" s="136"/>
      <c r="UIB51" s="136"/>
      <c r="UIC51" s="136"/>
      <c r="UID51" s="136"/>
      <c r="UIE51" s="136"/>
      <c r="UIF51" s="136"/>
      <c r="UIG51" s="136"/>
      <c r="UIH51" s="136"/>
      <c r="UII51" s="136"/>
      <c r="UIJ51" s="136"/>
      <c r="UIK51" s="136"/>
      <c r="UIL51" s="136"/>
      <c r="UIM51" s="136"/>
      <c r="UIN51" s="136"/>
      <c r="UIO51" s="136"/>
      <c r="UIP51" s="136"/>
      <c r="UIQ51" s="136"/>
      <c r="UIR51" s="136"/>
      <c r="UIS51" s="136"/>
      <c r="UIT51" s="136"/>
      <c r="UIU51" s="136"/>
      <c r="UIV51" s="136"/>
      <c r="UIW51" s="136"/>
      <c r="UIX51" s="136"/>
      <c r="UIY51" s="136"/>
      <c r="UIZ51" s="136"/>
      <c r="UJA51" s="136"/>
      <c r="UJB51" s="136"/>
      <c r="UJC51" s="136"/>
      <c r="UJD51" s="136"/>
      <c r="UJE51" s="136"/>
      <c r="UJF51" s="136"/>
      <c r="UJG51" s="136"/>
      <c r="UJH51" s="136"/>
      <c r="UJI51" s="136"/>
      <c r="UJJ51" s="136"/>
      <c r="UJK51" s="136"/>
      <c r="UJL51" s="136"/>
      <c r="UJM51" s="136"/>
      <c r="UJN51" s="136"/>
      <c r="UJO51" s="136"/>
      <c r="UJP51" s="136"/>
      <c r="UJQ51" s="136"/>
      <c r="UJR51" s="136"/>
      <c r="UJS51" s="136"/>
      <c r="UJT51" s="136"/>
      <c r="UJU51" s="136"/>
      <c r="UJV51" s="136"/>
      <c r="UJW51" s="136"/>
      <c r="UJX51" s="136"/>
      <c r="UJY51" s="136"/>
      <c r="UJZ51" s="136"/>
      <c r="UKA51" s="136"/>
      <c r="UKB51" s="136"/>
      <c r="UKC51" s="136"/>
      <c r="UKD51" s="136"/>
      <c r="UKE51" s="136"/>
      <c r="UKF51" s="136"/>
      <c r="UKG51" s="136"/>
      <c r="UKH51" s="136"/>
      <c r="UKI51" s="136"/>
      <c r="UKJ51" s="136"/>
      <c r="UKK51" s="136"/>
      <c r="UKL51" s="136"/>
      <c r="UKM51" s="136"/>
      <c r="UKN51" s="136"/>
      <c r="UKO51" s="136"/>
      <c r="UKP51" s="136"/>
      <c r="UKQ51" s="136"/>
      <c r="UKR51" s="136"/>
      <c r="UKS51" s="136"/>
      <c r="UKT51" s="136"/>
      <c r="UKU51" s="136"/>
      <c r="UKV51" s="136"/>
      <c r="UKW51" s="136"/>
      <c r="UKX51" s="136"/>
      <c r="UKY51" s="136"/>
      <c r="UKZ51" s="136"/>
      <c r="ULA51" s="136"/>
      <c r="ULB51" s="136"/>
      <c r="ULC51" s="136"/>
      <c r="ULD51" s="136"/>
      <c r="ULE51" s="136"/>
      <c r="ULF51" s="136"/>
      <c r="ULG51" s="136"/>
      <c r="ULH51" s="136"/>
      <c r="ULI51" s="136"/>
      <c r="ULJ51" s="136"/>
      <c r="ULK51" s="136"/>
      <c r="ULL51" s="136"/>
      <c r="ULM51" s="136"/>
      <c r="ULN51" s="136"/>
      <c r="ULO51" s="136"/>
      <c r="ULP51" s="136"/>
      <c r="ULQ51" s="136"/>
      <c r="ULR51" s="136"/>
      <c r="ULS51" s="136"/>
      <c r="ULT51" s="136"/>
      <c r="ULU51" s="136"/>
      <c r="ULV51" s="136"/>
      <c r="ULW51" s="136"/>
      <c r="ULX51" s="136"/>
      <c r="ULY51" s="136"/>
      <c r="ULZ51" s="136"/>
      <c r="UMA51" s="136"/>
      <c r="UMB51" s="136"/>
      <c r="UMC51" s="136"/>
      <c r="UMD51" s="136"/>
      <c r="UME51" s="136"/>
      <c r="UMF51" s="136"/>
      <c r="UMG51" s="136"/>
      <c r="UMH51" s="136"/>
      <c r="UMI51" s="136"/>
      <c r="UMJ51" s="136"/>
      <c r="UMK51" s="136"/>
      <c r="UML51" s="136"/>
      <c r="UMM51" s="136"/>
      <c r="UMN51" s="136"/>
      <c r="UMO51" s="136"/>
      <c r="UMP51" s="136"/>
      <c r="UMQ51" s="136"/>
      <c r="UMR51" s="136"/>
      <c r="UMS51" s="136"/>
      <c r="UMT51" s="136"/>
      <c r="UMU51" s="136"/>
      <c r="UMV51" s="136"/>
      <c r="UMW51" s="136"/>
      <c r="UMX51" s="136"/>
      <c r="UMY51" s="136"/>
      <c r="UMZ51" s="136"/>
      <c r="UNA51" s="136"/>
      <c r="UNB51" s="136"/>
      <c r="UNC51" s="136"/>
      <c r="UND51" s="136"/>
      <c r="UNE51" s="136"/>
      <c r="UNF51" s="136"/>
      <c r="UNG51" s="136"/>
      <c r="UNH51" s="136"/>
      <c r="UNI51" s="136"/>
      <c r="UNJ51" s="136"/>
      <c r="UNK51" s="136"/>
      <c r="UNL51" s="136"/>
      <c r="UNM51" s="136"/>
      <c r="UNN51" s="136"/>
      <c r="UNO51" s="136"/>
      <c r="UNP51" s="136"/>
      <c r="UNQ51" s="136"/>
      <c r="UNR51" s="136"/>
      <c r="UNS51" s="136"/>
      <c r="UNT51" s="136"/>
      <c r="UNU51" s="136"/>
      <c r="UNV51" s="136"/>
      <c r="UNW51" s="136"/>
      <c r="UNX51" s="136"/>
      <c r="UNY51" s="136"/>
      <c r="UNZ51" s="136"/>
      <c r="UOA51" s="136"/>
      <c r="UOB51" s="136"/>
      <c r="UOC51" s="136"/>
      <c r="UOD51" s="136"/>
      <c r="UOE51" s="136"/>
      <c r="UOF51" s="136"/>
      <c r="UOG51" s="136"/>
      <c r="UOH51" s="136"/>
      <c r="UOI51" s="136"/>
      <c r="UOJ51" s="136"/>
      <c r="UOK51" s="136"/>
      <c r="UOL51" s="136"/>
      <c r="UOM51" s="136"/>
      <c r="UON51" s="136"/>
      <c r="UOO51" s="136"/>
      <c r="UOP51" s="136"/>
      <c r="UOQ51" s="136"/>
      <c r="UOR51" s="136"/>
      <c r="UOS51" s="136"/>
      <c r="UOT51" s="136"/>
      <c r="UOU51" s="136"/>
      <c r="UOV51" s="136"/>
      <c r="UOW51" s="136"/>
      <c r="UOX51" s="136"/>
      <c r="UOY51" s="136"/>
      <c r="UOZ51" s="136"/>
      <c r="UPA51" s="136"/>
      <c r="UPB51" s="136"/>
      <c r="UPC51" s="136"/>
      <c r="UPD51" s="136"/>
      <c r="UPE51" s="136"/>
      <c r="UPF51" s="136"/>
      <c r="UPG51" s="136"/>
      <c r="UPH51" s="136"/>
      <c r="UPI51" s="136"/>
      <c r="UPJ51" s="136"/>
      <c r="UPK51" s="136"/>
      <c r="UPL51" s="136"/>
      <c r="UPM51" s="136"/>
      <c r="UPN51" s="136"/>
      <c r="UPO51" s="136"/>
      <c r="UPP51" s="136"/>
      <c r="UPQ51" s="136"/>
      <c r="UPR51" s="136"/>
      <c r="UPS51" s="136"/>
      <c r="UPT51" s="136"/>
      <c r="UPU51" s="136"/>
      <c r="UPV51" s="136"/>
      <c r="UPW51" s="136"/>
      <c r="UPX51" s="136"/>
      <c r="UPY51" s="136"/>
      <c r="UPZ51" s="136"/>
      <c r="UQA51" s="136"/>
      <c r="UQB51" s="136"/>
      <c r="UQC51" s="136"/>
      <c r="UQD51" s="136"/>
      <c r="UQE51" s="136"/>
      <c r="UQF51" s="136"/>
      <c r="UQG51" s="136"/>
      <c r="UQH51" s="136"/>
      <c r="UQI51" s="136"/>
      <c r="UQJ51" s="136"/>
      <c r="UQK51" s="136"/>
      <c r="UQL51" s="136"/>
      <c r="UQM51" s="136"/>
      <c r="UQN51" s="136"/>
      <c r="UQO51" s="136"/>
      <c r="UQP51" s="136"/>
      <c r="UQQ51" s="136"/>
      <c r="UQR51" s="136"/>
      <c r="UQS51" s="136"/>
      <c r="UQT51" s="136"/>
      <c r="UQU51" s="136"/>
      <c r="UQV51" s="136"/>
      <c r="UQW51" s="136"/>
      <c r="UQX51" s="136"/>
      <c r="UQY51" s="136"/>
      <c r="UQZ51" s="136"/>
      <c r="URA51" s="136"/>
      <c r="URB51" s="136"/>
      <c r="URC51" s="136"/>
      <c r="URD51" s="136"/>
      <c r="URE51" s="136"/>
      <c r="URF51" s="136"/>
      <c r="URG51" s="136"/>
      <c r="URH51" s="136"/>
      <c r="URI51" s="136"/>
      <c r="URJ51" s="136"/>
      <c r="URK51" s="136"/>
      <c r="URL51" s="136"/>
      <c r="URM51" s="136"/>
      <c r="URN51" s="136"/>
      <c r="URO51" s="136"/>
      <c r="URP51" s="136"/>
      <c r="URQ51" s="136"/>
      <c r="URR51" s="136"/>
      <c r="URS51" s="136"/>
      <c r="URT51" s="136"/>
      <c r="URU51" s="136"/>
      <c r="URV51" s="136"/>
      <c r="URW51" s="136"/>
      <c r="URX51" s="136"/>
      <c r="URY51" s="136"/>
      <c r="URZ51" s="136"/>
      <c r="USA51" s="136"/>
      <c r="USB51" s="136"/>
      <c r="USC51" s="136"/>
      <c r="USD51" s="136"/>
      <c r="USE51" s="136"/>
      <c r="USF51" s="136"/>
      <c r="USG51" s="136"/>
      <c r="USH51" s="136"/>
      <c r="USI51" s="136"/>
      <c r="USJ51" s="136"/>
      <c r="USK51" s="136"/>
      <c r="USL51" s="136"/>
      <c r="USM51" s="136"/>
      <c r="USN51" s="136"/>
      <c r="USO51" s="136"/>
      <c r="USP51" s="136"/>
      <c r="USQ51" s="136"/>
      <c r="USR51" s="136"/>
      <c r="USS51" s="136"/>
      <c r="UST51" s="136"/>
      <c r="USU51" s="136"/>
      <c r="USV51" s="136"/>
      <c r="USW51" s="136"/>
      <c r="USX51" s="136"/>
      <c r="USY51" s="136"/>
      <c r="USZ51" s="136"/>
      <c r="UTA51" s="136"/>
      <c r="UTB51" s="136"/>
      <c r="UTC51" s="136"/>
      <c r="UTD51" s="136"/>
      <c r="UTE51" s="136"/>
      <c r="UTF51" s="136"/>
      <c r="UTG51" s="136"/>
      <c r="UTH51" s="136"/>
      <c r="UTI51" s="136"/>
      <c r="UTJ51" s="136"/>
      <c r="UTK51" s="136"/>
      <c r="UTL51" s="136"/>
      <c r="UTM51" s="136"/>
      <c r="UTN51" s="136"/>
      <c r="UTO51" s="136"/>
      <c r="UTP51" s="136"/>
      <c r="UTQ51" s="136"/>
      <c r="UTR51" s="136"/>
      <c r="UTS51" s="136"/>
      <c r="UTT51" s="136"/>
      <c r="UTU51" s="136"/>
      <c r="UTV51" s="136"/>
      <c r="UTW51" s="136"/>
      <c r="UTX51" s="136"/>
      <c r="UTY51" s="136"/>
      <c r="UTZ51" s="136"/>
      <c r="UUA51" s="136"/>
      <c r="UUB51" s="136"/>
      <c r="UUC51" s="136"/>
      <c r="UUD51" s="136"/>
      <c r="UUE51" s="136"/>
      <c r="UUF51" s="136"/>
      <c r="UUG51" s="136"/>
      <c r="UUH51" s="136"/>
      <c r="UUI51" s="136"/>
      <c r="UUJ51" s="136"/>
      <c r="UUK51" s="136"/>
      <c r="UUL51" s="136"/>
      <c r="UUM51" s="136"/>
      <c r="UUN51" s="136"/>
      <c r="UUO51" s="136"/>
      <c r="UUP51" s="136"/>
      <c r="UUQ51" s="136"/>
      <c r="UUR51" s="136"/>
      <c r="UUS51" s="136"/>
      <c r="UUT51" s="136"/>
      <c r="UUU51" s="136"/>
      <c r="UUV51" s="136"/>
      <c r="UUW51" s="136"/>
      <c r="UUX51" s="136"/>
      <c r="UUY51" s="136"/>
      <c r="UUZ51" s="136"/>
      <c r="UVA51" s="136"/>
      <c r="UVB51" s="136"/>
      <c r="UVC51" s="136"/>
      <c r="UVD51" s="136"/>
      <c r="UVE51" s="136"/>
      <c r="UVF51" s="136"/>
      <c r="UVG51" s="136"/>
      <c r="UVH51" s="136"/>
      <c r="UVI51" s="136"/>
      <c r="UVJ51" s="136"/>
      <c r="UVK51" s="136"/>
      <c r="UVL51" s="136"/>
      <c r="UVM51" s="136"/>
      <c r="UVN51" s="136"/>
      <c r="UVO51" s="136"/>
      <c r="UVP51" s="136"/>
      <c r="UVQ51" s="136"/>
      <c r="UVR51" s="136"/>
      <c r="UVS51" s="136"/>
      <c r="UVT51" s="136"/>
      <c r="UVU51" s="136"/>
      <c r="UVV51" s="136"/>
      <c r="UVW51" s="136"/>
      <c r="UVX51" s="136"/>
      <c r="UVY51" s="136"/>
      <c r="UVZ51" s="136"/>
      <c r="UWA51" s="136"/>
      <c r="UWB51" s="136"/>
      <c r="UWC51" s="136"/>
      <c r="UWD51" s="136"/>
      <c r="UWE51" s="136"/>
      <c r="UWF51" s="136"/>
      <c r="UWG51" s="136"/>
      <c r="UWH51" s="136"/>
      <c r="UWI51" s="136"/>
      <c r="UWJ51" s="136"/>
      <c r="UWK51" s="136"/>
      <c r="UWL51" s="136"/>
      <c r="UWM51" s="136"/>
      <c r="UWN51" s="136"/>
      <c r="UWO51" s="136"/>
      <c r="UWP51" s="136"/>
      <c r="UWQ51" s="136"/>
      <c r="UWR51" s="136"/>
      <c r="UWS51" s="136"/>
      <c r="UWT51" s="136"/>
      <c r="UWU51" s="136"/>
      <c r="UWV51" s="136"/>
      <c r="UWW51" s="136"/>
      <c r="UWX51" s="136"/>
      <c r="UWY51" s="136"/>
      <c r="UWZ51" s="136"/>
      <c r="UXA51" s="136"/>
      <c r="UXB51" s="136"/>
      <c r="UXC51" s="136"/>
      <c r="UXD51" s="136"/>
      <c r="UXE51" s="136"/>
      <c r="UXF51" s="136"/>
      <c r="UXG51" s="136"/>
      <c r="UXH51" s="136"/>
      <c r="UXI51" s="136"/>
      <c r="UXJ51" s="136"/>
      <c r="UXK51" s="136"/>
      <c r="UXL51" s="136"/>
      <c r="UXM51" s="136"/>
      <c r="UXN51" s="136"/>
      <c r="UXO51" s="136"/>
      <c r="UXP51" s="136"/>
      <c r="UXQ51" s="136"/>
      <c r="UXR51" s="136"/>
      <c r="UXS51" s="136"/>
      <c r="UXT51" s="136"/>
      <c r="UXU51" s="136"/>
      <c r="UXV51" s="136"/>
      <c r="UXW51" s="136"/>
      <c r="UXX51" s="136"/>
      <c r="UXY51" s="136"/>
      <c r="UXZ51" s="136"/>
      <c r="UYA51" s="136"/>
      <c r="UYB51" s="136"/>
      <c r="UYC51" s="136"/>
      <c r="UYD51" s="136"/>
      <c r="UYE51" s="136"/>
      <c r="UYF51" s="136"/>
      <c r="UYG51" s="136"/>
      <c r="UYH51" s="136"/>
      <c r="UYI51" s="136"/>
      <c r="UYJ51" s="136"/>
      <c r="UYK51" s="136"/>
      <c r="UYL51" s="136"/>
      <c r="UYM51" s="136"/>
      <c r="UYN51" s="136"/>
      <c r="UYO51" s="136"/>
      <c r="UYP51" s="136"/>
      <c r="UYQ51" s="136"/>
      <c r="UYR51" s="136"/>
      <c r="UYS51" s="136"/>
      <c r="UYT51" s="136"/>
      <c r="UYU51" s="136"/>
      <c r="UYV51" s="136"/>
      <c r="UYW51" s="136"/>
      <c r="UYX51" s="136"/>
      <c r="UYY51" s="136"/>
      <c r="UYZ51" s="136"/>
      <c r="UZA51" s="136"/>
      <c r="UZB51" s="136"/>
      <c r="UZC51" s="136"/>
      <c r="UZD51" s="136"/>
      <c r="UZE51" s="136"/>
      <c r="UZF51" s="136"/>
      <c r="UZG51" s="136"/>
      <c r="UZH51" s="136"/>
      <c r="UZI51" s="136"/>
      <c r="UZJ51" s="136"/>
      <c r="UZK51" s="136"/>
      <c r="UZL51" s="136"/>
      <c r="UZM51" s="136"/>
      <c r="UZN51" s="136"/>
      <c r="UZO51" s="136"/>
      <c r="UZP51" s="136"/>
      <c r="UZQ51" s="136"/>
      <c r="UZR51" s="136"/>
      <c r="UZS51" s="136"/>
      <c r="UZT51" s="136"/>
      <c r="UZU51" s="136"/>
      <c r="UZV51" s="136"/>
      <c r="UZW51" s="136"/>
      <c r="UZX51" s="136"/>
      <c r="UZY51" s="136"/>
      <c r="UZZ51" s="136"/>
      <c r="VAA51" s="136"/>
      <c r="VAB51" s="136"/>
      <c r="VAC51" s="136"/>
      <c r="VAD51" s="136"/>
      <c r="VAE51" s="136"/>
      <c r="VAF51" s="136"/>
      <c r="VAG51" s="136"/>
      <c r="VAH51" s="136"/>
      <c r="VAI51" s="136"/>
      <c r="VAJ51" s="136"/>
      <c r="VAK51" s="136"/>
      <c r="VAL51" s="136"/>
      <c r="VAM51" s="136"/>
      <c r="VAN51" s="136"/>
      <c r="VAO51" s="136"/>
      <c r="VAP51" s="136"/>
      <c r="VAQ51" s="136"/>
      <c r="VAR51" s="136"/>
      <c r="VAS51" s="136"/>
      <c r="VAT51" s="136"/>
      <c r="VAU51" s="136"/>
      <c r="VAV51" s="136"/>
      <c r="VAW51" s="136"/>
      <c r="VAX51" s="136"/>
      <c r="VAY51" s="136"/>
      <c r="VAZ51" s="136"/>
      <c r="VBA51" s="136"/>
      <c r="VBB51" s="136"/>
      <c r="VBC51" s="136"/>
      <c r="VBD51" s="136"/>
      <c r="VBE51" s="136"/>
      <c r="VBF51" s="136"/>
      <c r="VBG51" s="136"/>
      <c r="VBH51" s="136"/>
      <c r="VBI51" s="136"/>
      <c r="VBJ51" s="136"/>
      <c r="VBK51" s="136"/>
      <c r="VBL51" s="136"/>
      <c r="VBM51" s="136"/>
      <c r="VBN51" s="136"/>
      <c r="VBO51" s="136"/>
      <c r="VBP51" s="136"/>
      <c r="VBQ51" s="136"/>
      <c r="VBR51" s="136"/>
      <c r="VBS51" s="136"/>
      <c r="VBT51" s="136"/>
      <c r="VBU51" s="136"/>
      <c r="VBV51" s="136"/>
      <c r="VBW51" s="136"/>
      <c r="VBX51" s="136"/>
      <c r="VBY51" s="136"/>
      <c r="VBZ51" s="136"/>
      <c r="VCA51" s="136"/>
      <c r="VCB51" s="136"/>
      <c r="VCC51" s="136"/>
      <c r="VCD51" s="136"/>
      <c r="VCE51" s="136"/>
      <c r="VCF51" s="136"/>
      <c r="VCG51" s="136"/>
      <c r="VCH51" s="136"/>
      <c r="VCI51" s="136"/>
      <c r="VCJ51" s="136"/>
      <c r="VCK51" s="136"/>
      <c r="VCL51" s="136"/>
      <c r="VCM51" s="136"/>
      <c r="VCN51" s="136"/>
      <c r="VCO51" s="136"/>
      <c r="VCP51" s="136"/>
      <c r="VCQ51" s="136"/>
      <c r="VCR51" s="136"/>
      <c r="VCS51" s="136"/>
      <c r="VCT51" s="136"/>
      <c r="VCU51" s="136"/>
      <c r="VCV51" s="136"/>
      <c r="VCW51" s="136"/>
      <c r="VCX51" s="136"/>
      <c r="VCY51" s="136"/>
      <c r="VCZ51" s="136"/>
      <c r="VDA51" s="136"/>
      <c r="VDB51" s="136"/>
      <c r="VDC51" s="136"/>
      <c r="VDD51" s="136"/>
      <c r="VDE51" s="136"/>
      <c r="VDF51" s="136"/>
      <c r="VDG51" s="136"/>
      <c r="VDH51" s="136"/>
      <c r="VDI51" s="136"/>
      <c r="VDJ51" s="136"/>
      <c r="VDK51" s="136"/>
      <c r="VDL51" s="136"/>
      <c r="VDM51" s="136"/>
      <c r="VDN51" s="136"/>
      <c r="VDO51" s="136"/>
      <c r="VDP51" s="136"/>
      <c r="VDQ51" s="136"/>
      <c r="VDR51" s="136"/>
      <c r="VDS51" s="136"/>
      <c r="VDT51" s="136"/>
      <c r="VDU51" s="136"/>
      <c r="VDV51" s="136"/>
      <c r="VDW51" s="136"/>
      <c r="VDX51" s="136"/>
      <c r="VDY51" s="136"/>
      <c r="VDZ51" s="136"/>
      <c r="VEA51" s="136"/>
      <c r="VEB51" s="136"/>
      <c r="VEC51" s="136"/>
      <c r="VED51" s="136"/>
      <c r="VEE51" s="136"/>
      <c r="VEF51" s="136"/>
      <c r="VEG51" s="136"/>
      <c r="VEH51" s="136"/>
      <c r="VEI51" s="136"/>
      <c r="VEJ51" s="136"/>
      <c r="VEK51" s="136"/>
      <c r="VEL51" s="136"/>
      <c r="VEM51" s="136"/>
      <c r="VEN51" s="136"/>
      <c r="VEO51" s="136"/>
      <c r="VEP51" s="136"/>
      <c r="VEQ51" s="136"/>
      <c r="VER51" s="136"/>
      <c r="VES51" s="136"/>
      <c r="VET51" s="136"/>
      <c r="VEU51" s="136"/>
      <c r="VEV51" s="136"/>
      <c r="VEW51" s="136"/>
      <c r="VEX51" s="136"/>
      <c r="VEY51" s="136"/>
      <c r="VEZ51" s="136"/>
      <c r="VFA51" s="136"/>
      <c r="VFB51" s="136"/>
      <c r="VFC51" s="136"/>
      <c r="VFD51" s="136"/>
      <c r="VFE51" s="136"/>
      <c r="VFF51" s="136"/>
      <c r="VFG51" s="136"/>
      <c r="VFH51" s="136"/>
      <c r="VFI51" s="136"/>
      <c r="VFJ51" s="136"/>
      <c r="VFK51" s="136"/>
      <c r="VFL51" s="136"/>
      <c r="VFM51" s="136"/>
      <c r="VFN51" s="136"/>
      <c r="VFO51" s="136"/>
      <c r="VFP51" s="136"/>
      <c r="VFQ51" s="136"/>
      <c r="VFR51" s="136"/>
      <c r="VFS51" s="136"/>
      <c r="VFT51" s="136"/>
      <c r="VFU51" s="136"/>
      <c r="VFV51" s="136"/>
      <c r="VFW51" s="136"/>
      <c r="VFX51" s="136"/>
      <c r="VFY51" s="136"/>
      <c r="VFZ51" s="136"/>
      <c r="VGA51" s="136"/>
      <c r="VGB51" s="136"/>
      <c r="VGC51" s="136"/>
      <c r="VGD51" s="136"/>
      <c r="VGE51" s="136"/>
      <c r="VGF51" s="136"/>
      <c r="VGG51" s="136"/>
      <c r="VGH51" s="136"/>
      <c r="VGI51" s="136"/>
      <c r="VGJ51" s="136"/>
      <c r="VGK51" s="136"/>
      <c r="VGL51" s="136"/>
      <c r="VGM51" s="136"/>
      <c r="VGN51" s="136"/>
      <c r="VGO51" s="136"/>
      <c r="VGP51" s="136"/>
      <c r="VGQ51" s="136"/>
      <c r="VGR51" s="136"/>
      <c r="VGS51" s="136"/>
      <c r="VGT51" s="136"/>
      <c r="VGU51" s="136"/>
      <c r="VGV51" s="136"/>
      <c r="VGW51" s="136"/>
      <c r="VGX51" s="136"/>
      <c r="VGY51" s="136"/>
      <c r="VGZ51" s="136"/>
      <c r="VHA51" s="136"/>
      <c r="VHB51" s="136"/>
      <c r="VHC51" s="136"/>
      <c r="VHD51" s="136"/>
      <c r="VHE51" s="136"/>
      <c r="VHF51" s="136"/>
      <c r="VHG51" s="136"/>
      <c r="VHH51" s="136"/>
      <c r="VHI51" s="136"/>
      <c r="VHJ51" s="136"/>
      <c r="VHK51" s="136"/>
      <c r="VHL51" s="136"/>
      <c r="VHM51" s="136"/>
      <c r="VHN51" s="136"/>
      <c r="VHO51" s="136"/>
      <c r="VHP51" s="136"/>
      <c r="VHQ51" s="136"/>
      <c r="VHR51" s="136"/>
      <c r="VHS51" s="136"/>
      <c r="VHT51" s="136"/>
      <c r="VHU51" s="136"/>
      <c r="VHV51" s="136"/>
      <c r="VHW51" s="136"/>
      <c r="VHX51" s="136"/>
      <c r="VHY51" s="136"/>
      <c r="VHZ51" s="136"/>
      <c r="VIA51" s="136"/>
      <c r="VIB51" s="136"/>
      <c r="VIC51" s="136"/>
      <c r="VID51" s="136"/>
      <c r="VIE51" s="136"/>
      <c r="VIF51" s="136"/>
      <c r="VIG51" s="136"/>
      <c r="VIH51" s="136"/>
      <c r="VII51" s="136"/>
      <c r="VIJ51" s="136"/>
      <c r="VIK51" s="136"/>
      <c r="VIL51" s="136"/>
      <c r="VIM51" s="136"/>
      <c r="VIN51" s="136"/>
      <c r="VIO51" s="136"/>
      <c r="VIP51" s="136"/>
      <c r="VIQ51" s="136"/>
      <c r="VIR51" s="136"/>
      <c r="VIS51" s="136"/>
      <c r="VIT51" s="136"/>
      <c r="VIU51" s="136"/>
      <c r="VIV51" s="136"/>
      <c r="VIW51" s="136"/>
      <c r="VIX51" s="136"/>
      <c r="VIY51" s="136"/>
      <c r="VIZ51" s="136"/>
      <c r="VJA51" s="136"/>
      <c r="VJB51" s="136"/>
      <c r="VJC51" s="136"/>
      <c r="VJD51" s="136"/>
      <c r="VJE51" s="136"/>
      <c r="VJF51" s="136"/>
      <c r="VJG51" s="136"/>
      <c r="VJH51" s="136"/>
      <c r="VJI51" s="136"/>
      <c r="VJJ51" s="136"/>
      <c r="VJK51" s="136"/>
      <c r="VJL51" s="136"/>
      <c r="VJM51" s="136"/>
      <c r="VJN51" s="136"/>
      <c r="VJO51" s="136"/>
      <c r="VJP51" s="136"/>
      <c r="VJQ51" s="136"/>
      <c r="VJR51" s="136"/>
      <c r="VJS51" s="136"/>
      <c r="VJT51" s="136"/>
      <c r="VJU51" s="136"/>
      <c r="VJV51" s="136"/>
      <c r="VJW51" s="136"/>
      <c r="VJX51" s="136"/>
      <c r="VJY51" s="136"/>
      <c r="VJZ51" s="136"/>
      <c r="VKA51" s="136"/>
      <c r="VKB51" s="136"/>
      <c r="VKC51" s="136"/>
      <c r="VKD51" s="136"/>
      <c r="VKE51" s="136"/>
      <c r="VKF51" s="136"/>
      <c r="VKG51" s="136"/>
      <c r="VKH51" s="136"/>
      <c r="VKI51" s="136"/>
      <c r="VKJ51" s="136"/>
      <c r="VKK51" s="136"/>
      <c r="VKL51" s="136"/>
      <c r="VKM51" s="136"/>
      <c r="VKN51" s="136"/>
      <c r="VKO51" s="136"/>
      <c r="VKP51" s="136"/>
      <c r="VKQ51" s="136"/>
      <c r="VKR51" s="136"/>
      <c r="VKS51" s="136"/>
      <c r="VKT51" s="136"/>
      <c r="VKU51" s="136"/>
      <c r="VKV51" s="136"/>
      <c r="VKW51" s="136"/>
      <c r="VKX51" s="136"/>
      <c r="VKY51" s="136"/>
      <c r="VKZ51" s="136"/>
      <c r="VLA51" s="136"/>
      <c r="VLB51" s="136"/>
      <c r="VLC51" s="136"/>
      <c r="VLD51" s="136"/>
      <c r="VLE51" s="136"/>
      <c r="VLF51" s="136"/>
      <c r="VLG51" s="136"/>
      <c r="VLH51" s="136"/>
      <c r="VLI51" s="136"/>
      <c r="VLJ51" s="136"/>
      <c r="VLK51" s="136"/>
      <c r="VLL51" s="136"/>
      <c r="VLM51" s="136"/>
      <c r="VLN51" s="136"/>
      <c r="VLO51" s="136"/>
      <c r="VLP51" s="136"/>
      <c r="VLQ51" s="136"/>
      <c r="VLR51" s="136"/>
      <c r="VLS51" s="136"/>
      <c r="VLT51" s="136"/>
      <c r="VLU51" s="136"/>
      <c r="VLV51" s="136"/>
      <c r="VLW51" s="136"/>
      <c r="VLX51" s="136"/>
      <c r="VLY51" s="136"/>
      <c r="VLZ51" s="136"/>
      <c r="VMA51" s="136"/>
      <c r="VMB51" s="136"/>
      <c r="VMC51" s="136"/>
      <c r="VMD51" s="136"/>
      <c r="VME51" s="136"/>
      <c r="VMF51" s="136"/>
      <c r="VMG51" s="136"/>
      <c r="VMH51" s="136"/>
      <c r="VMI51" s="136"/>
      <c r="VMJ51" s="136"/>
      <c r="VMK51" s="136"/>
      <c r="VML51" s="136"/>
      <c r="VMM51" s="136"/>
      <c r="VMN51" s="136"/>
      <c r="VMO51" s="136"/>
      <c r="VMP51" s="136"/>
      <c r="VMQ51" s="136"/>
      <c r="VMR51" s="136"/>
      <c r="VMS51" s="136"/>
      <c r="VMT51" s="136"/>
      <c r="VMU51" s="136"/>
      <c r="VMV51" s="136"/>
      <c r="VMW51" s="136"/>
      <c r="VMX51" s="136"/>
      <c r="VMY51" s="136"/>
      <c r="VMZ51" s="136"/>
      <c r="VNA51" s="136"/>
      <c r="VNB51" s="136"/>
      <c r="VNC51" s="136"/>
      <c r="VND51" s="136"/>
      <c r="VNE51" s="136"/>
      <c r="VNF51" s="136"/>
      <c r="VNG51" s="136"/>
      <c r="VNH51" s="136"/>
      <c r="VNI51" s="136"/>
      <c r="VNJ51" s="136"/>
      <c r="VNK51" s="136"/>
      <c r="VNL51" s="136"/>
      <c r="VNM51" s="136"/>
      <c r="VNN51" s="136"/>
      <c r="VNO51" s="136"/>
      <c r="VNP51" s="136"/>
      <c r="VNQ51" s="136"/>
      <c r="VNR51" s="136"/>
      <c r="VNS51" s="136"/>
      <c r="VNT51" s="136"/>
      <c r="VNU51" s="136"/>
      <c r="VNV51" s="136"/>
      <c r="VNW51" s="136"/>
      <c r="VNX51" s="136"/>
      <c r="VNY51" s="136"/>
      <c r="VNZ51" s="136"/>
      <c r="VOA51" s="136"/>
      <c r="VOB51" s="136"/>
      <c r="VOC51" s="136"/>
      <c r="VOD51" s="136"/>
      <c r="VOE51" s="136"/>
      <c r="VOF51" s="136"/>
      <c r="VOG51" s="136"/>
      <c r="VOH51" s="136"/>
      <c r="VOI51" s="136"/>
      <c r="VOJ51" s="136"/>
      <c r="VOK51" s="136"/>
      <c r="VOL51" s="136"/>
      <c r="VOM51" s="136"/>
      <c r="VON51" s="136"/>
      <c r="VOO51" s="136"/>
      <c r="VOP51" s="136"/>
      <c r="VOQ51" s="136"/>
      <c r="VOR51" s="136"/>
      <c r="VOS51" s="136"/>
      <c r="VOT51" s="136"/>
      <c r="VOU51" s="136"/>
      <c r="VOV51" s="136"/>
      <c r="VOW51" s="136"/>
      <c r="VOX51" s="136"/>
      <c r="VOY51" s="136"/>
      <c r="VOZ51" s="136"/>
      <c r="VPA51" s="136"/>
      <c r="VPB51" s="136"/>
      <c r="VPC51" s="136"/>
      <c r="VPD51" s="136"/>
      <c r="VPE51" s="136"/>
      <c r="VPF51" s="136"/>
      <c r="VPG51" s="136"/>
      <c r="VPH51" s="136"/>
      <c r="VPI51" s="136"/>
      <c r="VPJ51" s="136"/>
      <c r="VPK51" s="136"/>
      <c r="VPL51" s="136"/>
      <c r="VPM51" s="136"/>
      <c r="VPN51" s="136"/>
      <c r="VPO51" s="136"/>
      <c r="VPP51" s="136"/>
      <c r="VPQ51" s="136"/>
      <c r="VPR51" s="136"/>
      <c r="VPS51" s="136"/>
      <c r="VPT51" s="136"/>
      <c r="VPU51" s="136"/>
      <c r="VPV51" s="136"/>
      <c r="VPW51" s="136"/>
      <c r="VPX51" s="136"/>
      <c r="VPY51" s="136"/>
      <c r="VPZ51" s="136"/>
      <c r="VQA51" s="136"/>
      <c r="VQB51" s="136"/>
      <c r="VQC51" s="136"/>
      <c r="VQD51" s="136"/>
      <c r="VQE51" s="136"/>
      <c r="VQF51" s="136"/>
      <c r="VQG51" s="136"/>
      <c r="VQH51" s="136"/>
      <c r="VQI51" s="136"/>
      <c r="VQJ51" s="136"/>
      <c r="VQK51" s="136"/>
      <c r="VQL51" s="136"/>
      <c r="VQM51" s="136"/>
      <c r="VQN51" s="136"/>
      <c r="VQO51" s="136"/>
      <c r="VQP51" s="136"/>
      <c r="VQQ51" s="136"/>
      <c r="VQR51" s="136"/>
      <c r="VQS51" s="136"/>
      <c r="VQT51" s="136"/>
      <c r="VQU51" s="136"/>
      <c r="VQV51" s="136"/>
      <c r="VQW51" s="136"/>
      <c r="VQX51" s="136"/>
      <c r="VQY51" s="136"/>
      <c r="VQZ51" s="136"/>
      <c r="VRA51" s="136"/>
      <c r="VRB51" s="136"/>
      <c r="VRC51" s="136"/>
      <c r="VRD51" s="136"/>
      <c r="VRE51" s="136"/>
      <c r="VRF51" s="136"/>
      <c r="VRG51" s="136"/>
      <c r="VRH51" s="136"/>
      <c r="VRI51" s="136"/>
      <c r="VRJ51" s="136"/>
      <c r="VRK51" s="136"/>
      <c r="VRL51" s="136"/>
      <c r="VRM51" s="136"/>
      <c r="VRN51" s="136"/>
      <c r="VRO51" s="136"/>
      <c r="VRP51" s="136"/>
      <c r="VRQ51" s="136"/>
      <c r="VRR51" s="136"/>
      <c r="VRS51" s="136"/>
      <c r="VRT51" s="136"/>
      <c r="VRU51" s="136"/>
      <c r="VRV51" s="136"/>
      <c r="VRW51" s="136"/>
      <c r="VRX51" s="136"/>
      <c r="VRY51" s="136"/>
      <c r="VRZ51" s="136"/>
      <c r="VSA51" s="136"/>
      <c r="VSB51" s="136"/>
      <c r="VSC51" s="136"/>
      <c r="VSD51" s="136"/>
      <c r="VSE51" s="136"/>
      <c r="VSF51" s="136"/>
      <c r="VSG51" s="136"/>
      <c r="VSH51" s="136"/>
      <c r="VSI51" s="136"/>
      <c r="VSJ51" s="136"/>
      <c r="VSK51" s="136"/>
      <c r="VSL51" s="136"/>
      <c r="VSM51" s="136"/>
      <c r="VSN51" s="136"/>
      <c r="VSO51" s="136"/>
      <c r="VSP51" s="136"/>
      <c r="VSQ51" s="136"/>
      <c r="VSR51" s="136"/>
      <c r="VSS51" s="136"/>
      <c r="VST51" s="136"/>
      <c r="VSU51" s="136"/>
      <c r="VSV51" s="136"/>
      <c r="VSW51" s="136"/>
      <c r="VSX51" s="136"/>
      <c r="VSY51" s="136"/>
      <c r="VSZ51" s="136"/>
      <c r="VTA51" s="136"/>
      <c r="VTB51" s="136"/>
      <c r="VTC51" s="136"/>
      <c r="VTD51" s="136"/>
      <c r="VTE51" s="136"/>
      <c r="VTF51" s="136"/>
      <c r="VTG51" s="136"/>
      <c r="VTH51" s="136"/>
      <c r="VTI51" s="136"/>
      <c r="VTJ51" s="136"/>
      <c r="VTK51" s="136"/>
      <c r="VTL51" s="136"/>
      <c r="VTM51" s="136"/>
      <c r="VTN51" s="136"/>
      <c r="VTO51" s="136"/>
      <c r="VTP51" s="136"/>
      <c r="VTQ51" s="136"/>
      <c r="VTR51" s="136"/>
      <c r="VTS51" s="136"/>
      <c r="VTT51" s="136"/>
      <c r="VTU51" s="136"/>
      <c r="VTV51" s="136"/>
      <c r="VTW51" s="136"/>
      <c r="VTX51" s="136"/>
      <c r="VTY51" s="136"/>
      <c r="VTZ51" s="136"/>
      <c r="VUA51" s="136"/>
      <c r="VUB51" s="136"/>
      <c r="VUC51" s="136"/>
      <c r="VUD51" s="136"/>
      <c r="VUE51" s="136"/>
      <c r="VUF51" s="136"/>
      <c r="VUG51" s="136"/>
      <c r="VUH51" s="136"/>
      <c r="VUI51" s="136"/>
      <c r="VUJ51" s="136"/>
      <c r="VUK51" s="136"/>
      <c r="VUL51" s="136"/>
      <c r="VUM51" s="136"/>
      <c r="VUN51" s="136"/>
      <c r="VUO51" s="136"/>
      <c r="VUP51" s="136"/>
      <c r="VUQ51" s="136"/>
      <c r="VUR51" s="136"/>
      <c r="VUS51" s="136"/>
      <c r="VUT51" s="136"/>
      <c r="VUU51" s="136"/>
      <c r="VUV51" s="136"/>
      <c r="VUW51" s="136"/>
      <c r="VUX51" s="136"/>
      <c r="VUY51" s="136"/>
      <c r="VUZ51" s="136"/>
      <c r="VVA51" s="136"/>
      <c r="VVB51" s="136"/>
      <c r="VVC51" s="136"/>
      <c r="VVD51" s="136"/>
      <c r="VVE51" s="136"/>
      <c r="VVF51" s="136"/>
      <c r="VVG51" s="136"/>
      <c r="VVH51" s="136"/>
      <c r="VVI51" s="136"/>
      <c r="VVJ51" s="136"/>
      <c r="VVK51" s="136"/>
      <c r="VVL51" s="136"/>
      <c r="VVM51" s="136"/>
      <c r="VVN51" s="136"/>
      <c r="VVO51" s="136"/>
      <c r="VVP51" s="136"/>
      <c r="VVQ51" s="136"/>
      <c r="VVR51" s="136"/>
      <c r="VVS51" s="136"/>
      <c r="VVT51" s="136"/>
      <c r="VVU51" s="136"/>
      <c r="VVV51" s="136"/>
      <c r="VVW51" s="136"/>
      <c r="VVX51" s="136"/>
      <c r="VVY51" s="136"/>
      <c r="VVZ51" s="136"/>
      <c r="VWA51" s="136"/>
      <c r="VWB51" s="136"/>
      <c r="VWC51" s="136"/>
      <c r="VWD51" s="136"/>
      <c r="VWE51" s="136"/>
      <c r="VWF51" s="136"/>
      <c r="VWG51" s="136"/>
      <c r="VWH51" s="136"/>
      <c r="VWI51" s="136"/>
      <c r="VWJ51" s="136"/>
      <c r="VWK51" s="136"/>
      <c r="VWL51" s="136"/>
      <c r="VWM51" s="136"/>
      <c r="VWN51" s="136"/>
      <c r="VWO51" s="136"/>
      <c r="VWP51" s="136"/>
      <c r="VWQ51" s="136"/>
      <c r="VWR51" s="136"/>
      <c r="VWS51" s="136"/>
      <c r="VWT51" s="136"/>
      <c r="VWU51" s="136"/>
      <c r="VWV51" s="136"/>
      <c r="VWW51" s="136"/>
      <c r="VWX51" s="136"/>
      <c r="VWY51" s="136"/>
      <c r="VWZ51" s="136"/>
      <c r="VXA51" s="136"/>
      <c r="VXB51" s="136"/>
      <c r="VXC51" s="136"/>
      <c r="VXD51" s="136"/>
      <c r="VXE51" s="136"/>
      <c r="VXF51" s="136"/>
      <c r="VXG51" s="136"/>
      <c r="VXH51" s="136"/>
      <c r="VXI51" s="136"/>
      <c r="VXJ51" s="136"/>
      <c r="VXK51" s="136"/>
      <c r="VXL51" s="136"/>
      <c r="VXM51" s="136"/>
      <c r="VXN51" s="136"/>
      <c r="VXO51" s="136"/>
      <c r="VXP51" s="136"/>
      <c r="VXQ51" s="136"/>
      <c r="VXR51" s="136"/>
      <c r="VXS51" s="136"/>
      <c r="VXT51" s="136"/>
      <c r="VXU51" s="136"/>
      <c r="VXV51" s="136"/>
      <c r="VXW51" s="136"/>
      <c r="VXX51" s="136"/>
      <c r="VXY51" s="136"/>
      <c r="VXZ51" s="136"/>
      <c r="VYA51" s="136"/>
      <c r="VYB51" s="136"/>
      <c r="VYC51" s="136"/>
      <c r="VYD51" s="136"/>
      <c r="VYE51" s="136"/>
      <c r="VYF51" s="136"/>
      <c r="VYG51" s="136"/>
      <c r="VYH51" s="136"/>
      <c r="VYI51" s="136"/>
      <c r="VYJ51" s="136"/>
      <c r="VYK51" s="136"/>
      <c r="VYL51" s="136"/>
      <c r="VYM51" s="136"/>
      <c r="VYN51" s="136"/>
      <c r="VYO51" s="136"/>
      <c r="VYP51" s="136"/>
      <c r="VYQ51" s="136"/>
      <c r="VYR51" s="136"/>
      <c r="VYS51" s="136"/>
      <c r="VYT51" s="136"/>
      <c r="VYU51" s="136"/>
      <c r="VYV51" s="136"/>
      <c r="VYW51" s="136"/>
      <c r="VYX51" s="136"/>
      <c r="VYY51" s="136"/>
      <c r="VYZ51" s="136"/>
      <c r="VZA51" s="136"/>
      <c r="VZB51" s="136"/>
      <c r="VZC51" s="136"/>
      <c r="VZD51" s="136"/>
      <c r="VZE51" s="136"/>
      <c r="VZF51" s="136"/>
      <c r="VZG51" s="136"/>
      <c r="VZH51" s="136"/>
      <c r="VZI51" s="136"/>
      <c r="VZJ51" s="136"/>
      <c r="VZK51" s="136"/>
      <c r="VZL51" s="136"/>
      <c r="VZM51" s="136"/>
      <c r="VZN51" s="136"/>
      <c r="VZO51" s="136"/>
      <c r="VZP51" s="136"/>
      <c r="VZQ51" s="136"/>
      <c r="VZR51" s="136"/>
      <c r="VZS51" s="136"/>
      <c r="VZT51" s="136"/>
      <c r="VZU51" s="136"/>
      <c r="VZV51" s="136"/>
      <c r="VZW51" s="136"/>
      <c r="VZX51" s="136"/>
      <c r="VZY51" s="136"/>
      <c r="VZZ51" s="136"/>
      <c r="WAA51" s="136"/>
      <c r="WAB51" s="136"/>
      <c r="WAC51" s="136"/>
      <c r="WAD51" s="136"/>
      <c r="WAE51" s="136"/>
      <c r="WAF51" s="136"/>
      <c r="WAG51" s="136"/>
      <c r="WAH51" s="136"/>
      <c r="WAI51" s="136"/>
      <c r="WAJ51" s="136"/>
      <c r="WAK51" s="136"/>
      <c r="WAL51" s="136"/>
      <c r="WAM51" s="136"/>
      <c r="WAN51" s="136"/>
      <c r="WAO51" s="136"/>
      <c r="WAP51" s="136"/>
      <c r="WAQ51" s="136"/>
      <c r="WAR51" s="136"/>
      <c r="WAS51" s="136"/>
      <c r="WAT51" s="136"/>
      <c r="WAU51" s="136"/>
      <c r="WAV51" s="136"/>
      <c r="WAW51" s="136"/>
      <c r="WAX51" s="136"/>
      <c r="WAY51" s="136"/>
      <c r="WAZ51" s="136"/>
      <c r="WBA51" s="136"/>
      <c r="WBB51" s="136"/>
      <c r="WBC51" s="136"/>
      <c r="WBD51" s="136"/>
      <c r="WBE51" s="136"/>
      <c r="WBF51" s="136"/>
      <c r="WBG51" s="136"/>
      <c r="WBH51" s="136"/>
      <c r="WBI51" s="136"/>
      <c r="WBJ51" s="136"/>
      <c r="WBK51" s="136"/>
      <c r="WBL51" s="136"/>
      <c r="WBM51" s="136"/>
      <c r="WBN51" s="136"/>
      <c r="WBO51" s="136"/>
      <c r="WBP51" s="136"/>
      <c r="WBQ51" s="136"/>
      <c r="WBR51" s="136"/>
      <c r="WBS51" s="136"/>
      <c r="WBT51" s="136"/>
      <c r="WBU51" s="136"/>
      <c r="WBV51" s="136"/>
      <c r="WBW51" s="136"/>
      <c r="WBX51" s="136"/>
      <c r="WBY51" s="136"/>
      <c r="WBZ51" s="136"/>
      <c r="WCA51" s="136"/>
      <c r="WCB51" s="136"/>
      <c r="WCC51" s="136"/>
      <c r="WCD51" s="136"/>
      <c r="WCE51" s="136"/>
      <c r="WCF51" s="136"/>
      <c r="WCG51" s="136"/>
      <c r="WCH51" s="136"/>
      <c r="WCI51" s="136"/>
      <c r="WCJ51" s="136"/>
      <c r="WCK51" s="136"/>
      <c r="WCL51" s="136"/>
      <c r="WCM51" s="136"/>
      <c r="WCN51" s="136"/>
      <c r="WCO51" s="136"/>
      <c r="WCP51" s="136"/>
      <c r="WCQ51" s="136"/>
      <c r="WCR51" s="136"/>
      <c r="WCS51" s="136"/>
      <c r="WCT51" s="136"/>
      <c r="WCU51" s="136"/>
      <c r="WCV51" s="136"/>
      <c r="WCW51" s="136"/>
      <c r="WCX51" s="136"/>
      <c r="WCY51" s="136"/>
      <c r="WCZ51" s="136"/>
      <c r="WDA51" s="136"/>
      <c r="WDB51" s="136"/>
      <c r="WDC51" s="136"/>
      <c r="WDD51" s="136"/>
      <c r="WDE51" s="136"/>
      <c r="WDF51" s="136"/>
      <c r="WDG51" s="136"/>
      <c r="WDH51" s="136"/>
      <c r="WDI51" s="136"/>
      <c r="WDJ51" s="136"/>
      <c r="WDK51" s="136"/>
      <c r="WDL51" s="136"/>
      <c r="WDM51" s="136"/>
      <c r="WDN51" s="136"/>
      <c r="WDO51" s="136"/>
      <c r="WDP51" s="136"/>
      <c r="WDQ51" s="136"/>
      <c r="WDR51" s="136"/>
      <c r="WDS51" s="136"/>
      <c r="WDT51" s="136"/>
      <c r="WDU51" s="136"/>
      <c r="WDV51" s="136"/>
      <c r="WDW51" s="136"/>
      <c r="WDX51" s="136"/>
      <c r="WDY51" s="136"/>
      <c r="WDZ51" s="136"/>
      <c r="WEA51" s="136"/>
      <c r="WEB51" s="136"/>
      <c r="WEC51" s="136"/>
      <c r="WED51" s="136"/>
      <c r="WEE51" s="136"/>
      <c r="WEF51" s="136"/>
      <c r="WEG51" s="136"/>
      <c r="WEH51" s="136"/>
      <c r="WEI51" s="136"/>
      <c r="WEJ51" s="136"/>
      <c r="WEK51" s="136"/>
      <c r="WEL51" s="136"/>
      <c r="WEM51" s="136"/>
      <c r="WEN51" s="136"/>
      <c r="WEO51" s="136"/>
      <c r="WEP51" s="136"/>
      <c r="WEQ51" s="136"/>
      <c r="WER51" s="136"/>
      <c r="WES51" s="136"/>
      <c r="WET51" s="136"/>
      <c r="WEU51" s="136"/>
      <c r="WEV51" s="136"/>
      <c r="WEW51" s="136"/>
      <c r="WEX51" s="136"/>
      <c r="WEY51" s="136"/>
      <c r="WEZ51" s="136"/>
      <c r="WFA51" s="136"/>
      <c r="WFB51" s="136"/>
      <c r="WFC51" s="136"/>
      <c r="WFD51" s="136"/>
      <c r="WFE51" s="136"/>
      <c r="WFF51" s="136"/>
      <c r="WFG51" s="136"/>
      <c r="WFH51" s="136"/>
      <c r="WFI51" s="136"/>
      <c r="WFJ51" s="136"/>
      <c r="WFK51" s="136"/>
      <c r="WFL51" s="136"/>
      <c r="WFM51" s="136"/>
      <c r="WFN51" s="136"/>
      <c r="WFO51" s="136"/>
      <c r="WFP51" s="136"/>
      <c r="WFQ51" s="136"/>
      <c r="WFR51" s="136"/>
      <c r="WFS51" s="136"/>
      <c r="WFT51" s="136"/>
      <c r="WFU51" s="136"/>
      <c r="WFV51" s="136"/>
      <c r="WFW51" s="136"/>
      <c r="WFX51" s="136"/>
      <c r="WFY51" s="136"/>
      <c r="WFZ51" s="136"/>
      <c r="WGA51" s="136"/>
      <c r="WGB51" s="136"/>
      <c r="WGC51" s="136"/>
      <c r="WGD51" s="136"/>
      <c r="WGE51" s="136"/>
      <c r="WGF51" s="136"/>
      <c r="WGG51" s="136"/>
      <c r="WGH51" s="136"/>
      <c r="WGI51" s="136"/>
      <c r="WGJ51" s="136"/>
      <c r="WGK51" s="136"/>
      <c r="WGL51" s="136"/>
      <c r="WGM51" s="136"/>
      <c r="WGN51" s="136"/>
      <c r="WGO51" s="136"/>
      <c r="WGP51" s="136"/>
      <c r="WGQ51" s="136"/>
      <c r="WGR51" s="136"/>
      <c r="WGS51" s="136"/>
      <c r="WGT51" s="136"/>
      <c r="WGU51" s="136"/>
      <c r="WGV51" s="136"/>
      <c r="WGW51" s="136"/>
      <c r="WGX51" s="136"/>
      <c r="WGY51" s="136"/>
      <c r="WGZ51" s="136"/>
      <c r="WHA51" s="136"/>
      <c r="WHB51" s="136"/>
      <c r="WHC51" s="136"/>
      <c r="WHD51" s="136"/>
      <c r="WHE51" s="136"/>
      <c r="WHF51" s="136"/>
      <c r="WHG51" s="136"/>
      <c r="WHH51" s="136"/>
      <c r="WHI51" s="136"/>
      <c r="WHJ51" s="136"/>
      <c r="WHK51" s="136"/>
      <c r="WHL51" s="136"/>
      <c r="WHM51" s="136"/>
      <c r="WHN51" s="136"/>
      <c r="WHO51" s="136"/>
      <c r="WHP51" s="136"/>
      <c r="WHQ51" s="136"/>
      <c r="WHR51" s="136"/>
      <c r="WHS51" s="136"/>
      <c r="WHT51" s="136"/>
      <c r="WHU51" s="136"/>
      <c r="WHV51" s="136"/>
      <c r="WHW51" s="136"/>
      <c r="WHX51" s="136"/>
      <c r="WHY51" s="136"/>
      <c r="WHZ51" s="136"/>
      <c r="WIA51" s="136"/>
      <c r="WIB51" s="136"/>
      <c r="WIC51" s="136"/>
      <c r="WID51" s="136"/>
      <c r="WIE51" s="136"/>
      <c r="WIF51" s="136"/>
      <c r="WIG51" s="136"/>
      <c r="WIH51" s="136"/>
      <c r="WII51" s="136"/>
      <c r="WIJ51" s="136"/>
      <c r="WIK51" s="136"/>
      <c r="WIL51" s="136"/>
      <c r="WIM51" s="136"/>
      <c r="WIN51" s="136"/>
      <c r="WIO51" s="136"/>
      <c r="WIP51" s="136"/>
      <c r="WIQ51" s="136"/>
      <c r="WIR51" s="136"/>
      <c r="WIS51" s="136"/>
      <c r="WIT51" s="136"/>
      <c r="WIU51" s="136"/>
      <c r="WIV51" s="136"/>
      <c r="WIW51" s="136"/>
      <c r="WIX51" s="136"/>
      <c r="WIY51" s="136"/>
      <c r="WIZ51" s="136"/>
      <c r="WJA51" s="136"/>
      <c r="WJB51" s="136"/>
      <c r="WJC51" s="136"/>
      <c r="WJD51" s="136"/>
      <c r="WJE51" s="136"/>
      <c r="WJF51" s="136"/>
      <c r="WJG51" s="136"/>
      <c r="WJH51" s="136"/>
      <c r="WJI51" s="136"/>
      <c r="WJJ51" s="136"/>
      <c r="WJK51" s="136"/>
      <c r="WJL51" s="136"/>
      <c r="WJM51" s="136"/>
      <c r="WJN51" s="136"/>
      <c r="WJO51" s="136"/>
      <c r="WJP51" s="136"/>
      <c r="WJQ51" s="136"/>
      <c r="WJR51" s="136"/>
      <c r="WJS51" s="136"/>
      <c r="WJT51" s="136"/>
      <c r="WJU51" s="136"/>
      <c r="WJV51" s="136"/>
      <c r="WJW51" s="136"/>
      <c r="WJX51" s="136"/>
      <c r="WJY51" s="136"/>
      <c r="WJZ51" s="136"/>
      <c r="WKA51" s="136"/>
      <c r="WKB51" s="136"/>
      <c r="WKC51" s="136"/>
      <c r="WKD51" s="136"/>
      <c r="WKE51" s="136"/>
      <c r="WKF51" s="136"/>
      <c r="WKG51" s="136"/>
      <c r="WKH51" s="136"/>
      <c r="WKI51" s="136"/>
      <c r="WKJ51" s="136"/>
      <c r="WKK51" s="136"/>
      <c r="WKL51" s="136"/>
      <c r="WKM51" s="136"/>
      <c r="WKN51" s="136"/>
      <c r="WKO51" s="136"/>
      <c r="WKP51" s="136"/>
      <c r="WKQ51" s="136"/>
      <c r="WKR51" s="136"/>
      <c r="WKS51" s="136"/>
      <c r="WKT51" s="136"/>
      <c r="WKU51" s="136"/>
      <c r="WKV51" s="136"/>
      <c r="WKW51" s="136"/>
      <c r="WKX51" s="136"/>
      <c r="WKY51" s="136"/>
      <c r="WKZ51" s="136"/>
      <c r="WLA51" s="136"/>
      <c r="WLB51" s="136"/>
      <c r="WLC51" s="136"/>
      <c r="WLD51" s="136"/>
      <c r="WLE51" s="136"/>
      <c r="WLF51" s="136"/>
      <c r="WLG51" s="136"/>
      <c r="WLH51" s="136"/>
      <c r="WLI51" s="136"/>
      <c r="WLJ51" s="136"/>
      <c r="WLK51" s="136"/>
      <c r="WLL51" s="136"/>
      <c r="WLM51" s="136"/>
      <c r="WLN51" s="136"/>
      <c r="WLO51" s="136"/>
      <c r="WLP51" s="136"/>
      <c r="WLQ51" s="136"/>
      <c r="WLR51" s="136"/>
      <c r="WLS51" s="136"/>
      <c r="WLT51" s="136"/>
      <c r="WLU51" s="136"/>
      <c r="WLV51" s="136"/>
      <c r="WLW51" s="136"/>
      <c r="WLX51" s="136"/>
      <c r="WLY51" s="136"/>
      <c r="WLZ51" s="136"/>
      <c r="WMA51" s="136"/>
      <c r="WMB51" s="136"/>
      <c r="WMC51" s="136"/>
      <c r="WMD51" s="136"/>
      <c r="WME51" s="136"/>
      <c r="WMF51" s="136"/>
      <c r="WMG51" s="136"/>
      <c r="WMH51" s="136"/>
      <c r="WMI51" s="136"/>
      <c r="WMJ51" s="136"/>
      <c r="WMK51" s="136"/>
      <c r="WML51" s="136"/>
      <c r="WMM51" s="136"/>
      <c r="WMN51" s="136"/>
      <c r="WMO51" s="136"/>
      <c r="WMP51" s="136"/>
      <c r="WMQ51" s="136"/>
      <c r="WMR51" s="136"/>
      <c r="WMS51" s="136"/>
      <c r="WMT51" s="136"/>
      <c r="WMU51" s="136"/>
      <c r="WMV51" s="136"/>
      <c r="WMW51" s="136"/>
      <c r="WMX51" s="136"/>
      <c r="WMY51" s="136"/>
      <c r="WMZ51" s="136"/>
      <c r="WNA51" s="136"/>
      <c r="WNB51" s="136"/>
      <c r="WNC51" s="136"/>
      <c r="WND51" s="136"/>
      <c r="WNE51" s="136"/>
      <c r="WNF51" s="136"/>
      <c r="WNG51" s="136"/>
      <c r="WNH51" s="136"/>
      <c r="WNI51" s="136"/>
      <c r="WNJ51" s="136"/>
      <c r="WNK51" s="136"/>
      <c r="WNL51" s="136"/>
      <c r="WNM51" s="136"/>
      <c r="WNN51" s="136"/>
      <c r="WNO51" s="136"/>
      <c r="WNP51" s="136"/>
      <c r="WNQ51" s="136"/>
      <c r="WNR51" s="136"/>
      <c r="WNS51" s="136"/>
      <c r="WNT51" s="136"/>
      <c r="WNU51" s="136"/>
      <c r="WNV51" s="136"/>
      <c r="WNW51" s="136"/>
      <c r="WNX51" s="136"/>
      <c r="WNY51" s="136"/>
      <c r="WNZ51" s="136"/>
      <c r="WOA51" s="136"/>
      <c r="WOB51" s="136"/>
      <c r="WOC51" s="136"/>
      <c r="WOD51" s="136"/>
      <c r="WOE51" s="136"/>
      <c r="WOF51" s="136"/>
      <c r="WOG51" s="136"/>
      <c r="WOH51" s="136"/>
      <c r="WOI51" s="136"/>
      <c r="WOJ51" s="136"/>
      <c r="WOK51" s="136"/>
      <c r="WOL51" s="136"/>
      <c r="WOM51" s="136"/>
      <c r="WON51" s="136"/>
      <c r="WOO51" s="136"/>
      <c r="WOP51" s="136"/>
      <c r="WOQ51" s="136"/>
      <c r="WOR51" s="136"/>
      <c r="WOS51" s="136"/>
      <c r="WOT51" s="136"/>
      <c r="WOU51" s="136"/>
      <c r="WOV51" s="136"/>
      <c r="WOW51" s="136"/>
      <c r="WOX51" s="136"/>
      <c r="WOY51" s="136"/>
      <c r="WOZ51" s="136"/>
      <c r="WPA51" s="136"/>
      <c r="WPB51" s="136"/>
      <c r="WPC51" s="136"/>
      <c r="WPD51" s="136"/>
      <c r="WPE51" s="136"/>
      <c r="WPF51" s="136"/>
      <c r="WPG51" s="136"/>
      <c r="WPH51" s="136"/>
      <c r="WPI51" s="136"/>
      <c r="WPJ51" s="136"/>
      <c r="WPK51" s="136"/>
      <c r="WPL51" s="136"/>
      <c r="WPM51" s="136"/>
      <c r="WPN51" s="136"/>
      <c r="WPO51" s="136"/>
      <c r="WPP51" s="136"/>
      <c r="WPQ51" s="136"/>
      <c r="WPR51" s="136"/>
      <c r="WPS51" s="136"/>
      <c r="WPT51" s="136"/>
      <c r="WPU51" s="136"/>
      <c r="WPV51" s="136"/>
      <c r="WPW51" s="136"/>
      <c r="WPX51" s="136"/>
      <c r="WPY51" s="136"/>
      <c r="WPZ51" s="136"/>
      <c r="WQA51" s="136"/>
      <c r="WQB51" s="136"/>
      <c r="WQC51" s="136"/>
      <c r="WQD51" s="136"/>
      <c r="WQE51" s="136"/>
      <c r="WQF51" s="136"/>
      <c r="WQG51" s="136"/>
      <c r="WQH51" s="136"/>
      <c r="WQI51" s="136"/>
      <c r="WQJ51" s="136"/>
      <c r="WQK51" s="136"/>
      <c r="WQL51" s="136"/>
      <c r="WQM51" s="136"/>
      <c r="WQN51" s="136"/>
      <c r="WQO51" s="136"/>
      <c r="WQP51" s="136"/>
      <c r="WQQ51" s="136"/>
      <c r="WQR51" s="136"/>
      <c r="WQS51" s="136"/>
      <c r="WQT51" s="136"/>
      <c r="WQU51" s="136"/>
      <c r="WQV51" s="136"/>
      <c r="WQW51" s="136"/>
      <c r="WQX51" s="136"/>
      <c r="WQY51" s="136"/>
      <c r="WQZ51" s="136"/>
      <c r="WRA51" s="136"/>
      <c r="WRB51" s="136"/>
      <c r="WRC51" s="136"/>
      <c r="WRD51" s="136"/>
      <c r="WRE51" s="136"/>
      <c r="WRF51" s="136"/>
      <c r="WRG51" s="136"/>
      <c r="WRH51" s="136"/>
      <c r="WRI51" s="136"/>
      <c r="WRJ51" s="136"/>
      <c r="WRK51" s="136"/>
      <c r="WRL51" s="136"/>
      <c r="WRM51" s="136"/>
      <c r="WRN51" s="136"/>
      <c r="WRO51" s="136"/>
      <c r="WRP51" s="136"/>
      <c r="WRQ51" s="136"/>
      <c r="WRR51" s="136"/>
      <c r="WRS51" s="136"/>
      <c r="WRT51" s="136"/>
      <c r="WRU51" s="136"/>
      <c r="WRV51" s="136"/>
      <c r="WRW51" s="136"/>
      <c r="WRX51" s="136"/>
      <c r="WRY51" s="136"/>
      <c r="WRZ51" s="136"/>
      <c r="WSA51" s="136"/>
      <c r="WSB51" s="136"/>
      <c r="WSC51" s="136"/>
      <c r="WSD51" s="136"/>
      <c r="WSE51" s="136"/>
      <c r="WSF51" s="136"/>
      <c r="WSG51" s="136"/>
      <c r="WSH51" s="136"/>
      <c r="WSI51" s="136"/>
      <c r="WSJ51" s="136"/>
      <c r="WSK51" s="136"/>
      <c r="WSL51" s="136"/>
      <c r="WSM51" s="136"/>
      <c r="WSN51" s="136"/>
      <c r="WSO51" s="136"/>
      <c r="WSP51" s="136"/>
      <c r="WSQ51" s="136"/>
      <c r="WSR51" s="136"/>
      <c r="WSS51" s="136"/>
      <c r="WST51" s="136"/>
      <c r="WSU51" s="136"/>
      <c r="WSV51" s="136"/>
      <c r="WSW51" s="136"/>
      <c r="WSX51" s="136"/>
      <c r="WSY51" s="136"/>
      <c r="WSZ51" s="136"/>
      <c r="WTA51" s="136"/>
      <c r="WTB51" s="136"/>
      <c r="WTC51" s="136"/>
      <c r="WTD51" s="136"/>
      <c r="WTE51" s="136"/>
      <c r="WTF51" s="136"/>
      <c r="WTG51" s="136"/>
      <c r="WTH51" s="136"/>
      <c r="WTI51" s="136"/>
      <c r="WTJ51" s="136"/>
      <c r="WTK51" s="136"/>
      <c r="WTL51" s="136"/>
      <c r="WTM51" s="136"/>
      <c r="WTN51" s="136"/>
      <c r="WTO51" s="136"/>
      <c r="WTP51" s="136"/>
      <c r="WTQ51" s="136"/>
      <c r="WTR51" s="136"/>
      <c r="WTS51" s="136"/>
      <c r="WTT51" s="136"/>
      <c r="WTU51" s="136"/>
      <c r="WTV51" s="136"/>
      <c r="WTW51" s="136"/>
      <c r="WTX51" s="136"/>
      <c r="WTY51" s="136"/>
      <c r="WTZ51" s="136"/>
      <c r="WUA51" s="136"/>
      <c r="WUB51" s="136"/>
      <c r="WUC51" s="136"/>
      <c r="WUD51" s="136"/>
      <c r="WUE51" s="136"/>
      <c r="WUF51" s="136"/>
      <c r="WUG51" s="136"/>
      <c r="WUH51" s="136"/>
      <c r="WUI51" s="136"/>
      <c r="WUJ51" s="136"/>
      <c r="WUK51" s="136"/>
      <c r="WUL51" s="136"/>
      <c r="WUM51" s="136"/>
      <c r="WUN51" s="136"/>
      <c r="WUO51" s="136"/>
      <c r="WUP51" s="136"/>
      <c r="WUQ51" s="136"/>
      <c r="WUR51" s="136"/>
      <c r="WUS51" s="136"/>
      <c r="WUT51" s="136"/>
      <c r="WUU51" s="136"/>
      <c r="WUV51" s="136"/>
      <c r="WUW51" s="136"/>
      <c r="WUX51" s="136"/>
      <c r="WUY51" s="136"/>
      <c r="WUZ51" s="136"/>
      <c r="WVA51" s="136"/>
      <c r="WVB51" s="136"/>
      <c r="WVC51" s="136"/>
      <c r="WVD51" s="136"/>
      <c r="WVE51" s="136"/>
      <c r="WVF51" s="136"/>
      <c r="WVG51" s="136"/>
      <c r="WVH51" s="136"/>
      <c r="WVI51" s="136"/>
      <c r="WVJ51" s="136"/>
      <c r="WVK51" s="136"/>
      <c r="WVL51" s="136"/>
      <c r="WVM51" s="136"/>
      <c r="WVN51" s="136"/>
      <c r="WVO51" s="136"/>
      <c r="WVP51" s="136"/>
      <c r="WVQ51" s="136"/>
      <c r="WVR51" s="136"/>
      <c r="WVS51" s="136"/>
      <c r="WVT51" s="136"/>
      <c r="WVU51" s="136"/>
      <c r="WVV51" s="136"/>
      <c r="WVW51" s="136"/>
      <c r="WVX51" s="136"/>
      <c r="WVY51" s="136"/>
      <c r="WVZ51" s="136"/>
      <c r="WWA51" s="136"/>
      <c r="WWB51" s="136"/>
      <c r="WWC51" s="136"/>
      <c r="WWD51" s="136"/>
      <c r="WWE51" s="136"/>
      <c r="WWF51" s="136"/>
      <c r="WWG51" s="136"/>
      <c r="WWH51" s="136"/>
      <c r="WWI51" s="136"/>
      <c r="WWJ51" s="136"/>
      <c r="WWK51" s="136"/>
      <c r="WWL51" s="136"/>
      <c r="WWM51" s="136"/>
      <c r="WWN51" s="136"/>
      <c r="WWO51" s="136"/>
      <c r="WWP51" s="136"/>
      <c r="WWQ51" s="136"/>
      <c r="WWR51" s="136"/>
      <c r="WWS51" s="136"/>
      <c r="WWT51" s="136"/>
      <c r="WWU51" s="136"/>
      <c r="WWV51" s="136"/>
      <c r="WWW51" s="136"/>
      <c r="WWX51" s="136"/>
      <c r="WWY51" s="136"/>
      <c r="WWZ51" s="136"/>
      <c r="WXA51" s="136"/>
      <c r="WXB51" s="136"/>
      <c r="WXC51" s="136"/>
      <c r="WXD51" s="136"/>
      <c r="WXE51" s="136"/>
      <c r="WXF51" s="136"/>
      <c r="WXG51" s="136"/>
      <c r="WXH51" s="136"/>
      <c r="WXI51" s="136"/>
      <c r="WXJ51" s="136"/>
      <c r="WXK51" s="136"/>
      <c r="WXL51" s="136"/>
      <c r="WXM51" s="136"/>
      <c r="WXN51" s="136"/>
      <c r="WXO51" s="136"/>
      <c r="WXP51" s="136"/>
      <c r="WXQ51" s="136"/>
      <c r="WXR51" s="136"/>
      <c r="WXS51" s="136"/>
      <c r="WXT51" s="136"/>
      <c r="WXU51" s="136"/>
      <c r="WXV51" s="136"/>
      <c r="WXW51" s="136"/>
      <c r="WXX51" s="136"/>
      <c r="WXY51" s="136"/>
      <c r="WXZ51" s="136"/>
      <c r="WYA51" s="136"/>
      <c r="WYB51" s="136"/>
      <c r="WYC51" s="136"/>
      <c r="WYD51" s="136"/>
      <c r="WYE51" s="136"/>
      <c r="WYF51" s="136"/>
      <c r="WYG51" s="136"/>
      <c r="WYH51" s="136"/>
      <c r="WYI51" s="136"/>
      <c r="WYJ51" s="136"/>
      <c r="WYK51" s="136"/>
      <c r="WYL51" s="136"/>
      <c r="WYM51" s="136"/>
      <c r="WYN51" s="136"/>
      <c r="WYO51" s="136"/>
      <c r="WYP51" s="136"/>
      <c r="WYQ51" s="136"/>
      <c r="WYR51" s="136"/>
      <c r="WYS51" s="136"/>
      <c r="WYT51" s="136"/>
      <c r="WYU51" s="136"/>
      <c r="WYV51" s="136"/>
      <c r="WYW51" s="136"/>
      <c r="WYX51" s="136"/>
      <c r="WYY51" s="136"/>
      <c r="WYZ51" s="136"/>
      <c r="WZA51" s="136"/>
      <c r="WZB51" s="136"/>
      <c r="WZC51" s="136"/>
      <c r="WZD51" s="136"/>
      <c r="WZE51" s="136"/>
      <c r="WZF51" s="136"/>
      <c r="WZG51" s="136"/>
      <c r="WZH51" s="136"/>
      <c r="WZI51" s="136"/>
      <c r="WZJ51" s="136"/>
      <c r="WZK51" s="136"/>
      <c r="WZL51" s="136"/>
      <c r="WZM51" s="136"/>
      <c r="WZN51" s="136"/>
      <c r="WZO51" s="136"/>
      <c r="WZP51" s="136"/>
      <c r="WZQ51" s="136"/>
      <c r="WZR51" s="136"/>
      <c r="WZS51" s="136"/>
      <c r="WZT51" s="136"/>
      <c r="WZU51" s="136"/>
      <c r="WZV51" s="136"/>
      <c r="WZW51" s="136"/>
      <c r="WZX51" s="136"/>
      <c r="WZY51" s="136"/>
      <c r="WZZ51" s="136"/>
      <c r="XAA51" s="136"/>
      <c r="XAB51" s="136"/>
      <c r="XAC51" s="136"/>
      <c r="XAD51" s="136"/>
      <c r="XAE51" s="136"/>
      <c r="XAF51" s="136"/>
      <c r="XAG51" s="136"/>
      <c r="XAH51" s="136"/>
      <c r="XAI51" s="136"/>
      <c r="XAJ51" s="136"/>
      <c r="XAK51" s="136"/>
      <c r="XAL51" s="136"/>
      <c r="XAM51" s="136"/>
      <c r="XAN51" s="136"/>
      <c r="XAO51" s="136"/>
      <c r="XAP51" s="136"/>
      <c r="XAQ51" s="136"/>
      <c r="XAR51" s="136"/>
      <c r="XAS51" s="136"/>
      <c r="XAT51" s="136"/>
      <c r="XAU51" s="136"/>
      <c r="XAV51" s="136"/>
      <c r="XAW51" s="136"/>
      <c r="XAX51" s="136"/>
      <c r="XAY51" s="136"/>
      <c r="XAZ51" s="136"/>
      <c r="XBA51" s="136"/>
      <c r="XBB51" s="136"/>
      <c r="XBC51" s="136"/>
      <c r="XBD51" s="136"/>
      <c r="XBE51" s="136"/>
      <c r="XBF51" s="136"/>
      <c r="XBG51" s="136"/>
      <c r="XBH51" s="136"/>
      <c r="XBI51" s="136"/>
      <c r="XBJ51" s="136"/>
      <c r="XBK51" s="136"/>
      <c r="XBL51" s="136"/>
      <c r="XBM51" s="136"/>
      <c r="XBN51" s="136"/>
      <c r="XBO51" s="136"/>
      <c r="XBP51" s="136"/>
      <c r="XBQ51" s="136"/>
      <c r="XBR51" s="136"/>
      <c r="XBS51" s="136"/>
      <c r="XBT51" s="136"/>
      <c r="XBU51" s="136"/>
      <c r="XBV51" s="136"/>
      <c r="XBW51" s="136"/>
      <c r="XBX51" s="136"/>
      <c r="XBY51" s="136"/>
      <c r="XBZ51" s="136"/>
      <c r="XCA51" s="136"/>
      <c r="XCB51" s="136"/>
      <c r="XCC51" s="136"/>
      <c r="XCD51" s="136"/>
      <c r="XCE51" s="136"/>
      <c r="XCF51" s="136"/>
      <c r="XCG51" s="136"/>
      <c r="XCH51" s="136"/>
      <c r="XCI51" s="136"/>
      <c r="XCJ51" s="136"/>
      <c r="XCK51" s="136"/>
      <c r="XCL51" s="136"/>
      <c r="XCM51" s="136"/>
      <c r="XCN51" s="136"/>
      <c r="XCO51" s="136"/>
      <c r="XCP51" s="136"/>
      <c r="XCQ51" s="136"/>
      <c r="XCR51" s="136"/>
      <c r="XCS51" s="136"/>
      <c r="XCT51" s="136"/>
      <c r="XCU51" s="136"/>
      <c r="XCV51" s="136"/>
      <c r="XCW51" s="136"/>
      <c r="XCX51" s="136"/>
      <c r="XCY51" s="136"/>
      <c r="XCZ51" s="136"/>
      <c r="XDA51" s="136"/>
      <c r="XDB51" s="136"/>
      <c r="XDC51" s="136"/>
      <c r="XDD51" s="136"/>
      <c r="XDE51" s="136"/>
      <c r="XDF51" s="136"/>
      <c r="XDG51" s="136"/>
      <c r="XDH51" s="136"/>
      <c r="XDI51" s="136"/>
      <c r="XDJ51" s="136"/>
      <c r="XDK51" s="136"/>
      <c r="XDL51" s="136"/>
      <c r="XDM51" s="136"/>
      <c r="XDN51" s="136"/>
      <c r="XDO51" s="136"/>
      <c r="XDP51" s="136"/>
      <c r="XDQ51" s="136"/>
      <c r="XDR51" s="136"/>
      <c r="XDS51" s="136"/>
      <c r="XDT51" s="136"/>
      <c r="XDU51" s="136"/>
      <c r="XDV51" s="136"/>
      <c r="XDW51" s="136"/>
      <c r="XDX51" s="136"/>
      <c r="XDY51" s="136"/>
      <c r="XDZ51" s="136"/>
      <c r="XEA51" s="136"/>
      <c r="XEB51" s="136"/>
      <c r="XEC51" s="136"/>
      <c r="XED51" s="136"/>
      <c r="XEE51" s="136"/>
      <c r="XEF51" s="136"/>
      <c r="XEG51" s="136"/>
      <c r="XEH51" s="136"/>
      <c r="XEI51" s="136"/>
      <c r="XEJ51" s="136"/>
      <c r="XEK51" s="136"/>
      <c r="XEL51" s="136"/>
      <c r="XEM51" s="136"/>
      <c r="XEN51" s="136"/>
      <c r="XEO51" s="136"/>
      <c r="XEP51" s="136"/>
      <c r="XEQ51" s="136"/>
      <c r="XER51" s="136"/>
      <c r="XES51" s="136"/>
      <c r="XET51" s="136"/>
      <c r="XEU51" s="136"/>
      <c r="XEV51" s="136"/>
      <c r="XEW51" s="136"/>
      <c r="XEX51" s="136"/>
      <c r="XEY51" s="136"/>
      <c r="XEZ51" s="136"/>
      <c r="XFA51" s="136"/>
      <c r="XFB51" s="136"/>
      <c r="XFC51" s="136"/>
      <c r="XFD51" s="136"/>
    </row>
  </sheetData>
  <mergeCells count="29">
    <mergeCell ref="A14:A26"/>
    <mergeCell ref="B17:C17"/>
    <mergeCell ref="B18:C18"/>
    <mergeCell ref="B19:C19"/>
    <mergeCell ref="B20:C20"/>
    <mergeCell ref="B21:C21"/>
    <mergeCell ref="B22:C22"/>
    <mergeCell ref="B23:C23"/>
    <mergeCell ref="B24:C24"/>
    <mergeCell ref="B25:C25"/>
    <mergeCell ref="B26:C26"/>
    <mergeCell ref="B16:C16"/>
    <mergeCell ref="B14:C14"/>
    <mergeCell ref="B15:C15"/>
    <mergeCell ref="A1:W1"/>
    <mergeCell ref="B3:C3"/>
    <mergeCell ref="A4:A7"/>
    <mergeCell ref="B9:C9"/>
    <mergeCell ref="AG3:AH3"/>
    <mergeCell ref="AG4:AH4"/>
    <mergeCell ref="AG5:AH5"/>
    <mergeCell ref="AG6:AH6"/>
    <mergeCell ref="AG8:AI8"/>
    <mergeCell ref="AG12:AH12"/>
    <mergeCell ref="A10:A13"/>
    <mergeCell ref="AG9:AH9"/>
    <mergeCell ref="AG10:AH10"/>
    <mergeCell ref="B8:C8"/>
    <mergeCell ref="AG11:AH11"/>
  </mergeCells>
  <conditionalFormatting sqref="D19:O26">
    <cfRule type="cellIs" dxfId="0" priority="1" operator="greaterThan">
      <formula>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BD2F-7559-5F4E-BE1A-F3458C958AEB}">
  <dimension ref="A1:B15"/>
  <sheetViews>
    <sheetView workbookViewId="0">
      <selection activeCell="B7" sqref="B7"/>
    </sheetView>
  </sheetViews>
  <sheetFormatPr baseColWidth="10" defaultRowHeight="16"/>
  <cols>
    <col min="1" max="1" width="24" customWidth="1"/>
    <col min="2" max="2" width="235.6640625" bestFit="1" customWidth="1"/>
  </cols>
  <sheetData>
    <row r="1" spans="1:2">
      <c r="A1" s="267" t="s">
        <v>483</v>
      </c>
      <c r="B1" t="s">
        <v>484</v>
      </c>
    </row>
    <row r="2" spans="1:2">
      <c r="A2" s="267"/>
      <c r="B2" t="s">
        <v>485</v>
      </c>
    </row>
    <row r="3" spans="1:2">
      <c r="A3" s="267"/>
      <c r="B3" t="s">
        <v>488</v>
      </c>
    </row>
    <row r="4" spans="1:2">
      <c r="A4" s="267" t="s">
        <v>391</v>
      </c>
      <c r="B4" t="s">
        <v>486</v>
      </c>
    </row>
    <row r="5" spans="1:2">
      <c r="A5" s="267"/>
      <c r="B5" t="s">
        <v>487</v>
      </c>
    </row>
    <row r="6" spans="1:2">
      <c r="A6" s="267" t="s">
        <v>135</v>
      </c>
      <c r="B6" s="192" t="s">
        <v>489</v>
      </c>
    </row>
    <row r="7" spans="1:2">
      <c r="A7" s="267"/>
      <c r="B7" t="s">
        <v>490</v>
      </c>
    </row>
    <row r="8" spans="1:2">
      <c r="A8" s="267"/>
      <c r="B8" s="192" t="s">
        <v>491</v>
      </c>
    </row>
    <row r="9" spans="1:2">
      <c r="A9" s="267"/>
      <c r="B9" t="s">
        <v>492</v>
      </c>
    </row>
    <row r="10" spans="1:2">
      <c r="A10" s="187" t="s">
        <v>443</v>
      </c>
      <c r="B10" s="192" t="s">
        <v>493</v>
      </c>
    </row>
    <row r="11" spans="1:2">
      <c r="A11" s="267" t="s">
        <v>390</v>
      </c>
      <c r="B11" s="192" t="s">
        <v>494</v>
      </c>
    </row>
    <row r="12" spans="1:2">
      <c r="A12" s="267"/>
      <c r="B12" t="s">
        <v>495</v>
      </c>
    </row>
    <row r="13" spans="1:2">
      <c r="A13" s="267"/>
      <c r="B13" t="s">
        <v>496</v>
      </c>
    </row>
    <row r="14" spans="1:2">
      <c r="A14" s="267" t="s">
        <v>497</v>
      </c>
      <c r="B14" t="s">
        <v>498</v>
      </c>
    </row>
    <row r="15" spans="1:2">
      <c r="A15" s="267"/>
      <c r="B15" t="s">
        <v>499</v>
      </c>
    </row>
  </sheetData>
  <mergeCells count="5">
    <mergeCell ref="A1:A3"/>
    <mergeCell ref="A4:A5"/>
    <mergeCell ref="A6:A9"/>
    <mergeCell ref="A11: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PROJETS</vt:lpstr>
      <vt:lpstr>BOISEMENT</vt:lpstr>
      <vt:lpstr>COEFFICIENTS</vt:lpstr>
      <vt:lpstr>REF BOIS.</vt:lpstr>
      <vt:lpstr>RECONSTITUTION</vt:lpstr>
      <vt:lpstr>ITI. FEUILLUS</vt:lpstr>
      <vt:lpstr>ITI. RESINEUX</vt:lpstr>
      <vt:lpstr>Bibliographie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Carole Renner</dc:creator>
  <cp:lastModifiedBy>Microsoft Office User</cp:lastModifiedBy>
  <dcterms:created xsi:type="dcterms:W3CDTF">2019-03-11T07:44:30Z</dcterms:created>
  <dcterms:modified xsi:type="dcterms:W3CDTF">2019-11-13T10:58:13Z</dcterms:modified>
</cp:coreProperties>
</file>