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12 - Réseau (Combettes - La Poste n° 7)\Dossier labellisation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D9" i="1"/>
  <c r="B9" i="1"/>
  <c r="L6" i="1"/>
  <c r="L5" i="1"/>
  <c r="B6" i="1" l="1"/>
  <c r="L4" i="1"/>
  <c r="L14" i="1" s="1"/>
  <c r="L11" i="1"/>
  <c r="L12" i="1"/>
  <c r="L13" i="1"/>
  <c r="G12" i="1" l="1"/>
  <c r="G13" i="1" l="1"/>
  <c r="D13" i="1"/>
  <c r="B13" i="1"/>
  <c r="F13" i="1" l="1"/>
  <c r="B11" i="1" l="1"/>
  <c r="F12" i="1"/>
  <c r="D12" i="1"/>
  <c r="B12" i="1"/>
  <c r="H12" i="1" s="1"/>
  <c r="M12" i="1" s="1"/>
  <c r="H13" i="1" l="1"/>
  <c r="M13" i="1" s="1"/>
  <c r="B10" i="1" l="1"/>
  <c r="F11" i="1"/>
  <c r="D11" i="1" l="1"/>
  <c r="G10" i="1" l="1"/>
  <c r="F10" i="1"/>
  <c r="D10" i="1"/>
  <c r="G11" i="1" l="1"/>
  <c r="G8" i="1"/>
  <c r="F8" i="1"/>
  <c r="D8" i="1"/>
  <c r="B8" i="1"/>
  <c r="G7" i="1"/>
  <c r="F7" i="1"/>
  <c r="D7" i="1"/>
  <c r="B7" i="1" l="1"/>
  <c r="G6" i="1" l="1"/>
  <c r="F6" i="1"/>
  <c r="D6" i="1"/>
  <c r="H7" i="1"/>
  <c r="H8" i="1"/>
  <c r="H10" i="1"/>
  <c r="M10" i="1" s="1"/>
  <c r="G5" i="1"/>
  <c r="F5" i="1"/>
  <c r="D5" i="1"/>
  <c r="B5" i="1"/>
  <c r="H5" i="1" l="1"/>
  <c r="M5" i="1" s="1"/>
  <c r="H6" i="1"/>
  <c r="M6" i="1" s="1"/>
  <c r="G4" i="1"/>
  <c r="F4" i="1"/>
  <c r="D4" i="1"/>
  <c r="B4" i="1"/>
  <c r="M7" i="1"/>
  <c r="M8" i="1"/>
  <c r="G3" i="1"/>
  <c r="F3" i="1"/>
  <c r="D3" i="1"/>
  <c r="C3" i="1"/>
  <c r="C9" i="1" s="1"/>
  <c r="H9" i="1" s="1"/>
  <c r="M9" i="1" s="1"/>
  <c r="B3" i="1"/>
  <c r="B15" i="1" l="1"/>
  <c r="B17" i="1"/>
  <c r="B18" i="1" s="1"/>
  <c r="B19" i="1"/>
  <c r="B20" i="1" s="1"/>
  <c r="H4" i="1"/>
  <c r="M4" i="1" s="1"/>
  <c r="H3" i="1"/>
  <c r="M3" i="1" s="1"/>
  <c r="H11" i="1" l="1"/>
  <c r="M11" i="1" s="1"/>
  <c r="M14" i="1" s="1"/>
  <c r="B16" i="1"/>
  <c r="B21" i="1" l="1"/>
  <c r="B22" i="1" s="1"/>
</calcChain>
</file>

<file path=xl/sharedStrings.xml><?xml version="1.0" encoding="utf-8"?>
<sst xmlns="http://schemas.openxmlformats.org/spreadsheetml/2006/main" count="32" uniqueCount="32">
  <si>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</si>
  <si>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</si>
  <si>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</si>
  <si>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</si>
  <si>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</si>
  <si>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</si>
  <si>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</si>
  <si>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</si>
  <si>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</si>
  <si>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</si>
  <si>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</si>
  <si>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</si>
  <si>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</si>
  <si>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</si>
  <si>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</si>
  <si>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</si>
  <si>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</si>
  <si>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</si>
  <si>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</si>
  <si>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</si>
  <si>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Risque incendie</t>
  </si>
  <si>
    <t>Douglas sur culture</t>
  </si>
  <si>
    <t>Douglas sur lande</t>
  </si>
  <si>
    <t>Douglas sur prairie</t>
  </si>
  <si>
    <t>Pin laricio de Corse sur prairie</t>
  </si>
  <si>
    <t>Mélèze d'Europe sur prairie</t>
  </si>
  <si>
    <t>Pin sylvestre sur prairie</t>
  </si>
  <si>
    <t>Merisier sur prairie</t>
  </si>
  <si>
    <t>Erable sycomore sur prairie</t>
  </si>
  <si>
    <t>Chêne rouge sur prairie</t>
  </si>
  <si>
    <t>Sapin de Bornmüller sur prairie</t>
  </si>
  <si>
    <t>Pin sylvestre sur ancienne vigne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</si>
</sst>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0" xfId="0" applyNumberFormat="1"/>
    <xf numFmtId="164" fontId="1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1" fontId="0" fillId="6" borderId="1" xfId="0" applyNumberForma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CCI_OG/Documents/Olivier/Forest%20CO2/C6%20&amp;%20C7%20-%20Projets%20carbone/La%20Poste/12%20-%20R&#233;seau%20(Combettes%20-%20La%20Poste%20n&#176;%207)/Quantification%20dougla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Quantification%20CO2%20&#233;rable%20sycomor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rable%20sycomor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roug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O2%20ch&#234;ne%20rou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CCI_OG/Documents/Olivier/Forest%20CO2/C6%20&amp;%20C7%20-%20Projets%20carbone/La%20Poste/12%20-%20R&#233;seau%20(Combettes%20-%20La%20Poste%20n&#176;%207)/Quantification%20douglas%20sur%20land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%20sur%20prairi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laricio%20de%20Corse%20sur%20prairi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CCI_OG/Documents/Olivier/Forest%20CO2/C6%20&amp;%20C7%20-%20Projets%20carbone/La%20Poste/12%20-%20R&#233;seau%20(Combettes%20-%20La%20Poste%20n&#176;%207)/Quantification%20pin%20laricio%20de%20Cor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m&#233;l&#232;ze%20d'Europ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sylvest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sapi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O2%20merisi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  <sheetName val="Itinéraire douglas"/>
    </sheetNames>
    <sheetDataSet>
      <sheetData sheetId="0" refreshError="1"/>
      <sheetData sheetId="1">
        <row r="6">
          <cell r="V6">
            <v>350.27855156543518</v>
          </cell>
        </row>
        <row r="7">
          <cell r="V7">
            <v>37.44075826637529</v>
          </cell>
        </row>
        <row r="8">
          <cell r="V8">
            <v>36.666666666666664</v>
          </cell>
        </row>
        <row r="13">
          <cell r="V13">
            <v>31.39</v>
          </cell>
        </row>
        <row r="14">
          <cell r="V14">
            <v>4.9297885538652837</v>
          </cell>
        </row>
      </sheetData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</sheetNames>
    <sheetDataSet>
      <sheetData sheetId="0" refreshError="1"/>
      <sheetData sheetId="1">
        <row r="6">
          <cell r="R6">
            <v>148.09141464287526</v>
          </cell>
        </row>
        <row r="8">
          <cell r="R8">
            <v>36.666666666666664</v>
          </cell>
        </row>
        <row r="14">
          <cell r="R14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Quantification"/>
    </sheetNames>
    <sheetDataSet>
      <sheetData sheetId="0"/>
      <sheetData sheetId="1">
        <row r="13">
          <cell r="R13">
            <v>24.774999999999999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</sheetNames>
    <sheetDataSet>
      <sheetData sheetId="0"/>
      <sheetData sheetId="1">
        <row r="6">
          <cell r="S6">
            <v>256.82004003067874</v>
          </cell>
        </row>
        <row r="8">
          <cell r="S8">
            <v>36.666666666666664</v>
          </cell>
        </row>
        <row r="13">
          <cell r="S13">
            <v>23.5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  <sheetName val="Interpolation linéaire"/>
    </sheetNames>
    <sheetDataSet>
      <sheetData sheetId="0" refreshError="1"/>
      <sheetData sheetId="1">
        <row r="6">
          <cell r="S6">
            <v>288.38717282309659</v>
          </cell>
        </row>
        <row r="14">
          <cell r="S14">
            <v>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  <sheetName val="Itinéraire douglas"/>
    </sheetNames>
    <sheetDataSet>
      <sheetData sheetId="0" refreshError="1"/>
      <sheetData sheetId="1">
        <row r="7">
          <cell r="Y7">
            <v>278.01672886271598</v>
          </cell>
        </row>
        <row r="9">
          <cell r="Y9">
            <v>36.666666666666664</v>
          </cell>
        </row>
        <row r="14">
          <cell r="Y14">
            <v>31.39</v>
          </cell>
        </row>
        <row r="15">
          <cell r="Y15">
            <v>4.9297885538652837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  <sheetName val="Itinéraire douglas"/>
    </sheetNames>
    <sheetDataSet>
      <sheetData sheetId="0"/>
      <sheetData sheetId="1">
        <row r="6">
          <cell r="V6">
            <v>350.27855156543518</v>
          </cell>
        </row>
        <row r="8">
          <cell r="V8">
            <v>36.666666666666664</v>
          </cell>
        </row>
        <row r="13">
          <cell r="V13">
            <v>31.39</v>
          </cell>
        </row>
        <row r="14">
          <cell r="V14">
            <v>4.9297885538652837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entrée"/>
      <sheetName val="d e affichage"/>
      <sheetName val="Modèle"/>
      <sheetName val="Paramètres"/>
      <sheetName val="Interpolation pin laricio"/>
    </sheetNames>
    <sheetDataSet>
      <sheetData sheetId="0" refreshError="1"/>
      <sheetData sheetId="1" refreshError="1"/>
      <sheetData sheetId="2">
        <row r="6">
          <cell r="U6">
            <v>157.24900914818096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entrée"/>
      <sheetName val="d e affichage"/>
      <sheetName val="Modèle"/>
      <sheetName val="Paramètres"/>
      <sheetName val="Interpolation pin laricio"/>
    </sheetNames>
    <sheetDataSet>
      <sheetData sheetId="0" refreshError="1"/>
      <sheetData sheetId="1" refreshError="1"/>
      <sheetData sheetId="2">
        <row r="6">
          <cell r="U6">
            <v>140.37385769273629</v>
          </cell>
        </row>
        <row r="8">
          <cell r="U8">
            <v>36.666666666666664</v>
          </cell>
        </row>
        <row r="13">
          <cell r="U13">
            <v>12.04</v>
          </cell>
        </row>
        <row r="14">
          <cell r="U14">
            <v>0.88172127167292624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T6">
            <v>197.6491099279622</v>
          </cell>
        </row>
        <row r="7">
          <cell r="T7">
            <v>36.666666666666664</v>
          </cell>
        </row>
        <row r="13">
          <cell r="T13">
            <v>55.04</v>
          </cell>
        </row>
        <row r="14">
          <cell r="T14">
            <v>3.6548966463618209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  <sheetName val="Interpolation pin sylvestre"/>
    </sheetNames>
    <sheetDataSet>
      <sheetData sheetId="0"/>
      <sheetData sheetId="1">
        <row r="6">
          <cell r="U6">
            <v>131.15668948336949</v>
          </cell>
        </row>
        <row r="8">
          <cell r="U8">
            <v>36.666666666666664</v>
          </cell>
        </row>
        <row r="13">
          <cell r="U13">
            <v>15.049999999999999</v>
          </cell>
        </row>
        <row r="14">
          <cell r="U14">
            <v>0.97710986776404973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</sheetNames>
    <sheetDataSet>
      <sheetData sheetId="0"/>
      <sheetData sheetId="1">
        <row r="6">
          <cell r="U6">
            <v>91.659494194492396</v>
          </cell>
        </row>
        <row r="8">
          <cell r="U8">
            <v>36.666666666666664</v>
          </cell>
        </row>
        <row r="13">
          <cell r="U13">
            <v>0</v>
          </cell>
        </row>
        <row r="14">
          <cell r="U14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e affichage"/>
      <sheetName val="Modèle"/>
    </sheetNames>
    <sheetDataSet>
      <sheetData sheetId="0" refreshError="1"/>
      <sheetData sheetId="1">
        <row r="6">
          <cell r="V6">
            <v>112.58307577792053</v>
          </cell>
        </row>
        <row r="8">
          <cell r="V8">
            <v>36.666666666666664</v>
          </cell>
        </row>
        <row r="13">
          <cell r="V13">
            <v>13.75</v>
          </cell>
        </row>
        <row r="14">
          <cell r="V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M14" sqref="M14"/>
    </sheetView>
  </sheetViews>
  <sheetFormatPr baseColWidth="10" defaultRowHeight="15" x14ac:dyDescent="0.25"/>
  <cols>
    <col min="1" max="1" width="29.28515625" bestFit="1" customWidth="1"/>
    <col min="2" max="2" width="9.28515625" bestFit="1" customWidth="1"/>
    <col min="3" max="3" width="3.7109375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140625" bestFit="1" customWidth="1"/>
    <col min="11" max="11" width="16.140625" customWidth="1"/>
    <col min="13" max="13" width="10" bestFit="1" customWidth="1"/>
  </cols>
  <sheetData>
    <row r="1" spans="1:13" ht="15" customHeight="1" x14ac:dyDescent="0.25">
      <c r="A1" s="1"/>
      <c r="B1" s="28" t="s">
        <v>8</v>
      </c>
      <c r="C1" s="28"/>
      <c r="D1" s="28"/>
      <c r="E1" s="28"/>
      <c r="F1" s="29" t="s">
        <v>9</v>
      </c>
      <c r="G1" s="31" t="s">
        <v>10</v>
      </c>
      <c r="H1" s="26" t="s">
        <v>11</v>
      </c>
      <c r="I1" s="33" t="s">
        <v>12</v>
      </c>
      <c r="J1" s="33" t="s">
        <v>13</v>
      </c>
      <c r="K1" s="34" t="s">
        <v>20</v>
      </c>
      <c r="L1" s="26" t="s">
        <v>14</v>
      </c>
      <c r="M1" s="27" t="s">
        <v>7</v>
      </c>
    </row>
    <row r="2" spans="1:13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30"/>
      <c r="G2" s="32"/>
      <c r="H2" s="26"/>
      <c r="I2" s="26"/>
      <c r="J2" s="33"/>
      <c r="K2" s="35"/>
      <c r="L2" s="26"/>
      <c r="M2" s="27"/>
    </row>
    <row r="3" spans="1:13" x14ac:dyDescent="0.25">
      <c r="A3" s="7" t="s">
        <v>21</v>
      </c>
      <c r="B3" s="11">
        <f>[1]Modèle!$V$6</f>
        <v>350.27855156543518</v>
      </c>
      <c r="C3" s="11">
        <f>[1]Modèle!$V$7</f>
        <v>37.44075826637529</v>
      </c>
      <c r="D3" s="11">
        <f>[1]Modèle!$V$8</f>
        <v>36.666666666666664</v>
      </c>
      <c r="E3" s="12">
        <v>0</v>
      </c>
      <c r="F3" s="14">
        <f>[1]Modèle!$V$14</f>
        <v>4.9297885538652837</v>
      </c>
      <c r="G3" s="15">
        <f>[1]Modèle!$V$13</f>
        <v>31.39</v>
      </c>
      <c r="H3" s="8">
        <f>SUM(B3:G3)</f>
        <v>460.70576505234243</v>
      </c>
      <c r="I3" s="9">
        <v>0.05</v>
      </c>
      <c r="J3" s="9">
        <v>0.1</v>
      </c>
      <c r="K3" s="9">
        <v>0</v>
      </c>
      <c r="L3" s="21">
        <v>1.35</v>
      </c>
      <c r="M3" s="13">
        <f>H3*(100%-I3)*(100%-J3)*(100%-K3)*L3</f>
        <v>531.76962931166634</v>
      </c>
    </row>
    <row r="4" spans="1:13" x14ac:dyDescent="0.25">
      <c r="A4" s="7" t="s">
        <v>22</v>
      </c>
      <c r="B4" s="11">
        <f>[2]Modèle!$Y$7</f>
        <v>278.01672886271598</v>
      </c>
      <c r="C4" s="12">
        <v>0</v>
      </c>
      <c r="D4" s="11">
        <f>[2]Modèle!$Y$9</f>
        <v>36.666666666666664</v>
      </c>
      <c r="E4" s="12">
        <v>0</v>
      </c>
      <c r="F4" s="14">
        <f>[2]Modèle!$Y$15</f>
        <v>4.9297885538652837</v>
      </c>
      <c r="G4" s="15">
        <f>[2]Modèle!$Y$14</f>
        <v>31.39</v>
      </c>
      <c r="H4" s="8">
        <f t="shared" ref="H4:H13" si="0">SUM(B4:G4)</f>
        <v>351.00318408324796</v>
      </c>
      <c r="I4" s="9">
        <v>0.05</v>
      </c>
      <c r="J4" s="9">
        <v>0.1</v>
      </c>
      <c r="K4" s="9">
        <v>0</v>
      </c>
      <c r="L4" s="25">
        <f>0.65</f>
        <v>0.65</v>
      </c>
      <c r="M4" s="13">
        <f t="shared" ref="M4:M13" si="1">H4*(100%-I4)*(100%-J4)*(100%-K4)*L4</f>
        <v>195.07001955426506</v>
      </c>
    </row>
    <row r="5" spans="1:13" x14ac:dyDescent="0.25">
      <c r="A5" s="7" t="s">
        <v>23</v>
      </c>
      <c r="B5" s="11">
        <f>[3]Modèle!$V$6</f>
        <v>350.27855156543518</v>
      </c>
      <c r="C5" s="11">
        <v>0</v>
      </c>
      <c r="D5" s="11">
        <f>[3]Modèle!$V$8</f>
        <v>36.666666666666664</v>
      </c>
      <c r="E5" s="12">
        <v>0</v>
      </c>
      <c r="F5" s="14">
        <f>[3]Modèle!$V$14</f>
        <v>4.9297885538652837</v>
      </c>
      <c r="G5" s="15">
        <f>[3]Modèle!$V$13</f>
        <v>31.39</v>
      </c>
      <c r="H5" s="8">
        <f t="shared" si="0"/>
        <v>423.26500678596716</v>
      </c>
      <c r="I5" s="9">
        <v>0.05</v>
      </c>
      <c r="J5" s="9">
        <v>0.1</v>
      </c>
      <c r="K5" s="9">
        <v>0</v>
      </c>
      <c r="L5" s="25">
        <f>0.55</f>
        <v>0.55000000000000004</v>
      </c>
      <c r="M5" s="13">
        <f t="shared" si="1"/>
        <v>199.04036944110106</v>
      </c>
    </row>
    <row r="6" spans="1:13" x14ac:dyDescent="0.25">
      <c r="A6" s="7" t="s">
        <v>24</v>
      </c>
      <c r="B6" s="11">
        <f>[4]Modèle!$U$6</f>
        <v>157.24900914818096</v>
      </c>
      <c r="C6" s="12">
        <v>0</v>
      </c>
      <c r="D6" s="11">
        <f>[5]Modèle!$U$8</f>
        <v>36.666666666666664</v>
      </c>
      <c r="E6" s="12">
        <v>0</v>
      </c>
      <c r="F6" s="14">
        <f>[5]Modèle!$U$14</f>
        <v>0.88172127167292624</v>
      </c>
      <c r="G6" s="15">
        <f>[5]Modèle!$U$13</f>
        <v>12.04</v>
      </c>
      <c r="H6" s="8">
        <f t="shared" si="0"/>
        <v>206.83739708652053</v>
      </c>
      <c r="I6" s="9">
        <v>0.05</v>
      </c>
      <c r="J6" s="9">
        <v>0.1</v>
      </c>
      <c r="K6" s="9">
        <v>0</v>
      </c>
      <c r="L6" s="25">
        <f>0.32</f>
        <v>0.32</v>
      </c>
      <c r="M6" s="13">
        <f t="shared" si="1"/>
        <v>56.590711842872018</v>
      </c>
    </row>
    <row r="7" spans="1:13" x14ac:dyDescent="0.25">
      <c r="A7" s="7" t="s">
        <v>25</v>
      </c>
      <c r="B7" s="11">
        <f>'[6]Quantification C'!$T$6</f>
        <v>197.6491099279622</v>
      </c>
      <c r="C7" s="12">
        <v>0</v>
      </c>
      <c r="D7" s="11">
        <f>'[6]Quantification C'!$T$7</f>
        <v>36.666666666666664</v>
      </c>
      <c r="E7" s="12">
        <v>0</v>
      </c>
      <c r="F7" s="14">
        <f>'[6]Quantification C'!$T$14</f>
        <v>3.6548966463618209</v>
      </c>
      <c r="G7" s="15">
        <f>'[6]Quantification C'!$T$13</f>
        <v>55.04</v>
      </c>
      <c r="H7" s="8">
        <f t="shared" si="0"/>
        <v>293.01067324099068</v>
      </c>
      <c r="I7" s="9">
        <v>0.05</v>
      </c>
      <c r="J7" s="9">
        <v>0.1</v>
      </c>
      <c r="K7" s="9">
        <v>0</v>
      </c>
      <c r="L7" s="25">
        <v>1.7</v>
      </c>
      <c r="M7" s="13">
        <f t="shared" si="1"/>
        <v>425.89101355577992</v>
      </c>
    </row>
    <row r="8" spans="1:13" x14ac:dyDescent="0.25">
      <c r="A8" s="7" t="s">
        <v>26</v>
      </c>
      <c r="B8" s="11">
        <f>[7]Modèle!$U$6</f>
        <v>131.15668948336949</v>
      </c>
      <c r="C8" s="11">
        <v>0</v>
      </c>
      <c r="D8" s="11">
        <f>[7]Modèle!$U$8</f>
        <v>36.666666666666664</v>
      </c>
      <c r="E8" s="12">
        <v>0</v>
      </c>
      <c r="F8" s="14">
        <f>[7]Modèle!$U$14</f>
        <v>0.97710986776404973</v>
      </c>
      <c r="G8" s="15">
        <f>[7]Modèle!$U$13</f>
        <v>15.049999999999999</v>
      </c>
      <c r="H8" s="8">
        <f t="shared" si="0"/>
        <v>183.85046601780022</v>
      </c>
      <c r="I8" s="9">
        <v>0.05</v>
      </c>
      <c r="J8" s="9">
        <v>0.1</v>
      </c>
      <c r="K8" s="9">
        <v>0</v>
      </c>
      <c r="L8" s="25">
        <v>0.74</v>
      </c>
      <c r="M8" s="13">
        <f t="shared" si="1"/>
        <v>116.32218984946219</v>
      </c>
    </row>
    <row r="9" spans="1:13" x14ac:dyDescent="0.25">
      <c r="A9" s="7" t="s">
        <v>31</v>
      </c>
      <c r="B9" s="11">
        <f>[7]Modèle!$U$6</f>
        <v>131.15668948336949</v>
      </c>
      <c r="C9" s="11">
        <f>C3</f>
        <v>37.44075826637529</v>
      </c>
      <c r="D9" s="11">
        <f>[7]Modèle!$U$8</f>
        <v>36.666666666666664</v>
      </c>
      <c r="E9" s="12">
        <v>0</v>
      </c>
      <c r="F9" s="14">
        <f>[7]Modèle!$U$14</f>
        <v>0.97710986776404973</v>
      </c>
      <c r="G9" s="15">
        <f>[7]Modèle!$U$13</f>
        <v>15.049999999999999</v>
      </c>
      <c r="H9" s="8">
        <f t="shared" si="0"/>
        <v>221.29122428417551</v>
      </c>
      <c r="I9" s="9">
        <v>0.05</v>
      </c>
      <c r="J9" s="9">
        <v>0.1</v>
      </c>
      <c r="K9" s="9">
        <v>0</v>
      </c>
      <c r="L9" s="25">
        <v>0.26</v>
      </c>
      <c r="M9" s="13">
        <f t="shared" si="1"/>
        <v>49.193039158372216</v>
      </c>
    </row>
    <row r="10" spans="1:13" x14ac:dyDescent="0.25">
      <c r="A10" s="7" t="s">
        <v>30</v>
      </c>
      <c r="B10" s="11">
        <f>[8]Modèle!$U$6</f>
        <v>91.659494194492396</v>
      </c>
      <c r="C10" s="12">
        <v>0</v>
      </c>
      <c r="D10" s="11">
        <f>[8]Modèle!$U$8</f>
        <v>36.666666666666664</v>
      </c>
      <c r="E10" s="12">
        <v>0</v>
      </c>
      <c r="F10" s="14">
        <f>[8]Modèle!$U$14</f>
        <v>0</v>
      </c>
      <c r="G10" s="15">
        <f>[8]Modèle!$U$13</f>
        <v>0</v>
      </c>
      <c r="H10" s="8">
        <f t="shared" si="0"/>
        <v>128.32616086115905</v>
      </c>
      <c r="I10" s="9">
        <v>0.05</v>
      </c>
      <c r="J10" s="9">
        <v>0.1</v>
      </c>
      <c r="K10" s="9">
        <v>0</v>
      </c>
      <c r="L10" s="25">
        <v>0.49</v>
      </c>
      <c r="M10" s="13">
        <f t="shared" si="1"/>
        <v>53.762245092782585</v>
      </c>
    </row>
    <row r="11" spans="1:13" x14ac:dyDescent="0.25">
      <c r="A11" s="7" t="s">
        <v>27</v>
      </c>
      <c r="B11" s="11">
        <f>[9]Modèle!$V$6</f>
        <v>112.58307577792053</v>
      </c>
      <c r="C11" s="12">
        <v>0</v>
      </c>
      <c r="D11" s="11">
        <f>[9]Modèle!$V$8</f>
        <v>36.666666666666664</v>
      </c>
      <c r="E11" s="12">
        <v>0</v>
      </c>
      <c r="F11" s="14">
        <f>[9]Modèle!$V$14</f>
        <v>0</v>
      </c>
      <c r="G11" s="15">
        <f>[9]Modèle!$V$13</f>
        <v>13.75</v>
      </c>
      <c r="H11" s="8">
        <f t="shared" si="0"/>
        <v>162.99974244458718</v>
      </c>
      <c r="I11" s="9">
        <v>0.05</v>
      </c>
      <c r="J11" s="9">
        <v>0.1</v>
      </c>
      <c r="K11" s="9">
        <v>0</v>
      </c>
      <c r="L11" s="25">
        <f>0.8*1/3*4/5</f>
        <v>0.21333333333333332</v>
      </c>
      <c r="M11" s="13">
        <f t="shared" si="1"/>
        <v>29.731153021892702</v>
      </c>
    </row>
    <row r="12" spans="1:13" x14ac:dyDescent="0.25">
      <c r="A12" s="21" t="s">
        <v>28</v>
      </c>
      <c r="B12" s="11">
        <f>[10]Feuil2!$R$6</f>
        <v>148.09141464287526</v>
      </c>
      <c r="C12" s="11">
        <v>0</v>
      </c>
      <c r="D12" s="11">
        <f>[10]Feuil2!$R$8</f>
        <v>36.666666666666664</v>
      </c>
      <c r="E12" s="11">
        <v>0</v>
      </c>
      <c r="F12" s="8">
        <f>[10]Feuil2!$R$14</f>
        <v>0</v>
      </c>
      <c r="G12" s="23">
        <f>[11]Quantification!$R$13</f>
        <v>24.774999999999999</v>
      </c>
      <c r="H12" s="8">
        <f t="shared" si="0"/>
        <v>209.53308130954193</v>
      </c>
      <c r="I12" s="9">
        <v>0.05</v>
      </c>
      <c r="J12" s="9">
        <v>0.1</v>
      </c>
      <c r="K12" s="22">
        <v>0</v>
      </c>
      <c r="L12" s="25">
        <f>0.8*1/3*1/5</f>
        <v>5.333333333333333E-2</v>
      </c>
      <c r="M12" s="13">
        <f t="shared" si="1"/>
        <v>9.5547085077151106</v>
      </c>
    </row>
    <row r="13" spans="1:13" x14ac:dyDescent="0.25">
      <c r="A13" s="21" t="s">
        <v>29</v>
      </c>
      <c r="B13" s="11">
        <f>[12]Modèle!$S$6</f>
        <v>256.82004003067874</v>
      </c>
      <c r="C13" s="11">
        <v>0</v>
      </c>
      <c r="D13" s="11">
        <f>[12]Modèle!$S$8</f>
        <v>36.666666666666664</v>
      </c>
      <c r="E13" s="11">
        <v>0</v>
      </c>
      <c r="F13" s="8">
        <f>[13]Modèle!$S$14</f>
        <v>0</v>
      </c>
      <c r="G13" s="23">
        <f>[12]Modèle!$S$13</f>
        <v>23.5</v>
      </c>
      <c r="H13" s="8">
        <f t="shared" si="0"/>
        <v>316.98670669734543</v>
      </c>
      <c r="I13" s="9">
        <v>0.05</v>
      </c>
      <c r="J13" s="9">
        <v>0.1</v>
      </c>
      <c r="K13" s="22">
        <v>0</v>
      </c>
      <c r="L13" s="25">
        <f>0.8*2/3</f>
        <v>0.53333333333333333</v>
      </c>
      <c r="M13" s="13">
        <f t="shared" si="1"/>
        <v>144.5459382539895</v>
      </c>
    </row>
    <row r="14" spans="1:13" x14ac:dyDescent="0.25">
      <c r="A14" s="18"/>
      <c r="B14" s="2"/>
      <c r="C14" s="1"/>
      <c r="D14" s="1"/>
      <c r="E14" s="1"/>
      <c r="F14" s="1"/>
      <c r="G14" s="1"/>
      <c r="H14" s="1"/>
      <c r="I14" s="1"/>
      <c r="J14" s="1"/>
      <c r="K14" s="19" t="s">
        <v>15</v>
      </c>
      <c r="L14" s="24">
        <f>SUM(L3:L13)</f>
        <v>6.8599999999999994</v>
      </c>
      <c r="M14" s="20">
        <f>SUM(M3:M13)</f>
        <v>1811.4710175898986</v>
      </c>
    </row>
    <row r="15" spans="1:13" x14ac:dyDescent="0.25">
      <c r="A15" s="1" t="s">
        <v>0</v>
      </c>
      <c r="B15" s="3">
        <f>SUM(B3:E3)*L3+SUM(B4:E4)*L4+SUM(B5:E5)*L5+SUM(B6:E6)*L6+SUM(B7:E7)*L7+SUM(B8:E8)*L8+SUM(B9:E9)*L9+SUM(B10:E10)*L10+SUM(B11:E11)*L11+SUM(B12:E12)*L12+SUM(B13:E13)*L13</f>
        <v>1889.3327069508528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x14ac:dyDescent="0.25">
      <c r="A16" s="1" t="s">
        <v>17</v>
      </c>
      <c r="B16" s="3">
        <f>B15*(100%-I3)*(100%-J3)*(100%-K3)</f>
        <v>1615.379464442979</v>
      </c>
      <c r="C16" s="16"/>
      <c r="D16" s="1"/>
      <c r="E16" s="1"/>
      <c r="F16" s="1"/>
      <c r="G16" s="1"/>
      <c r="H16" s="1"/>
      <c r="I16" s="1"/>
      <c r="J16" s="1"/>
      <c r="K16" s="1"/>
      <c r="L16" s="1"/>
    </row>
    <row r="17" spans="1:8" x14ac:dyDescent="0.25">
      <c r="A17" s="1" t="s">
        <v>1</v>
      </c>
      <c r="B17" s="3">
        <f>F3*L3+F4*L4+F5*L5+F6*L6+F7*L7+F8*L8+F9*L9+F10*L10+F11*L11+F12*L12+F13*L13</f>
        <v>20.043545785870954</v>
      </c>
      <c r="D17" s="1"/>
      <c r="E17" s="1"/>
      <c r="F17" s="1"/>
      <c r="G17" s="1"/>
      <c r="H17" s="1"/>
    </row>
    <row r="18" spans="1:8" x14ac:dyDescent="0.25">
      <c r="A18" s="1" t="s">
        <v>18</v>
      </c>
      <c r="B18" s="3">
        <f>B17*(100%-I3)*(100%-J3)*(100%-K3)</f>
        <v>17.137231646919666</v>
      </c>
      <c r="D18" s="1"/>
      <c r="E18" s="1"/>
      <c r="F18" s="1"/>
      <c r="G18" s="1"/>
      <c r="H18" s="1"/>
    </row>
    <row r="19" spans="1:8" x14ac:dyDescent="0.25">
      <c r="A19" s="1" t="s">
        <v>2</v>
      </c>
      <c r="B19" s="3">
        <f>G3*L3+G4*L4+G5*L5+G6*L6+G7*L7+G8*L8+G9*L9+G10*L10+G11*L11+G12*L12+G13*L13</f>
        <v>209.30330000000004</v>
      </c>
      <c r="D19" s="1"/>
      <c r="E19" s="1"/>
      <c r="F19" s="1"/>
      <c r="G19" s="1"/>
      <c r="H19" s="1"/>
    </row>
    <row r="20" spans="1:8" x14ac:dyDescent="0.25">
      <c r="A20" s="1" t="s">
        <v>19</v>
      </c>
      <c r="B20" s="5">
        <f>B19*(100%-I3)*(100%-J3)*(100%-K3)</f>
        <v>178.95432150000002</v>
      </c>
      <c r="D20" s="1"/>
      <c r="E20" s="1"/>
      <c r="F20" s="1"/>
      <c r="G20" s="1"/>
      <c r="H20" s="1"/>
    </row>
    <row r="21" spans="1:8" x14ac:dyDescent="0.25">
      <c r="A21" s="4" t="s">
        <v>3</v>
      </c>
      <c r="B21" s="6">
        <f>B16+B18+B20</f>
        <v>1811.4710175898988</v>
      </c>
      <c r="E21" s="1"/>
    </row>
    <row r="22" spans="1:8" x14ac:dyDescent="0.25">
      <c r="B22" s="17">
        <f>34000/B21</f>
        <v>18.769276278698545</v>
      </c>
      <c r="E22" s="1"/>
      <c r="G22" s="1"/>
      <c r="H22" s="1"/>
    </row>
  </sheetData>
  <mergeCells count="9">
    <mergeCell ref="L1:L2"/>
    <mergeCell ref="M1:M2"/>
    <mergeCell ref="B1:E1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2020-06-25T08:04:17Z</dcterms:modified>
</cp:coreProperties>
</file>