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04_PROJETS/Sylvaexpertise/GF QULLIEN_Pleyben_8,9ha/2.Dossier_LBC_déposé/"/>
    </mc:Choice>
  </mc:AlternateContent>
  <xr:revisionPtr revIDLastSave="83" documentId="11_E6967C7E78D5A5CAE6D435F968EBF6B69F8688AF" xr6:coauthVersionLast="47" xr6:coauthVersionMax="47" xr10:uidLastSave="{EC394D8B-EF53-4754-8B6F-54DE1E2E873A}"/>
  <bookViews>
    <workbookView xWindow="-120" yWindow="-120" windowWidth="29040" windowHeight="1572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<sst xmlns="http://schemas.openxmlformats.org/spreadsheetml/2006/main" count="1174" uniqueCount="326">
  <si>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</si>
  <si>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</si>
  <si>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</si>
  <si>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</si>
  <si>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</si>
  <si>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</si>
  <si>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</si>
  <si>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</si>
  <si>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</si>
  <si>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</si>
  <si>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</si>
  <si>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</si>
  <si>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</si>
  <si>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</si>
  <si>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</si>
  <si>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</si>
  <si>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</si>
  <si>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</si>
  <si>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</si>
  <si>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</si>
  <si>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</si>
  <si>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</si>
  <si>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</si>
  <si>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</si>
  <si>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</si>
  <si>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</si>
  <si>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</si>
  <si>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</si>
  <si>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</si>
  <si>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</si>
  <si>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</si>
  <si>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</si>
  <si>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</si>
  <si>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</si>
  <si>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</si>
  <si>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</si>
  <si>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</si>
  <si>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</si>
  <si>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</si>
  <si>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</si>
  <si>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</si>
  <si>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</si>
  <si>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</si>
  <si>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</si>
  <si>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</si>
  <si>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</si>
  <si>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</si>
  <si>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</si>
  <si>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</si>
  <si>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</si>
  <si>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</si>
  <si>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</si>
  <si>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</si>
  <si>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</si>
  <si>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</si>
  <si>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</si>
  <si>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</si>
  <si>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</si>
  <si>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</si>
  <si>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</si>
  <si>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</si>
  <si>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</si>
  <si>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</si>
  <si>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</si>
  <si>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</si>
  <si>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</si>
  <si>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</si>
  <si>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</si>
  <si>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</si>
  <si>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</si>
  <si>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</si>
  <si>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</si>
  <si>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</si>
  <si>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</si>
  <si>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</si>
  <si>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</si>
  <si>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</si>
  <si>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</si>
  <si>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</si>
  <si>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</si>
  <si>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</si>
  <si>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</si>
  <si>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</si>
  <si>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</si>
  <si>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</si>
  <si>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</si>
  <si>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</si>
  <si>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</si>
  <si>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</si>
  <si>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</si>
  <si>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</si>
  <si>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</si>
  <si>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</si>
  <si>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</si>
  <si>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</si>
  <si>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</si>
  <si>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</si>
  <si>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</si>
  <si>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</si>
  <si>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</si>
  <si>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</si>
  <si>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</si>
  <si>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</si>
  <si>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</si>
  <si>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</si>
  <si>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</si>
  <si>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</si>
  <si>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</si>
  <si>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</si>
  <si>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</si>
  <si>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</si>
  <si>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</si>
  <si>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</si>
  <si>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</si>
  <si>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</si>
  <si>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</si>
  <si>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</si>
  <si>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</si>
  <si>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</si>
  <si>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</si>
  <si>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</si>
  <si>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</si>
  <si>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</si>
  <si>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</si>
  <si>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</si>
  <si>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</si>
  <si>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</si>
  <si>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</si>
  <si>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</si>
  <si>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</si>
  <si>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</si>
  <si>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</si>
  <si>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</si>
  <si>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</si>
  <si>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</si>
  <si>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</si>
  <si>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</si>
  <si>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</si>
  <si>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</si>
  <si>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</si>
  <si>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</si>
  <si>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</si>
  <si>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</si>
  <si>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</si>
  <si>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</si>
  <si>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</si>
  <si>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</si>
  <si>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</si>
  <si>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</si>
  <si>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</si>
  <si>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</si>
  <si>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</si>
  <si>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</si>
  <si>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</si>
  <si>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</si>
  <si>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</si>
  <si>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</si>
  <si>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</si>
  <si>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</si>
  <si>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</si>
  <si>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</si>
  <si>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</si>
  <si>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</si>
  <si>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</si>
  <si>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</si>
  <si>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</si>
  <si>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</si>
  <si>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</si>
  <si>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</si>
  <si>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</si>
  <si>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</si>
  <si>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</si>
  <si>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</si>
  <si>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</si>
  <si>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</si>
  <si>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</si>
  <si>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</si>
  <si>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</si>
  <si>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</si>
  <si>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</si>
  <si>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</si>
  <si>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</si>
  <si>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</si>
  <si>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</si>
  <si>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</si>
  <si>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</si>
  <si>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</si>
  <si>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</si>
  <si>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</si>
  <si>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</si>
  <si>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</si>
  <si>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</si>
  <si>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</si>
  <si>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</si>
  <si>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</si>
  <si>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</si>
  <si>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</si>
  <si>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</si>
  <si>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</si>
  <si>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</si>
  <si>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</si>
  <si>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</si>
  <si>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</si>
  <si>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</si>
  <si>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</si>
  <si>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</si>
  <si>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</si>
  <si>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</si>
  <si>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</si>
  <si>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</si>
  <si>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</si>
  <si>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</si>
  <si>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</si>
  <si>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</si>
  <si>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</si>
  <si>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</si>
  <si>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</si>
  <si>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</si>
  <si>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</si>
  <si>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</si>
  <si>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</si>
  <si>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</si>
  <si>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</si>
  <si>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</si>
  <si>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</si>
  <si>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</si>
  <si>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</si>
  <si>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</si>
  <si>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</si>
  <si>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</si>
  <si>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</si>
  <si>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</si>
  <si>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</si>
  <si>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</si>
  <si>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</si>
  <si>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</si>
  <si>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</si>
  <si>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</si>
  <si>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</si>
  <si>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</si>
  <si>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</si>
  <si>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</si>
  <si>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</si>
  <si>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</si>
  <si>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</si>
  <si>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</si>
  <si>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</si>
  <si>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</si>
  <si>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</si>
  <si>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</si>
  <si>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</si>
  <si>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</si>
  <si>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</si>
  <si>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</si>
  <si>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</si>
  <si>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</si>
  <si>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</si>
  <si>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</si>
  <si>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</si>
  <si>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</si>
  <si>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</si>
  <si>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</si>
  <si>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</si>
  <si>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</si>
  <si>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</si>
  <si>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</si>
  <si>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</si>
  <si>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</si>
  <si>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</si>
  <si>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</si>
  <si>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</si>
  <si>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</si>
  <si>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</si>
  <si>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</si>
  <si>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</si>
  <si>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</si>
  <si>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</si>
  <si>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</si>
  <si>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</si>
  <si>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</si>
  <si>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</si>
  <si>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</si>
  <si>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</si>
  <si>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</si>
  <si>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</si>
  <si>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</si>
  <si>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</si>
  <si>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</si>
  <si>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</si>
  <si>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</si>
  <si>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</si>
  <si>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</si>
  <si>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</si>
  <si>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</si>
  <si>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</si>
  <si>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</si>
  <si>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</si>
  <si>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</si>
  <si>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</si>
  <si>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</si>
  <si>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</si>
  <si>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</si>
  <si>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</si>
  <si>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</si>
  <si>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</si>
  <si>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</si>
  <si>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</si>
  <si>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</si>
  <si>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</si>
  <si>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</si>
  <si>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</si>
  <si>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</si>
  <si>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</si>
  <si>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</si>
  <si>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</si>
  <si>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</si>
  <si>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</si>
  <si>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</si>
  <si>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</si>
  <si>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</si>
  <si>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</si>
  <si>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</si>
  <si>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</si>
  <si>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</si>
  <si>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na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</si>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</sst>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1.4217567752663396</c:v>
                </c:pt>
                <c:pt idx="2">
                  <c:v>1.6496387760333995</c:v>
                </c:pt>
                <c:pt idx="3">
                  <c:v>1.9141825094116696</c:v>
                </c:pt>
                <c:pt idx="4">
                  <c:v>2.2213069404908978</c:v>
                </c:pt>
                <c:pt idx="5">
                  <c:v>2.5778898048880068</c:v>
                </c:pt>
                <c:pt idx="6">
                  <c:v>2.9919233927322302</c:v>
                </c:pt>
                <c:pt idx="7">
                  <c:v>3.472695717358198</c:v>
                </c:pt>
                <c:pt idx="8">
                  <c:v>4.0310012160061346</c:v>
                </c:pt>
                <c:pt idx="9">
                  <c:v>4.6793858090430804</c:v>
                </c:pt>
                <c:pt idx="10">
                  <c:v>5.432431934915944</c:v>
                </c:pt>
                <c:pt idx="11">
                  <c:v>6.3070900985608995</c:v>
                </c:pt>
                <c:pt idx="12">
                  <c:v>7.3230645426796004</c:v>
                </c:pt>
                <c:pt idx="13">
                  <c:v>8.5032618990257713</c:v>
                </c:pt>
                <c:pt idx="14">
                  <c:v>9.8743131296009761</c:v>
                </c:pt>
                <c:pt idx="15">
                  <c:v>11.467180759188034</c:v>
                </c:pt>
                <c:pt idx="16">
                  <c:v>13.31786537027314</c:v>
                </c:pt>
                <c:pt idx="17">
                  <c:v>15.468227624926827</c:v>
                </c:pt>
                <c:pt idx="18">
                  <c:v>17.96694474899018</c:v>
                </c:pt>
                <c:pt idx="19">
                  <c:v>20.870623524111782</c:v>
                </c:pt>
                <c:pt idx="20">
                  <c:v>24.245095455229389</c:v>
                </c:pt>
                <c:pt idx="21">
                  <c:v>28.166923999370677</c:v>
                </c:pt>
                <c:pt idx="22">
                  <c:v>32.725158654475884</c:v>
                </c:pt>
                <c:pt idx="23">
                  <c:v>38.023376428874322</c:v>
                </c:pt>
                <c:pt idx="24">
                  <c:v>44.182057876552157</c:v>
                </c:pt>
                <c:pt idx="25">
                  <c:v>51.341352645956526</c:v>
                </c:pt>
                <c:pt idx="26">
                  <c:v>59.664298532021071</c:v>
                </c:pt>
                <c:pt idx="27">
                  <c:v>69.340568553547996</c:v>
                </c:pt>
                <c:pt idx="28">
                  <c:v>80.590832847134777</c:v>
                </c:pt>
                <c:pt idx="29">
                  <c:v>93.671836461268967</c:v>
                </c:pt>
                <c:pt idx="30">
                  <c:v>108.88231078423301</c:v>
                </c:pt>
                <c:pt idx="31">
                  <c:v>119.55269284122029</c:v>
                </c:pt>
                <c:pt idx="32">
                  <c:v>130.19985837355313</c:v>
                </c:pt>
                <c:pt idx="33">
                  <c:v>140.82597594357108</c:v>
                </c:pt>
                <c:pt idx="34">
                  <c:v>151.43285943489818</c:v>
                </c:pt>
                <c:pt idx="35">
                  <c:v>162.02204740767968</c:v>
                </c:pt>
                <c:pt idx="36">
                  <c:v>172.59486055735832</c:v>
                </c:pt>
                <c:pt idx="37">
                  <c:v>183.15244431920306</c:v>
                </c:pt>
                <c:pt idx="38">
                  <c:v>193.69580111200079</c:v>
                </c:pt>
                <c:pt idx="39">
                  <c:v>204.22581517936158</c:v>
                </c:pt>
                <c:pt idx="40">
                  <c:v>214.74327203018319</c:v>
                </c:pt>
                <c:pt idx="41">
                  <c:v>225.2488738650726</c:v>
                </c:pt>
                <c:pt idx="42">
                  <c:v>235.74325197003046</c:v>
                </c:pt>
                <c:pt idx="43">
                  <c:v>246.22697678490542</c:v>
                </c:pt>
                <c:pt idx="44">
                  <c:v>256.70056616536107</c:v>
                </c:pt>
                <c:pt idx="45">
                  <c:v>267.16449222449438</c:v>
                </c:pt>
                <c:pt idx="46">
                  <c:v>277.6191870455084</c:v>
                </c:pt>
                <c:pt idx="47">
                  <c:v>288.06504748811147</c:v>
                </c:pt>
                <c:pt idx="48">
                  <c:v>298.50243926074967</c:v>
                </c:pt>
                <c:pt idx="49">
                  <c:v>308.93170039309683</c:v>
                </c:pt>
                <c:pt idx="50">
                  <c:v>319.3531442148153</c:v>
                </c:pt>
                <c:pt idx="51">
                  <c:v>329.76706192494242</c:v>
                </c:pt>
                <c:pt idx="52">
                  <c:v>239.89963130204032</c:v>
                </c:pt>
                <c:pt idx="53">
                  <c:v>250.73733022777768</c:v>
                </c:pt>
                <c:pt idx="54">
                  <c:v>261.56441168915899</c:v>
                </c:pt>
                <c:pt idx="55">
                  <c:v>272.38137740343666</c:v>
                </c:pt>
                <c:pt idx="56">
                  <c:v>283.18868595745323</c:v>
                </c:pt>
                <c:pt idx="57">
                  <c:v>293.98675805542308</c:v>
                </c:pt>
                <c:pt idx="58">
                  <c:v>304.77598095482739</c:v>
                </c:pt>
                <c:pt idx="59">
                  <c:v>315.55671224092112</c:v>
                </c:pt>
                <c:pt idx="60">
                  <c:v>326.32928305815631</c:v>
                </c:pt>
                <c:pt idx="61">
                  <c:v>337.09400089238392</c:v>
                </c:pt>
                <c:pt idx="62">
                  <c:v>347.85115197892782</c:v>
                </c:pt>
                <c:pt idx="63">
                  <c:v>358.60100339709646</c:v>
                </c:pt>
                <c:pt idx="64">
                  <c:v>260.16574342755524</c:v>
                </c:pt>
                <c:pt idx="65">
                  <c:v>270.03856838682231</c:v>
                </c:pt>
                <c:pt idx="66">
                  <c:v>279.90327150057988</c:v>
                </c:pt>
                <c:pt idx="67">
                  <c:v>289.76017957093472</c:v>
                </c:pt>
                <c:pt idx="68">
                  <c:v>299.60959533432202</c:v>
                </c:pt>
                <c:pt idx="69">
                  <c:v>309.4517999837621</c:v>
                </c:pt>
                <c:pt idx="70">
                  <c:v>319.28705535324553</c:v>
                </c:pt>
                <c:pt idx="71">
                  <c:v>329.1156058187384</c:v>
                </c:pt>
                <c:pt idx="72">
                  <c:v>338.93767996010916</c:v>
                </c:pt>
                <c:pt idx="73">
                  <c:v>348.75349202024881</c:v>
                </c:pt>
                <c:pt idx="74">
                  <c:v>358.56324319126111</c:v>
                </c:pt>
                <c:pt idx="75">
                  <c:v>368.367122752488</c:v>
                </c:pt>
                <c:pt idx="76">
                  <c:v>291.98679373574424</c:v>
                </c:pt>
                <c:pt idx="77">
                  <c:v>301.01220487244694</c:v>
                </c:pt>
                <c:pt idx="78">
                  <c:v>310.031591827932</c:v>
                </c:pt>
                <c:pt idx="79">
                  <c:v>319.04515470328221</c:v>
                </c:pt>
                <c:pt idx="80">
                  <c:v>328.0530813618015</c:v>
                </c:pt>
                <c:pt idx="81">
                  <c:v>337.05554850027073</c:v>
                </c:pt>
                <c:pt idx="82">
                  <c:v>346.05272259970707</c:v>
                </c:pt>
                <c:pt idx="83">
                  <c:v>355.04476077203134</c:v>
                </c:pt>
                <c:pt idx="84">
                  <c:v>364.03181151643639</c:v>
                </c:pt>
                <c:pt idx="85">
                  <c:v>373.0140153971318</c:v>
                </c:pt>
                <c:pt idx="86">
                  <c:v>381.99150565236943</c:v>
                </c:pt>
                <c:pt idx="87">
                  <c:v>390.96440874320461</c:v>
                </c:pt>
                <c:pt idx="88">
                  <c:v>316.25819110098661</c:v>
                </c:pt>
                <c:pt idx="89">
                  <c:v>324.4045219570105</c:v>
                </c:pt>
                <c:pt idx="90">
                  <c:v>332.54633237194383</c:v>
                </c:pt>
                <c:pt idx="91">
                  <c:v>340.68374872160194</c:v>
                </c:pt>
                <c:pt idx="92">
                  <c:v>348.81689084712229</c:v>
                </c:pt>
                <c:pt idx="93">
                  <c:v>356.94587254069387</c:v>
                </c:pt>
                <c:pt idx="94">
                  <c:v>365.07080198470561</c:v>
                </c:pt>
                <c:pt idx="95">
                  <c:v>373.19178214973607</c:v>
                </c:pt>
                <c:pt idx="96">
                  <c:v>381.30891115607625</c:v>
                </c:pt>
                <c:pt idx="97">
                  <c:v>389.4222826028456</c:v>
                </c:pt>
                <c:pt idx="98">
                  <c:v>397.53198586823692</c:v>
                </c:pt>
                <c:pt idx="99">
                  <c:v>405.6381063839724</c:v>
                </c:pt>
                <c:pt idx="100">
                  <c:v>212.56848233940431</c:v>
                </c:pt>
                <c:pt idx="101">
                  <c:v>218.27904148126387</c:v>
                </c:pt>
                <c:pt idx="102">
                  <c:v>223.98616720918039</c:v>
                </c:pt>
                <c:pt idx="103">
                  <c:v>229.68995950268229</c:v>
                </c:pt>
                <c:pt idx="104">
                  <c:v>235.39051296187952</c:v>
                </c:pt>
                <c:pt idx="105">
                  <c:v>241.08791722313939</c:v>
                </c:pt>
                <c:pt idx="106">
                  <c:v>246.78225733335694</c:v>
                </c:pt>
                <c:pt idx="107">
                  <c:v>252.47361408782808</c:v>
                </c:pt>
                <c:pt idx="108">
                  <c:v>258.16206433602196</c:v>
                </c:pt>
                <c:pt idx="109">
                  <c:v>263.8476812589596</c:v>
                </c:pt>
                <c:pt idx="110">
                  <c:v>6.0761376450252565E-12</c:v>
                </c:pt>
                <c:pt idx="111">
                  <c:v>6.0761376450252565E-12</c:v>
                </c:pt>
                <c:pt idx="112">
                  <c:v>6.0761376450252565E-12</c:v>
                </c:pt>
                <c:pt idx="113">
                  <c:v>6.0761376450252565E-12</c:v>
                </c:pt>
                <c:pt idx="114">
                  <c:v>6.0761376450252565E-12</c:v>
                </c:pt>
                <c:pt idx="115">
                  <c:v>6.0761376450252565E-12</c:v>
                </c:pt>
                <c:pt idx="116">
                  <c:v>6.0761376450252565E-12</c:v>
                </c:pt>
                <c:pt idx="117">
                  <c:v>6.0761376450252565E-12</c:v>
                </c:pt>
                <c:pt idx="118">
                  <c:v>6.0761376450252565E-12</c:v>
                </c:pt>
                <c:pt idx="119">
                  <c:v>6.0761376450252565E-12</c:v>
                </c:pt>
                <c:pt idx="120">
                  <c:v>6.0761376450252565E-12</c:v>
                </c:pt>
                <c:pt idx="121">
                  <c:v>6.0761376450252565E-12</c:v>
                </c:pt>
                <c:pt idx="122">
                  <c:v>6.0761376450252565E-12</c:v>
                </c:pt>
                <c:pt idx="123">
                  <c:v>6.0761376450252565E-12</c:v>
                </c:pt>
                <c:pt idx="124">
                  <c:v>6.0761376450252565E-12</c:v>
                </c:pt>
                <c:pt idx="125">
                  <c:v>6.0761376450252565E-12</c:v>
                </c:pt>
                <c:pt idx="126">
                  <c:v>6.0761376450252565E-12</c:v>
                </c:pt>
                <c:pt idx="127">
                  <c:v>6.0761376450252565E-12</c:v>
                </c:pt>
                <c:pt idx="128">
                  <c:v>6.0761376450252565E-12</c:v>
                </c:pt>
                <c:pt idx="129">
                  <c:v>6.0761376450252565E-12</c:v>
                </c:pt>
                <c:pt idx="130">
                  <c:v>6.0761376450252565E-12</c:v>
                </c:pt>
                <c:pt idx="131">
                  <c:v>6.0761376450252565E-12</c:v>
                </c:pt>
                <c:pt idx="132">
                  <c:v>6.0761376450252565E-12</c:v>
                </c:pt>
                <c:pt idx="133">
                  <c:v>6.0761376450252565E-12</c:v>
                </c:pt>
                <c:pt idx="134">
                  <c:v>6.0761376450252565E-12</c:v>
                </c:pt>
                <c:pt idx="135">
                  <c:v>6.0761376450252565E-12</c:v>
                </c:pt>
                <c:pt idx="136">
                  <c:v>6.0761376450252565E-12</c:v>
                </c:pt>
                <c:pt idx="137">
                  <c:v>6.0761376450252565E-12</c:v>
                </c:pt>
                <c:pt idx="138">
                  <c:v>6.0761376450252565E-12</c:v>
                </c:pt>
                <c:pt idx="139">
                  <c:v>6.0761376450252565E-12</c:v>
                </c:pt>
                <c:pt idx="140">
                  <c:v>6.0761376450252565E-12</c:v>
                </c:pt>
                <c:pt idx="141">
                  <c:v>6.0761376450252565E-12</c:v>
                </c:pt>
                <c:pt idx="142">
                  <c:v>6.0761376450252565E-12</c:v>
                </c:pt>
                <c:pt idx="143">
                  <c:v>6.0761376450252565E-12</c:v>
                </c:pt>
                <c:pt idx="144">
                  <c:v>6.0761376450252565E-12</c:v>
                </c:pt>
                <c:pt idx="145">
                  <c:v>6.0761376450252565E-12</c:v>
                </c:pt>
                <c:pt idx="146">
                  <c:v>6.0761376450252565E-12</c:v>
                </c:pt>
                <c:pt idx="147">
                  <c:v>6.0761376450252565E-12</c:v>
                </c:pt>
                <c:pt idx="148">
                  <c:v>6.0761376450252565E-12</c:v>
                </c:pt>
                <c:pt idx="149">
                  <c:v>6.0761376450252565E-12</c:v>
                </c:pt>
                <c:pt idx="150">
                  <c:v>6.0761376450252565E-12</c:v>
                </c:pt>
                <c:pt idx="151">
                  <c:v>6.0761376450252565E-12</c:v>
                </c:pt>
                <c:pt idx="152">
                  <c:v>6.0761376450252565E-12</c:v>
                </c:pt>
                <c:pt idx="153">
                  <c:v>6.0761376450252565E-12</c:v>
                </c:pt>
                <c:pt idx="154">
                  <c:v>6.0761376450252565E-12</c:v>
                </c:pt>
                <c:pt idx="155">
                  <c:v>6.0761376450252565E-12</c:v>
                </c:pt>
                <c:pt idx="156">
                  <c:v>6.0761376450252565E-12</c:v>
                </c:pt>
                <c:pt idx="157">
                  <c:v>6.0761376450252565E-12</c:v>
                </c:pt>
                <c:pt idx="158">
                  <c:v>6.0761376450252565E-12</c:v>
                </c:pt>
                <c:pt idx="159">
                  <c:v>6.0761376450252565E-12</c:v>
                </c:pt>
                <c:pt idx="160">
                  <c:v>6.0761376450252565E-12</c:v>
                </c:pt>
                <c:pt idx="161">
                  <c:v>6.0761376450252565E-12</c:v>
                </c:pt>
                <c:pt idx="162">
                  <c:v>6.0761376450252565E-12</c:v>
                </c:pt>
                <c:pt idx="163">
                  <c:v>6.0761376450252565E-12</c:v>
                </c:pt>
                <c:pt idx="164">
                  <c:v>6.0761376450252565E-12</c:v>
                </c:pt>
                <c:pt idx="165">
                  <c:v>6.0761376450252565E-12</c:v>
                </c:pt>
                <c:pt idx="166">
                  <c:v>6.0761376450252565E-12</c:v>
                </c:pt>
                <c:pt idx="167">
                  <c:v>6.0761376450252565E-12</c:v>
                </c:pt>
                <c:pt idx="168">
                  <c:v>6.0761376450252565E-12</c:v>
                </c:pt>
                <c:pt idx="169">
                  <c:v>6.0761376450252565E-12</c:v>
                </c:pt>
                <c:pt idx="170">
                  <c:v>6.0761376450252565E-12</c:v>
                </c:pt>
                <c:pt idx="171">
                  <c:v>6.0761376450252565E-12</c:v>
                </c:pt>
                <c:pt idx="172">
                  <c:v>6.0761376450252565E-12</c:v>
                </c:pt>
                <c:pt idx="173">
                  <c:v>6.0761376450252565E-12</c:v>
                </c:pt>
                <c:pt idx="174">
                  <c:v>6.0761376450252565E-12</c:v>
                </c:pt>
                <c:pt idx="175">
                  <c:v>6.0761376450252565E-12</c:v>
                </c:pt>
                <c:pt idx="176">
                  <c:v>6.0761376450252565E-12</c:v>
                </c:pt>
                <c:pt idx="177">
                  <c:v>6.0761376450252565E-12</c:v>
                </c:pt>
                <c:pt idx="178">
                  <c:v>6.0761376450252565E-12</c:v>
                </c:pt>
                <c:pt idx="179">
                  <c:v>6.0761376450252565E-12</c:v>
                </c:pt>
                <c:pt idx="180">
                  <c:v>6.0761376450252565E-12</c:v>
                </c:pt>
                <c:pt idx="181">
                  <c:v>6.0761376450252565E-12</c:v>
                </c:pt>
                <c:pt idx="182">
                  <c:v>6.0761376450252565E-12</c:v>
                </c:pt>
                <c:pt idx="183">
                  <c:v>6.0761376450252565E-12</c:v>
                </c:pt>
                <c:pt idx="184">
                  <c:v>6.0761376450252565E-12</c:v>
                </c:pt>
                <c:pt idx="185">
                  <c:v>6.0761376450252565E-12</c:v>
                </c:pt>
                <c:pt idx="186">
                  <c:v>6.0761376450252565E-12</c:v>
                </c:pt>
                <c:pt idx="187">
                  <c:v>6.0761376450252565E-12</c:v>
                </c:pt>
                <c:pt idx="188">
                  <c:v>6.0761376450252565E-12</c:v>
                </c:pt>
                <c:pt idx="189">
                  <c:v>6.0761376450252565E-12</c:v>
                </c:pt>
                <c:pt idx="190">
                  <c:v>6.0761376450252565E-12</c:v>
                </c:pt>
                <c:pt idx="191">
                  <c:v>6.0761376450252565E-12</c:v>
                </c:pt>
                <c:pt idx="192">
                  <c:v>6.0761376450252565E-12</c:v>
                </c:pt>
                <c:pt idx="193">
                  <c:v>6.0761376450252565E-12</c:v>
                </c:pt>
                <c:pt idx="194">
                  <c:v>6.0761376450252565E-12</c:v>
                </c:pt>
                <c:pt idx="195">
                  <c:v>6.0761376450252565E-12</c:v>
                </c:pt>
                <c:pt idx="196">
                  <c:v>6.0761376450252565E-12</c:v>
                </c:pt>
                <c:pt idx="197">
                  <c:v>6.0761376450252565E-12</c:v>
                </c:pt>
                <c:pt idx="198">
                  <c:v>6.0761376450252565E-12</c:v>
                </c:pt>
                <c:pt idx="199">
                  <c:v>6.0761376450252565E-12</c:v>
                </c:pt>
                <c:pt idx="200">
                  <c:v>6.0761376450252565E-12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1.9203140204213316</c:v>
                </c:pt>
                <c:pt idx="2">
                  <c:v>2.5373503253048804</c:v>
                </c:pt>
                <c:pt idx="3">
                  <c:v>3.3534746967259621</c:v>
                </c:pt>
                <c:pt idx="4">
                  <c:v>4.4331733568356464</c:v>
                </c:pt>
                <c:pt idx="5">
                  <c:v>5.8618959086463436</c:v>
                </c:pt>
                <c:pt idx="6">
                  <c:v>7.7528930524348363</c:v>
                </c:pt>
                <c:pt idx="7">
                  <c:v>10.256291470438329</c:v>
                </c:pt>
                <c:pt idx="8">
                  <c:v>13.571139900733398</c:v>
                </c:pt>
                <c:pt idx="9">
                  <c:v>17.961401871893774</c:v>
                </c:pt>
                <c:pt idx="10">
                  <c:v>23.777191627870639</c:v>
                </c:pt>
                <c:pt idx="11">
                  <c:v>31.482976738898202</c:v>
                </c:pt>
                <c:pt idx="12">
                  <c:v>41.695038776362409</c:v>
                </c:pt>
                <c:pt idx="13">
                  <c:v>55.231238827136707</c:v>
                </c:pt>
                <c:pt idx="14">
                  <c:v>73.177139572871184</c:v>
                </c:pt>
                <c:pt idx="15">
                  <c:v>96.97387275850123</c:v>
                </c:pt>
                <c:pt idx="16">
                  <c:v>128.53492010151578</c:v>
                </c:pt>
                <c:pt idx="17">
                  <c:v>170.40134350425296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353.21192910385736</c:v>
                </c:pt>
                <c:pt idx="32">
                  <c:v>380.48929393712291</c:v>
                </c:pt>
                <c:pt idx="33">
                  <c:v>407.72413216850504</c:v>
                </c:pt>
                <c:pt idx="34">
                  <c:v>434.91968079517784</c:v>
                </c:pt>
                <c:pt idx="35">
                  <c:v>462.07873925701483</c:v>
                </c:pt>
                <c:pt idx="36">
                  <c:v>489.20375134717256</c:v>
                </c:pt>
                <c:pt idx="37">
                  <c:v>433.59961838636042</c:v>
                </c:pt>
                <c:pt idx="38">
                  <c:v>460.20839311111928</c:v>
                </c:pt>
                <c:pt idx="39">
                  <c:v>486.78434108389075</c:v>
                </c:pt>
                <c:pt idx="40">
                  <c:v>513.32950438861235</c:v>
                </c:pt>
                <c:pt idx="41">
                  <c:v>539.8456968976792</c:v>
                </c:pt>
                <c:pt idx="42">
                  <c:v>566.33453995655509</c:v>
                </c:pt>
                <c:pt idx="43">
                  <c:v>505.1294376134187</c:v>
                </c:pt>
                <c:pt idx="44">
                  <c:v>530.71596265986352</c:v>
                </c:pt>
                <c:pt idx="45">
                  <c:v>556.27653997817106</c:v>
                </c:pt>
                <c:pt idx="46">
                  <c:v>581.81252811346246</c:v>
                </c:pt>
                <c:pt idx="47">
                  <c:v>607.32515676835726</c:v>
                </c:pt>
                <c:pt idx="48">
                  <c:v>632.81554402908364</c:v>
                </c:pt>
                <c:pt idx="49">
                  <c:v>561.06523629540254</c:v>
                </c:pt>
                <c:pt idx="50">
                  <c:v>585.27746751979453</c:v>
                </c:pt>
                <c:pt idx="51">
                  <c:v>609.46883490395464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681.92681087155927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1.6401038368498606</c:v>
                </c:pt>
                <c:pt idx="2">
                  <c:v>2.1956787652959115</c:v>
                </c:pt>
                <c:pt idx="3">
                  <c:v>2.9402467652999995</c:v>
                </c:pt>
                <c:pt idx="4">
                  <c:v>3.9383541052833824</c:v>
                </c:pt>
                <c:pt idx="5">
                  <c:v>5.2766730223624547</c:v>
                </c:pt>
                <c:pt idx="6">
                  <c:v>7.0716123422235375</c:v>
                </c:pt>
                <c:pt idx="7">
                  <c:v>9.4795541582097584</c:v>
                </c:pt>
                <c:pt idx="8">
                  <c:v>12.710625305508877</c:v>
                </c:pt>
                <c:pt idx="9">
                  <c:v>17.047227652643457</c:v>
                </c:pt>
                <c:pt idx="10">
                  <c:v>22.868976165971603</c:v>
                </c:pt>
                <c:pt idx="11">
                  <c:v>30.686266496662995</c:v>
                </c:pt>
                <c:pt idx="12">
                  <c:v>41.185466049616629</c:v>
                </c:pt>
                <c:pt idx="13">
                  <c:v>55.289763685863853</c:v>
                </c:pt>
                <c:pt idx="14">
                  <c:v>74.241117261487503</c:v>
                </c:pt>
                <c:pt idx="15">
                  <c:v>99.710631815696999</c:v>
                </c:pt>
                <c:pt idx="16">
                  <c:v>133.94725540136443</c:v>
                </c:pt>
                <c:pt idx="17">
                  <c:v>179.97812515299574</c:v>
                </c:pt>
                <c:pt idx="18">
                  <c:v>162.7180141901425</c:v>
                </c:pt>
                <c:pt idx="19">
                  <c:v>204.28026089728542</c:v>
                </c:pt>
                <c:pt idx="20">
                  <c:v>245.6461089428318</c:v>
                </c:pt>
                <c:pt idx="21">
                  <c:v>226.49822720784584</c:v>
                </c:pt>
                <c:pt idx="22">
                  <c:v>273.80306989453715</c:v>
                </c:pt>
                <c:pt idx="23">
                  <c:v>320.9237885788545</c:v>
                </c:pt>
                <c:pt idx="24">
                  <c:v>314.24993110668788</c:v>
                </c:pt>
                <c:pt idx="25">
                  <c:v>364.56475005498015</c:v>
                </c:pt>
                <c:pt idx="26">
                  <c:v>414.72771201550319</c:v>
                </c:pt>
                <c:pt idx="27">
                  <c:v>401.7849963762589</c:v>
                </c:pt>
                <c:pt idx="28">
                  <c:v>450.52453926699656</c:v>
                </c:pt>
                <c:pt idx="29">
                  <c:v>499.15127088853825</c:v>
                </c:pt>
                <c:pt idx="30">
                  <c:v>547.67770542756841</c:v>
                </c:pt>
                <c:pt idx="31">
                  <c:v>515.00713161586964</c:v>
                </c:pt>
                <c:pt idx="32">
                  <c:v>559.54763733430798</c:v>
                </c:pt>
                <c:pt idx="33">
                  <c:v>604.01394898353078</c:v>
                </c:pt>
                <c:pt idx="34">
                  <c:v>648.41228457412876</c:v>
                </c:pt>
                <c:pt idx="35">
                  <c:v>624.24794953563196</c:v>
                </c:pt>
                <c:pt idx="36">
                  <c:v>663.19756235900854</c:v>
                </c:pt>
                <c:pt idx="37">
                  <c:v>702.10012185406868</c:v>
                </c:pt>
                <c:pt idx="38">
                  <c:v>740.95859633457894</c:v>
                </c:pt>
                <c:pt idx="39">
                  <c:v>719.51794048282534</c:v>
                </c:pt>
                <c:pt idx="40">
                  <c:v>752.16563047732018</c:v>
                </c:pt>
                <c:pt idx="41">
                  <c:v>784.78453875917648</c:v>
                </c:pt>
                <c:pt idx="42">
                  <c:v>817.37602766160433</c:v>
                </c:pt>
                <c:pt idx="43">
                  <c:v>849.94134221534921</c:v>
                </c:pt>
                <c:pt idx="44">
                  <c:v>2.9494845662396269E-12</c:v>
                </c:pt>
                <c:pt idx="45">
                  <c:v>2.9494845662396269E-12</c:v>
                </c:pt>
                <c:pt idx="46">
                  <c:v>2.9494845662396269E-12</c:v>
                </c:pt>
                <c:pt idx="47">
                  <c:v>2.9494845662396269E-12</c:v>
                </c:pt>
                <c:pt idx="48">
                  <c:v>2.9494845662396269E-12</c:v>
                </c:pt>
                <c:pt idx="49">
                  <c:v>2.9494845662396269E-12</c:v>
                </c:pt>
                <c:pt idx="50">
                  <c:v>2.9494845662396269E-12</c:v>
                </c:pt>
                <c:pt idx="51">
                  <c:v>2.9494845662396269E-12</c:v>
                </c:pt>
                <c:pt idx="52">
                  <c:v>2.9494845662396269E-12</c:v>
                </c:pt>
                <c:pt idx="53">
                  <c:v>2.9494845662396269E-12</c:v>
                </c:pt>
                <c:pt idx="54">
                  <c:v>2.9494845662396269E-12</c:v>
                </c:pt>
                <c:pt idx="55">
                  <c:v>2.9494845662396269E-12</c:v>
                </c:pt>
                <c:pt idx="56">
                  <c:v>2.9494845662396269E-12</c:v>
                </c:pt>
                <c:pt idx="57">
                  <c:v>2.9494845662396269E-12</c:v>
                </c:pt>
                <c:pt idx="58">
                  <c:v>2.9494845662396269E-12</c:v>
                </c:pt>
                <c:pt idx="59">
                  <c:v>2.9494845662396269E-12</c:v>
                </c:pt>
                <c:pt idx="60">
                  <c:v>2.9494845662396269E-12</c:v>
                </c:pt>
                <c:pt idx="61">
                  <c:v>2.9494845662396269E-12</c:v>
                </c:pt>
                <c:pt idx="62">
                  <c:v>2.9494845662396269E-12</c:v>
                </c:pt>
                <c:pt idx="63">
                  <c:v>2.9494845662396269E-12</c:v>
                </c:pt>
                <c:pt idx="64">
                  <c:v>2.9494845662396269E-12</c:v>
                </c:pt>
                <c:pt idx="65">
                  <c:v>2.9494845662396269E-12</c:v>
                </c:pt>
                <c:pt idx="66">
                  <c:v>2.9494845662396269E-12</c:v>
                </c:pt>
                <c:pt idx="67">
                  <c:v>2.9494845662396269E-12</c:v>
                </c:pt>
                <c:pt idx="68">
                  <c:v>2.9494845662396269E-12</c:v>
                </c:pt>
                <c:pt idx="69">
                  <c:v>2.9494845662396269E-12</c:v>
                </c:pt>
                <c:pt idx="70">
                  <c:v>2.9494845662396269E-12</c:v>
                </c:pt>
                <c:pt idx="71">
                  <c:v>2.9494845662396269E-12</c:v>
                </c:pt>
                <c:pt idx="72">
                  <c:v>2.9494845662396269E-12</c:v>
                </c:pt>
                <c:pt idx="73">
                  <c:v>2.9494845662396269E-12</c:v>
                </c:pt>
                <c:pt idx="74">
                  <c:v>2.9494845662396269E-12</c:v>
                </c:pt>
                <c:pt idx="75">
                  <c:v>2.9494845662396269E-12</c:v>
                </c:pt>
                <c:pt idx="76">
                  <c:v>2.9494845662396269E-12</c:v>
                </c:pt>
                <c:pt idx="77">
                  <c:v>2.9494845662396269E-12</c:v>
                </c:pt>
                <c:pt idx="78">
                  <c:v>2.9494845662396269E-12</c:v>
                </c:pt>
                <c:pt idx="79">
                  <c:v>2.9494845662396269E-12</c:v>
                </c:pt>
                <c:pt idx="80">
                  <c:v>2.9494845662396269E-12</c:v>
                </c:pt>
                <c:pt idx="81">
                  <c:v>2.9494845662396269E-12</c:v>
                </c:pt>
                <c:pt idx="82">
                  <c:v>2.9494845662396269E-12</c:v>
                </c:pt>
                <c:pt idx="83">
                  <c:v>2.9494845662396269E-12</c:v>
                </c:pt>
                <c:pt idx="84">
                  <c:v>2.9494845662396269E-12</c:v>
                </c:pt>
                <c:pt idx="85">
                  <c:v>2.9494845662396269E-12</c:v>
                </c:pt>
                <c:pt idx="86">
                  <c:v>2.9494845662396269E-12</c:v>
                </c:pt>
                <c:pt idx="87">
                  <c:v>2.9494845662396269E-12</c:v>
                </c:pt>
                <c:pt idx="88">
                  <c:v>2.9494845662396269E-12</c:v>
                </c:pt>
                <c:pt idx="89">
                  <c:v>2.9494845662396269E-12</c:v>
                </c:pt>
                <c:pt idx="90">
                  <c:v>2.9494845662396269E-12</c:v>
                </c:pt>
                <c:pt idx="91">
                  <c:v>2.9494845662396269E-12</c:v>
                </c:pt>
                <c:pt idx="92">
                  <c:v>2.9494845662396269E-12</c:v>
                </c:pt>
                <c:pt idx="93">
                  <c:v>2.9494845662396269E-12</c:v>
                </c:pt>
                <c:pt idx="94">
                  <c:v>2.9494845662396269E-12</c:v>
                </c:pt>
                <c:pt idx="95">
                  <c:v>2.9494845662396269E-12</c:v>
                </c:pt>
                <c:pt idx="96">
                  <c:v>2.9494845662396269E-12</c:v>
                </c:pt>
                <c:pt idx="97">
                  <c:v>2.9494845662396269E-12</c:v>
                </c:pt>
                <c:pt idx="98">
                  <c:v>2.9494845662396269E-12</c:v>
                </c:pt>
                <c:pt idx="99">
                  <c:v>2.9494845662396269E-12</c:v>
                </c:pt>
                <c:pt idx="100">
                  <c:v>2.9494845662396269E-12</c:v>
                </c:pt>
                <c:pt idx="101">
                  <c:v>2.9494845662396269E-12</c:v>
                </c:pt>
                <c:pt idx="102">
                  <c:v>2.9494845662396269E-12</c:v>
                </c:pt>
                <c:pt idx="103">
                  <c:v>2.9494845662396269E-12</c:v>
                </c:pt>
                <c:pt idx="104">
                  <c:v>2.9494845662396269E-12</c:v>
                </c:pt>
                <c:pt idx="105">
                  <c:v>2.9494845662396269E-12</c:v>
                </c:pt>
                <c:pt idx="106">
                  <c:v>2.9494845662396269E-12</c:v>
                </c:pt>
                <c:pt idx="107">
                  <c:v>2.9494845662396269E-12</c:v>
                </c:pt>
                <c:pt idx="108">
                  <c:v>2.9494845662396269E-12</c:v>
                </c:pt>
                <c:pt idx="109">
                  <c:v>2.9494845662396269E-12</c:v>
                </c:pt>
                <c:pt idx="110">
                  <c:v>2.9494845662396269E-12</c:v>
                </c:pt>
                <c:pt idx="111">
                  <c:v>2.9494845662396269E-12</c:v>
                </c:pt>
                <c:pt idx="112">
                  <c:v>2.9494845662396269E-12</c:v>
                </c:pt>
                <c:pt idx="113">
                  <c:v>2.9494845662396269E-12</c:v>
                </c:pt>
                <c:pt idx="114">
                  <c:v>2.9494845662396269E-12</c:v>
                </c:pt>
                <c:pt idx="115">
                  <c:v>2.9494845662396269E-12</c:v>
                </c:pt>
                <c:pt idx="116">
                  <c:v>2.9494845662396269E-12</c:v>
                </c:pt>
                <c:pt idx="117">
                  <c:v>2.9494845662396269E-12</c:v>
                </c:pt>
                <c:pt idx="118">
                  <c:v>2.9494845662396269E-12</c:v>
                </c:pt>
                <c:pt idx="119">
                  <c:v>2.9494845662396269E-12</c:v>
                </c:pt>
                <c:pt idx="120">
                  <c:v>2.9494845662396269E-12</c:v>
                </c:pt>
                <c:pt idx="121">
                  <c:v>2.9494845662396269E-12</c:v>
                </c:pt>
                <c:pt idx="122">
                  <c:v>2.9494845662396269E-12</c:v>
                </c:pt>
                <c:pt idx="123">
                  <c:v>2.9494845662396269E-12</c:v>
                </c:pt>
                <c:pt idx="124">
                  <c:v>2.9494845662396269E-12</c:v>
                </c:pt>
                <c:pt idx="125">
                  <c:v>2.9494845662396269E-12</c:v>
                </c:pt>
                <c:pt idx="126">
                  <c:v>2.9494845662396269E-12</c:v>
                </c:pt>
                <c:pt idx="127">
                  <c:v>2.9494845662396269E-12</c:v>
                </c:pt>
                <c:pt idx="128">
                  <c:v>2.9494845662396269E-12</c:v>
                </c:pt>
                <c:pt idx="129">
                  <c:v>2.9494845662396269E-12</c:v>
                </c:pt>
                <c:pt idx="130">
                  <c:v>2.9494845662396269E-12</c:v>
                </c:pt>
                <c:pt idx="131">
                  <c:v>2.9494845662396269E-12</c:v>
                </c:pt>
                <c:pt idx="132">
                  <c:v>2.9494845662396269E-12</c:v>
                </c:pt>
                <c:pt idx="133">
                  <c:v>2.9494845662396269E-12</c:v>
                </c:pt>
                <c:pt idx="134">
                  <c:v>2.9494845662396269E-12</c:v>
                </c:pt>
                <c:pt idx="135">
                  <c:v>2.9494845662396269E-12</c:v>
                </c:pt>
                <c:pt idx="136">
                  <c:v>2.9494845662396269E-12</c:v>
                </c:pt>
                <c:pt idx="137">
                  <c:v>2.9494845662396269E-12</c:v>
                </c:pt>
                <c:pt idx="138">
                  <c:v>2.9494845662396269E-12</c:v>
                </c:pt>
                <c:pt idx="139">
                  <c:v>2.9494845662396269E-12</c:v>
                </c:pt>
                <c:pt idx="140">
                  <c:v>2.9494845662396269E-12</c:v>
                </c:pt>
                <c:pt idx="141">
                  <c:v>2.9494845662396269E-12</c:v>
                </c:pt>
                <c:pt idx="142">
                  <c:v>2.9494845662396269E-12</c:v>
                </c:pt>
                <c:pt idx="143">
                  <c:v>2.9494845662396269E-12</c:v>
                </c:pt>
                <c:pt idx="144">
                  <c:v>2.9494845662396269E-12</c:v>
                </c:pt>
                <c:pt idx="145">
                  <c:v>2.9494845662396269E-12</c:v>
                </c:pt>
                <c:pt idx="146">
                  <c:v>2.9494845662396269E-12</c:v>
                </c:pt>
                <c:pt idx="147">
                  <c:v>2.9494845662396269E-12</c:v>
                </c:pt>
                <c:pt idx="148">
                  <c:v>2.9494845662396269E-12</c:v>
                </c:pt>
                <c:pt idx="149">
                  <c:v>2.9494845662396269E-12</c:v>
                </c:pt>
                <c:pt idx="150">
                  <c:v>2.9494845662396269E-12</c:v>
                </c:pt>
                <c:pt idx="151">
                  <c:v>2.9494845662396269E-12</c:v>
                </c:pt>
                <c:pt idx="152">
                  <c:v>2.9494845662396269E-12</c:v>
                </c:pt>
                <c:pt idx="153">
                  <c:v>2.9494845662396269E-12</c:v>
                </c:pt>
                <c:pt idx="154">
                  <c:v>2.9494845662396269E-12</c:v>
                </c:pt>
                <c:pt idx="155">
                  <c:v>2.9494845662396269E-12</c:v>
                </c:pt>
                <c:pt idx="156">
                  <c:v>2.9494845662396269E-12</c:v>
                </c:pt>
                <c:pt idx="157">
                  <c:v>2.9494845662396269E-12</c:v>
                </c:pt>
                <c:pt idx="158">
                  <c:v>2.9494845662396269E-12</c:v>
                </c:pt>
                <c:pt idx="159">
                  <c:v>2.9494845662396269E-12</c:v>
                </c:pt>
                <c:pt idx="160">
                  <c:v>2.9494845662396269E-12</c:v>
                </c:pt>
                <c:pt idx="161">
                  <c:v>2.9494845662396269E-12</c:v>
                </c:pt>
                <c:pt idx="162">
                  <c:v>2.9494845662396269E-12</c:v>
                </c:pt>
                <c:pt idx="163">
                  <c:v>2.9494845662396269E-12</c:v>
                </c:pt>
                <c:pt idx="164">
                  <c:v>2.9494845662396269E-12</c:v>
                </c:pt>
                <c:pt idx="165">
                  <c:v>2.9494845662396269E-12</c:v>
                </c:pt>
                <c:pt idx="166">
                  <c:v>2.9494845662396269E-12</c:v>
                </c:pt>
                <c:pt idx="167">
                  <c:v>2.9494845662396269E-12</c:v>
                </c:pt>
                <c:pt idx="168">
                  <c:v>2.9494845662396269E-12</c:v>
                </c:pt>
                <c:pt idx="169">
                  <c:v>2.9494845662396269E-12</c:v>
                </c:pt>
                <c:pt idx="170">
                  <c:v>2.9494845662396269E-12</c:v>
                </c:pt>
                <c:pt idx="171">
                  <c:v>2.9494845662396269E-12</c:v>
                </c:pt>
                <c:pt idx="172">
                  <c:v>2.9494845662396269E-12</c:v>
                </c:pt>
                <c:pt idx="173">
                  <c:v>2.9494845662396269E-12</c:v>
                </c:pt>
                <c:pt idx="174">
                  <c:v>2.9494845662396269E-12</c:v>
                </c:pt>
                <c:pt idx="175">
                  <c:v>2.9494845662396269E-12</c:v>
                </c:pt>
                <c:pt idx="176">
                  <c:v>2.9494845662396269E-12</c:v>
                </c:pt>
                <c:pt idx="177">
                  <c:v>2.9494845662396269E-12</c:v>
                </c:pt>
                <c:pt idx="178">
                  <c:v>2.9494845662396269E-12</c:v>
                </c:pt>
                <c:pt idx="179">
                  <c:v>2.9494845662396269E-12</c:v>
                </c:pt>
                <c:pt idx="180">
                  <c:v>2.9494845662396269E-12</c:v>
                </c:pt>
                <c:pt idx="181">
                  <c:v>2.9494845662396269E-12</c:v>
                </c:pt>
                <c:pt idx="182">
                  <c:v>2.9494845662396269E-12</c:v>
                </c:pt>
                <c:pt idx="183">
                  <c:v>2.9494845662396269E-12</c:v>
                </c:pt>
                <c:pt idx="184">
                  <c:v>2.9494845662396269E-12</c:v>
                </c:pt>
                <c:pt idx="185">
                  <c:v>2.9494845662396269E-12</c:v>
                </c:pt>
                <c:pt idx="186">
                  <c:v>2.9494845662396269E-12</c:v>
                </c:pt>
                <c:pt idx="187">
                  <c:v>2.9494845662396269E-12</c:v>
                </c:pt>
                <c:pt idx="188">
                  <c:v>2.9494845662396269E-12</c:v>
                </c:pt>
                <c:pt idx="189">
                  <c:v>2.9494845662396269E-12</c:v>
                </c:pt>
                <c:pt idx="190">
                  <c:v>2.9494845662396269E-12</c:v>
                </c:pt>
                <c:pt idx="191">
                  <c:v>2.9494845662396269E-12</c:v>
                </c:pt>
                <c:pt idx="192">
                  <c:v>2.9494845662396269E-12</c:v>
                </c:pt>
                <c:pt idx="193">
                  <c:v>2.9494845662396269E-12</c:v>
                </c:pt>
                <c:pt idx="194">
                  <c:v>2.9494845662396269E-12</c:v>
                </c:pt>
                <c:pt idx="195">
                  <c:v>2.9494845662396269E-12</c:v>
                </c:pt>
                <c:pt idx="196">
                  <c:v>2.9494845662396269E-12</c:v>
                </c:pt>
                <c:pt idx="197">
                  <c:v>2.9494845662396269E-12</c:v>
                </c:pt>
                <c:pt idx="198">
                  <c:v>2.9494845662396269E-12</c:v>
                </c:pt>
                <c:pt idx="199">
                  <c:v>2.9494845662396269E-12</c:v>
                </c:pt>
                <c:pt idx="200">
                  <c:v>2.9494845662396269E-12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2578125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E88" sqref="E88:H95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7</v>
      </c>
      <c r="B5" s="268"/>
      <c r="C5" s="24">
        <v>8.6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15</v>
      </c>
      <c r="B9" s="31" t="s">
        <v>122</v>
      </c>
      <c r="C9" s="32">
        <v>0.12</v>
      </c>
      <c r="D9" s="33">
        <f t="shared" ref="D9:D18" si="0">C9*$C$5</f>
        <v>1.032</v>
      </c>
      <c r="E9" s="34">
        <v>109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17</v>
      </c>
      <c r="B10" s="31" t="s">
        <v>157</v>
      </c>
      <c r="C10" s="32">
        <v>0.47</v>
      </c>
      <c r="D10" s="33">
        <f t="shared" si="0"/>
        <v>4.0419999999999998</v>
      </c>
      <c r="E10" s="34">
        <v>54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18</v>
      </c>
      <c r="B11" s="31" t="s">
        <v>161</v>
      </c>
      <c r="C11" s="32">
        <v>0.41</v>
      </c>
      <c r="D11" s="33">
        <f t="shared" si="0"/>
        <v>3.5259999999999998</v>
      </c>
      <c r="E11" s="34">
        <v>43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19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20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21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22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23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24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25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26</v>
      </c>
      <c r="C19" s="37">
        <f>SUM(C9:C18)</f>
        <v>1</v>
      </c>
      <c r="D19" s="38">
        <f>SUM(D9:D18)</f>
        <v>8.6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27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28</v>
      </c>
      <c r="B24" s="42" t="s">
        <v>29</v>
      </c>
      <c r="C24" s="43">
        <v>0</v>
      </c>
      <c r="D24" s="44" t="s">
        <v>30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31</v>
      </c>
      <c r="B25" s="42" t="s">
        <v>32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33</v>
      </c>
      <c r="B26" s="42" t="s">
        <v>34</v>
      </c>
      <c r="C26" s="43">
        <v>0.05</v>
      </c>
      <c r="D26" s="44" t="s">
        <v>35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36</v>
      </c>
      <c r="B27" s="42" t="s">
        <v>37</v>
      </c>
      <c r="C27" s="43">
        <v>0</v>
      </c>
      <c r="D27" s="44" t="s">
        <v>38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39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15</v>
      </c>
      <c r="B32" s="47" t="str">
        <f>IF(B9="","",B9)</f>
        <v>Cèdre de l'Atlas</v>
      </c>
      <c r="D32" s="229" t="s">
        <v>40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41</v>
      </c>
      <c r="C34" s="258" t="s">
        <v>42</v>
      </c>
      <c r="D34" s="258"/>
      <c r="E34" s="259" t="s">
        <v>43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44</v>
      </c>
      <c r="B35" s="36" t="s">
        <v>45</v>
      </c>
      <c r="C35" s="48" t="s">
        <v>46</v>
      </c>
      <c r="D35" s="48" t="s">
        <v>47</v>
      </c>
      <c r="E35" s="36" t="s">
        <v>48</v>
      </c>
      <c r="F35" s="36" t="s">
        <v>49</v>
      </c>
      <c r="G35" s="36" t="s">
        <v>50</v>
      </c>
      <c r="H35" s="36" t="s">
        <v>51</v>
      </c>
      <c r="I35" s="48" t="s">
        <v>52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30</v>
      </c>
      <c r="B36" s="60">
        <v>103.27692307692307</v>
      </c>
      <c r="C36" s="60" t="s">
        <v>324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3.4425641025641025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51</v>
      </c>
      <c r="B37" s="60">
        <v>321.8384615384615</v>
      </c>
      <c r="C37" s="60">
        <v>1</v>
      </c>
      <c r="D37" s="60">
        <v>100.30769230769231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10.407692307692306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63</v>
      </c>
      <c r="B38" s="60">
        <v>350.69230769230768</v>
      </c>
      <c r="C38" s="60">
        <v>2</v>
      </c>
      <c r="D38" s="60">
        <v>108.08461538461538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10.763461538461542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75</v>
      </c>
      <c r="B39" s="60">
        <v>360.47692307692307</v>
      </c>
      <c r="C39" s="60">
        <v>3</v>
      </c>
      <c r="D39" s="60">
        <v>85.361538461538458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9.8224358974358967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87</v>
      </c>
      <c r="B40" s="60">
        <v>383.13846153846151</v>
      </c>
      <c r="C40" s="60">
        <v>4</v>
      </c>
      <c r="D40" s="60">
        <v>82.938461538461524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9.001923076923072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99</v>
      </c>
      <c r="B41" s="60">
        <v>397.8692307692308</v>
      </c>
      <c r="C41" s="60">
        <v>5</v>
      </c>
      <c r="D41" s="60">
        <v>198.32307692307691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8.1391025641025667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109</v>
      </c>
      <c r="B42" s="60">
        <v>256.09230769230771</v>
      </c>
      <c r="C42" s="60">
        <v>6</v>
      </c>
      <c r="D42" s="60">
        <v>256.09230769230771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5.6546153846153828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17</v>
      </c>
      <c r="B58" s="52" t="str">
        <f>IF(B10="","",B10)</f>
        <v>Douglas</v>
      </c>
      <c r="D58" s="229" t="s">
        <v>40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41</v>
      </c>
      <c r="C60" s="258" t="s">
        <v>42</v>
      </c>
      <c r="D60" s="258"/>
      <c r="E60" s="259" t="s">
        <v>43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44</v>
      </c>
      <c r="B61" s="36" t="s">
        <v>45</v>
      </c>
      <c r="C61" s="48" t="s">
        <v>46</v>
      </c>
      <c r="D61" s="48" t="s">
        <v>47</v>
      </c>
      <c r="E61" s="36" t="s">
        <v>48</v>
      </c>
      <c r="F61" s="36" t="s">
        <v>49</v>
      </c>
      <c r="G61" s="36" t="s">
        <v>50</v>
      </c>
      <c r="H61" s="36" t="s">
        <v>51</v>
      </c>
      <c r="I61" s="48" t="s">
        <v>52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18</v>
      </c>
      <c r="B62" s="60">
        <v>182.89230769230767</v>
      </c>
      <c r="C62" s="60">
        <v>1</v>
      </c>
      <c r="D62" s="60">
        <v>69.284615384615378</v>
      </c>
      <c r="E62" s="51">
        <v>0</v>
      </c>
      <c r="F62" s="51">
        <v>0.56000000000000005</v>
      </c>
      <c r="G62" s="51">
        <v>0.44</v>
      </c>
      <c r="H62" s="51">
        <v>0</v>
      </c>
      <c r="I62" s="53">
        <f>IFERROR(B62/A62,"")</f>
        <v>10.16068376068376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24</v>
      </c>
      <c r="B63" s="60">
        <v>237.56153846153845</v>
      </c>
      <c r="C63" s="60">
        <v>2</v>
      </c>
      <c r="D63" s="60">
        <v>42.661538461538463</v>
      </c>
      <c r="E63" s="51">
        <v>0.7</v>
      </c>
      <c r="F63" s="51">
        <v>0.16800000000000001</v>
      </c>
      <c r="G63" s="51">
        <v>0.13200000000000001</v>
      </c>
      <c r="H63" s="51">
        <v>0</v>
      </c>
      <c r="I63" s="49">
        <f>IF(A63&lt;&gt;0,(B63-(B62-D62))/(A63-A62),"")</f>
        <v>20.658974358974358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30</v>
      </c>
      <c r="B64" s="60">
        <v>331.86923076923074</v>
      </c>
      <c r="C64" s="60">
        <v>3</v>
      </c>
      <c r="D64" s="60">
        <v>65.669230769230765</v>
      </c>
      <c r="E64" s="51">
        <v>0.7</v>
      </c>
      <c r="F64" s="51">
        <v>0.16800000000000001</v>
      </c>
      <c r="G64" s="51">
        <v>0.13200000000000001</v>
      </c>
      <c r="H64" s="51">
        <v>0</v>
      </c>
      <c r="I64" s="49">
        <f>IF(A64&lt;&gt;0,(B64-(B63-D63))/(A64-A63),"")</f>
        <v>22.828205128205127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36</v>
      </c>
      <c r="B65" s="60">
        <v>403.50769230769237</v>
      </c>
      <c r="C65" s="60">
        <v>4</v>
      </c>
      <c r="D65" s="60">
        <v>69.3</v>
      </c>
      <c r="E65" s="51">
        <v>0.7</v>
      </c>
      <c r="F65" s="51">
        <v>0.16800000000000001</v>
      </c>
      <c r="G65" s="51">
        <v>0.13200000000000001</v>
      </c>
      <c r="H65" s="51">
        <v>0</v>
      </c>
      <c r="I65" s="49">
        <f>IF(A65&lt;&gt;0,(B65-(B64-D64))/(A65-A64),"")</f>
        <v>22.884615384615397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42</v>
      </c>
      <c r="B66" s="60">
        <v>468.72307692307686</v>
      </c>
      <c r="C66" s="60">
        <v>5</v>
      </c>
      <c r="D66" s="60">
        <v>73.392307692307682</v>
      </c>
      <c r="E66" s="51">
        <v>0.7</v>
      </c>
      <c r="F66" s="51">
        <v>0.16800000000000001</v>
      </c>
      <c r="G66" s="51">
        <v>0.13200000000000001</v>
      </c>
      <c r="H66" s="51">
        <v>0</v>
      </c>
      <c r="I66" s="49">
        <f t="shared" ref="I66:I81" si="2">IF(A66&lt;&gt;0,(B66-(B65-D65))/(A66-A65),"")</f>
        <v>22.419230769230751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48</v>
      </c>
      <c r="B67" s="60">
        <v>525.0846153846154</v>
      </c>
      <c r="C67" s="60">
        <v>6</v>
      </c>
      <c r="D67" s="60">
        <v>81.330769230769235</v>
      </c>
      <c r="E67" s="51">
        <v>0.7</v>
      </c>
      <c r="F67" s="51">
        <v>0.16800000000000001</v>
      </c>
      <c r="G67" s="51">
        <v>0.13200000000000001</v>
      </c>
      <c r="H67" s="51">
        <v>0</v>
      </c>
      <c r="I67" s="49">
        <f t="shared" si="2"/>
        <v>21.625641025641034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54</v>
      </c>
      <c r="B68" s="60">
        <v>566.79999999999995</v>
      </c>
      <c r="C68" s="60">
        <v>7</v>
      </c>
      <c r="D68" s="60">
        <v>566.79999999999995</v>
      </c>
      <c r="E68" s="51">
        <v>0.7</v>
      </c>
      <c r="F68" s="51">
        <v>0.16800000000000001</v>
      </c>
      <c r="G68" s="51">
        <v>0.13200000000000001</v>
      </c>
      <c r="H68" s="51">
        <v>0</v>
      </c>
      <c r="I68" s="49">
        <f t="shared" si="2"/>
        <v>20.507692307692299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18</v>
      </c>
      <c r="B84" s="52" t="str">
        <f>IF(B11="","",B11)</f>
        <v>Epicéa de Sitka</v>
      </c>
      <c r="D84" s="229" t="s">
        <v>40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41</v>
      </c>
      <c r="C86" s="258" t="s">
        <v>42</v>
      </c>
      <c r="D86" s="258"/>
      <c r="E86" s="259" t="s">
        <v>43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44</v>
      </c>
      <c r="B87" s="36" t="s">
        <v>45</v>
      </c>
      <c r="C87" s="48" t="s">
        <v>46</v>
      </c>
      <c r="D87" s="48" t="s">
        <v>47</v>
      </c>
      <c r="E87" s="36" t="s">
        <v>48</v>
      </c>
      <c r="F87" s="36" t="s">
        <v>49</v>
      </c>
      <c r="G87" s="36" t="s">
        <v>50</v>
      </c>
      <c r="H87" s="36" t="s">
        <v>51</v>
      </c>
      <c r="I87" s="48" t="s">
        <v>52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17</v>
      </c>
      <c r="B88" s="60">
        <v>173</v>
      </c>
      <c r="C88" s="60">
        <v>1</v>
      </c>
      <c r="D88" s="60">
        <v>58</v>
      </c>
      <c r="E88" s="51">
        <v>0</v>
      </c>
      <c r="F88" s="51">
        <v>0.8</v>
      </c>
      <c r="G88" s="51">
        <v>0.2</v>
      </c>
      <c r="H88" s="87">
        <v>0</v>
      </c>
      <c r="I88" s="53">
        <f>IFERROR(B88/A88,"")</f>
        <v>10.176470588235293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20</v>
      </c>
      <c r="B89" s="60">
        <v>238</v>
      </c>
      <c r="C89" s="60">
        <v>2</v>
      </c>
      <c r="D89" s="60">
        <v>66</v>
      </c>
      <c r="E89" s="51">
        <v>0</v>
      </c>
      <c r="F89" s="51">
        <v>0.8</v>
      </c>
      <c r="G89" s="51">
        <v>0.2</v>
      </c>
      <c r="H89" s="87">
        <v>0</v>
      </c>
      <c r="I89" s="53">
        <f t="shared" ref="I89:I107" si="3">IF(A89&lt;&gt;0,(B89-(B88-D88))/(A89-A88),"")</f>
        <v>41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23</v>
      </c>
      <c r="B90" s="60">
        <v>313</v>
      </c>
      <c r="C90" s="60">
        <v>3</v>
      </c>
      <c r="D90" s="60">
        <v>57</v>
      </c>
      <c r="E90" s="87">
        <v>0.3</v>
      </c>
      <c r="F90" s="87">
        <v>0.6</v>
      </c>
      <c r="G90" s="87">
        <v>0.1</v>
      </c>
      <c r="H90" s="87">
        <v>0</v>
      </c>
      <c r="I90" s="53">
        <f t="shared" si="3"/>
        <v>47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26</v>
      </c>
      <c r="B91" s="60">
        <v>407</v>
      </c>
      <c r="C91" s="60">
        <v>4</v>
      </c>
      <c r="D91" s="60">
        <v>62</v>
      </c>
      <c r="E91" s="87">
        <v>0.3</v>
      </c>
      <c r="F91" s="87">
        <v>0.6</v>
      </c>
      <c r="G91" s="87">
        <v>0.1</v>
      </c>
      <c r="H91" s="87">
        <v>0</v>
      </c>
      <c r="I91" s="53">
        <f t="shared" si="3"/>
        <v>50.333333333333336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30</v>
      </c>
      <c r="B92" s="60">
        <v>541</v>
      </c>
      <c r="C92" s="60">
        <v>5</v>
      </c>
      <c r="D92" s="60">
        <v>78</v>
      </c>
      <c r="E92" s="87">
        <v>0.3</v>
      </c>
      <c r="F92" s="87">
        <v>0.6</v>
      </c>
      <c r="G92" s="87">
        <v>0.1</v>
      </c>
      <c r="H92" s="87">
        <v>0</v>
      </c>
      <c r="I92" s="53">
        <f t="shared" si="3"/>
        <v>49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34</v>
      </c>
      <c r="B93" s="60">
        <v>643</v>
      </c>
      <c r="C93" s="60">
        <v>6</v>
      </c>
      <c r="D93" s="60">
        <v>64</v>
      </c>
      <c r="E93" s="87">
        <v>0.5</v>
      </c>
      <c r="F93" s="87">
        <v>0.5</v>
      </c>
      <c r="G93" s="87">
        <v>0</v>
      </c>
      <c r="H93" s="87">
        <v>0</v>
      </c>
      <c r="I93" s="53">
        <f t="shared" si="3"/>
        <v>45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38</v>
      </c>
      <c r="B94" s="60">
        <v>737</v>
      </c>
      <c r="C94" s="60">
        <v>7</v>
      </c>
      <c r="D94" s="60">
        <v>55</v>
      </c>
      <c r="E94" s="87">
        <v>0.5</v>
      </c>
      <c r="F94" s="87">
        <v>0.5</v>
      </c>
      <c r="G94" s="87">
        <v>0</v>
      </c>
      <c r="H94" s="87">
        <v>0</v>
      </c>
      <c r="I94" s="53">
        <f t="shared" si="3"/>
        <v>39.5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43</v>
      </c>
      <c r="B95" s="60">
        <v>848</v>
      </c>
      <c r="C95" s="60" t="s">
        <v>325</v>
      </c>
      <c r="D95" s="60">
        <v>848</v>
      </c>
      <c r="E95" s="87">
        <v>0.5</v>
      </c>
      <c r="F95" s="87">
        <v>0.5</v>
      </c>
      <c r="G95" s="87">
        <v>0</v>
      </c>
      <c r="H95" s="87">
        <v>0</v>
      </c>
      <c r="I95" s="53">
        <f t="shared" si="3"/>
        <v>33.200000000000003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19</v>
      </c>
      <c r="B110" s="52" t="str">
        <f>IF(B12="","",B12)</f>
        <v/>
      </c>
      <c r="D110" s="229" t="s">
        <v>40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41</v>
      </c>
      <c r="C112" s="258" t="s">
        <v>42</v>
      </c>
      <c r="D112" s="258"/>
      <c r="E112" s="259" t="s">
        <v>43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44</v>
      </c>
      <c r="B113" s="36" t="s">
        <v>45</v>
      </c>
      <c r="C113" s="48" t="s">
        <v>46</v>
      </c>
      <c r="D113" s="48" t="s">
        <v>47</v>
      </c>
      <c r="E113" s="36" t="s">
        <v>48</v>
      </c>
      <c r="F113" s="36" t="s">
        <v>49</v>
      </c>
      <c r="G113" s="36" t="s">
        <v>50</v>
      </c>
      <c r="H113" s="36" t="s">
        <v>51</v>
      </c>
      <c r="I113" s="48" t="s">
        <v>52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20</v>
      </c>
      <c r="B136" s="52" t="str">
        <f>IF(B13="","",B13)</f>
        <v/>
      </c>
      <c r="D136" s="229" t="s">
        <v>40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41</v>
      </c>
      <c r="C138" s="258" t="s">
        <v>42</v>
      </c>
      <c r="D138" s="258"/>
      <c r="E138" s="259" t="s">
        <v>43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44</v>
      </c>
      <c r="B139" s="36" t="s">
        <v>45</v>
      </c>
      <c r="C139" s="48" t="s">
        <v>46</v>
      </c>
      <c r="D139" s="48" t="s">
        <v>47</v>
      </c>
      <c r="E139" s="36" t="s">
        <v>48</v>
      </c>
      <c r="F139" s="36" t="s">
        <v>49</v>
      </c>
      <c r="G139" s="36" t="s">
        <v>50</v>
      </c>
      <c r="H139" s="36" t="s">
        <v>51</v>
      </c>
      <c r="I139" s="48" t="s">
        <v>52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21</v>
      </c>
      <c r="B162" s="52" t="str">
        <f>IF(B14="","",B14)</f>
        <v/>
      </c>
      <c r="D162" s="229" t="s">
        <v>40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41</v>
      </c>
      <c r="C164" s="258" t="s">
        <v>42</v>
      </c>
      <c r="D164" s="258"/>
      <c r="E164" s="259" t="s">
        <v>43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44</v>
      </c>
      <c r="B165" s="36" t="s">
        <v>45</v>
      </c>
      <c r="C165" s="48" t="s">
        <v>46</v>
      </c>
      <c r="D165" s="48" t="s">
        <v>47</v>
      </c>
      <c r="E165" s="36" t="s">
        <v>48</v>
      </c>
      <c r="F165" s="36" t="s">
        <v>49</v>
      </c>
      <c r="G165" s="36" t="s">
        <v>50</v>
      </c>
      <c r="H165" s="36" t="s">
        <v>51</v>
      </c>
      <c r="I165" s="48" t="s">
        <v>52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22</v>
      </c>
      <c r="B188" s="52" t="str">
        <f>IF(B15="","",B15)</f>
        <v/>
      </c>
      <c r="D188" s="229" t="s">
        <v>40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41</v>
      </c>
      <c r="C190" s="258" t="s">
        <v>42</v>
      </c>
      <c r="D190" s="258"/>
      <c r="E190" s="259" t="s">
        <v>43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44</v>
      </c>
      <c r="B191" s="36" t="s">
        <v>45</v>
      </c>
      <c r="C191" s="48" t="s">
        <v>46</v>
      </c>
      <c r="D191" s="48" t="s">
        <v>47</v>
      </c>
      <c r="E191" s="36" t="s">
        <v>48</v>
      </c>
      <c r="F191" s="36" t="s">
        <v>49</v>
      </c>
      <c r="G191" s="36" t="s">
        <v>50</v>
      </c>
      <c r="H191" s="36" t="s">
        <v>51</v>
      </c>
      <c r="I191" s="48" t="s">
        <v>52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23</v>
      </c>
      <c r="B214" s="52" t="str">
        <f>IF(B16="","",B16)</f>
        <v/>
      </c>
      <c r="D214" s="229" t="s">
        <v>40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41</v>
      </c>
      <c r="C216" s="258" t="s">
        <v>42</v>
      </c>
      <c r="D216" s="258"/>
      <c r="E216" s="259" t="s">
        <v>43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44</v>
      </c>
      <c r="B217" s="36" t="s">
        <v>45</v>
      </c>
      <c r="C217" s="48" t="s">
        <v>46</v>
      </c>
      <c r="D217" s="48" t="s">
        <v>47</v>
      </c>
      <c r="E217" s="36" t="s">
        <v>48</v>
      </c>
      <c r="F217" s="36" t="s">
        <v>49</v>
      </c>
      <c r="G217" s="36" t="s">
        <v>50</v>
      </c>
      <c r="H217" s="36" t="s">
        <v>51</v>
      </c>
      <c r="I217" s="48" t="s">
        <v>52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24</v>
      </c>
      <c r="B240" s="52" t="str">
        <f>IF(B17="","",B17)</f>
        <v/>
      </c>
      <c r="D240" s="229" t="s">
        <v>40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41</v>
      </c>
      <c r="C242" s="258" t="s">
        <v>42</v>
      </c>
      <c r="D242" s="258"/>
      <c r="E242" s="259" t="s">
        <v>43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44</v>
      </c>
      <c r="B243" s="36" t="s">
        <v>45</v>
      </c>
      <c r="C243" s="48" t="s">
        <v>46</v>
      </c>
      <c r="D243" s="48" t="s">
        <v>47</v>
      </c>
      <c r="E243" s="36" t="s">
        <v>48</v>
      </c>
      <c r="F243" s="36" t="s">
        <v>49</v>
      </c>
      <c r="G243" s="36" t="s">
        <v>50</v>
      </c>
      <c r="H243" s="36" t="s">
        <v>51</v>
      </c>
      <c r="I243" s="48" t="s">
        <v>52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25</v>
      </c>
      <c r="B266" s="52" t="str">
        <f>IF(B18="","",B18)</f>
        <v/>
      </c>
      <c r="D266" s="229" t="s">
        <v>40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41</v>
      </c>
      <c r="C268" s="258" t="s">
        <v>42</v>
      </c>
      <c r="D268" s="258"/>
      <c r="E268" s="259" t="s">
        <v>43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44</v>
      </c>
      <c r="B269" s="36" t="s">
        <v>45</v>
      </c>
      <c r="C269" s="48" t="s">
        <v>46</v>
      </c>
      <c r="D269" s="48" t="s">
        <v>47</v>
      </c>
      <c r="E269" s="36" t="s">
        <v>48</v>
      </c>
      <c r="F269" s="36" t="s">
        <v>49</v>
      </c>
      <c r="G269" s="36" t="s">
        <v>50</v>
      </c>
      <c r="H269" s="36" t="s">
        <v>51</v>
      </c>
      <c r="I269" s="48" t="s">
        <v>52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11" zoomScaleNormal="100" workbookViewId="0">
      <selection activeCell="G16" sqref="G1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53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54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55</v>
      </c>
      <c r="C7" s="100" t="s">
        <v>56</v>
      </c>
      <c r="D7" s="215"/>
      <c r="E7" s="101"/>
      <c r="F7" s="26" t="s">
        <v>55</v>
      </c>
      <c r="G7" s="100" t="s">
        <v>57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58</v>
      </c>
      <c r="D8" s="23"/>
      <c r="E8" s="105">
        <v>4</v>
      </c>
      <c r="F8" s="61">
        <v>1</v>
      </c>
      <c r="G8" s="102" t="s">
        <v>59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60</v>
      </c>
      <c r="D9" s="23"/>
      <c r="E9" s="105">
        <v>5</v>
      </c>
      <c r="F9" s="61">
        <v>0</v>
      </c>
      <c r="G9" s="103" t="s">
        <v>61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62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63</v>
      </c>
      <c r="D13" s="216"/>
      <c r="E13" s="99"/>
      <c r="F13" s="107"/>
      <c r="G13" s="98" t="s">
        <v>64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65</v>
      </c>
      <c r="D14" s="216"/>
      <c r="E14" s="99"/>
      <c r="F14" s="107"/>
      <c r="G14" s="98" t="s">
        <v>66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55</v>
      </c>
      <c r="C15" s="4"/>
      <c r="D15" s="23"/>
      <c r="E15" s="4"/>
      <c r="F15" s="4"/>
      <c r="G15" s="2" t="s">
        <v>161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68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69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70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71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Cèdre de l'Atlas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Douglas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Epicéa de Sitka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72</v>
      </c>
      <c r="B2" s="72" t="s">
        <v>73</v>
      </c>
      <c r="C2" s="5" t="s">
        <v>74</v>
      </c>
      <c r="D2" s="5" t="s">
        <v>75</v>
      </c>
      <c r="E2" s="5" t="s">
        <v>76</v>
      </c>
      <c r="F2" s="5" t="s">
        <v>77</v>
      </c>
      <c r="G2" s="5" t="s">
        <v>78</v>
      </c>
      <c r="H2" s="66" t="s">
        <v>79</v>
      </c>
      <c r="I2" s="68" t="s">
        <v>76</v>
      </c>
      <c r="J2" s="69" t="s">
        <v>77</v>
      </c>
      <c r="K2" s="6" t="s">
        <v>80</v>
      </c>
      <c r="L2" s="6" t="s">
        <v>81</v>
      </c>
      <c r="M2" s="6" t="s">
        <v>81</v>
      </c>
      <c r="N2" s="6" t="s">
        <v>82</v>
      </c>
      <c r="O2" s="6" t="s">
        <v>83</v>
      </c>
      <c r="P2" s="6" t="s">
        <v>84</v>
      </c>
      <c r="Q2" s="6" t="s">
        <v>78</v>
      </c>
      <c r="R2" s="6" t="s">
        <v>85</v>
      </c>
      <c r="S2" s="6" t="s">
        <v>86</v>
      </c>
      <c r="T2" s="6" t="s">
        <v>87</v>
      </c>
      <c r="U2" s="7" t="s">
        <v>88</v>
      </c>
      <c r="V2" s="8" t="s">
        <v>89</v>
      </c>
      <c r="W2" s="7" t="s">
        <v>48</v>
      </c>
      <c r="X2" s="7" t="s">
        <v>49</v>
      </c>
      <c r="Y2" s="7" t="s">
        <v>90</v>
      </c>
      <c r="Z2" s="8" t="s">
        <v>91</v>
      </c>
      <c r="AA2" s="8" t="s">
        <v>92</v>
      </c>
      <c r="AB2" s="8" t="s">
        <v>93</v>
      </c>
      <c r="AC2" s="9" t="s">
        <v>94</v>
      </c>
      <c r="AD2" s="69" t="s">
        <v>76</v>
      </c>
      <c r="AE2" s="69" t="s">
        <v>77</v>
      </c>
      <c r="AF2" s="6" t="s">
        <v>80</v>
      </c>
      <c r="AG2" s="6" t="s">
        <v>81</v>
      </c>
      <c r="AH2" s="6" t="s">
        <v>81</v>
      </c>
      <c r="AI2" s="6" t="s">
        <v>82</v>
      </c>
      <c r="AJ2" s="6" t="s">
        <v>83</v>
      </c>
      <c r="AK2" s="6" t="s">
        <v>84</v>
      </c>
      <c r="AL2" s="6" t="s">
        <v>78</v>
      </c>
      <c r="AM2" s="6" t="s">
        <v>85</v>
      </c>
      <c r="AN2" s="6" t="s">
        <v>86</v>
      </c>
      <c r="AO2" s="6" t="s">
        <v>87</v>
      </c>
      <c r="AP2" s="7" t="s">
        <v>88</v>
      </c>
      <c r="AQ2" s="8" t="s">
        <v>89</v>
      </c>
      <c r="AR2" s="7" t="s">
        <v>48</v>
      </c>
      <c r="AS2" s="7" t="s">
        <v>49</v>
      </c>
      <c r="AT2" s="8" t="s">
        <v>95</v>
      </c>
      <c r="AU2" s="8" t="s">
        <v>91</v>
      </c>
      <c r="AV2" s="8" t="s">
        <v>92</v>
      </c>
      <c r="AW2" s="8" t="s">
        <v>93</v>
      </c>
      <c r="AX2" s="8" t="s">
        <v>94</v>
      </c>
      <c r="AY2" s="68" t="s">
        <v>76</v>
      </c>
      <c r="AZ2" s="69" t="s">
        <v>77</v>
      </c>
      <c r="BA2" s="6" t="s">
        <v>80</v>
      </c>
      <c r="BB2" s="6" t="s">
        <v>81</v>
      </c>
      <c r="BC2" s="6" t="s">
        <v>81</v>
      </c>
      <c r="BD2" s="6" t="s">
        <v>82</v>
      </c>
      <c r="BE2" s="6" t="s">
        <v>83</v>
      </c>
      <c r="BF2" s="6" t="s">
        <v>84</v>
      </c>
      <c r="BG2" s="6" t="s">
        <v>78</v>
      </c>
      <c r="BH2" s="6" t="s">
        <v>85</v>
      </c>
      <c r="BI2" s="6" t="s">
        <v>86</v>
      </c>
      <c r="BJ2" s="6" t="s">
        <v>87</v>
      </c>
      <c r="BK2" s="7" t="s">
        <v>88</v>
      </c>
      <c r="BL2" s="8" t="s">
        <v>89</v>
      </c>
      <c r="BM2" s="7" t="s">
        <v>48</v>
      </c>
      <c r="BN2" s="7" t="s">
        <v>49</v>
      </c>
      <c r="BO2" s="8" t="s">
        <v>95</v>
      </c>
      <c r="BP2" s="8" t="s">
        <v>91</v>
      </c>
      <c r="BQ2" s="8" t="s">
        <v>92</v>
      </c>
      <c r="BR2" s="8" t="s">
        <v>93</v>
      </c>
      <c r="BS2" s="9" t="s">
        <v>94</v>
      </c>
      <c r="BT2" s="68" t="s">
        <v>76</v>
      </c>
      <c r="BU2" s="69" t="s">
        <v>77</v>
      </c>
      <c r="BV2" s="6" t="s">
        <v>80</v>
      </c>
      <c r="BW2" s="6" t="s">
        <v>81</v>
      </c>
      <c r="BX2" s="6" t="s">
        <v>81</v>
      </c>
      <c r="BY2" s="6" t="s">
        <v>82</v>
      </c>
      <c r="BZ2" s="6" t="s">
        <v>83</v>
      </c>
      <c r="CA2" s="6" t="s">
        <v>84</v>
      </c>
      <c r="CB2" s="6" t="s">
        <v>78</v>
      </c>
      <c r="CC2" s="6" t="s">
        <v>85</v>
      </c>
      <c r="CD2" s="6" t="s">
        <v>86</v>
      </c>
      <c r="CE2" s="6" t="s">
        <v>87</v>
      </c>
      <c r="CF2" s="7" t="s">
        <v>88</v>
      </c>
      <c r="CG2" s="8" t="s">
        <v>89</v>
      </c>
      <c r="CH2" s="7" t="s">
        <v>48</v>
      </c>
      <c r="CI2" s="7" t="s">
        <v>49</v>
      </c>
      <c r="CJ2" s="8" t="s">
        <v>95</v>
      </c>
      <c r="CK2" s="8" t="s">
        <v>91</v>
      </c>
      <c r="CL2" s="8" t="s">
        <v>92</v>
      </c>
      <c r="CM2" s="8" t="s">
        <v>93</v>
      </c>
      <c r="CN2" s="9" t="s">
        <v>94</v>
      </c>
      <c r="CO2" s="68" t="s">
        <v>76</v>
      </c>
      <c r="CP2" s="69" t="s">
        <v>77</v>
      </c>
      <c r="CQ2" s="6" t="s">
        <v>80</v>
      </c>
      <c r="CR2" s="6" t="s">
        <v>81</v>
      </c>
      <c r="CS2" s="6" t="s">
        <v>81</v>
      </c>
      <c r="CT2" s="6" t="s">
        <v>82</v>
      </c>
      <c r="CU2" s="6" t="s">
        <v>83</v>
      </c>
      <c r="CV2" s="6" t="s">
        <v>84</v>
      </c>
      <c r="CW2" s="6" t="s">
        <v>78</v>
      </c>
      <c r="CX2" s="6" t="s">
        <v>85</v>
      </c>
      <c r="CY2" s="6" t="s">
        <v>86</v>
      </c>
      <c r="CZ2" s="6" t="s">
        <v>87</v>
      </c>
      <c r="DA2" s="7" t="s">
        <v>88</v>
      </c>
      <c r="DB2" s="8" t="s">
        <v>89</v>
      </c>
      <c r="DC2" s="7" t="s">
        <v>48</v>
      </c>
      <c r="DD2" s="7" t="s">
        <v>49</v>
      </c>
      <c r="DE2" s="8" t="s">
        <v>95</v>
      </c>
      <c r="DF2" s="8" t="s">
        <v>91</v>
      </c>
      <c r="DG2" s="8" t="s">
        <v>92</v>
      </c>
      <c r="DH2" s="8" t="s">
        <v>93</v>
      </c>
      <c r="DI2" s="9" t="s">
        <v>94</v>
      </c>
      <c r="DJ2" s="68" t="s">
        <v>76</v>
      </c>
      <c r="DK2" s="69" t="s">
        <v>77</v>
      </c>
      <c r="DL2" s="6" t="s">
        <v>80</v>
      </c>
      <c r="DM2" s="6" t="s">
        <v>81</v>
      </c>
      <c r="DN2" s="6" t="s">
        <v>81</v>
      </c>
      <c r="DO2" s="6" t="s">
        <v>82</v>
      </c>
      <c r="DP2" s="6" t="s">
        <v>83</v>
      </c>
      <c r="DQ2" s="6" t="s">
        <v>84</v>
      </c>
      <c r="DR2" s="6" t="s">
        <v>78</v>
      </c>
      <c r="DS2" s="6" t="s">
        <v>85</v>
      </c>
      <c r="DT2" s="6" t="s">
        <v>86</v>
      </c>
      <c r="DU2" s="6" t="s">
        <v>87</v>
      </c>
      <c r="DV2" s="7" t="s">
        <v>88</v>
      </c>
      <c r="DW2" s="8" t="s">
        <v>89</v>
      </c>
      <c r="DX2" s="7" t="s">
        <v>48</v>
      </c>
      <c r="DY2" s="7" t="s">
        <v>49</v>
      </c>
      <c r="DZ2" s="8" t="s">
        <v>95</v>
      </c>
      <c r="EA2" s="8" t="s">
        <v>91</v>
      </c>
      <c r="EB2" s="8" t="s">
        <v>92</v>
      </c>
      <c r="EC2" s="8" t="s">
        <v>93</v>
      </c>
      <c r="ED2" s="9" t="s">
        <v>94</v>
      </c>
      <c r="EE2" s="68" t="s">
        <v>76</v>
      </c>
      <c r="EF2" s="69" t="s">
        <v>77</v>
      </c>
      <c r="EG2" s="6" t="s">
        <v>80</v>
      </c>
      <c r="EH2" s="6" t="s">
        <v>81</v>
      </c>
      <c r="EI2" s="6" t="s">
        <v>81</v>
      </c>
      <c r="EJ2" s="6" t="s">
        <v>82</v>
      </c>
      <c r="EK2" s="6" t="s">
        <v>83</v>
      </c>
      <c r="EL2" s="6" t="s">
        <v>84</v>
      </c>
      <c r="EM2" s="6" t="s">
        <v>78</v>
      </c>
      <c r="EN2" s="6" t="s">
        <v>85</v>
      </c>
      <c r="EO2" s="6" t="s">
        <v>86</v>
      </c>
      <c r="EP2" s="6" t="s">
        <v>87</v>
      </c>
      <c r="EQ2" s="7" t="s">
        <v>88</v>
      </c>
      <c r="ER2" s="8" t="s">
        <v>89</v>
      </c>
      <c r="ES2" s="7" t="s">
        <v>48</v>
      </c>
      <c r="ET2" s="7" t="s">
        <v>49</v>
      </c>
      <c r="EU2" s="8" t="s">
        <v>95</v>
      </c>
      <c r="EV2" s="8" t="s">
        <v>91</v>
      </c>
      <c r="EW2" s="8" t="s">
        <v>92</v>
      </c>
      <c r="EX2" s="8" t="s">
        <v>93</v>
      </c>
      <c r="EY2" s="9" t="s">
        <v>94</v>
      </c>
      <c r="EZ2" s="68" t="s">
        <v>76</v>
      </c>
      <c r="FA2" s="69" t="s">
        <v>77</v>
      </c>
      <c r="FB2" s="6" t="s">
        <v>80</v>
      </c>
      <c r="FC2" s="6" t="s">
        <v>81</v>
      </c>
      <c r="FD2" s="6" t="s">
        <v>81</v>
      </c>
      <c r="FE2" s="6" t="s">
        <v>82</v>
      </c>
      <c r="FF2" s="6" t="s">
        <v>83</v>
      </c>
      <c r="FG2" s="6" t="s">
        <v>84</v>
      </c>
      <c r="FH2" s="6" t="s">
        <v>78</v>
      </c>
      <c r="FI2" s="6" t="s">
        <v>85</v>
      </c>
      <c r="FJ2" s="6" t="s">
        <v>86</v>
      </c>
      <c r="FK2" s="6" t="s">
        <v>87</v>
      </c>
      <c r="FL2" s="7" t="s">
        <v>88</v>
      </c>
      <c r="FM2" s="8" t="s">
        <v>89</v>
      </c>
      <c r="FN2" s="7" t="s">
        <v>48</v>
      </c>
      <c r="FO2" s="7" t="s">
        <v>49</v>
      </c>
      <c r="FP2" s="8" t="s">
        <v>96</v>
      </c>
      <c r="FQ2" s="8" t="s">
        <v>91</v>
      </c>
      <c r="FR2" s="8" t="s">
        <v>92</v>
      </c>
      <c r="FS2" s="8" t="s">
        <v>93</v>
      </c>
      <c r="FT2" s="9" t="s">
        <v>94</v>
      </c>
      <c r="FU2" s="68" t="s">
        <v>76</v>
      </c>
      <c r="FV2" s="69" t="s">
        <v>77</v>
      </c>
      <c r="FW2" s="6" t="s">
        <v>80</v>
      </c>
      <c r="FX2" s="6" t="s">
        <v>81</v>
      </c>
      <c r="FY2" s="6" t="s">
        <v>81</v>
      </c>
      <c r="FZ2" s="6" t="s">
        <v>82</v>
      </c>
      <c r="GA2" s="6" t="s">
        <v>83</v>
      </c>
      <c r="GB2" s="6" t="s">
        <v>84</v>
      </c>
      <c r="GC2" s="6" t="s">
        <v>78</v>
      </c>
      <c r="GD2" s="6" t="s">
        <v>85</v>
      </c>
      <c r="GE2" s="6" t="s">
        <v>86</v>
      </c>
      <c r="GF2" s="6" t="s">
        <v>87</v>
      </c>
      <c r="GG2" s="7" t="s">
        <v>88</v>
      </c>
      <c r="GH2" s="8" t="s">
        <v>89</v>
      </c>
      <c r="GI2" s="7" t="s">
        <v>48</v>
      </c>
      <c r="GJ2" s="7" t="s">
        <v>49</v>
      </c>
      <c r="GK2" s="8" t="s">
        <v>95</v>
      </c>
      <c r="GL2" s="8" t="s">
        <v>91</v>
      </c>
      <c r="GM2" s="8" t="s">
        <v>92</v>
      </c>
      <c r="GN2" s="8" t="s">
        <v>93</v>
      </c>
      <c r="GO2" s="8" t="s">
        <v>94</v>
      </c>
      <c r="GP2" s="68" t="s">
        <v>76</v>
      </c>
      <c r="GQ2" s="69" t="s">
        <v>77</v>
      </c>
      <c r="GR2" s="6" t="s">
        <v>80</v>
      </c>
      <c r="GS2" s="6" t="s">
        <v>81</v>
      </c>
      <c r="GT2" s="6" t="s">
        <v>81</v>
      </c>
      <c r="GU2" s="6" t="s">
        <v>82</v>
      </c>
      <c r="GV2" s="6" t="s">
        <v>83</v>
      </c>
      <c r="GW2" s="6" t="s">
        <v>84</v>
      </c>
      <c r="GX2" s="6" t="s">
        <v>78</v>
      </c>
      <c r="GY2" s="6" t="s">
        <v>85</v>
      </c>
      <c r="GZ2" s="6" t="s">
        <v>86</v>
      </c>
      <c r="HA2" s="6" t="s">
        <v>87</v>
      </c>
      <c r="HB2" s="7" t="s">
        <v>88</v>
      </c>
      <c r="HC2" s="8" t="s">
        <v>89</v>
      </c>
      <c r="HD2" s="7" t="s">
        <v>48</v>
      </c>
      <c r="HE2" s="7" t="s">
        <v>49</v>
      </c>
      <c r="HF2" s="8" t="s">
        <v>95</v>
      </c>
      <c r="HG2" s="8" t="s">
        <v>91</v>
      </c>
      <c r="HH2" s="8" t="s">
        <v>92</v>
      </c>
      <c r="HI2" s="8" t="s">
        <v>93</v>
      </c>
      <c r="HJ2" s="9" t="s">
        <v>94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157.05226586109279</v>
      </c>
      <c r="T3" s="59">
        <f>IF('Données projet'!E9&gt;30,$R$33-$H$33,LOOKUP('Données projet'!$E$9,$A$3:$A$203,R3:R203)-LOOKUP('Données projet'!$E$9,$A$3:$A$203,$H$3:$H$203))</f>
        <v>76.143582612540229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279.32192402750189</v>
      </c>
      <c r="AO3" s="59">
        <f>IF('Données projet'!E10&gt;30,$AM$33-$H$33,LOOKUP('Données projet'!$E$10,$A$3:$A$203,AM3:AM203)-LOOKUP('Données projet'!$E$10,$A$3:$A$203,$H$3:$H$203))</f>
        <v>371.43572414443611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297.07458564121606</v>
      </c>
      <c r="BJ3" s="59">
        <f>IF('Données projet'!E11&gt;30,$BH$33-$H$33,LOOKUP('Données projet'!$E$11,$A$3:$A$203,BH3:BH203)-LOOKUP('Données projet'!$E$11,$A$3:$A$203,$H$3:$H$203))</f>
        <v>514.93897725587567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0.46799999999999997</v>
      </c>
      <c r="D4" s="11">
        <f>IFERROR(EXP(-1.0587+0.8836*LN(C4)+0.284),0)</f>
        <v>0.23560326283967137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5.431323432446586</v>
      </c>
      <c r="H4" s="67">
        <f t="shared" ref="H4:H67" si="1">(B4+E4+F4)*44/12+(C4+D4)*0.475*44/12</f>
        <v>294.55877568277907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3.4425641025641025</v>
      </c>
      <c r="N4" s="13">
        <f>IF('Données projet'!$A$36&gt;35,N3+M4-V3,IF(A4&lt;'Données projet'!$A$36,$K$205^A4,IF(A4='Données projet'!$A$36,'Données projet'!$B$36,N3+M4-V3)))</f>
        <v>1.1671681906248585</v>
      </c>
      <c r="O4" s="13">
        <f>N4*VLOOKUP('Données projet'!$B$9,Paramètres!$A$1:$I$89,3,0)*VLOOKUP('Données projet'!$B$9,Paramètres!$A$1:$I$89,5,0)</f>
        <v>0.54623471321243378</v>
      </c>
      <c r="P4" s="13">
        <f>EXP(-1.0587+0.8836*LN(O4)+0.284)</f>
        <v>0.27008496636632595</v>
      </c>
      <c r="Q4" s="20">
        <f t="shared" ref="Q4:Q34" si="2">(O4+P4)*0.475*44/12</f>
        <v>1.4217567752663396</v>
      </c>
      <c r="R4" s="59">
        <f t="shared" si="0"/>
        <v>294.75509010859963</v>
      </c>
      <c r="S4" s="59">
        <f ca="1">AVERAGE(OFFSET($R$3,0,0,'Données projet'!$E$9+1,1))-AVERAGE(OFFSET($H$3,0,0,'Données projet'!$E$9+1,1))</f>
        <v>157.05226586109279</v>
      </c>
      <c r="T4" s="59">
        <f>$T$3</f>
        <v>76.143582612540229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10.16068376068376</v>
      </c>
      <c r="AI4" s="13">
        <f>IF('Données projet'!$A$62&gt;35,AI3+AH4-AQ3,IF(A4&lt;'Données projet'!$A$62,$AF$205^A4,IF(A4='Données projet'!$A$62,'Données projet'!$B$62,AI3+AH4-AQ3)))</f>
        <v>1.3356034260773062</v>
      </c>
      <c r="AJ4" s="13">
        <f>AI4*VLOOKUP('Données projet'!$B$10,Paramètres!$A$1:$I$89,3,0)*VLOOKUP('Données projet'!$B$10,Paramètres!$A$1:$I$89,5,0)</f>
        <v>0.7466023151772142</v>
      </c>
      <c r="AK4" s="13">
        <f>EXP(-1.0587+0.8836*LN(AJ4)+0.284)</f>
        <v>0.35597032812689977</v>
      </c>
      <c r="AL4" s="20">
        <f t="shared" ref="AL4:AL67" si="4">(AJ4+AK4)*0.475*44/12</f>
        <v>1.9203140204213316</v>
      </c>
      <c r="AM4" s="59">
        <f t="shared" ref="AM4:AM67" si="5">AL4+(AD4+AE4)*44/12</f>
        <v>295.25364735375467</v>
      </c>
      <c r="AN4" s="59">
        <f ca="1">AVERAGE(OFFSET($AM$3,0,0,'Données projet'!$E$10+1,1))-AVERAGE(OFFSET($H$3,0,0,'Données projet'!$E$10+1,1))</f>
        <v>279.32192402750189</v>
      </c>
      <c r="AO4" s="59">
        <f>$AO$3</f>
        <v>371.43572414443611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10.176470588235293</v>
      </c>
      <c r="BD4" s="12">
        <f>IF('Données projet'!$A$88&gt;35,BD3+BC4-BL3,IF(A4&lt;'Données projet'!$A$88,$BA$205^A4,IF(A4='Données projet'!$A$88,'Données projet'!$B$88,BD3+BC4-BL3)))</f>
        <v>1.3540969839753978</v>
      </c>
      <c r="BE4" s="13">
        <f>BD4*VLOOKUP('Données projet'!$B$11,Paramètres!$A$1:$I$89,3,0)*VLOOKUP('Données projet'!$B$11,Paramètres!$A$1:$I$89,5,0)</f>
        <v>0.6337173885004862</v>
      </c>
      <c r="BF4" s="13">
        <f>EXP(-1.0587+0.8836*LN(BE4)+0.284)</f>
        <v>0.30796902500182627</v>
      </c>
      <c r="BG4" s="20">
        <f t="shared" ref="BG4:BG67" si="7">(BE4+BF4)*0.475*44/12</f>
        <v>1.6401038368498606</v>
      </c>
      <c r="BH4" s="59">
        <f t="shared" ref="BH4:BH67" si="8">BG4+(AY4+AZ4)*44/12</f>
        <v>294.97343717018316</v>
      </c>
      <c r="BI4" s="59">
        <f ca="1">AVERAGE(OFFSET($BH$3,0,0,'Données projet'!$E$11+1,1))-AVERAGE(OFFSET($H$3,0,0,'Données projet'!$E$11+1,1))</f>
        <v>297.07458564121606</v>
      </c>
      <c r="BJ4" s="59">
        <f>$BJ$3</f>
        <v>514.93897725587567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0.93599999999999994</v>
      </c>
      <c r="D5" s="11">
        <f t="shared" ref="D5:D68" si="32">IFERROR(EXP(-1.0587+0.8836*LN(C5)+0.284),0)</f>
        <v>0.43468174797979486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10.58070121247561</v>
      </c>
      <c r="H5" s="67">
        <f t="shared" si="1"/>
        <v>295.7206040443981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3.4425641025641025</v>
      </c>
      <c r="N5" s="13">
        <f>IF('Données projet'!$A$36&gt;35,N4+M5-V4,IF(A5&lt;'Données projet'!$A$36,$K$205^A5,IF(A5='Données projet'!$A$36,'Données projet'!$B$36,N4+M5-V4)))</f>
        <v>1.3622815852065062</v>
      </c>
      <c r="O5" s="13">
        <f>N5*VLOOKUP('Données projet'!$B$9,Paramètres!$A$1:$I$89,3,0)*VLOOKUP('Données projet'!$B$9,Paramètres!$A$1:$I$89,5,0)</f>
        <v>0.63754778187664485</v>
      </c>
      <c r="P5" s="13">
        <f t="shared" ref="P5:P68" si="33">EXP(-1.0587+0.8836*LN(O5)+0.284)</f>
        <v>0.30961323785545058</v>
      </c>
      <c r="Q5" s="20">
        <f t="shared" si="2"/>
        <v>1.6496387760333995</v>
      </c>
      <c r="R5" s="59">
        <f t="shared" si="0"/>
        <v>294.9829721093667</v>
      </c>
      <c r="S5" s="59">
        <f ca="1">AVERAGE(OFFSET($R$3,0,0,'Données projet'!$E$9+1,1))-AVERAGE(OFFSET($H$3,0,0,'Données projet'!$E$9+1,1))</f>
        <v>157.05226586109279</v>
      </c>
      <c r="T5" s="59">
        <f t="shared" ref="T5:T68" si="34">$T$3</f>
        <v>76.143582612540229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10.16068376068376</v>
      </c>
      <c r="AI5" s="13">
        <f>IF('Données projet'!$A$62&gt;35,AI4+AH5-AQ4,IF(A5&lt;'Données projet'!$A$62,$AF$205^A5,IF(A5='Données projet'!$A$62,'Données projet'!$B$62,AI4+AH5-AQ4)))</f>
        <v>1.7838365117494384</v>
      </c>
      <c r="AJ5" s="13">
        <f>AI5*VLOOKUP('Données projet'!$B$10,Paramètres!$A$1:$I$89,3,0)*VLOOKUP('Données projet'!$B$10,Paramètres!$A$1:$I$89,5,0)</f>
        <v>0.99716461006793611</v>
      </c>
      <c r="AK5" s="13">
        <f t="shared" ref="AK5:AK68" si="35">EXP(-1.0587+0.8836*LN(AJ5)+0.284)</f>
        <v>0.4596872513511342</v>
      </c>
      <c r="AL5" s="20">
        <f t="shared" si="4"/>
        <v>2.5373503253048804</v>
      </c>
      <c r="AM5" s="59">
        <f t="shared" si="5"/>
        <v>295.8706836586382</v>
      </c>
      <c r="AN5" s="59">
        <f ca="1">AVERAGE(OFFSET($AM$3,0,0,'Données projet'!$E$10+1,1))-AVERAGE(OFFSET($H$3,0,0,'Données projet'!$E$10+1,1))</f>
        <v>279.32192402750189</v>
      </c>
      <c r="AO5" s="59">
        <f t="shared" ref="AO5:AO68" si="36">$AO$3</f>
        <v>371.43572414443611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10.176470588235293</v>
      </c>
      <c r="BD5" s="12">
        <f>IF('Données projet'!$A$88&gt;35,BD4+BC5-BL4,IF(A5&lt;'Données projet'!$A$88,$BA$205^A5,IF(A5='Données projet'!$A$88,'Données projet'!$B$88,BD4+BC5-BL4)))</f>
        <v>1.8335786420112687</v>
      </c>
      <c r="BE5" s="13">
        <f>BD5*VLOOKUP('Données projet'!$B$11,Paramètres!$A$1:$I$89,3,0)*VLOOKUP('Données projet'!$B$11,Paramètres!$A$1:$I$89,5,0)</f>
        <v>0.85811480446127375</v>
      </c>
      <c r="BF5" s="13">
        <f t="shared" ref="BF5:BF68" si="37">EXP(-1.0587+0.8836*LN(BE5)+0.284)</f>
        <v>0.40256199857944097</v>
      </c>
      <c r="BG5" s="20">
        <f t="shared" si="7"/>
        <v>2.1956787652959115</v>
      </c>
      <c r="BH5" s="59">
        <f t="shared" si="8"/>
        <v>295.52901209862921</v>
      </c>
      <c r="BI5" s="59">
        <f ca="1">AVERAGE(OFFSET($BH$3,0,0,'Données projet'!$E$11+1,1))-AVERAGE(OFFSET($H$3,0,0,'Données projet'!$E$11+1,1))</f>
        <v>297.07458564121606</v>
      </c>
      <c r="BJ5" s="59">
        <f t="shared" ref="BJ5:BJ68" si="38">$BJ$3</f>
        <v>514.93897725587567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1.4039999999999999</v>
      </c>
      <c r="D6" s="11">
        <f t="shared" si="32"/>
        <v>0.62196456335211292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15.639024699560167</v>
      </c>
      <c r="H6" s="67">
        <f t="shared" si="1"/>
        <v>296.86188828117156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3.4425641025641025</v>
      </c>
      <c r="N6" s="13">
        <f>IF('Données projet'!$A$36&gt;35,N5+M6-V5,IF(A6&lt;'Données projet'!$A$36,$K$205^A6,IF(A6='Données projet'!$A$36,'Données projet'!$B$36,N5+M6-V5)))</f>
        <v>1.590011732927042</v>
      </c>
      <c r="O6" s="13">
        <f>N6*VLOOKUP('Données projet'!$B$9,Paramètres!$A$1:$I$89,3,0)*VLOOKUP('Données projet'!$B$9,Paramètres!$A$1:$I$89,5,0)</f>
        <v>0.7441254910098557</v>
      </c>
      <c r="P6" s="13">
        <f t="shared" si="33"/>
        <v>0.35492666750402163</v>
      </c>
      <c r="Q6" s="20">
        <f t="shared" si="2"/>
        <v>1.9141825094116696</v>
      </c>
      <c r="R6" s="59">
        <f t="shared" si="0"/>
        <v>295.24751584274497</v>
      </c>
      <c r="S6" s="59">
        <f ca="1">AVERAGE(OFFSET($R$3,0,0,'Données projet'!$E$9+1,1))-AVERAGE(OFFSET($H$3,0,0,'Données projet'!$E$9+1,1))</f>
        <v>157.05226586109279</v>
      </c>
      <c r="T6" s="59">
        <f t="shared" si="34"/>
        <v>76.143582612540229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10.16068376068376</v>
      </c>
      <c r="AI6" s="13">
        <f>IF('Données projet'!$A$62&gt;35,AI5+AH6-AQ5,IF(A6&lt;'Données projet'!$A$62,$AF$205^A6,IF(A6='Données projet'!$A$62,'Données projet'!$B$62,AI5+AH6-AQ5)))</f>
        <v>2.3824981566543406</v>
      </c>
      <c r="AJ6" s="13">
        <f>AI6*VLOOKUP('Données projet'!$B$10,Paramètres!$A$1:$I$89,3,0)*VLOOKUP('Données projet'!$B$10,Paramètres!$A$1:$I$89,5,0)</f>
        <v>1.3318164695697763</v>
      </c>
      <c r="AK6" s="13">
        <f t="shared" si="35"/>
        <v>0.59362354768914927</v>
      </c>
      <c r="AL6" s="20">
        <f t="shared" si="4"/>
        <v>3.3534746967259621</v>
      </c>
      <c r="AM6" s="59">
        <f t="shared" si="5"/>
        <v>296.6868080300593</v>
      </c>
      <c r="AN6" s="59">
        <f ca="1">AVERAGE(OFFSET($AM$3,0,0,'Données projet'!$E$10+1,1))-AVERAGE(OFFSET($H$3,0,0,'Données projet'!$E$10+1,1))</f>
        <v>279.32192402750189</v>
      </c>
      <c r="AO6" s="59">
        <f t="shared" si="36"/>
        <v>371.43572414443611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10.176470588235293</v>
      </c>
      <c r="BD6" s="12">
        <f>IF('Données projet'!$A$88&gt;35,BD5+BC6-BL5,IF(A6&lt;'Données projet'!$A$88,$BA$205^A6,IF(A6='Données projet'!$A$88,'Données projet'!$B$88,BD5+BC6-BL5)))</f>
        <v>2.4828433090291648</v>
      </c>
      <c r="BE6" s="13">
        <f>BD6*VLOOKUP('Données projet'!$B$11,Paramètres!$A$1:$I$89,3,0)*VLOOKUP('Données projet'!$B$11,Paramètres!$A$1:$I$89,5,0)</f>
        <v>1.161970668625649</v>
      </c>
      <c r="BF6" s="13">
        <f t="shared" si="37"/>
        <v>0.52620929231215008</v>
      </c>
      <c r="BG6" s="20">
        <f t="shared" si="7"/>
        <v>2.9402467652999995</v>
      </c>
      <c r="BH6" s="59">
        <f t="shared" si="8"/>
        <v>296.27358009863332</v>
      </c>
      <c r="BI6" s="59">
        <f ca="1">AVERAGE(OFFSET($BH$3,0,0,'Données projet'!$E$11+1,1))-AVERAGE(OFFSET($H$3,0,0,'Données projet'!$E$11+1,1))</f>
        <v>297.07458564121606</v>
      </c>
      <c r="BJ6" s="59">
        <f t="shared" si="38"/>
        <v>514.93897725587567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1.8719999999999999</v>
      </c>
      <c r="D7" s="11">
        <f t="shared" si="32"/>
        <v>0.80197625342459555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20.641220201874074</v>
      </c>
      <c r="H7" s="67">
        <f t="shared" si="1"/>
        <v>297.99050864138115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3.4425641025641025</v>
      </c>
      <c r="N7" s="13">
        <f>IF('Données projet'!$A$36&gt;35,N6+M7-V6,IF(A7&lt;'Données projet'!$A$36,$K$205^A7,IF(A7='Données projet'!$A$36,'Données projet'!$B$36,N6+M7-V6)))</f>
        <v>1.8558111173927514</v>
      </c>
      <c r="O7" s="13">
        <f>N7*VLOOKUP('Données projet'!$B$9,Paramètres!$A$1:$I$89,3,0)*VLOOKUP('Données projet'!$B$9,Paramètres!$A$1:$I$89,5,0)</f>
        <v>0.86851960293980757</v>
      </c>
      <c r="P7" s="13">
        <f t="shared" si="33"/>
        <v>0.40687194183965542</v>
      </c>
      <c r="Q7" s="20">
        <f t="shared" si="2"/>
        <v>2.2213069404908978</v>
      </c>
      <c r="R7" s="59">
        <f t="shared" si="0"/>
        <v>295.55464027382419</v>
      </c>
      <c r="S7" s="59">
        <f ca="1">AVERAGE(OFFSET($R$3,0,0,'Données projet'!$E$9+1,1))-AVERAGE(OFFSET($H$3,0,0,'Données projet'!$E$9+1,1))</f>
        <v>157.05226586109279</v>
      </c>
      <c r="T7" s="59">
        <f t="shared" si="34"/>
        <v>76.143582612540229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10.16068376068376</v>
      </c>
      <c r="AI7" s="13">
        <f>IF('Données projet'!$A$62&gt;35,AI6+AH7-AQ6,IF(A7&lt;'Données projet'!$A$62,$AF$205^A7,IF(A7='Données projet'!$A$62,'Données projet'!$B$62,AI6+AH7-AQ6)))</f>
        <v>3.1820727006504042</v>
      </c>
      <c r="AJ7" s="13">
        <f>AI7*VLOOKUP('Données projet'!$B$10,Paramètres!$A$1:$I$89,3,0)*VLOOKUP('Données projet'!$B$10,Paramètres!$A$1:$I$89,5,0)</f>
        <v>1.7787786396635761</v>
      </c>
      <c r="AK7" s="13">
        <f t="shared" si="35"/>
        <v>0.76658405325641277</v>
      </c>
      <c r="AL7" s="20">
        <f t="shared" si="4"/>
        <v>4.4331733568356464</v>
      </c>
      <c r="AM7" s="59">
        <f t="shared" si="5"/>
        <v>297.76650669016897</v>
      </c>
      <c r="AN7" s="59">
        <f ca="1">AVERAGE(OFFSET($AM$3,0,0,'Données projet'!$E$10+1,1))-AVERAGE(OFFSET($H$3,0,0,'Données projet'!$E$10+1,1))</f>
        <v>279.32192402750189</v>
      </c>
      <c r="AO7" s="59">
        <f t="shared" si="36"/>
        <v>371.43572414443611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10.176470588235293</v>
      </c>
      <c r="BD7" s="12">
        <f>IF('Données projet'!$A$88&gt;35,BD6+BC7-BL6,IF(A7&lt;'Données projet'!$A$88,$BA$205^A7,IF(A7='Données projet'!$A$88,'Données projet'!$B$88,BD6+BC7-BL6)))</f>
        <v>3.3620106364398885</v>
      </c>
      <c r="BE7" s="13">
        <f>BD7*VLOOKUP('Données projet'!$B$11,Paramètres!$A$1:$I$89,3,0)*VLOOKUP('Données projet'!$B$11,Paramètres!$A$1:$I$89,5,0)</f>
        <v>1.5734209778538677</v>
      </c>
      <c r="BF7" s="13">
        <f t="shared" si="37"/>
        <v>0.68783496776338549</v>
      </c>
      <c r="BG7" s="20">
        <f t="shared" si="7"/>
        <v>3.9383541052833824</v>
      </c>
      <c r="BH7" s="59">
        <f t="shared" si="8"/>
        <v>297.27168743861671</v>
      </c>
      <c r="BI7" s="59">
        <f ca="1">AVERAGE(OFFSET($BH$3,0,0,'Données projet'!$E$11+1,1))-AVERAGE(OFFSET($H$3,0,0,'Données projet'!$E$11+1,1))</f>
        <v>297.07458564121606</v>
      </c>
      <c r="BJ7" s="59">
        <f t="shared" si="38"/>
        <v>514.93897725587567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2.34</v>
      </c>
      <c r="D8" s="11">
        <f t="shared" si="32"/>
        <v>0.97676749007450259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25.603117467241773</v>
      </c>
      <c r="H8" s="67">
        <f t="shared" si="1"/>
        <v>299.11003671187973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3.4425641025641025</v>
      </c>
      <c r="N8" s="13">
        <f>IF('Données projet'!$A$36&gt;35,N7+M8-V7,IF(A8&lt;'Données projet'!$A$36,$K$205^A8,IF(A8='Données projet'!$A$36,'Données projet'!$B$36,N7+M8-V7)))</f>
        <v>2.1660437040287945</v>
      </c>
      <c r="O8" s="13">
        <f>N8*VLOOKUP('Données projet'!$B$9,Paramètres!$A$1:$I$89,3,0)*VLOOKUP('Données projet'!$B$9,Paramètres!$A$1:$I$89,5,0)</f>
        <v>1.0137084534854759</v>
      </c>
      <c r="P8" s="13">
        <f t="shared" si="33"/>
        <v>0.46641966415357117</v>
      </c>
      <c r="Q8" s="20">
        <f t="shared" si="2"/>
        <v>2.5778898048880068</v>
      </c>
      <c r="R8" s="59">
        <f t="shared" si="0"/>
        <v>295.91122313822132</v>
      </c>
      <c r="S8" s="59">
        <f ca="1">AVERAGE(OFFSET($R$3,0,0,'Données projet'!$E$9+1,1))-AVERAGE(OFFSET($H$3,0,0,'Données projet'!$E$9+1,1))</f>
        <v>157.05226586109279</v>
      </c>
      <c r="T8" s="59">
        <f t="shared" si="34"/>
        <v>76.143582612540229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10.16068376068376</v>
      </c>
      <c r="AI8" s="13">
        <f>IF('Données projet'!$A$62&gt;35,AI7+AH8-AQ7,IF(A8&lt;'Données projet'!$A$62,$AF$205^A8,IF(A8='Données projet'!$A$62,'Données projet'!$B$62,AI7+AH8-AQ7)))</f>
        <v>4.2499872010157462</v>
      </c>
      <c r="AJ8" s="13">
        <f>AI8*VLOOKUP('Données projet'!$B$10,Paramètres!$A$1:$I$89,3,0)*VLOOKUP('Données projet'!$B$10,Paramètres!$A$1:$I$89,5,0)</f>
        <v>2.3757428453678022</v>
      </c>
      <c r="AK8" s="13">
        <f t="shared" si="35"/>
        <v>0.98993901605593615</v>
      </c>
      <c r="AL8" s="20">
        <f t="shared" si="4"/>
        <v>5.8618959086463436</v>
      </c>
      <c r="AM8" s="59">
        <f t="shared" si="5"/>
        <v>299.19522924197963</v>
      </c>
      <c r="AN8" s="59">
        <f ca="1">AVERAGE(OFFSET($AM$3,0,0,'Données projet'!$E$10+1,1))-AVERAGE(OFFSET($H$3,0,0,'Données projet'!$E$10+1,1))</f>
        <v>279.32192402750189</v>
      </c>
      <c r="AO8" s="59">
        <f t="shared" si="36"/>
        <v>371.43572414443611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10.176470588235293</v>
      </c>
      <c r="BD8" s="12">
        <f>IF('Données projet'!$A$88&gt;35,BD7+BC8-BL7,IF(A8&lt;'Données projet'!$A$88,$BA$205^A8,IF(A8='Données projet'!$A$88,'Données projet'!$B$88,BD7+BC8-BL7)))</f>
        <v>4.552488462896461</v>
      </c>
      <c r="BE8" s="13">
        <f>BD8*VLOOKUP('Données projet'!$B$11,Paramètres!$A$1:$I$89,3,0)*VLOOKUP('Données projet'!$B$11,Paramètres!$A$1:$I$89,5,0)</f>
        <v>2.1305646006355436</v>
      </c>
      <c r="BF8" s="13">
        <f t="shared" si="37"/>
        <v>0.89910412033811482</v>
      </c>
      <c r="BG8" s="20">
        <f t="shared" si="7"/>
        <v>5.2766730223624547</v>
      </c>
      <c r="BH8" s="59">
        <f t="shared" si="8"/>
        <v>298.61000635569576</v>
      </c>
      <c r="BI8" s="59">
        <f ca="1">AVERAGE(OFFSET($BH$3,0,0,'Données projet'!$E$11+1,1))-AVERAGE(OFFSET($H$3,0,0,'Données projet'!$E$11+1,1))</f>
        <v>297.07458564121606</v>
      </c>
      <c r="BJ8" s="59">
        <f t="shared" si="38"/>
        <v>514.93897725587567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2.8079999999999998</v>
      </c>
      <c r="D9" s="11">
        <f t="shared" si="32"/>
        <v>1.1475080621585647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30.533746444732781</v>
      </c>
      <c r="H9" s="67">
        <f t="shared" si="1"/>
        <v>300.22250987492617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3.4425641025641025</v>
      </c>
      <c r="N9" s="13">
        <f>IF('Données projet'!$A$36&gt;35,N8+M9-V8,IF(A9&lt;'Données projet'!$A$36,$K$205^A9,IF(A9='Données projet'!$A$36,'Données projet'!$B$36,N8+M9-V8)))</f>
        <v>2.5281373108456551</v>
      </c>
      <c r="O9" s="13">
        <f>N9*VLOOKUP('Données projet'!$B$9,Paramètres!$A$1:$I$89,3,0)*VLOOKUP('Données projet'!$B$9,Paramètres!$A$1:$I$89,5,0)</f>
        <v>1.1831682614757666</v>
      </c>
      <c r="P9" s="13">
        <f t="shared" si="33"/>
        <v>0.53468249033221249</v>
      </c>
      <c r="Q9" s="20">
        <f t="shared" si="2"/>
        <v>2.9919233927322302</v>
      </c>
      <c r="R9" s="59">
        <f t="shared" si="0"/>
        <v>296.32525672606556</v>
      </c>
      <c r="S9" s="59">
        <f ca="1">AVERAGE(OFFSET($R$3,0,0,'Données projet'!$E$9+1,1))-AVERAGE(OFFSET($H$3,0,0,'Données projet'!$E$9+1,1))</f>
        <v>157.05226586109279</v>
      </c>
      <c r="T9" s="59">
        <f t="shared" si="34"/>
        <v>76.143582612540229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10.16068376068376</v>
      </c>
      <c r="AI9" s="13">
        <f>IF('Données projet'!$A$62&gt;35,AI8+AH9-AQ8,IF(A9&lt;'Données projet'!$A$62,$AF$205^A9,IF(A9='Données projet'!$A$62,'Données projet'!$B$62,AI8+AH9-AQ8)))</f>
        <v>5.6762974664613317</v>
      </c>
      <c r="AJ9" s="13">
        <f>AI9*VLOOKUP('Données projet'!$B$10,Paramètres!$A$1:$I$89,3,0)*VLOOKUP('Données projet'!$B$10,Paramètres!$A$1:$I$89,5,0)</f>
        <v>3.1730502837518846</v>
      </c>
      <c r="AK9" s="13">
        <f t="shared" si="35"/>
        <v>1.27837156453606</v>
      </c>
      <c r="AL9" s="20">
        <f t="shared" si="4"/>
        <v>7.7528930524348363</v>
      </c>
      <c r="AM9" s="59">
        <f t="shared" si="5"/>
        <v>301.08622638576816</v>
      </c>
      <c r="AN9" s="59">
        <f ca="1">AVERAGE(OFFSET($AM$3,0,0,'Données projet'!$E$10+1,1))-AVERAGE(OFFSET($H$3,0,0,'Données projet'!$E$10+1,1))</f>
        <v>279.32192402750189</v>
      </c>
      <c r="AO9" s="59">
        <f t="shared" si="36"/>
        <v>371.43572414443611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10.176470588235293</v>
      </c>
      <c r="BD9" s="12">
        <f>IF('Données projet'!$A$88&gt;35,BD8+BC9-BL8,IF(A9&lt;'Données projet'!$A$88,$BA$205^A9,IF(A9='Données projet'!$A$88,'Données projet'!$B$88,BD8+BC9-BL8)))</f>
        <v>6.1645108971908922</v>
      </c>
      <c r="BE9" s="13">
        <f>BD9*VLOOKUP('Données projet'!$B$11,Paramètres!$A$1:$I$89,3,0)*VLOOKUP('Données projet'!$B$11,Paramètres!$A$1:$I$89,5,0)</f>
        <v>2.8849910998853372</v>
      </c>
      <c r="BF9" s="13">
        <f t="shared" si="37"/>
        <v>1.1752647903865505</v>
      </c>
      <c r="BG9" s="20">
        <f t="shared" si="7"/>
        <v>7.0716123422235375</v>
      </c>
      <c r="BH9" s="59">
        <f t="shared" si="8"/>
        <v>300.40494567555686</v>
      </c>
      <c r="BI9" s="59">
        <f ca="1">AVERAGE(OFFSET($BH$3,0,0,'Données projet'!$E$11+1,1))-AVERAGE(OFFSET($H$3,0,0,'Données projet'!$E$11+1,1))</f>
        <v>297.07458564121606</v>
      </c>
      <c r="BJ9" s="59">
        <f t="shared" si="38"/>
        <v>514.93897725587567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3.2759999999999998</v>
      </c>
      <c r="D10" s="11">
        <f t="shared" si="32"/>
        <v>1.3149520873221709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35.438928393364129</v>
      </c>
      <c r="H10" s="67">
        <f t="shared" si="1"/>
        <v>301.3292415520861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3.4425641025641025</v>
      </c>
      <c r="N10" s="13">
        <f>IF('Données projet'!$A$36&gt;35,N9+M10-V9,IF(A10&lt;'Données projet'!$A$36,$K$205^A10,IF(A10='Données projet'!$A$36,'Données projet'!$B$36,N9+M10-V9)))</f>
        <v>2.9507614507509188</v>
      </c>
      <c r="O10" s="13">
        <f>N10*VLOOKUP('Données projet'!$B$9,Paramètres!$A$1:$I$89,3,0)*VLOOKUP('Données projet'!$B$9,Paramètres!$A$1:$I$89,5,0)</f>
        <v>1.38095635895143</v>
      </c>
      <c r="P10" s="13">
        <f t="shared" si="33"/>
        <v>0.61293591895758326</v>
      </c>
      <c r="Q10" s="20">
        <f t="shared" si="2"/>
        <v>3.472695717358198</v>
      </c>
      <c r="R10" s="59">
        <f t="shared" si="0"/>
        <v>296.80602905069151</v>
      </c>
      <c r="S10" s="59">
        <f ca="1">AVERAGE(OFFSET($R$3,0,0,'Données projet'!$E$9+1,1))-AVERAGE(OFFSET($H$3,0,0,'Données projet'!$E$9+1,1))</f>
        <v>157.05226586109279</v>
      </c>
      <c r="T10" s="59">
        <f t="shared" si="34"/>
        <v>76.143582612540229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10.16068376068376</v>
      </c>
      <c r="AI10" s="13">
        <f>IF('Données projet'!$A$62&gt;35,AI9+AH10-AQ9,IF(A10&lt;'Données projet'!$A$62,$AF$205^A10,IF(A10='Données projet'!$A$62,'Données projet'!$B$62,AI9+AH10-AQ9)))</f>
        <v>7.5812823436396872</v>
      </c>
      <c r="AJ10" s="13">
        <f>AI10*VLOOKUP('Données projet'!$B$10,Paramètres!$A$1:$I$89,3,0)*VLOOKUP('Données projet'!$B$10,Paramètres!$A$1:$I$89,5,0)</f>
        <v>4.2379368300945854</v>
      </c>
      <c r="AK10" s="13">
        <f t="shared" si="35"/>
        <v>1.6508429615446465</v>
      </c>
      <c r="AL10" s="20">
        <f t="shared" si="4"/>
        <v>10.256291470438329</v>
      </c>
      <c r="AM10" s="59">
        <f t="shared" si="5"/>
        <v>303.58962480377164</v>
      </c>
      <c r="AN10" s="59">
        <f ca="1">AVERAGE(OFFSET($AM$3,0,0,'Données projet'!$E$10+1,1))-AVERAGE(OFFSET($H$3,0,0,'Données projet'!$E$10+1,1))</f>
        <v>279.32192402750189</v>
      </c>
      <c r="AO10" s="59">
        <f t="shared" si="36"/>
        <v>371.43572414443611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10.176470588235293</v>
      </c>
      <c r="BD10" s="12">
        <f>IF('Données projet'!$A$88&gt;35,BD9+BC10-BL9,IF(A10&lt;'Données projet'!$A$88,$BA$205^A10,IF(A10='Données projet'!$A$88,'Données projet'!$B$88,BD9+BC10-BL9)))</f>
        <v>8.3473456135696615</v>
      </c>
      <c r="BE10" s="13">
        <f>BD10*VLOOKUP('Données projet'!$B$11,Paramètres!$A$1:$I$89,3,0)*VLOOKUP('Données projet'!$B$11,Paramètres!$A$1:$I$89,5,0)</f>
        <v>3.9065577471506017</v>
      </c>
      <c r="BF10" s="13">
        <f t="shared" si="37"/>
        <v>1.5362484680894519</v>
      </c>
      <c r="BG10" s="20">
        <f t="shared" si="7"/>
        <v>9.4795541582097584</v>
      </c>
      <c r="BH10" s="59">
        <f t="shared" si="8"/>
        <v>302.81288749154305</v>
      </c>
      <c r="BI10" s="59">
        <f ca="1">AVERAGE(OFFSET($BH$3,0,0,'Données projet'!$E$11+1,1))-AVERAGE(OFFSET($H$3,0,0,'Données projet'!$E$11+1,1))</f>
        <v>297.07458564121606</v>
      </c>
      <c r="BJ10" s="59">
        <f t="shared" si="38"/>
        <v>514.93897725587567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3.7439999999999998</v>
      </c>
      <c r="D11" s="11">
        <f t="shared" si="32"/>
        <v>1.4796248382778823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40.322718049864356</v>
      </c>
      <c r="H11" s="67">
        <f t="shared" si="1"/>
        <v>302.43114659333395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3.4425641025641025</v>
      </c>
      <c r="N11" s="13">
        <f>IF('Données projet'!$A$36&gt;35,N10+M11-V10,IF(A11&lt;'Données projet'!$A$36,$K$205^A11,IF(A11='Données projet'!$A$36,'Données projet'!$B$36,N10+M11-V10)))</f>
        <v>3.4440349034385327</v>
      </c>
      <c r="O11" s="13">
        <f>N11*VLOOKUP('Données projet'!$B$9,Paramètres!$A$1:$I$89,3,0)*VLOOKUP('Données projet'!$B$9,Paramètres!$A$1:$I$89,5,0)</f>
        <v>1.6118083348092334</v>
      </c>
      <c r="P11" s="13">
        <f t="shared" si="33"/>
        <v>0.70264212414165761</v>
      </c>
      <c r="Q11" s="20">
        <f t="shared" si="2"/>
        <v>4.0310012160061346</v>
      </c>
      <c r="R11" s="59">
        <f t="shared" si="0"/>
        <v>297.36433454933945</v>
      </c>
      <c r="S11" s="59">
        <f ca="1">AVERAGE(OFFSET($R$3,0,0,'Données projet'!$E$9+1,1))-AVERAGE(OFFSET($H$3,0,0,'Données projet'!$E$9+1,1))</f>
        <v>157.05226586109279</v>
      </c>
      <c r="T11" s="59">
        <f t="shared" si="34"/>
        <v>76.143582612540229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10.16068376068376</v>
      </c>
      <c r="AI11" s="13">
        <f>IF('Données projet'!$A$62&gt;35,AI10+AH11-AQ10,IF(A11&lt;'Données projet'!$A$62,$AF$205^A11,IF(A11='Données projet'!$A$62,'Données projet'!$B$62,AI10+AH11-AQ10)))</f>
        <v>10.125586672224557</v>
      </c>
      <c r="AJ11" s="13">
        <f>AI11*VLOOKUP('Données projet'!$B$10,Paramètres!$A$1:$I$89,3,0)*VLOOKUP('Données projet'!$B$10,Paramètres!$A$1:$I$89,5,0)</f>
        <v>5.6602029497735273</v>
      </c>
      <c r="AK11" s="13">
        <f t="shared" si="35"/>
        <v>2.1318390984944533</v>
      </c>
      <c r="AL11" s="20">
        <f t="shared" si="4"/>
        <v>13.571139900733398</v>
      </c>
      <c r="AM11" s="59">
        <f t="shared" si="5"/>
        <v>306.9044732340667</v>
      </c>
      <c r="AN11" s="59">
        <f ca="1">AVERAGE(OFFSET($AM$3,0,0,'Données projet'!$E$10+1,1))-AVERAGE(OFFSET($H$3,0,0,'Données projet'!$E$10+1,1))</f>
        <v>279.32192402750189</v>
      </c>
      <c r="AO11" s="59">
        <f t="shared" si="36"/>
        <v>371.43572414443611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10.176470588235293</v>
      </c>
      <c r="BD11" s="12">
        <f>IF('Données projet'!$A$88&gt;35,BD10+BC11-BL10,IF(A11&lt;'Données projet'!$A$88,$BA$205^A11,IF(A11='Données projet'!$A$88,'Données projet'!$B$88,BD10+BC11-BL10)))</f>
        <v>11.303115519534945</v>
      </c>
      <c r="BE11" s="13">
        <f>BD11*VLOOKUP('Données projet'!$B$11,Paramètres!$A$1:$I$89,3,0)*VLOOKUP('Données projet'!$B$11,Paramètres!$A$1:$I$89,5,0)</f>
        <v>5.2898580631423542</v>
      </c>
      <c r="BF11" s="13">
        <f t="shared" si="37"/>
        <v>2.0081086194464755</v>
      </c>
      <c r="BG11" s="20">
        <f t="shared" si="7"/>
        <v>12.710625305508877</v>
      </c>
      <c r="BH11" s="59">
        <f t="shared" si="8"/>
        <v>306.04395863884218</v>
      </c>
      <c r="BI11" s="59">
        <f ca="1">AVERAGE(OFFSET($BH$3,0,0,'Données projet'!$E$11+1,1))-AVERAGE(OFFSET($H$3,0,0,'Données projet'!$E$11+1,1))</f>
        <v>297.07458564121606</v>
      </c>
      <c r="BJ11" s="59">
        <f t="shared" si="38"/>
        <v>514.93897725587567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4.2119999999999997</v>
      </c>
      <c r="D12" s="11">
        <f t="shared" si="32"/>
        <v>1.6419123971514347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45.188095697309329</v>
      </c>
      <c r="H12" s="67">
        <f t="shared" si="1"/>
        <v>303.52889742503874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3.4425641025641025</v>
      </c>
      <c r="N12" s="13">
        <f>IF('Données projet'!$A$36&gt;35,N11+M12-V11,IF(A12&lt;'Données projet'!$A$36,$K$205^A12,IF(A12='Données projet'!$A$36,'Données projet'!$B$36,N11+M12-V11)))</f>
        <v>4.0197679866952116</v>
      </c>
      <c r="O12" s="13">
        <f>N12*VLOOKUP('Données projet'!$B$9,Paramètres!$A$1:$I$89,3,0)*VLOOKUP('Données projet'!$B$9,Paramètres!$A$1:$I$89,5,0)</f>
        <v>1.881251417773359</v>
      </c>
      <c r="P12" s="13">
        <f t="shared" si="33"/>
        <v>0.80547727641405575</v>
      </c>
      <c r="Q12" s="20">
        <f t="shared" si="2"/>
        <v>4.6793858090430804</v>
      </c>
      <c r="R12" s="59">
        <f t="shared" si="0"/>
        <v>298.0127191423764</v>
      </c>
      <c r="S12" s="59">
        <f ca="1">AVERAGE(OFFSET($R$3,0,0,'Données projet'!$E$9+1,1))-AVERAGE(OFFSET($H$3,0,0,'Données projet'!$E$9+1,1))</f>
        <v>157.05226586109279</v>
      </c>
      <c r="T12" s="59">
        <f t="shared" si="34"/>
        <v>76.143582612540229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10.16068376068376</v>
      </c>
      <c r="AI12" s="13">
        <f>IF('Données projet'!$A$62&gt;35,AI11+AH12-AQ11,IF(A12&lt;'Données projet'!$A$62,$AF$205^A12,IF(A12='Données projet'!$A$62,'Données projet'!$B$62,AI11+AH12-AQ11)))</f>
        <v>13.523768250465828</v>
      </c>
      <c r="AJ12" s="13">
        <f>AI12*VLOOKUP('Données projet'!$B$10,Paramètres!$A$1:$I$89,3,0)*VLOOKUP('Données projet'!$B$10,Paramètres!$A$1:$I$89,5,0)</f>
        <v>7.5597864520103979</v>
      </c>
      <c r="AK12" s="13">
        <f t="shared" si="35"/>
        <v>2.7529801730003816</v>
      </c>
      <c r="AL12" s="20">
        <f t="shared" si="4"/>
        <v>17.961401871893774</v>
      </c>
      <c r="AM12" s="59">
        <f t="shared" si="5"/>
        <v>311.29473520522708</v>
      </c>
      <c r="AN12" s="59">
        <f ca="1">AVERAGE(OFFSET($AM$3,0,0,'Données projet'!$E$10+1,1))-AVERAGE(OFFSET($H$3,0,0,'Données projet'!$E$10+1,1))</f>
        <v>279.32192402750189</v>
      </c>
      <c r="AO12" s="59">
        <f t="shared" si="36"/>
        <v>371.43572414443611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10.176470588235293</v>
      </c>
      <c r="BD12" s="12">
        <f>IF('Données projet'!$A$88&gt;35,BD11+BC12-BL11,IF(A12&lt;'Données projet'!$A$88,$BA$205^A12,IF(A12='Données projet'!$A$88,'Données projet'!$B$88,BD11+BC12-BL11)))</f>
        <v>15.30551463452778</v>
      </c>
      <c r="BE12" s="13">
        <f>BD12*VLOOKUP('Données projet'!$B$11,Paramètres!$A$1:$I$89,3,0)*VLOOKUP('Données projet'!$B$11,Paramètres!$A$1:$I$89,5,0)</f>
        <v>7.162980848959001</v>
      </c>
      <c r="BF12" s="13">
        <f t="shared" si="37"/>
        <v>2.6249010568649931</v>
      </c>
      <c r="BG12" s="20">
        <f t="shared" si="7"/>
        <v>17.047227652643457</v>
      </c>
      <c r="BH12" s="59">
        <f t="shared" si="8"/>
        <v>310.38056098597679</v>
      </c>
      <c r="BI12" s="59">
        <f ca="1">AVERAGE(OFFSET($BH$3,0,0,'Données projet'!$E$11+1,1))-AVERAGE(OFFSET($H$3,0,0,'Données projet'!$E$11+1,1))</f>
        <v>297.07458564121606</v>
      </c>
      <c r="BJ12" s="59">
        <f t="shared" si="38"/>
        <v>514.93897725587567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4.68</v>
      </c>
      <c r="D13" s="11">
        <f t="shared" si="32"/>
        <v>1.8021100168054613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50.037340480603554</v>
      </c>
      <c r="H13" s="67">
        <f t="shared" si="1"/>
        <v>304.62300827926947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3.4425641025641025</v>
      </c>
      <c r="N13" s="13">
        <f>IF('Données projet'!$A$36&gt;35,N12+M13-V12,IF(A13&lt;'Données projet'!$A$36,$K$205^A13,IF(A13='Données projet'!$A$36,'Données projet'!$B$36,N12+M13-V12)))</f>
        <v>4.6917453277627805</v>
      </c>
      <c r="O13" s="13">
        <f>N13*VLOOKUP('Données projet'!$B$9,Paramètres!$A$1:$I$89,3,0)*VLOOKUP('Données projet'!$B$9,Paramètres!$A$1:$I$89,5,0)</f>
        <v>2.1957368133929811</v>
      </c>
      <c r="P13" s="13">
        <f t="shared" si="33"/>
        <v>0.9233628621568436</v>
      </c>
      <c r="Q13" s="20">
        <f t="shared" si="2"/>
        <v>5.432431934915944</v>
      </c>
      <c r="R13" s="59">
        <f t="shared" si="0"/>
        <v>298.76576526824925</v>
      </c>
      <c r="S13" s="59">
        <f ca="1">AVERAGE(OFFSET($R$3,0,0,'Données projet'!$E$9+1,1))-AVERAGE(OFFSET($H$3,0,0,'Données projet'!$E$9+1,1))</f>
        <v>157.05226586109279</v>
      </c>
      <c r="T13" s="59">
        <f t="shared" si="34"/>
        <v>76.143582612540229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10.16068376068376</v>
      </c>
      <c r="AI13" s="13">
        <f>IF('Données projet'!$A$62&gt;35,AI12+AH13-AQ12,IF(A13&lt;'Données projet'!$A$62,$AF$205^A13,IF(A13='Données projet'!$A$62,'Données projet'!$B$62,AI12+AH13-AQ12)))</f>
        <v>18.062391208797656</v>
      </c>
      <c r="AJ13" s="13">
        <f>AI13*VLOOKUP('Données projet'!$B$10,Paramètres!$A$1:$I$89,3,0)*VLOOKUP('Données projet'!$B$10,Paramètres!$A$1:$I$89,5,0)</f>
        <v>10.09687668571789</v>
      </c>
      <c r="AK13" s="13">
        <f t="shared" si="35"/>
        <v>3.5550993685619052</v>
      </c>
      <c r="AL13" s="20">
        <f t="shared" si="4"/>
        <v>23.777191627870639</v>
      </c>
      <c r="AM13" s="59">
        <f t="shared" si="5"/>
        <v>317.11052496120396</v>
      </c>
      <c r="AN13" s="59">
        <f ca="1">AVERAGE(OFFSET($AM$3,0,0,'Données projet'!$E$10+1,1))-AVERAGE(OFFSET($H$3,0,0,'Données projet'!$E$10+1,1))</f>
        <v>279.32192402750189</v>
      </c>
      <c r="AO13" s="59">
        <f t="shared" si="36"/>
        <v>371.43572414443611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10.176470588235293</v>
      </c>
      <c r="BD13" s="12">
        <f>IF('Données projet'!$A$88&gt;35,BD12+BC13-BL12,IF(A13&lt;'Données projet'!$A$88,$BA$205^A13,IF(A13='Données projet'!$A$88,'Données projet'!$B$88,BD12+BC13-BL12)))</f>
        <v>20.725151204805382</v>
      </c>
      <c r="BE13" s="13">
        <f>BD13*VLOOKUP('Données projet'!$B$11,Paramètres!$A$1:$I$89,3,0)*VLOOKUP('Données projet'!$B$11,Paramètres!$A$1:$I$89,5,0)</f>
        <v>9.6993707638489184</v>
      </c>
      <c r="BF13" s="13">
        <f t="shared" si="37"/>
        <v>3.4311418673309508</v>
      </c>
      <c r="BG13" s="20">
        <f t="shared" si="7"/>
        <v>22.868976165971603</v>
      </c>
      <c r="BH13" s="59">
        <f t="shared" si="8"/>
        <v>316.20230949930493</v>
      </c>
      <c r="BI13" s="59">
        <f ca="1">AVERAGE(OFFSET($BH$3,0,0,'Données projet'!$E$11+1,1))-AVERAGE(OFFSET($H$3,0,0,'Données projet'!$E$11+1,1))</f>
        <v>297.07458564121606</v>
      </c>
      <c r="BJ13" s="59">
        <f t="shared" si="38"/>
        <v>514.93897725587567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5.1479999999999997</v>
      </c>
      <c r="D14" s="11">
        <f t="shared" si="32"/>
        <v>1.9604504824312583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54.872249338065849</v>
      </c>
      <c r="H14" s="67">
        <f t="shared" si="1"/>
        <v>305.71388459023444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3.4425641025641025</v>
      </c>
      <c r="N14" s="13">
        <f>IF('Données projet'!$A$36&gt;35,N13+M14-V13,IF(A14&lt;'Données projet'!$A$36,$K$205^A14,IF(A14='Données projet'!$A$36,'Données projet'!$B$36,N13+M14-V13)))</f>
        <v>5.4760559050775193</v>
      </c>
      <c r="O14" s="13">
        <f>N14*VLOOKUP('Données projet'!$B$9,Paramètres!$A$1:$I$89,3,0)*VLOOKUP('Données projet'!$B$9,Paramètres!$A$1:$I$89,5,0)</f>
        <v>2.562794163576279</v>
      </c>
      <c r="P14" s="13">
        <f t="shared" si="33"/>
        <v>1.0585015867936163</v>
      </c>
      <c r="Q14" s="20">
        <f t="shared" si="2"/>
        <v>6.3070900985608995</v>
      </c>
      <c r="R14" s="59">
        <f t="shared" si="0"/>
        <v>299.64042343189419</v>
      </c>
      <c r="S14" s="59">
        <f ca="1">AVERAGE(OFFSET($R$3,0,0,'Données projet'!$E$9+1,1))-AVERAGE(OFFSET($H$3,0,0,'Données projet'!$E$9+1,1))</f>
        <v>157.05226586109279</v>
      </c>
      <c r="T14" s="59">
        <f t="shared" si="34"/>
        <v>76.143582612540229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10.16068376068376</v>
      </c>
      <c r="AI14" s="13">
        <f>IF('Données projet'!$A$62&gt;35,AI13+AH14-AQ13,IF(A14&lt;'Données projet'!$A$62,$AF$205^A14,IF(A14='Données projet'!$A$62,'Données projet'!$B$62,AI13+AH14-AQ13)))</f>
        <v>24.124191581618767</v>
      </c>
      <c r="AJ14" s="13">
        <f>AI14*VLOOKUP('Données projet'!$B$10,Paramètres!$A$1:$I$89,3,0)*VLOOKUP('Données projet'!$B$10,Paramètres!$A$1:$I$89,5,0)</f>
        <v>13.48542309412489</v>
      </c>
      <c r="AK14" s="13">
        <f t="shared" si="35"/>
        <v>4.5909271865822117</v>
      </c>
      <c r="AL14" s="20">
        <f t="shared" si="4"/>
        <v>31.482976738898202</v>
      </c>
      <c r="AM14" s="59">
        <f t="shared" si="5"/>
        <v>324.81631007223154</v>
      </c>
      <c r="AN14" s="59">
        <f ca="1">AVERAGE(OFFSET($AM$3,0,0,'Données projet'!$E$10+1,1))-AVERAGE(OFFSET($H$3,0,0,'Données projet'!$E$10+1,1))</f>
        <v>279.32192402750189</v>
      </c>
      <c r="AO14" s="59">
        <f t="shared" si="36"/>
        <v>371.43572414443611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10.176470588235293</v>
      </c>
      <c r="BD14" s="12">
        <f>IF('Données projet'!$A$88&gt;35,BD13+BC14-BL13,IF(A14&lt;'Données projet'!$A$88,$BA$205^A14,IF(A14='Données projet'!$A$88,'Données projet'!$B$88,BD13+BC14-BL13)))</f>
        <v>28.063864738861049</v>
      </c>
      <c r="BE14" s="13">
        <f>BD14*VLOOKUP('Données projet'!$B$11,Paramètres!$A$1:$I$89,3,0)*VLOOKUP('Données projet'!$B$11,Paramètres!$A$1:$I$89,5,0)</f>
        <v>13.133888697786972</v>
      </c>
      <c r="BF14" s="13">
        <f t="shared" si="37"/>
        <v>4.4850202955123573</v>
      </c>
      <c r="BG14" s="20">
        <f t="shared" si="7"/>
        <v>30.686266496662995</v>
      </c>
      <c r="BH14" s="59">
        <f t="shared" si="8"/>
        <v>324.01959982999631</v>
      </c>
      <c r="BI14" s="59">
        <f ca="1">AVERAGE(OFFSET($BH$3,0,0,'Données projet'!$E$11+1,1))-AVERAGE(OFFSET($H$3,0,0,'Données projet'!$E$11+1,1))</f>
        <v>297.07458564121606</v>
      </c>
      <c r="BJ14" s="59">
        <f t="shared" si="38"/>
        <v>514.93897725587567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5.6159999999999997</v>
      </c>
      <c r="D15" s="11">
        <f t="shared" si="32"/>
        <v>2.1171218270411956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59.694273752598697</v>
      </c>
      <c r="H15" s="67">
        <f t="shared" si="1"/>
        <v>306.80185384876341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3.4425641025641025</v>
      </c>
      <c r="N15" s="13">
        <f>IF('Données projet'!$A$36&gt;35,N14+M15-V14,IF(A15&lt;'Données projet'!$A$36,$K$205^A15,IF(A15='Données projet'!$A$36,'Données projet'!$B$36,N14+M15-V14)))</f>
        <v>6.3914782624899003</v>
      </c>
      <c r="O15" s="13">
        <f>N15*VLOOKUP('Données projet'!$B$9,Paramètres!$A$1:$I$89,3,0)*VLOOKUP('Données projet'!$B$9,Paramètres!$A$1:$I$89,5,0)</f>
        <v>2.9912118268452734</v>
      </c>
      <c r="P15" s="13">
        <f t="shared" si="33"/>
        <v>1.2134185325879896</v>
      </c>
      <c r="Q15" s="20">
        <f t="shared" si="2"/>
        <v>7.3230645426796004</v>
      </c>
      <c r="R15" s="59">
        <f t="shared" si="0"/>
        <v>300.65639787601293</v>
      </c>
      <c r="S15" s="59">
        <f ca="1">AVERAGE(OFFSET($R$3,0,0,'Données projet'!$E$9+1,1))-AVERAGE(OFFSET($H$3,0,0,'Données projet'!$E$9+1,1))</f>
        <v>157.05226586109279</v>
      </c>
      <c r="T15" s="59">
        <f t="shared" si="34"/>
        <v>76.143582612540229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10.16068376068376</v>
      </c>
      <c r="AI15" s="13">
        <f>IF('Données projet'!$A$62&gt;35,AI14+AH15-AQ14,IF(A15&lt;'Données projet'!$A$62,$AF$205^A15,IF(A15='Données projet'!$A$62,'Données projet'!$B$62,AI14+AH15-AQ14)))</f>
        <v>32.220352927755336</v>
      </c>
      <c r="AJ15" s="13">
        <f>AI15*VLOOKUP('Données projet'!$B$10,Paramètres!$A$1:$I$89,3,0)*VLOOKUP('Données projet'!$B$10,Paramètres!$A$1:$I$89,5,0)</f>
        <v>18.011177286615233</v>
      </c>
      <c r="AK15" s="13">
        <f t="shared" si="35"/>
        <v>5.9285578959851977</v>
      </c>
      <c r="AL15" s="20">
        <f t="shared" si="4"/>
        <v>41.695038776362409</v>
      </c>
      <c r="AM15" s="59">
        <f t="shared" si="5"/>
        <v>335.02837210969574</v>
      </c>
      <c r="AN15" s="59">
        <f ca="1">AVERAGE(OFFSET($AM$3,0,0,'Données projet'!$E$10+1,1))-AVERAGE(OFFSET($H$3,0,0,'Données projet'!$E$10+1,1))</f>
        <v>279.32192402750189</v>
      </c>
      <c r="AO15" s="59">
        <f t="shared" si="36"/>
        <v>371.43572414443611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10.176470588235293</v>
      </c>
      <c r="BD15" s="12">
        <f>IF('Données projet'!$A$88&gt;35,BD14+BC15-BL14,IF(A15&lt;'Données projet'!$A$88,$BA$205^A15,IF(A15='Données projet'!$A$88,'Données projet'!$B$88,BD14+BC15-BL14)))</f>
        <v>38.001194601585262</v>
      </c>
      <c r="BE15" s="13">
        <f>BD15*VLOOKUP('Données projet'!$B$11,Paramètres!$A$1:$I$89,3,0)*VLOOKUP('Données projet'!$B$11,Paramètres!$A$1:$I$89,5,0)</f>
        <v>17.784559073541903</v>
      </c>
      <c r="BF15" s="13">
        <f t="shared" si="37"/>
        <v>5.8625984669078415</v>
      </c>
      <c r="BG15" s="20">
        <f t="shared" si="7"/>
        <v>41.185466049616629</v>
      </c>
      <c r="BH15" s="59">
        <f t="shared" si="8"/>
        <v>334.51879938294996</v>
      </c>
      <c r="BI15" s="59">
        <f ca="1">AVERAGE(OFFSET($BH$3,0,0,'Données projet'!$E$11+1,1))-AVERAGE(OFFSET($H$3,0,0,'Données projet'!$E$11+1,1))</f>
        <v>297.07458564121606</v>
      </c>
      <c r="BJ15" s="59">
        <f t="shared" si="38"/>
        <v>514.93897725587567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6.0839999999999996</v>
      </c>
      <c r="D16" s="11">
        <f t="shared" si="32"/>
        <v>2.2722789577396263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64.504609498340969</v>
      </c>
      <c r="H16" s="67">
        <f t="shared" si="1"/>
        <v>307.88718585139651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3.4425641025641025</v>
      </c>
      <c r="N16" s="13">
        <f>IF('Données projet'!$A$36&gt;35,N15+M16-V15,IF(A16&lt;'Données projet'!$A$36,$K$205^A16,IF(A16='Données projet'!$A$36,'Données projet'!$B$36,N15+M16-V15)))</f>
        <v>7.459930119048451</v>
      </c>
      <c r="O16" s="13">
        <f>N16*VLOOKUP('Données projet'!$B$9,Paramètres!$A$1:$I$89,3,0)*VLOOKUP('Données projet'!$B$9,Paramètres!$A$1:$I$89,5,0)</f>
        <v>3.4912472957146754</v>
      </c>
      <c r="P16" s="13">
        <f t="shared" si="33"/>
        <v>1.3910083400895945</v>
      </c>
      <c r="Q16" s="20">
        <f t="shared" si="2"/>
        <v>8.5032618990257713</v>
      </c>
      <c r="R16" s="59">
        <f t="shared" si="0"/>
        <v>301.83659523235906</v>
      </c>
      <c r="S16" s="59">
        <f ca="1">AVERAGE(OFFSET($R$3,0,0,'Données projet'!$E$9+1,1))-AVERAGE(OFFSET($H$3,0,0,'Données projet'!$E$9+1,1))</f>
        <v>157.05226586109279</v>
      </c>
      <c r="T16" s="59">
        <f t="shared" si="34"/>
        <v>76.143582612540229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10.16068376068376</v>
      </c>
      <c r="AI16" s="13">
        <f>IF('Données projet'!$A$62&gt;35,AI15+AH16-AQ15,IF(A16&lt;'Données projet'!$A$62,$AF$205^A16,IF(A16='Données projet'!$A$62,'Données projet'!$B$62,AI15+AH16-AQ15)))</f>
        <v>43.033613759729988</v>
      </c>
      <c r="AJ16" s="13">
        <f>AI16*VLOOKUP('Données projet'!$B$10,Paramètres!$A$1:$I$89,3,0)*VLOOKUP('Données projet'!$B$10,Paramètres!$A$1:$I$89,5,0)</f>
        <v>24.055790091689062</v>
      </c>
      <c r="AK16" s="13">
        <f t="shared" si="35"/>
        <v>7.6559259813080898</v>
      </c>
      <c r="AL16" s="20">
        <f t="shared" si="4"/>
        <v>55.231238827136707</v>
      </c>
      <c r="AM16" s="59">
        <f t="shared" si="5"/>
        <v>348.56457216046999</v>
      </c>
      <c r="AN16" s="59">
        <f ca="1">AVERAGE(OFFSET($AM$3,0,0,'Données projet'!$E$10+1,1))-AVERAGE(OFFSET($H$3,0,0,'Données projet'!$E$10+1,1))</f>
        <v>279.32192402750189</v>
      </c>
      <c r="AO16" s="59">
        <f t="shared" si="36"/>
        <v>371.43572414443611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10.176470588235293</v>
      </c>
      <c r="BD16" s="12">
        <f>IF('Données projet'!$A$88&gt;35,BD15+BC16-BL15,IF(A16&lt;'Données projet'!$A$88,$BA$205^A16,IF(A16='Données projet'!$A$88,'Données projet'!$B$88,BD15+BC16-BL15)))</f>
        <v>51.457302997468773</v>
      </c>
      <c r="BE16" s="13">
        <f>BD16*VLOOKUP('Données projet'!$B$11,Paramètres!$A$1:$I$89,3,0)*VLOOKUP('Données projet'!$B$11,Paramètres!$A$1:$I$89,5,0)</f>
        <v>24.082017802815386</v>
      </c>
      <c r="BF16" s="13">
        <f t="shared" si="37"/>
        <v>7.6633010598815661</v>
      </c>
      <c r="BG16" s="20">
        <f t="shared" si="7"/>
        <v>55.289763685863853</v>
      </c>
      <c r="BH16" s="59">
        <f t="shared" si="8"/>
        <v>348.62309701919719</v>
      </c>
      <c r="BI16" s="59">
        <f ca="1">AVERAGE(OFFSET($BH$3,0,0,'Données projet'!$E$11+1,1))-AVERAGE(OFFSET($H$3,0,0,'Données projet'!$E$11+1,1))</f>
        <v>297.07458564121606</v>
      </c>
      <c r="BJ16" s="59">
        <f t="shared" si="38"/>
        <v>514.93897725587567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6.5519999999999996</v>
      </c>
      <c r="D17" s="11">
        <f t="shared" si="32"/>
        <v>2.4260515959655735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69.304257933769335</v>
      </c>
      <c r="H17" s="67">
        <f t="shared" si="1"/>
        <v>308.97010652964002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3.4425641025641025</v>
      </c>
      <c r="N17" s="13">
        <f>IF('Données projet'!$A$36&gt;35,N16+M17-V16,IF(A17&lt;'Données projet'!$A$36,$K$205^A17,IF(A17='Données projet'!$A$36,'Données projet'!$B$36,N16+M17-V16)))</f>
        <v>8.7069931392376674</v>
      </c>
      <c r="O17" s="13">
        <f>N17*VLOOKUP('Données projet'!$B$9,Paramètres!$A$1:$I$89,3,0)*VLOOKUP('Données projet'!$B$9,Paramètres!$A$1:$I$89,5,0)</f>
        <v>4.0748727891632281</v>
      </c>
      <c r="P17" s="13">
        <f t="shared" si="33"/>
        <v>1.5945892948181934</v>
      </c>
      <c r="Q17" s="20">
        <f t="shared" si="2"/>
        <v>9.8743131296009761</v>
      </c>
      <c r="R17" s="59">
        <f t="shared" si="0"/>
        <v>303.20764646293429</v>
      </c>
      <c r="S17" s="59">
        <f ca="1">AVERAGE(OFFSET($R$3,0,0,'Données projet'!$E$9+1,1))-AVERAGE(OFFSET($H$3,0,0,'Données projet'!$E$9+1,1))</f>
        <v>157.05226586109279</v>
      </c>
      <c r="T17" s="59">
        <f t="shared" si="34"/>
        <v>76.143582612540229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10.16068376068376</v>
      </c>
      <c r="AI17" s="13">
        <f>IF('Données projet'!$A$62&gt;35,AI16+AH17-AQ16,IF(A17&lt;'Données projet'!$A$62,$AF$205^A17,IF(A17='Données projet'!$A$62,'Données projet'!$B$62,AI16+AH17-AQ16)))</f>
        <v>57.475841973982881</v>
      </c>
      <c r="AJ17" s="13">
        <f>AI17*VLOOKUP('Données projet'!$B$10,Paramètres!$A$1:$I$89,3,0)*VLOOKUP('Données projet'!$B$10,Paramètres!$A$1:$I$89,5,0)</f>
        <v>32.128995663456436</v>
      </c>
      <c r="AK17" s="13">
        <f t="shared" si="35"/>
        <v>9.8865868664217604</v>
      </c>
      <c r="AL17" s="20">
        <f t="shared" si="4"/>
        <v>73.177139572871184</v>
      </c>
      <c r="AM17" s="59">
        <f t="shared" si="5"/>
        <v>366.51047290620448</v>
      </c>
      <c r="AN17" s="59">
        <f ca="1">AVERAGE(OFFSET($AM$3,0,0,'Données projet'!$E$10+1,1))-AVERAGE(OFFSET($H$3,0,0,'Données projet'!$E$10+1,1))</f>
        <v>279.32192402750189</v>
      </c>
      <c r="AO17" s="59">
        <f t="shared" si="36"/>
        <v>371.43572414443611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10.176470588235293</v>
      </c>
      <c r="BD17" s="12">
        <f>IF('Données projet'!$A$88&gt;35,BD16+BC17-BL16,IF(A17&lt;'Données projet'!$A$88,$BA$205^A17,IF(A17='Données projet'!$A$88,'Données projet'!$B$88,BD16+BC17-BL16)))</f>
        <v>69.678178792380663</v>
      </c>
      <c r="BE17" s="13">
        <f>BD17*VLOOKUP('Données projet'!$B$11,Paramètres!$A$1:$I$89,3,0)*VLOOKUP('Données projet'!$B$11,Paramètres!$A$1:$I$89,5,0)</f>
        <v>32.609387674834153</v>
      </c>
      <c r="BF17" s="13">
        <f t="shared" si="37"/>
        <v>10.017091135589293</v>
      </c>
      <c r="BG17" s="20">
        <f t="shared" si="7"/>
        <v>74.241117261487503</v>
      </c>
      <c r="BH17" s="59">
        <f t="shared" si="8"/>
        <v>367.5744505948208</v>
      </c>
      <c r="BI17" s="59">
        <f ca="1">AVERAGE(OFFSET($BH$3,0,0,'Données projet'!$E$11+1,1))-AVERAGE(OFFSET($H$3,0,0,'Données projet'!$E$11+1,1))</f>
        <v>297.07458564121606</v>
      </c>
      <c r="BJ17" s="59">
        <f t="shared" si="38"/>
        <v>514.93897725587567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7.02</v>
      </c>
      <c r="D18" s="11">
        <f t="shared" si="32"/>
        <v>2.5785498814341232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74.094069260193223</v>
      </c>
      <c r="H18" s="67">
        <f t="shared" si="1"/>
        <v>310.05080771016441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3.4425641025641025</v>
      </c>
      <c r="N18" s="13">
        <f>IF('Données projet'!$A$36&gt;35,N17+M18-V17,IF(A18&lt;'Données projet'!$A$36,$K$205^A18,IF(A18='Données projet'!$A$36,'Données projet'!$B$36,N17+M18-V17)))</f>
        <v>10.162525428107084</v>
      </c>
      <c r="O18" s="13">
        <f>N18*VLOOKUP('Données projet'!$B$9,Paramètres!$A$1:$I$89,3,0)*VLOOKUP('Données projet'!$B$9,Paramètres!$A$1:$I$89,5,0)</f>
        <v>4.7560619003541156</v>
      </c>
      <c r="P18" s="13">
        <f t="shared" si="33"/>
        <v>1.8279653298016947</v>
      </c>
      <c r="Q18" s="20">
        <f t="shared" si="2"/>
        <v>11.467180759188034</v>
      </c>
      <c r="R18" s="59">
        <f t="shared" si="0"/>
        <v>304.80051409252133</v>
      </c>
      <c r="S18" s="59">
        <f ca="1">AVERAGE(OFFSET($R$3,0,0,'Données projet'!$E$9+1,1))-AVERAGE(OFFSET($H$3,0,0,'Données projet'!$E$9+1,1))</f>
        <v>157.05226586109279</v>
      </c>
      <c r="T18" s="59">
        <f t="shared" si="34"/>
        <v>76.143582612540229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10.16068376068376</v>
      </c>
      <c r="AI18" s="13">
        <f>IF('Données projet'!$A$62&gt;35,AI17+AH18-AQ17,IF(A18&lt;'Données projet'!$A$62,$AF$205^A18,IF(A18='Données projet'!$A$62,'Données projet'!$B$62,AI17+AH18-AQ17)))</f>
        <v>76.764931457129379</v>
      </c>
      <c r="AJ18" s="13">
        <f>AI18*VLOOKUP('Données projet'!$B$10,Paramètres!$A$1:$I$89,3,0)*VLOOKUP('Données projet'!$B$10,Paramètres!$A$1:$I$89,5,0)</f>
        <v>42.911596684535326</v>
      </c>
      <c r="AK18" s="13">
        <f t="shared" si="35"/>
        <v>12.767181932785956</v>
      </c>
      <c r="AL18" s="20">
        <f t="shared" si="4"/>
        <v>96.97387275850123</v>
      </c>
      <c r="AM18" s="59">
        <f t="shared" si="5"/>
        <v>390.30720609183453</v>
      </c>
      <c r="AN18" s="59">
        <f ca="1">AVERAGE(OFFSET($AM$3,0,0,'Données projet'!$E$10+1,1))-AVERAGE(OFFSET($H$3,0,0,'Données projet'!$E$10+1,1))</f>
        <v>279.32192402750189</v>
      </c>
      <c r="AO18" s="59">
        <f t="shared" si="36"/>
        <v>371.43572414443611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10.176470588235293</v>
      </c>
      <c r="BD18" s="12">
        <f>IF('Données projet'!$A$88&gt;35,BD17+BC18-BL17,IF(A18&lt;'Données projet'!$A$88,$BA$205^A18,IF(A18='Données projet'!$A$88,'Données projet'!$B$88,BD17+BC18-BL17)))</f>
        <v>94.35101175166119</v>
      </c>
      <c r="BE18" s="13">
        <f>BD18*VLOOKUP('Données projet'!$B$11,Paramètres!$A$1:$I$89,3,0)*VLOOKUP('Données projet'!$B$11,Paramètres!$A$1:$I$89,5,0)</f>
        <v>44.156273499777434</v>
      </c>
      <c r="BF18" s="13">
        <f t="shared" si="37"/>
        <v>13.093850030766299</v>
      </c>
      <c r="BG18" s="20">
        <f t="shared" si="7"/>
        <v>99.710631815696999</v>
      </c>
      <c r="BH18" s="59">
        <f t="shared" si="8"/>
        <v>393.04396514903033</v>
      </c>
      <c r="BI18" s="59">
        <f ca="1">AVERAGE(OFFSET($BH$3,0,0,'Données projet'!$E$11+1,1))-AVERAGE(OFFSET($H$3,0,0,'Données projet'!$E$11+1,1))</f>
        <v>297.07458564121606</v>
      </c>
      <c r="BJ18" s="59">
        <f t="shared" si="38"/>
        <v>514.93897725587567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7.4879999999999995</v>
      </c>
      <c r="D19" s="11">
        <f t="shared" si="32"/>
        <v>2.7298684377500635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78.874773905439085</v>
      </c>
      <c r="H19" s="67">
        <f t="shared" si="1"/>
        <v>311.129454195748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3.4425641025641025</v>
      </c>
      <c r="N19" s="13">
        <f>IF('Données projet'!$A$36&gt;35,N18+M19-V18,IF(A19&lt;'Données projet'!$A$36,$K$205^A19,IF(A19='Données projet'!$A$36,'Données projet'!$B$36,N18+M19-V18)))</f>
        <v>11.861376416102864</v>
      </c>
      <c r="O19" s="13">
        <f>N19*VLOOKUP('Données projet'!$B$9,Paramètres!$A$1:$I$89,3,0)*VLOOKUP('Données projet'!$B$9,Paramètres!$A$1:$I$89,5,0)</f>
        <v>5.5511241627361398</v>
      </c>
      <c r="P19" s="13">
        <f t="shared" si="33"/>
        <v>2.0954971024924585</v>
      </c>
      <c r="Q19" s="20">
        <f t="shared" si="2"/>
        <v>13.31786537027314</v>
      </c>
      <c r="R19" s="59">
        <f t="shared" si="0"/>
        <v>306.65119870360644</v>
      </c>
      <c r="S19" s="59">
        <f ca="1">AVERAGE(OFFSET($R$3,0,0,'Données projet'!$E$9+1,1))-AVERAGE(OFFSET($H$3,0,0,'Données projet'!$E$9+1,1))</f>
        <v>157.05226586109279</v>
      </c>
      <c r="T19" s="59">
        <f t="shared" si="34"/>
        <v>76.143582612540229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10.16068376068376</v>
      </c>
      <c r="AI19" s="13">
        <f>IF('Données projet'!$A$62&gt;35,AI18+AH19-AQ18,IF(A19&lt;'Données projet'!$A$62,$AF$205^A19,IF(A19='Données projet'!$A$62,'Données projet'!$B$62,AI18+AH19-AQ18)))</f>
        <v>102.52750545673157</v>
      </c>
      <c r="AJ19" s="13">
        <f>AI19*VLOOKUP('Données projet'!$B$10,Paramètres!$A$1:$I$89,3,0)*VLOOKUP('Données projet'!$B$10,Paramètres!$A$1:$I$89,5,0)</f>
        <v>57.312875550312953</v>
      </c>
      <c r="AK19" s="13">
        <f t="shared" si="35"/>
        <v>16.487078574959277</v>
      </c>
      <c r="AL19" s="20">
        <f t="shared" si="4"/>
        <v>128.53492010151578</v>
      </c>
      <c r="AM19" s="59">
        <f t="shared" si="5"/>
        <v>421.86825343484907</v>
      </c>
      <c r="AN19" s="59">
        <f ca="1">AVERAGE(OFFSET($AM$3,0,0,'Données projet'!$E$10+1,1))-AVERAGE(OFFSET($H$3,0,0,'Données projet'!$E$10+1,1))</f>
        <v>279.32192402750189</v>
      </c>
      <c r="AO19" s="59">
        <f t="shared" si="36"/>
        <v>371.43572414443611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10.176470588235293</v>
      </c>
      <c r="BD19" s="12">
        <f>IF('Données projet'!$A$88&gt;35,BD18+BC19-BL18,IF(A19&lt;'Données projet'!$A$88,$BA$205^A19,IF(A19='Données projet'!$A$88,'Données projet'!$B$88,BD18+BC19-BL18)))</f>
        <v>127.76042044795173</v>
      </c>
      <c r="BE19" s="13">
        <f>BD19*VLOOKUP('Données projet'!$B$11,Paramètres!$A$1:$I$89,3,0)*VLOOKUP('Données projet'!$B$11,Paramètres!$A$1:$I$89,5,0)</f>
        <v>59.791876769641412</v>
      </c>
      <c r="BF19" s="13">
        <f t="shared" si="37"/>
        <v>17.115638293342968</v>
      </c>
      <c r="BG19" s="20">
        <f t="shared" si="7"/>
        <v>133.94725540136443</v>
      </c>
      <c r="BH19" s="59">
        <f t="shared" si="8"/>
        <v>427.28058873469774</v>
      </c>
      <c r="BI19" s="59">
        <f ca="1">AVERAGE(OFFSET($BH$3,0,0,'Données projet'!$E$11+1,1))-AVERAGE(OFFSET($H$3,0,0,'Données projet'!$E$11+1,1))</f>
        <v>297.07458564121606</v>
      </c>
      <c r="BJ19" s="59">
        <f t="shared" si="38"/>
        <v>514.93897725587567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7.9559999999999995</v>
      </c>
      <c r="D20" s="11">
        <f t="shared" si="32"/>
        <v>2.880089392049658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83.647005833365782</v>
      </c>
      <c r="H20" s="67">
        <f t="shared" si="1"/>
        <v>312.20618902448649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3.4425641025641025</v>
      </c>
      <c r="N20" s="13">
        <f>IF('Données projet'!$A$36&gt;35,N19+M20-V19,IF(A20&lt;'Données projet'!$A$36,$K$205^A20,IF(A20='Données projet'!$A$36,'Données projet'!$B$36,N19+M20-V19)))</f>
        <v>13.84422124990315</v>
      </c>
      <c r="O20" s="13">
        <f>N20*VLOOKUP('Données projet'!$B$9,Paramètres!$A$1:$I$89,3,0)*VLOOKUP('Données projet'!$B$9,Paramètres!$A$1:$I$89,5,0)</f>
        <v>6.4790955449546734</v>
      </c>
      <c r="P20" s="13">
        <f t="shared" si="33"/>
        <v>2.4021834741420709</v>
      </c>
      <c r="Q20" s="20">
        <f t="shared" si="2"/>
        <v>15.468227624926827</v>
      </c>
      <c r="R20" s="59">
        <f t="shared" si="0"/>
        <v>308.80156095826015</v>
      </c>
      <c r="S20" s="59">
        <f ca="1">AVERAGE(OFFSET($R$3,0,0,'Données projet'!$E$9+1,1))-AVERAGE(OFFSET($H$3,0,0,'Données projet'!$E$9+1,1))</f>
        <v>157.05226586109279</v>
      </c>
      <c r="T20" s="59">
        <f t="shared" si="34"/>
        <v>76.143582612540229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10.16068376068376</v>
      </c>
      <c r="AI20" s="13">
        <f>IF('Données projet'!$A$62&gt;35,AI19+AH20-AQ19,IF(A20&lt;'Données projet'!$A$62,$AF$205^A20,IF(A20='Données projet'!$A$62,'Données projet'!$B$62,AI19+AH20-AQ19)))</f>
        <v>136.93608755517039</v>
      </c>
      <c r="AJ20" s="13">
        <f>AI20*VLOOKUP('Données projet'!$B$10,Paramètres!$A$1:$I$89,3,0)*VLOOKUP('Données projet'!$B$10,Paramètres!$A$1:$I$89,5,0)</f>
        <v>76.547272943340246</v>
      </c>
      <c r="AK20" s="13">
        <f t="shared" si="35"/>
        <v>21.290819020824138</v>
      </c>
      <c r="AL20" s="20">
        <f t="shared" si="4"/>
        <v>170.40134350425296</v>
      </c>
      <c r="AM20" s="59">
        <f t="shared" si="5"/>
        <v>463.73467683758628</v>
      </c>
      <c r="AN20" s="59">
        <f ca="1">AVERAGE(OFFSET($AM$3,0,0,'Données projet'!$E$10+1,1))-AVERAGE(OFFSET($H$3,0,0,'Données projet'!$E$10+1,1))</f>
        <v>279.32192402750189</v>
      </c>
      <c r="AO20" s="59">
        <f t="shared" si="36"/>
        <v>371.43572414443611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>
        <f>VLOOKUP(A20,'Données projet'!$A$87:$I$107,2,0)</f>
        <v>173</v>
      </c>
      <c r="BB20" s="12">
        <f>VLOOKUP(A20,'Données projet'!$A$87:$I$107,9,0)</f>
        <v>10.176470588235293</v>
      </c>
      <c r="BC20" s="12">
        <f t="array" ref="BC20">INDEX(BB:BB,MIN(IF(ISNUMBER(BB20:BB216),ROW(BB20:BB216),"")))</f>
        <v>10.176470588235293</v>
      </c>
      <c r="BD20" s="12">
        <f>IF('Données projet'!$A$88&gt;35,BD19+BC20-BL19,IF(A20&lt;'Données projet'!$A$88,$BA$205^A20,IF(A20='Données projet'!$A$88,'Données projet'!$B$88,BD19+BC20-BL19)))</f>
        <v>173</v>
      </c>
      <c r="BE20" s="13">
        <f>BD20*VLOOKUP('Données projet'!$B$11,Paramètres!$A$1:$I$89,3,0)*VLOOKUP('Données projet'!$B$11,Paramètres!$A$1:$I$89,5,0)</f>
        <v>80.963999999999999</v>
      </c>
      <c r="BF20" s="13">
        <f t="shared" si="37"/>
        <v>22.37272257588274</v>
      </c>
      <c r="BG20" s="20">
        <f t="shared" si="7"/>
        <v>179.97812515299574</v>
      </c>
      <c r="BH20" s="59">
        <f t="shared" si="8"/>
        <v>473.31145848632906</v>
      </c>
      <c r="BI20" s="59">
        <f ca="1">AVERAGE(OFFSET($BH$3,0,0,'Données projet'!$E$11+1,1))-AVERAGE(OFFSET($H$3,0,0,'Données projet'!$E$11+1,1))</f>
        <v>297.07458564121606</v>
      </c>
      <c r="BJ20" s="59">
        <f t="shared" si="38"/>
        <v>514.93897725587567</v>
      </c>
      <c r="BK20" s="15">
        <f>IF(ISNA(VLOOKUP(A20,'Données projet'!$A$87:$I$107,3,0)),0,VLOOKUP(A20,'Données projet'!$A$87:$I$107,3,0))</f>
        <v>1</v>
      </c>
      <c r="BL20" s="15">
        <f>IF(ISNA(VLOOKUP(A20,'Données projet'!$A$87:$I$107,4,0)),0,VLOOKUP(A20,'Données projet'!$A$87:$I$107,4,0))</f>
        <v>58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0.44000000000000006</v>
      </c>
      <c r="BO20" s="16">
        <f>IF(ISNA(VLOOKUP(A20,'Données projet'!$A$87:$I$107,7,0)),0%,VLOOKUP(A20,'Données projet'!$A$87:$I$107,7,0))</f>
        <v>0.2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15.781254419323224</v>
      </c>
      <c r="BR20" s="21">
        <f>EXP(-LN(2)/2)*BR19+(1-EXP(-LN(2)/2))/(LN(2)/2)*BL20*BO20*VLOOKUP('Données projet'!$B$11,Paramètres!$A$1:$I$89,3,0)*0.475*44/12</f>
        <v>6.1466626968116787</v>
      </c>
      <c r="BS20" s="22">
        <f t="shared" si="9"/>
        <v>21.927917116134903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8.4239999999999995</v>
      </c>
      <c r="D21" s="11">
        <f t="shared" si="32"/>
        <v>3.0292846636388133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88.411320210545227</v>
      </c>
      <c r="H21" s="67">
        <f t="shared" si="1"/>
        <v>313.28113745583755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3.4425641025641025</v>
      </c>
      <c r="N21" s="13">
        <f>IF('Données projet'!$A$36&gt;35,N20+M21-V20,IF(A21&lt;'Données projet'!$A$36,$K$205^A21,IF(A21='Données projet'!$A$36,'Données projet'!$B$36,N20+M21-V20)))</f>
        <v>16.158534666859676</v>
      </c>
      <c r="O21" s="13">
        <f>N21*VLOOKUP('Données projet'!$B$9,Paramètres!$A$1:$I$89,3,0)*VLOOKUP('Données projet'!$B$9,Paramètres!$A$1:$I$89,5,0)</f>
        <v>7.5621942240903284</v>
      </c>
      <c r="P21" s="13">
        <f t="shared" si="33"/>
        <v>2.7537549140858508</v>
      </c>
      <c r="Q21" s="20">
        <f t="shared" si="2"/>
        <v>17.96694474899018</v>
      </c>
      <c r="R21" s="59">
        <f t="shared" si="0"/>
        <v>311.30027808232347</v>
      </c>
      <c r="S21" s="59">
        <f ca="1">AVERAGE(OFFSET($R$3,0,0,'Données projet'!$E$9+1,1))-AVERAGE(OFFSET($H$3,0,0,'Données projet'!$E$9+1,1))</f>
        <v>157.05226586109279</v>
      </c>
      <c r="T21" s="59">
        <f t="shared" si="34"/>
        <v>76.143582612540229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182.89230769230767</v>
      </c>
      <c r="AG21" s="12">
        <f>VLOOKUP(A21,'Données projet'!$A$61:$I$81,9,0)</f>
        <v>10.16068376068376</v>
      </c>
      <c r="AH21" s="12">
        <f t="array" ref="AH21">INDEX(AG:AG,MIN(IF(ISNUMBER(AG21:AG217),ROW(AG21:AG217),"")))</f>
        <v>10.16068376068376</v>
      </c>
      <c r="AI21" s="13">
        <f>IF('Données projet'!$A$62&gt;35,AI20+AH21-AQ20,IF(A21&lt;'Données projet'!$A$62,$AF$205^A21,IF(A21='Données projet'!$A$62,'Données projet'!$B$62,AI20+AH21-AQ20)))</f>
        <v>182.89230769230767</v>
      </c>
      <c r="AJ21" s="13">
        <f>AI21*VLOOKUP('Données projet'!$B$10,Paramètres!$A$1:$I$89,3,0)*VLOOKUP('Données projet'!$B$10,Paramètres!$A$1:$I$89,5,0)</f>
        <v>102.23679999999999</v>
      </c>
      <c r="AK21" s="13">
        <f t="shared" si="35"/>
        <v>27.494196289326943</v>
      </c>
      <c r="AL21" s="20">
        <f t="shared" si="4"/>
        <v>225.9481518705777</v>
      </c>
      <c r="AM21" s="59">
        <f t="shared" si="5"/>
        <v>519.28148520391096</v>
      </c>
      <c r="AN21" s="59">
        <f ca="1">AVERAGE(OFFSET($AM$3,0,0,'Données projet'!$E$10+1,1))-AVERAGE(OFFSET($H$3,0,0,'Données projet'!$E$10+1,1))</f>
        <v>279.32192402750189</v>
      </c>
      <c r="AO21" s="59">
        <f t="shared" si="36"/>
        <v>371.43572414443611</v>
      </c>
      <c r="AP21" s="15">
        <f>IF(ISNA(VLOOKUP(A21,'Données projet'!$A$61:$I$81,3,0)),0,VLOOKUP(A21,'Données projet'!$A$61:$I$81,3,0))</f>
        <v>1</v>
      </c>
      <c r="AQ21" s="15">
        <f>IF(ISNA(VLOOKUP(A21,'Données projet'!$A$61:$I$81,4,0)),0,VLOOKUP(A21,'Données projet'!$A$61:$I$81,4,0))</f>
        <v>69.284615384615378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0.30800000000000005</v>
      </c>
      <c r="AT21" s="16">
        <f>IF(ISNA(VLOOKUP(A21,'Données projet'!$A$61:$I$81,7,0)),0%,VLOOKUP(A21,'Données projet'!$A$61:$I$81,7,0))</f>
        <v>0.44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15.762109241455983</v>
      </c>
      <c r="AW21" s="21">
        <f>EXP(-LN(2)/2)*AW20+(1-EXP(-LN(2)/2))/(LN(2)/2)*AQ21*AT21*VLOOKUP('Données projet'!$B$10,Paramètres!$A$1:$I$89,3,0)*0.475*44/12</f>
        <v>19.294646846829099</v>
      </c>
      <c r="AX21" s="21">
        <f t="shared" si="6"/>
        <v>35.056756088285084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41</v>
      </c>
      <c r="BD21" s="12">
        <f>IF('Données projet'!$A$88&gt;35,BD20+BC21-BL20,IF(A21&lt;'Données projet'!$A$88,$BA$205^A21,IF(A21='Données projet'!$A$88,'Données projet'!$B$88,BD20+BC21-BL20)))</f>
        <v>156</v>
      </c>
      <c r="BE21" s="13">
        <f>BD21*VLOOKUP('Données projet'!$B$11,Paramètres!$A$1:$I$89,3,0)*VLOOKUP('Données projet'!$B$11,Paramètres!$A$1:$I$89,5,0)</f>
        <v>73.007999999999996</v>
      </c>
      <c r="BF21" s="13">
        <f t="shared" si="37"/>
        <v>20.418611018263636</v>
      </c>
      <c r="BG21" s="20">
        <f t="shared" si="7"/>
        <v>162.7180141901425</v>
      </c>
      <c r="BH21" s="59">
        <f t="shared" si="8"/>
        <v>456.05134752347578</v>
      </c>
      <c r="BI21" s="59">
        <f ca="1">AVERAGE(OFFSET($BH$3,0,0,'Données projet'!$E$11+1,1))-AVERAGE(OFFSET($H$3,0,0,'Données projet'!$E$11+1,1))</f>
        <v>297.07458564121606</v>
      </c>
      <c r="BJ21" s="59">
        <f t="shared" si="38"/>
        <v>514.93897725587567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15.349715187326728</v>
      </c>
      <c r="BR21" s="21">
        <f>EXP(-LN(2)/2)*BR20+(1-EXP(-LN(2)/2))/(LN(2)/2)*BL21*BO21*VLOOKUP('Données projet'!$B$11,Paramètres!$A$1:$I$89,3,0)*0.475*44/12</f>
        <v>4.34634687458193</v>
      </c>
      <c r="BS21" s="22">
        <f t="shared" si="9"/>
        <v>19.696062061908659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22" s="11">
        <f t="shared" si="32"/>
        <v>3.177517729464268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93.16820703446102</v>
      </c>
      <c r="H22" s="67">
        <f t="shared" si="1"/>
        <v>314.35441004548358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3.4425641025641025</v>
      </c>
      <c r="N22" s="13">
        <f>IF('Données projet'!$A$36&gt;35,N21+M22-V21,IF(A22&lt;'Données projet'!$A$36,$K$205^A22,IF(A22='Données projet'!$A$36,'Données projet'!$B$36,N21+M22-V21)))</f>
        <v>18.859727670267663</v>
      </c>
      <c r="O22" s="13">
        <f>N22*VLOOKUP('Données projet'!$B$9,Paramètres!$A$1:$I$89,3,0)*VLOOKUP('Données projet'!$B$9,Paramètres!$A$1:$I$89,5,0)</f>
        <v>8.8263525496852662</v>
      </c>
      <c r="P22" s="13">
        <f t="shared" si="33"/>
        <v>3.1567805742066648</v>
      </c>
      <c r="Q22" s="20">
        <f t="shared" si="2"/>
        <v>20.870623524111782</v>
      </c>
      <c r="R22" s="59">
        <f t="shared" si="0"/>
        <v>314.20395685744512</v>
      </c>
      <c r="S22" s="59">
        <f ca="1">AVERAGE(OFFSET($R$3,0,0,'Données projet'!$E$9+1,1))-AVERAGE(OFFSET($H$3,0,0,'Données projet'!$E$9+1,1))</f>
        <v>157.05226586109279</v>
      </c>
      <c r="T22" s="59">
        <f t="shared" si="34"/>
        <v>76.143582612540229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20.658974358974358</v>
      </c>
      <c r="AI22" s="13">
        <f>IF('Données projet'!$A$62&gt;35,AI21+AH22-AQ21,IF(A22&lt;'Données projet'!$A$62,$AF$205^A22,IF(A22='Données projet'!$A$62,'Données projet'!$B$62,AI21+AH22-AQ21)))</f>
        <v>134.26666666666665</v>
      </c>
      <c r="AJ22" s="13">
        <f>AI22*VLOOKUP('Données projet'!$B$10,Paramètres!$A$1:$I$89,3,0)*VLOOKUP('Données projet'!$B$10,Paramètres!$A$1:$I$89,5,0)</f>
        <v>75.055066666666661</v>
      </c>
      <c r="AK22" s="13">
        <f t="shared" si="35"/>
        <v>20.923669242672773</v>
      </c>
      <c r="AL22" s="20">
        <f t="shared" si="4"/>
        <v>167.1629650420995</v>
      </c>
      <c r="AM22" s="59">
        <f t="shared" si="5"/>
        <v>460.49629837543284</v>
      </c>
      <c r="AN22" s="59">
        <f ca="1">AVERAGE(OFFSET($AM$3,0,0,'Données projet'!$E$10+1,1))-AVERAGE(OFFSET($H$3,0,0,'Données projet'!$E$10+1,1))</f>
        <v>279.32192402750189</v>
      </c>
      <c r="AO22" s="59">
        <f t="shared" si="36"/>
        <v>371.43572414443611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15.33109353535507</v>
      </c>
      <c r="AW22" s="21">
        <f>EXP(-LN(2)/2)*AW21+(1-EXP(-LN(2)/2))/(LN(2)/2)*AQ22*AT22*VLOOKUP('Données projet'!$B$10,Paramètres!$A$1:$I$89,3,0)*0.475*44/12</f>
        <v>13.643375625992494</v>
      </c>
      <c r="AX22" s="21">
        <f t="shared" si="6"/>
        <v>28.974469161347564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41</v>
      </c>
      <c r="BD22" s="12">
        <f>IF('Données projet'!$A$88&gt;35,BD21+BC22-BL21,IF(A22&lt;'Données projet'!$A$88,$BA$205^A22,IF(A22='Données projet'!$A$88,'Données projet'!$B$88,BD21+BC22-BL21)))</f>
        <v>197</v>
      </c>
      <c r="BE22" s="13">
        <f>BD22*VLOOKUP('Données projet'!$B$11,Paramètres!$A$1:$I$89,3,0)*VLOOKUP('Données projet'!$B$11,Paramètres!$A$1:$I$89,5,0)</f>
        <v>92.196000000000012</v>
      </c>
      <c r="BF22" s="13">
        <f t="shared" si="37"/>
        <v>25.094101950594489</v>
      </c>
      <c r="BG22" s="20">
        <f t="shared" si="7"/>
        <v>204.28026089728542</v>
      </c>
      <c r="BH22" s="59">
        <f t="shared" si="8"/>
        <v>497.61359423061873</v>
      </c>
      <c r="BI22" s="59">
        <f ca="1">AVERAGE(OFFSET($BH$3,0,0,'Données projet'!$E$11+1,1))-AVERAGE(OFFSET($H$3,0,0,'Données projet'!$E$11+1,1))</f>
        <v>297.07458564121606</v>
      </c>
      <c r="BJ22" s="59">
        <f t="shared" si="38"/>
        <v>514.93897725587567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14.929976418322839</v>
      </c>
      <c r="BR22" s="21">
        <f>EXP(-LN(2)/2)*BR21+(1-EXP(-LN(2)/2))/(LN(2)/2)*BL22*BO22*VLOOKUP('Données projet'!$B$11,Paramètres!$A$1:$I$89,3,0)*0.475*44/12</f>
        <v>3.0733313484058398</v>
      </c>
      <c r="BS22" s="22">
        <f t="shared" si="9"/>
        <v>18.003307766728678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9.36</v>
      </c>
      <c r="D23" s="11">
        <f t="shared" si="32"/>
        <v>3.3248450073034994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97.918101810763858</v>
      </c>
      <c r="H23" s="67">
        <f t="shared" si="1"/>
        <v>315.42610505438688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3.4425641025641025</v>
      </c>
      <c r="N23" s="13">
        <f>IF('Données projet'!$A$36&gt;35,N22+M23-V22,IF(A23&lt;'Données projet'!$A$36,$K$205^A23,IF(A23='Données projet'!$A$36,'Données projet'!$B$36,N22+M23-V22)))</f>
        <v>22.012474220583886</v>
      </c>
      <c r="O23" s="13">
        <f>N23*VLOOKUP('Données projet'!$B$9,Paramètres!$A$1:$I$89,3,0)*VLOOKUP('Données projet'!$B$9,Paramètres!$A$1:$I$89,5,0)</f>
        <v>10.301837935233259</v>
      </c>
      <c r="P23" s="13">
        <f t="shared" si="33"/>
        <v>3.6187910342764393</v>
      </c>
      <c r="Q23" s="20">
        <f t="shared" si="2"/>
        <v>24.245095455229389</v>
      </c>
      <c r="R23" s="59">
        <f t="shared" si="0"/>
        <v>317.57842878856269</v>
      </c>
      <c r="S23" s="59">
        <f ca="1">AVERAGE(OFFSET($R$3,0,0,'Données projet'!$E$9+1,1))-AVERAGE(OFFSET($H$3,0,0,'Données projet'!$E$9+1,1))</f>
        <v>157.05226586109279</v>
      </c>
      <c r="T23" s="59">
        <f t="shared" si="34"/>
        <v>76.143582612540229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20.658974358974358</v>
      </c>
      <c r="AI23" s="13">
        <f>IF('Données projet'!$A$62&gt;35,AI22+AH23-AQ22,IF(A23&lt;'Données projet'!$A$62,$AF$205^A23,IF(A23='Données projet'!$A$62,'Données projet'!$B$62,AI22+AH23-AQ22)))</f>
        <v>154.925641025641</v>
      </c>
      <c r="AJ23" s="13">
        <f>AI23*VLOOKUP('Données projet'!$B$10,Paramètres!$A$1:$I$89,3,0)*VLOOKUP('Données projet'!$B$10,Paramètres!$A$1:$I$89,5,0)</f>
        <v>86.603433333333314</v>
      </c>
      <c r="AK23" s="13">
        <f t="shared" si="35"/>
        <v>23.744229853900279</v>
      </c>
      <c r="AL23" s="20">
        <f t="shared" si="4"/>
        <v>192.18884671776516</v>
      </c>
      <c r="AM23" s="59">
        <f t="shared" si="5"/>
        <v>485.52218005109847</v>
      </c>
      <c r="AN23" s="59">
        <f ca="1">AVERAGE(OFFSET($AM$3,0,0,'Données projet'!$E$10+1,1))-AVERAGE(OFFSET($H$3,0,0,'Données projet'!$E$10+1,1))</f>
        <v>279.32192402750189</v>
      </c>
      <c r="AO23" s="59">
        <f t="shared" si="36"/>
        <v>371.43572414443611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14.911863976403616</v>
      </c>
      <c r="AW23" s="21">
        <f>EXP(-LN(2)/2)*AW22+(1-EXP(-LN(2)/2))/(LN(2)/2)*AQ23*AT23*VLOOKUP('Données projet'!$B$10,Paramètres!$A$1:$I$89,3,0)*0.475*44/12</f>
        <v>9.6473234234145515</v>
      </c>
      <c r="AX23" s="21">
        <f t="shared" si="6"/>
        <v>24.559187399818168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238</v>
      </c>
      <c r="BB23" s="12">
        <f>VLOOKUP(A23,'Données projet'!$A$87:$I$107,9,0)</f>
        <v>41</v>
      </c>
      <c r="BC23" s="12">
        <f t="array" ref="BC23">INDEX(BB:BB,MIN(IF(ISNUMBER(BB23:BB219),ROW(BB23:BB219),"")))</f>
        <v>41</v>
      </c>
      <c r="BD23" s="12">
        <f>IF('Données projet'!$A$88&gt;35,BD22+BC23-BL22,IF(A23&lt;'Données projet'!$A$88,$BA$205^A23,IF(A23='Données projet'!$A$88,'Données projet'!$B$88,BD22+BC23-BL22)))</f>
        <v>238</v>
      </c>
      <c r="BE23" s="13">
        <f>BD23*VLOOKUP('Données projet'!$B$11,Paramètres!$A$1:$I$89,3,0)*VLOOKUP('Données projet'!$B$11,Paramètres!$A$1:$I$89,5,0)</f>
        <v>111.384</v>
      </c>
      <c r="BF23" s="13">
        <f t="shared" si="37"/>
        <v>29.656828101147433</v>
      </c>
      <c r="BG23" s="20">
        <f t="shared" si="7"/>
        <v>245.6461089428318</v>
      </c>
      <c r="BH23" s="59">
        <f t="shared" si="8"/>
        <v>538.97944227616517</v>
      </c>
      <c r="BI23" s="59">
        <f ca="1">AVERAGE(OFFSET($BH$3,0,0,'Données projet'!$E$11+1,1))-AVERAGE(OFFSET($H$3,0,0,'Données projet'!$E$11+1,1))</f>
        <v>297.07458564121606</v>
      </c>
      <c r="BJ23" s="59">
        <f t="shared" si="38"/>
        <v>514.93897725587567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66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0.44000000000000006</v>
      </c>
      <c r="BO23" s="16">
        <f>IF(ISNA(VLOOKUP(A23,'Données projet'!$A$87:$I$107,7,0)),0%,VLOOKUP(A23,'Données projet'!$A$87:$I$107,7,0))</f>
        <v>0.2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32.479694594846542</v>
      </c>
      <c r="BR23" s="21">
        <f>EXP(-LN(2)/2)*BR22+(1-EXP(-LN(2)/2))/(LN(2)/2)*BL23*BO23*VLOOKUP('Données projet'!$B$11,Paramètres!$A$1:$I$89,3,0)*0.475*44/12</f>
        <v>9.1676516784904614</v>
      </c>
      <c r="BS23" s="22">
        <f t="shared" si="9"/>
        <v>41.647346273337007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9.8279999999999994</v>
      </c>
      <c r="D24" s="11">
        <f t="shared" si="32"/>
        <v>3.4713169544550615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102.66139403438996</v>
      </c>
      <c r="H24" s="67">
        <f t="shared" si="1"/>
        <v>316.49631036234257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3.4425641025641025</v>
      </c>
      <c r="N24" s="13">
        <f>IF('Données projet'!$A$36&gt;35,N23+M24-V23,IF(A24&lt;'Données projet'!$A$36,$K$205^A24,IF(A24='Données projet'!$A$36,'Données projet'!$B$36,N23+M24-V23)))</f>
        <v>25.692259707215236</v>
      </c>
      <c r="O24" s="13">
        <f>N24*VLOOKUP('Données projet'!$B$9,Paramètres!$A$1:$I$89,3,0)*VLOOKUP('Données projet'!$B$9,Paramètres!$A$1:$I$89,5,0)</f>
        <v>12.023977542976729</v>
      </c>
      <c r="P24" s="13">
        <f t="shared" si="33"/>
        <v>4.1484190116858626</v>
      </c>
      <c r="Q24" s="20">
        <f t="shared" si="2"/>
        <v>28.166923999370677</v>
      </c>
      <c r="R24" s="59">
        <f t="shared" si="0"/>
        <v>321.500257332704</v>
      </c>
      <c r="S24" s="59">
        <f ca="1">AVERAGE(OFFSET($R$3,0,0,'Données projet'!$E$9+1,1))-AVERAGE(OFFSET($H$3,0,0,'Données projet'!$E$9+1,1))</f>
        <v>157.05226586109279</v>
      </c>
      <c r="T24" s="59">
        <f t="shared" si="34"/>
        <v>76.143582612540229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20.658974358974358</v>
      </c>
      <c r="AI24" s="13">
        <f>IF('Données projet'!$A$62&gt;35,AI23+AH24-AQ23,IF(A24&lt;'Données projet'!$A$62,$AF$205^A24,IF(A24='Données projet'!$A$62,'Données projet'!$B$62,AI23+AH24-AQ23)))</f>
        <v>175.58461538461535</v>
      </c>
      <c r="AJ24" s="13">
        <f>AI24*VLOOKUP('Données projet'!$B$10,Paramètres!$A$1:$I$89,3,0)*VLOOKUP('Données projet'!$B$10,Paramètres!$A$1:$I$89,5,0)</f>
        <v>98.15179999999998</v>
      </c>
      <c r="AK24" s="13">
        <f t="shared" si="35"/>
        <v>26.52121247620833</v>
      </c>
      <c r="AL24" s="20">
        <f t="shared" si="4"/>
        <v>217.13883006272945</v>
      </c>
      <c r="AM24" s="59">
        <f t="shared" si="5"/>
        <v>510.4721633960628</v>
      </c>
      <c r="AN24" s="59">
        <f ca="1">AVERAGE(OFFSET($AM$3,0,0,'Données projet'!$E$10+1,1))-AVERAGE(OFFSET($H$3,0,0,'Données projet'!$E$10+1,1))</f>
        <v>279.32192402750189</v>
      </c>
      <c r="AO24" s="59">
        <f t="shared" si="36"/>
        <v>371.43572414443611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14.504098271788013</v>
      </c>
      <c r="AW24" s="21">
        <f>EXP(-LN(2)/2)*AW23+(1-EXP(-LN(2)/2))/(LN(2)/2)*AQ24*AT24*VLOOKUP('Données projet'!$B$10,Paramètres!$A$1:$I$89,3,0)*0.475*44/12</f>
        <v>6.8216878129962479</v>
      </c>
      <c r="AX24" s="21">
        <f t="shared" si="6"/>
        <v>21.325786084784262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47</v>
      </c>
      <c r="BD24" s="12">
        <f>IF('Données projet'!$A$88&gt;35,BD23+BC24-BL23,IF(A24&lt;'Données projet'!$A$88,$BA$205^A24,IF(A24='Données projet'!$A$88,'Données projet'!$B$88,BD23+BC24-BL23)))</f>
        <v>219</v>
      </c>
      <c r="BE24" s="13">
        <f>BD24*VLOOKUP('Données projet'!$B$11,Paramètres!$A$1:$I$89,3,0)*VLOOKUP('Données projet'!$B$11,Paramètres!$A$1:$I$89,5,0)</f>
        <v>102.492</v>
      </c>
      <c r="BF24" s="13">
        <f t="shared" si="37"/>
        <v>27.554829018858843</v>
      </c>
      <c r="BG24" s="20">
        <f t="shared" si="7"/>
        <v>226.49822720784584</v>
      </c>
      <c r="BH24" s="59">
        <f t="shared" si="8"/>
        <v>519.83156054117921</v>
      </c>
      <c r="BI24" s="59">
        <f ca="1">AVERAGE(OFFSET($BH$3,0,0,'Données projet'!$E$11+1,1))-AVERAGE(OFFSET($H$3,0,0,'Données projet'!$E$11+1,1))</f>
        <v>297.07458564121606</v>
      </c>
      <c r="BJ24" s="59">
        <f t="shared" si="38"/>
        <v>514.93897725587567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31.591535638117559</v>
      </c>
      <c r="BR24" s="21">
        <f>EXP(-LN(2)/2)*BR23+(1-EXP(-LN(2)/2))/(LN(2)/2)*BL24*BO24*VLOOKUP('Données projet'!$B$11,Paramètres!$A$1:$I$89,3,0)*0.475*44/12</f>
        <v>6.4825086694168403</v>
      </c>
      <c r="BS24" s="22">
        <f t="shared" si="9"/>
        <v>38.0740443075344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10.295999999999999</v>
      </c>
      <c r="D25" s="11">
        <f t="shared" si="32"/>
        <v>3.6169789512251227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107.39843400945709</v>
      </c>
      <c r="H25" s="67">
        <f t="shared" si="1"/>
        <v>317.56510500671709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3.4425641025641025</v>
      </c>
      <c r="N25" s="13">
        <f>IF('Données projet'!$A$36&gt;35,N24+M25-V24,IF(A25&lt;'Données projet'!$A$36,$K$205^A25,IF(A25='Données projet'!$A$36,'Données projet'!$B$36,N24+M25-V24)))</f>
        <v>29.987188275534368</v>
      </c>
      <c r="O25" s="13">
        <f>N25*VLOOKUP('Données projet'!$B$9,Paramètres!$A$1:$I$89,3,0)*VLOOKUP('Données projet'!$B$9,Paramètres!$A$1:$I$89,5,0)</f>
        <v>14.034004112950084</v>
      </c>
      <c r="P25" s="13">
        <f t="shared" si="33"/>
        <v>4.7555606647394173</v>
      </c>
      <c r="Q25" s="20">
        <f t="shared" si="2"/>
        <v>32.725158654475884</v>
      </c>
      <c r="R25" s="59">
        <f t="shared" si="0"/>
        <v>326.05849198780919</v>
      </c>
      <c r="S25" s="59">
        <f ca="1">AVERAGE(OFFSET($R$3,0,0,'Données projet'!$E$9+1,1))-AVERAGE(OFFSET($H$3,0,0,'Données projet'!$E$9+1,1))</f>
        <v>157.05226586109279</v>
      </c>
      <c r="T25" s="59">
        <f t="shared" si="34"/>
        <v>76.143582612540229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20.658974358974358</v>
      </c>
      <c r="AI25" s="13">
        <f>IF('Données projet'!$A$62&gt;35,AI24+AH25-AQ24,IF(A25&lt;'Données projet'!$A$62,$AF$205^A25,IF(A25='Données projet'!$A$62,'Données projet'!$B$62,AI24+AH25-AQ24)))</f>
        <v>196.24358974358969</v>
      </c>
      <c r="AJ25" s="13">
        <f>AI25*VLOOKUP('Données projet'!$B$10,Paramètres!$A$1:$I$89,3,0)*VLOOKUP('Données projet'!$B$10,Paramètres!$A$1:$I$89,5,0)</f>
        <v>109.70016666666663</v>
      </c>
      <c r="AK25" s="13">
        <f t="shared" si="35"/>
        <v>29.260330282475415</v>
      </c>
      <c r="AL25" s="20">
        <f t="shared" si="4"/>
        <v>242.02286551975575</v>
      </c>
      <c r="AM25" s="59">
        <f t="shared" si="5"/>
        <v>535.35619885308904</v>
      </c>
      <c r="AN25" s="59">
        <f ca="1">AVERAGE(OFFSET($AM$3,0,0,'Données projet'!$E$10+1,1))-AVERAGE(OFFSET($H$3,0,0,'Données projet'!$E$10+1,1))</f>
        <v>279.32192402750189</v>
      </c>
      <c r="AO25" s="59">
        <f t="shared" si="36"/>
        <v>371.43572414443611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14.107482941808591</v>
      </c>
      <c r="AW25" s="21">
        <f>EXP(-LN(2)/2)*AW24+(1-EXP(-LN(2)/2))/(LN(2)/2)*AQ25*AT25*VLOOKUP('Données projet'!$B$10,Paramètres!$A$1:$I$89,3,0)*0.475*44/12</f>
        <v>4.8236617117072758</v>
      </c>
      <c r="AX25" s="21">
        <f t="shared" si="6"/>
        <v>18.931144653515865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47</v>
      </c>
      <c r="BD25" s="12">
        <f>IF('Données projet'!$A$88&gt;35,BD24+BC25-BL24,IF(A25&lt;'Données projet'!$A$88,$BA$205^A25,IF(A25='Données projet'!$A$88,'Données projet'!$B$88,BD24+BC25-BL24)))</f>
        <v>266</v>
      </c>
      <c r="BE25" s="13">
        <f>BD25*VLOOKUP('Données projet'!$B$11,Paramètres!$A$1:$I$89,3,0)*VLOOKUP('Données projet'!$B$11,Paramètres!$A$1:$I$89,5,0)</f>
        <v>124.48799999999999</v>
      </c>
      <c r="BF25" s="13">
        <f t="shared" si="37"/>
        <v>32.719504245667267</v>
      </c>
      <c r="BG25" s="20">
        <f t="shared" si="7"/>
        <v>273.80306989453715</v>
      </c>
      <c r="BH25" s="59">
        <f t="shared" si="8"/>
        <v>567.13640322787046</v>
      </c>
      <c r="BI25" s="59">
        <f ca="1">AVERAGE(OFFSET($BH$3,0,0,'Données projet'!$E$11+1,1))-AVERAGE(OFFSET($H$3,0,0,'Données projet'!$E$11+1,1))</f>
        <v>297.07458564121606</v>
      </c>
      <c r="BJ25" s="59">
        <f t="shared" si="38"/>
        <v>514.93897725587567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30.72766343476658</v>
      </c>
      <c r="BR25" s="21">
        <f>EXP(-LN(2)/2)*BR24+(1-EXP(-LN(2)/2))/(LN(2)/2)*BL25*BO25*VLOOKUP('Données projet'!$B$11,Paramètres!$A$1:$I$89,3,0)*0.475*44/12</f>
        <v>4.5838258392452316</v>
      </c>
      <c r="BS25" s="22">
        <f t="shared" si="9"/>
        <v>35.311489274011812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10.763999999999999</v>
      </c>
      <c r="D26" s="11">
        <f t="shared" si="32"/>
        <v>3.76187201923933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112.12953839412818</v>
      </c>
      <c r="H26" s="67">
        <f t="shared" si="1"/>
        <v>318.6325604335085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3.4425641025641025</v>
      </c>
      <c r="N26" s="13">
        <f>IF('Données projet'!$A$36&gt;35,N25+M26-V25,IF(A26&lt;'Données projet'!$A$36,$K$205^A26,IF(A26='Données projet'!$A$36,'Données projet'!$B$36,N25+M26-V25)))</f>
        <v>35.000092281482424</v>
      </c>
      <c r="O26" s="13">
        <f>N26*VLOOKUP('Données projet'!$B$9,Paramètres!$A$1:$I$89,3,0)*VLOOKUP('Données projet'!$B$9,Paramètres!$A$1:$I$89,5,0)</f>
        <v>16.380043187733772</v>
      </c>
      <c r="P26" s="13">
        <f t="shared" si="33"/>
        <v>5.4515605034859353</v>
      </c>
      <c r="Q26" s="20">
        <f t="shared" si="2"/>
        <v>38.023376428874322</v>
      </c>
      <c r="R26" s="59">
        <f t="shared" si="0"/>
        <v>331.35670976220763</v>
      </c>
      <c r="S26" s="59">
        <f ca="1">AVERAGE(OFFSET($R$3,0,0,'Données projet'!$E$9+1,1))-AVERAGE(OFFSET($H$3,0,0,'Données projet'!$E$9+1,1))</f>
        <v>157.05226586109279</v>
      </c>
      <c r="T26" s="59">
        <f t="shared" si="34"/>
        <v>76.143582612540229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20.658974358974358</v>
      </c>
      <c r="AI26" s="13">
        <f>IF('Données projet'!$A$62&gt;35,AI25+AH26-AQ25,IF(A26&lt;'Données projet'!$A$62,$AF$205^A26,IF(A26='Données projet'!$A$62,'Données projet'!$B$62,AI25+AH26-AQ25)))</f>
        <v>216.90256410256404</v>
      </c>
      <c r="AJ26" s="13">
        <f>AI26*VLOOKUP('Données projet'!$B$10,Paramètres!$A$1:$I$89,3,0)*VLOOKUP('Données projet'!$B$10,Paramètres!$A$1:$I$89,5,0)</f>
        <v>121.2485333333333</v>
      </c>
      <c r="AK26" s="13">
        <f t="shared" si="35"/>
        <v>31.966023537079113</v>
      </c>
      <c r="AL26" s="20">
        <f t="shared" si="4"/>
        <v>266.84868654930165</v>
      </c>
      <c r="AM26" s="59">
        <f t="shared" si="5"/>
        <v>560.1820198826349</v>
      </c>
      <c r="AN26" s="59">
        <f ca="1">AVERAGE(OFFSET($AM$3,0,0,'Données projet'!$E$10+1,1))-AVERAGE(OFFSET($H$3,0,0,'Données projet'!$E$10+1,1))</f>
        <v>279.32192402750189</v>
      </c>
      <c r="AO26" s="59">
        <f t="shared" si="36"/>
        <v>371.43572414443611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13.72171307888455</v>
      </c>
      <c r="AW26" s="21">
        <f>EXP(-LN(2)/2)*AW25+(1-EXP(-LN(2)/2))/(LN(2)/2)*AQ26*AT26*VLOOKUP('Données projet'!$B$10,Paramètres!$A$1:$I$89,3,0)*0.475*44/12</f>
        <v>3.410843906498124</v>
      </c>
      <c r="AX26" s="21">
        <f t="shared" si="6"/>
        <v>17.132556985382674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>
        <f>VLOOKUP(A26,'Données projet'!$A$87:$I$107,2,0)</f>
        <v>313</v>
      </c>
      <c r="BB26" s="12">
        <f>VLOOKUP(A26,'Données projet'!$A$87:$I$107,9,0)</f>
        <v>47</v>
      </c>
      <c r="BC26" s="12">
        <f t="array" ref="BC26">INDEX(BB:BB,MIN(IF(ISNUMBER(BB26:BB222),ROW(BB26:BB222),"")))</f>
        <v>47</v>
      </c>
      <c r="BD26" s="12">
        <f>IF('Données projet'!$A$88&gt;35,BD25+BC26-BL25,IF(A26&lt;'Données projet'!$A$88,$BA$205^A26,IF(A26='Données projet'!$A$88,'Données projet'!$B$88,BD25+BC26-BL25)))</f>
        <v>313</v>
      </c>
      <c r="BE26" s="13">
        <f>BD26*VLOOKUP('Données projet'!$B$11,Paramètres!$A$1:$I$89,3,0)*VLOOKUP('Données projet'!$B$11,Paramètres!$A$1:$I$89,5,0)</f>
        <v>146.48400000000001</v>
      </c>
      <c r="BF26" s="13">
        <f t="shared" si="37"/>
        <v>37.778462341926023</v>
      </c>
      <c r="BG26" s="20">
        <f t="shared" si="7"/>
        <v>320.9237885788545</v>
      </c>
      <c r="BH26" s="59">
        <f t="shared" si="8"/>
        <v>614.25712191218781</v>
      </c>
      <c r="BI26" s="59">
        <f ca="1">AVERAGE(OFFSET($BH$3,0,0,'Données projet'!$E$11+1,1))-AVERAGE(OFFSET($H$3,0,0,'Données projet'!$E$11+1,1))</f>
        <v>297.07458564121606</v>
      </c>
      <c r="BJ26" s="59">
        <f t="shared" si="38"/>
        <v>514.93897725587567</v>
      </c>
      <c r="BK26" s="15">
        <f>IF(ISNA(VLOOKUP(A26,'Données projet'!$A$87:$I$107,3,0)),0,VLOOKUP(A26,'Données projet'!$A$87:$I$107,3,0))</f>
        <v>3</v>
      </c>
      <c r="BL26" s="15">
        <f>IF(ISNA(VLOOKUP(A26,'Données projet'!$A$87:$I$107,4,0)),0,VLOOKUP(A26,'Données projet'!$A$87:$I$107,4,0))</f>
        <v>57</v>
      </c>
      <c r="BM26" s="16">
        <f>IF(ISNA(VLOOKUP(A26,'Données projet'!$A$87:$I$107,5,0)),0%,VLOOKUP(A26,'Données projet'!$A$87:$I$107,5,0)*VLOOKUP('Données projet'!$B$11,Paramètres!$A$1:$I$89,7,0))</f>
        <v>0.16500000000000001</v>
      </c>
      <c r="BN26" s="16">
        <f>IF(ISNA(VLOOKUP(A26,'Données projet'!$A$87:$I$107,6,0)),0%,VLOOKUP(A26,'Données projet'!$A$87:$I$107,6,0)*VLOOKUP('Données projet'!$B$11,Paramètres!$A$1:$I$89,7,0))</f>
        <v>0.33</v>
      </c>
      <c r="BO26" s="16">
        <f>IF(ISNA(VLOOKUP(A26,'Données projet'!$A$87:$I$107,7,0)),0%,VLOOKUP(A26,'Données projet'!$A$87:$I$107,7,0))</f>
        <v>0.1</v>
      </c>
      <c r="BP26" s="21">
        <f>EXP(-LN(2)/35)*BP25+(1-EXP(-LN(2)/35))/(LN(2)/35)*BL26*BM26*VLOOKUP('Données projet'!$B$11,Paramètres!$A$1:$I$89,3,0)*0.475*44/12</f>
        <v>5.8389265131953545</v>
      </c>
      <c r="BQ26" s="21">
        <f>EXP(-LN(2)/25)*BQ25+(1-EXP(-LN(2)/25))/(LN(2)/25)*Calculateur!BL26*Calculateur!BN26*VLOOKUP('Données projet'!$B$11,Paramètres!$A$1:$I$89,3,0)*0.475*44/12</f>
        <v>41.519286731660259</v>
      </c>
      <c r="BR26" s="21">
        <f>EXP(-LN(2)/2)*BR25+(1-EXP(-LN(2)/2))/(LN(2)/2)*BL26*BO26*VLOOKUP('Données projet'!$B$11,Paramètres!$A$1:$I$89,3,0)*0.475*44/12</f>
        <v>6.261597211590022</v>
      </c>
      <c r="BS26" s="22">
        <f t="shared" si="9"/>
        <v>53.619810456445634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11.231999999999999</v>
      </c>
      <c r="D27" s="11">
        <f t="shared" si="32"/>
        <v>3.9060334113059061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116.85499475394033</v>
      </c>
      <c r="H27" s="67">
        <f t="shared" si="1"/>
        <v>319.69874152469112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3.4425641025641025</v>
      </c>
      <c r="N27" s="13">
        <f>IF('Données projet'!$A$36&gt;35,N26+M27-V26,IF(A27&lt;'Données projet'!$A$36,$K$205^A27,IF(A27='Données projet'!$A$36,'Données projet'!$B$36,N26+M27-V26)))</f>
        <v>40.850994379880916</v>
      </c>
      <c r="O27" s="13">
        <f>N27*VLOOKUP('Données projet'!$B$9,Paramètres!$A$1:$I$89,3,0)*VLOOKUP('Données projet'!$B$9,Paramètres!$A$1:$I$89,5,0)</f>
        <v>19.118265369784268</v>
      </c>
      <c r="P27" s="13">
        <f t="shared" si="33"/>
        <v>6.2494233631643379</v>
      </c>
      <c r="Q27" s="20">
        <f t="shared" si="2"/>
        <v>44.182057876552157</v>
      </c>
      <c r="R27" s="59">
        <f t="shared" si="0"/>
        <v>337.51539120988548</v>
      </c>
      <c r="S27" s="59">
        <f ca="1">AVERAGE(OFFSET($R$3,0,0,'Données projet'!$E$9+1,1))-AVERAGE(OFFSET($H$3,0,0,'Données projet'!$E$9+1,1))</f>
        <v>157.05226586109279</v>
      </c>
      <c r="T27" s="59">
        <f t="shared" si="34"/>
        <v>76.143582612540229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237.56153846153845</v>
      </c>
      <c r="AG27" s="12">
        <f>VLOOKUP(A27,'Données projet'!$A$61:$I$81,9,0)</f>
        <v>20.658974358974358</v>
      </c>
      <c r="AH27" s="12">
        <f t="array" ref="AH27">INDEX(AG:AG,MIN(IF(ISNUMBER(AG27:AG223),ROW(AG27:AG223),"")))</f>
        <v>20.658974358974358</v>
      </c>
      <c r="AI27" s="13">
        <f>IF('Données projet'!$A$62&gt;35,AI26+AH27-AQ26,IF(A27&lt;'Données projet'!$A$62,$AF$205^A27,IF(A27='Données projet'!$A$62,'Données projet'!$B$62,AI26+AH27-AQ26)))</f>
        <v>237.56153846153839</v>
      </c>
      <c r="AJ27" s="13">
        <f>AI27*VLOOKUP('Données projet'!$B$10,Paramètres!$A$1:$I$89,3,0)*VLOOKUP('Données projet'!$B$10,Paramètres!$A$1:$I$89,5,0)</f>
        <v>132.79689999999997</v>
      </c>
      <c r="AK27" s="13">
        <f t="shared" si="35"/>
        <v>34.641837967861036</v>
      </c>
      <c r="AL27" s="20">
        <f t="shared" si="4"/>
        <v>291.62246862735793</v>
      </c>
      <c r="AM27" s="59">
        <f t="shared" si="5"/>
        <v>584.95580196069125</v>
      </c>
      <c r="AN27" s="59">
        <f ca="1">AVERAGE(OFFSET($AM$3,0,0,'Données projet'!$E$10+1,1))-AVERAGE(OFFSET($H$3,0,0,'Données projet'!$E$10+1,1))</f>
        <v>279.32192402750189</v>
      </c>
      <c r="AO27" s="59">
        <f t="shared" si="36"/>
        <v>371.43572414443611</v>
      </c>
      <c r="AP27" s="15">
        <f>IF(ISNA(VLOOKUP(A27,'Données projet'!$A$61:$I$81,3,0)),0,VLOOKUP(A27,'Données projet'!$A$61:$I$81,3,0))</f>
        <v>2</v>
      </c>
      <c r="AQ27" s="15">
        <f>IF(ISNA(VLOOKUP(A27,'Données projet'!$A$61:$I$81,4,0)),0,VLOOKUP(A27,'Données projet'!$A$61:$I$81,4,0))</f>
        <v>42.661538461538463</v>
      </c>
      <c r="AR27" s="16">
        <f>IF(ISNA(VLOOKUP(A27,'Données projet'!$A$61:$I$81,5,0)),0%,VLOOKUP(A27,'Données projet'!$A$61:$I$81,5,0)*VLOOKUP('Données projet'!$B$10,Paramètres!$A$1:$I$89,7,0))</f>
        <v>0.38500000000000001</v>
      </c>
      <c r="AS27" s="16">
        <f>IF(ISNA(VLOOKUP(A27,'Données projet'!$A$61:$I$81,6,0)),0%,VLOOKUP(A27,'Données projet'!$A$61:$I$81,6,0)*VLOOKUP('Données projet'!$B$10,Paramètres!$A$1:$I$89,7,0))</f>
        <v>9.240000000000001E-2</v>
      </c>
      <c r="AT27" s="16">
        <f>IF(ISNA(VLOOKUP(A27,'Données projet'!$A$61:$I$81,7,0)),0%,VLOOKUP(A27,'Données projet'!$A$61:$I$81,7,0))</f>
        <v>0.13200000000000001</v>
      </c>
      <c r="AU27" s="21">
        <f>EXP(-LN(2)/35)*AU26+(1-EXP(-LN(2)/35))/(LN(2)/35)*AQ27*AR27*VLOOKUP('Données projet'!$B$10,Paramètres!$A$1:$I$89,3,0)*0.475*44/12</f>
        <v>12.179722870865961</v>
      </c>
      <c r="AV27" s="21">
        <f>EXP(-LN(2)/25)*AV26+(1-EXP(-LN(2)/25))/(LN(2)/25)*Calculateur!AQ27*Calculateur!AS27*VLOOKUP('Données projet'!$B$10,Paramètres!$A$1:$I$89,3,0)*0.475*44/12</f>
        <v>16.25811611180935</v>
      </c>
      <c r="AW27" s="21">
        <f>EXP(-LN(2)/2)*AW26+(1-EXP(-LN(2)/2))/(LN(2)/2)*AQ27*AT27*VLOOKUP('Données projet'!$B$10,Paramètres!$A$1:$I$89,3,0)*0.475*44/12</f>
        <v>5.9759957746672558</v>
      </c>
      <c r="AX27" s="21">
        <f t="shared" si="6"/>
        <v>34.413834757342563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50.333333333333336</v>
      </c>
      <c r="BD27" s="12">
        <f>IF('Données projet'!$A$88&gt;35,BD26+BC27-BL26,IF(A27&lt;'Données projet'!$A$88,$BA$205^A27,IF(A27='Données projet'!$A$88,'Données projet'!$B$88,BD26+BC27-BL26)))</f>
        <v>306.33333333333331</v>
      </c>
      <c r="BE27" s="13">
        <f>BD27*VLOOKUP('Données projet'!$B$11,Paramètres!$A$1:$I$89,3,0)*VLOOKUP('Données projet'!$B$11,Paramètres!$A$1:$I$89,5,0)</f>
        <v>143.36399999999998</v>
      </c>
      <c r="BF27" s="13">
        <f t="shared" si="37"/>
        <v>37.066582453600745</v>
      </c>
      <c r="BG27" s="20">
        <f t="shared" si="7"/>
        <v>314.24993110668788</v>
      </c>
      <c r="BH27" s="59">
        <f t="shared" si="8"/>
        <v>607.58326444002114</v>
      </c>
      <c r="BI27" s="59">
        <f ca="1">AVERAGE(OFFSET($BH$3,0,0,'Données projet'!$E$11+1,1))-AVERAGE(OFFSET($H$3,0,0,'Données projet'!$E$11+1,1))</f>
        <v>297.07458564121606</v>
      </c>
      <c r="BJ27" s="59">
        <f t="shared" si="38"/>
        <v>514.93897725587567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5.7244287256651081</v>
      </c>
      <c r="BQ27" s="21">
        <f>EXP(-LN(2)/25)*BQ26+(1-EXP(-LN(2)/25))/(LN(2)/25)*Calculateur!BL27*Calculateur!BN27*VLOOKUP('Données projet'!$B$11,Paramètres!$A$1:$I$89,3,0)*0.475*44/12</f>
        <v>40.383939652578611</v>
      </c>
      <c r="BR27" s="21">
        <f>EXP(-LN(2)/2)*BR26+(1-EXP(-LN(2)/2))/(LN(2)/2)*BL27*BO27*VLOOKUP('Données projet'!$B$11,Paramètres!$A$1:$I$89,3,0)*0.475*44/12</f>
        <v>4.4276178493740819</v>
      </c>
      <c r="BS27" s="22">
        <f t="shared" si="9"/>
        <v>50.535986227617798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</v>
      </c>
      <c r="D28" s="11">
        <f t="shared" si="32"/>
        <v>4.0494971001980291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121.57506533486197</v>
      </c>
      <c r="H28" s="67">
        <f t="shared" si="1"/>
        <v>320.76370744951157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3.4425641025641025</v>
      </c>
      <c r="N28" s="13">
        <f>IF('Données projet'!$A$36&gt;35,N27+M28-V27,IF(A28&lt;'Données projet'!$A$36,$K$205^A28,IF(A28='Données projet'!$A$36,'Données projet'!$B$36,N27+M28-V27)))</f>
        <v>47.679981195591871</v>
      </c>
      <c r="O28" s="13">
        <f>N28*VLOOKUP('Données projet'!$B$9,Paramètres!$A$1:$I$89,3,0)*VLOOKUP('Données projet'!$B$9,Paramètres!$A$1:$I$89,5,0)</f>
        <v>22.314231199536998</v>
      </c>
      <c r="P28" s="13">
        <f t="shared" si="33"/>
        <v>7.1640574010122027</v>
      </c>
      <c r="Q28" s="20">
        <f t="shared" si="2"/>
        <v>51.341352645956526</v>
      </c>
      <c r="R28" s="59">
        <f t="shared" si="0"/>
        <v>344.67468597928985</v>
      </c>
      <c r="S28" s="59">
        <f ca="1">AVERAGE(OFFSET($R$3,0,0,'Données projet'!$E$9+1,1))-AVERAGE(OFFSET($H$3,0,0,'Données projet'!$E$9+1,1))</f>
        <v>157.05226586109279</v>
      </c>
      <c r="T28" s="59">
        <f t="shared" si="34"/>
        <v>76.143582612540229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22.828205128205127</v>
      </c>
      <c r="AI28" s="13">
        <f>IF('Données projet'!$A$62&gt;35,AI27+AH28-AQ27,IF(A28&lt;'Données projet'!$A$62,$AF$205^A28,IF(A28='Données projet'!$A$62,'Données projet'!$B$62,AI27+AH28-AQ27)))</f>
        <v>217.72820512820502</v>
      </c>
      <c r="AJ28" s="13">
        <f>AI28*VLOOKUP('Données projet'!$B$10,Paramètres!$A$1:$I$89,3,0)*VLOOKUP('Données projet'!$B$10,Paramètres!$A$1:$I$89,5,0)</f>
        <v>121.71006666666661</v>
      </c>
      <c r="AK28" s="13">
        <f t="shared" si="35"/>
        <v>32.073515207801002</v>
      </c>
      <c r="AL28" s="20">
        <f t="shared" si="4"/>
        <v>267.83973843136442</v>
      </c>
      <c r="AM28" s="59">
        <f t="shared" si="5"/>
        <v>561.17307176469774</v>
      </c>
      <c r="AN28" s="59">
        <f ca="1">AVERAGE(OFFSET($AM$3,0,0,'Données projet'!$E$10+1,1))-AVERAGE(OFFSET($H$3,0,0,'Données projet'!$E$10+1,1))</f>
        <v>279.32192402750189</v>
      </c>
      <c r="AO28" s="59">
        <f t="shared" si="36"/>
        <v>371.43572414443611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11.940885934265687</v>
      </c>
      <c r="AV28" s="21">
        <f>EXP(-LN(2)/25)*AV27+(1-EXP(-LN(2)/25))/(LN(2)/25)*Calculateur!AQ28*Calculateur!AS28*VLOOKUP('Données projet'!$B$10,Paramètres!$A$1:$I$89,3,0)*0.475*44/12</f>
        <v>15.813537071754755</v>
      </c>
      <c r="AW28" s="21">
        <f>EXP(-LN(2)/2)*AW27+(1-EXP(-LN(2)/2))/(LN(2)/2)*AQ28*AT28*VLOOKUP('Données projet'!$B$10,Paramètres!$A$1:$I$89,3,0)*0.475*44/12</f>
        <v>4.2256671366093723</v>
      </c>
      <c r="AX28" s="21">
        <f t="shared" si="6"/>
        <v>31.980090142629813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50.333333333333336</v>
      </c>
      <c r="BD28" s="12">
        <f>IF('Données projet'!$A$88&gt;35,BD27+BC28-BL27,IF(A28&lt;'Données projet'!$A$88,$BA$205^A28,IF(A28='Données projet'!$A$88,'Données projet'!$B$88,BD27+BC28-BL27)))</f>
        <v>356.66666666666663</v>
      </c>
      <c r="BE28" s="13">
        <f>BD28*VLOOKUP('Données projet'!$B$11,Paramètres!$A$1:$I$89,3,0)*VLOOKUP('Données projet'!$B$11,Paramètres!$A$1:$I$89,5,0)</f>
        <v>166.92</v>
      </c>
      <c r="BF28" s="13">
        <f t="shared" si="37"/>
        <v>42.399473715778093</v>
      </c>
      <c r="BG28" s="20">
        <f t="shared" si="7"/>
        <v>364.56475005498015</v>
      </c>
      <c r="BH28" s="59">
        <f t="shared" si="8"/>
        <v>657.89808338831347</v>
      </c>
      <c r="BI28" s="59">
        <f ca="1">AVERAGE(OFFSET($BH$3,0,0,'Données projet'!$E$11+1,1))-AVERAGE(OFFSET($H$3,0,0,'Données projet'!$E$11+1,1))</f>
        <v>297.07458564121606</v>
      </c>
      <c r="BJ28" s="59">
        <f t="shared" si="38"/>
        <v>514.93897725587567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5.6121761699115753</v>
      </c>
      <c r="BQ28" s="21">
        <f>EXP(-LN(2)/25)*BQ27+(1-EXP(-LN(2)/25))/(LN(2)/25)*Calculateur!BL28*Calculateur!BN28*VLOOKUP('Données projet'!$B$11,Paramètres!$A$1:$I$89,3,0)*0.475*44/12</f>
        <v>39.279638699079761</v>
      </c>
      <c r="BR28" s="21">
        <f>EXP(-LN(2)/2)*BR27+(1-EXP(-LN(2)/2))/(LN(2)/2)*BL28*BO28*VLOOKUP('Données projet'!$B$11,Paramètres!$A$1:$I$89,3,0)*0.475*44/12</f>
        <v>3.1307986057950115</v>
      </c>
      <c r="BS28" s="22">
        <f t="shared" si="9"/>
        <v>48.022613474786354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12.167999999999999</v>
      </c>
      <c r="D29" s="11">
        <f t="shared" si="32"/>
        <v>4.1922941870296242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126.28999021566726</v>
      </c>
      <c r="H29" s="67">
        <f t="shared" si="1"/>
        <v>321.82751237574325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3.4425641025641025</v>
      </c>
      <c r="N29" s="13">
        <f>IF('Données projet'!$A$36&gt;35,N28+M29-V28,IF(A29&lt;'Données projet'!$A$36,$K$205^A29,IF(A29='Données projet'!$A$36,'Données projet'!$B$36,N28+M29-V28)))</f>
        <v>55.650557381086244</v>
      </c>
      <c r="O29" s="13">
        <f>N29*VLOOKUP('Données projet'!$B$9,Paramètres!$A$1:$I$89,3,0)*VLOOKUP('Données projet'!$B$9,Paramètres!$A$1:$I$89,5,0)</f>
        <v>26.044460854348362</v>
      </c>
      <c r="P29" s="13">
        <f t="shared" si="33"/>
        <v>8.2125526568599181</v>
      </c>
      <c r="Q29" s="20">
        <f t="shared" si="2"/>
        <v>59.664298532021071</v>
      </c>
      <c r="R29" s="59">
        <f t="shared" si="0"/>
        <v>352.99763186535438</v>
      </c>
      <c r="S29" s="59">
        <f ca="1">AVERAGE(OFFSET($R$3,0,0,'Données projet'!$E$9+1,1))-AVERAGE(OFFSET($H$3,0,0,'Données projet'!$E$9+1,1))</f>
        <v>157.05226586109279</v>
      </c>
      <c r="T29" s="59">
        <f t="shared" si="34"/>
        <v>76.143582612540229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22.828205128205127</v>
      </c>
      <c r="AI29" s="13">
        <f>IF('Données projet'!$A$62&gt;35,AI28+AH29-AQ28,IF(A29&lt;'Données projet'!$A$62,$AF$205^A29,IF(A29='Données projet'!$A$62,'Données projet'!$B$62,AI28+AH29-AQ28)))</f>
        <v>240.55641025641015</v>
      </c>
      <c r="AJ29" s="13">
        <f>AI29*VLOOKUP('Données projet'!$B$10,Paramètres!$A$1:$I$89,3,0)*VLOOKUP('Données projet'!$B$10,Paramètres!$A$1:$I$89,5,0)</f>
        <v>134.47103333333328</v>
      </c>
      <c r="AK29" s="13">
        <f t="shared" si="35"/>
        <v>35.027441907439481</v>
      </c>
      <c r="AL29" s="20">
        <f t="shared" si="4"/>
        <v>295.20984437767919</v>
      </c>
      <c r="AM29" s="59">
        <f t="shared" si="5"/>
        <v>588.5431777110125</v>
      </c>
      <c r="AN29" s="59">
        <f ca="1">AVERAGE(OFFSET($AM$3,0,0,'Données projet'!$E$10+1,1))-AVERAGE(OFFSET($H$3,0,0,'Données projet'!$E$10+1,1))</f>
        <v>279.32192402750189</v>
      </c>
      <c r="AO29" s="59">
        <f t="shared" si="36"/>
        <v>371.43572414443611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11.706732444315998</v>
      </c>
      <c r="AV29" s="21">
        <f>EXP(-LN(2)/25)*AV28+(1-EXP(-LN(2)/25))/(LN(2)/25)*Calculateur!AQ29*Calculateur!AS29*VLOOKUP('Données projet'!$B$10,Paramètres!$A$1:$I$89,3,0)*0.475*44/12</f>
        <v>15.38111506892985</v>
      </c>
      <c r="AW29" s="21">
        <f>EXP(-LN(2)/2)*AW28+(1-EXP(-LN(2)/2))/(LN(2)/2)*AQ29*AT29*VLOOKUP('Données projet'!$B$10,Paramètres!$A$1:$I$89,3,0)*0.475*44/12</f>
        <v>2.9879978873336284</v>
      </c>
      <c r="AX29" s="21">
        <f t="shared" si="6"/>
        <v>30.075845400579475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>
        <f>VLOOKUP(A29,'Données projet'!$A$87:$I$107,2,0)</f>
        <v>407</v>
      </c>
      <c r="BB29" s="12">
        <f>VLOOKUP(A29,'Données projet'!$A$87:$I$107,9,0)</f>
        <v>50.333333333333336</v>
      </c>
      <c r="BC29" s="12">
        <f t="array" ref="BC29">INDEX(BB:BB,MIN(IF(ISNUMBER(BB29:BB225),ROW(BB29:BB225),"")))</f>
        <v>50.333333333333336</v>
      </c>
      <c r="BD29" s="12">
        <f>IF('Données projet'!$A$88&gt;35,BD28+BC29-BL28,IF(A29&lt;'Données projet'!$A$88,$BA$205^A29,IF(A29='Données projet'!$A$88,'Données projet'!$B$88,BD28+BC29-BL28)))</f>
        <v>406.99999999999994</v>
      </c>
      <c r="BE29" s="13">
        <f>BD29*VLOOKUP('Données projet'!$B$11,Paramètres!$A$1:$I$89,3,0)*VLOOKUP('Données projet'!$B$11,Paramètres!$A$1:$I$89,5,0)</f>
        <v>190.47599999999997</v>
      </c>
      <c r="BF29" s="13">
        <f t="shared" si="37"/>
        <v>47.645174362968355</v>
      </c>
      <c r="BG29" s="20">
        <f t="shared" si="7"/>
        <v>414.72771201550319</v>
      </c>
      <c r="BH29" s="59">
        <f t="shared" si="8"/>
        <v>708.0610453488365</v>
      </c>
      <c r="BI29" s="59">
        <f ca="1">AVERAGE(OFFSET($BH$3,0,0,'Données projet'!$E$11+1,1))-AVERAGE(OFFSET($H$3,0,0,'Données projet'!$E$11+1,1))</f>
        <v>297.07458564121606</v>
      </c>
      <c r="BJ29" s="59">
        <f t="shared" si="38"/>
        <v>514.93897725587567</v>
      </c>
      <c r="BK29" s="15">
        <f>IF(ISNA(VLOOKUP(A29,'Données projet'!$A$87:$I$107,3,0)),0,VLOOKUP(A29,'Données projet'!$A$87:$I$107,3,0))</f>
        <v>4</v>
      </c>
      <c r="BL29" s="15">
        <f>IF(ISNA(VLOOKUP(A29,'Données projet'!$A$87:$I$107,4,0)),0,VLOOKUP(A29,'Données projet'!$A$87:$I$107,4,0))</f>
        <v>62</v>
      </c>
      <c r="BM29" s="16">
        <f>IF(ISNA(VLOOKUP(A29,'Données projet'!$A$87:$I$107,5,0)),0%,VLOOKUP(A29,'Données projet'!$A$87:$I$107,5,0)*VLOOKUP('Données projet'!$B$11,Paramètres!$A$1:$I$89,7,0))</f>
        <v>0.16500000000000001</v>
      </c>
      <c r="BN29" s="16">
        <f>IF(ISNA(VLOOKUP(A29,'Données projet'!$A$87:$I$107,6,0)),0%,VLOOKUP(A29,'Données projet'!$A$87:$I$107,6,0)*VLOOKUP('Données projet'!$B$11,Paramètres!$A$1:$I$89,7,0))</f>
        <v>0.33</v>
      </c>
      <c r="BO29" s="16">
        <f>IF(ISNA(VLOOKUP(A29,'Données projet'!$A$87:$I$107,7,0)),0%,VLOOKUP(A29,'Données projet'!$A$87:$I$107,7,0))</f>
        <v>0.1</v>
      </c>
      <c r="BP29" s="21">
        <f>EXP(-LN(2)/35)*BP28+(1-EXP(-LN(2)/35))/(LN(2)/35)*BL29*BM29*VLOOKUP('Données projet'!$B$11,Paramètres!$A$1:$I$89,3,0)*0.475*44/12</f>
        <v>11.85323786774963</v>
      </c>
      <c r="BQ29" s="21">
        <f>EXP(-LN(2)/25)*BQ28+(1-EXP(-LN(2)/25))/(LN(2)/25)*Calculateur!BL29*Calculateur!BN29*VLOOKUP('Données projet'!$B$11,Paramètres!$A$1:$I$89,3,0)*0.475*44/12</f>
        <v>50.857747508029234</v>
      </c>
      <c r="BR29" s="21">
        <f>EXP(-LN(2)/2)*BR28+(1-EXP(-LN(2)/2))/(LN(2)/2)*BL29*BO29*VLOOKUP('Données projet'!$B$11,Paramètres!$A$1:$I$89,3,0)*0.475*44/12</f>
        <v>5.499094159189835</v>
      </c>
      <c r="BS29" s="22">
        <f t="shared" si="9"/>
        <v>68.210079534968699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12.635999999999999</v>
      </c>
      <c r="D30" s="11">
        <f t="shared" si="32"/>
        <v>4.3344532450369764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130.99998996168895</v>
      </c>
      <c r="H30" s="67">
        <f t="shared" si="1"/>
        <v>322.8902060684394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3.4425641025641025</v>
      </c>
      <c r="N30" s="13">
        <f>IF('Données projet'!$A$36&gt;35,N29+M30-V29,IF(A30&lt;'Données projet'!$A$36,$K$205^A30,IF(A30='Données projet'!$A$36,'Données projet'!$B$36,N29+M30-V29)))</f>
        <v>64.953560365747308</v>
      </c>
      <c r="O30" s="13">
        <f>N30*VLOOKUP('Données projet'!$B$9,Paramètres!$A$1:$I$89,3,0)*VLOOKUP('Données projet'!$B$9,Paramètres!$A$1:$I$89,5,0)</f>
        <v>30.398266251169741</v>
      </c>
      <c r="P30" s="13">
        <f t="shared" si="33"/>
        <v>9.4145003824463398</v>
      </c>
      <c r="Q30" s="20">
        <f t="shared" si="2"/>
        <v>69.340568553547996</v>
      </c>
      <c r="R30" s="59">
        <f t="shared" si="0"/>
        <v>362.67390188688131</v>
      </c>
      <c r="S30" s="59">
        <f ca="1">AVERAGE(OFFSET($R$3,0,0,'Données projet'!$E$9+1,1))-AVERAGE(OFFSET($H$3,0,0,'Données projet'!$E$9+1,1))</f>
        <v>157.05226586109279</v>
      </c>
      <c r="T30" s="59">
        <f t="shared" si="34"/>
        <v>76.143582612540229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22.828205128205127</v>
      </c>
      <c r="AI30" s="13">
        <f>IF('Données projet'!$A$62&gt;35,AI29+AH30-AQ29,IF(A30&lt;'Données projet'!$A$62,$AF$205^A30,IF(A30='Données projet'!$A$62,'Données projet'!$B$62,AI29+AH30-AQ29)))</f>
        <v>263.38461538461524</v>
      </c>
      <c r="AJ30" s="13">
        <f>AI30*VLOOKUP('Données projet'!$B$10,Paramètres!$A$1:$I$89,3,0)*VLOOKUP('Données projet'!$B$10,Paramètres!$A$1:$I$89,5,0)</f>
        <v>147.23199999999994</v>
      </c>
      <c r="AK30" s="13">
        <f t="shared" si="35"/>
        <v>37.948867426510738</v>
      </c>
      <c r="AL30" s="20">
        <f t="shared" si="4"/>
        <v>322.52334410117277</v>
      </c>
      <c r="AM30" s="59">
        <f t="shared" si="5"/>
        <v>615.85667743450608</v>
      </c>
      <c r="AN30" s="59">
        <f ca="1">AVERAGE(OFFSET($AM$3,0,0,'Données projet'!$E$10+1,1))-AVERAGE(OFFSET($H$3,0,0,'Données projet'!$E$10+1,1))</f>
        <v>279.32192402750189</v>
      </c>
      <c r="AO30" s="59">
        <f t="shared" si="36"/>
        <v>371.43572414443611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11.477170561484696</v>
      </c>
      <c r="AV30" s="21">
        <f>EXP(-LN(2)/25)*AV29+(1-EXP(-LN(2)/25))/(LN(2)/25)*Calculateur!AQ30*Calculateur!AS30*VLOOKUP('Données projet'!$B$10,Paramètres!$A$1:$I$89,3,0)*0.475*44/12</f>
        <v>14.960517668512276</v>
      </c>
      <c r="AW30" s="21">
        <f>EXP(-LN(2)/2)*AW29+(1-EXP(-LN(2)/2))/(LN(2)/2)*AQ30*AT30*VLOOKUP('Données projet'!$B$10,Paramètres!$A$1:$I$89,3,0)*0.475*44/12</f>
        <v>2.1128335683046862</v>
      </c>
      <c r="AX30" s="21">
        <f t="shared" si="6"/>
        <v>28.550521798301659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49</v>
      </c>
      <c r="BD30" s="12">
        <f>IF('Données projet'!$A$88&gt;35,BD29+BC30-BL29,IF(A30&lt;'Données projet'!$A$88,$BA$205^A30,IF(A30='Données projet'!$A$88,'Données projet'!$B$88,BD29+BC30-BL29)))</f>
        <v>393.99999999999994</v>
      </c>
      <c r="BE30" s="13">
        <f>BD30*VLOOKUP('Données projet'!$B$11,Paramètres!$A$1:$I$89,3,0)*VLOOKUP('Données projet'!$B$11,Paramètres!$A$1:$I$89,5,0)</f>
        <v>184.39199999999997</v>
      </c>
      <c r="BF30" s="13">
        <f t="shared" si="37"/>
        <v>46.297950072493173</v>
      </c>
      <c r="BG30" s="20">
        <f t="shared" si="7"/>
        <v>401.7849963762589</v>
      </c>
      <c r="BH30" s="59">
        <f t="shared" si="8"/>
        <v>695.11832970959222</v>
      </c>
      <c r="BI30" s="59">
        <f ca="1">AVERAGE(OFFSET($BH$3,0,0,'Données projet'!$E$11+1,1))-AVERAGE(OFFSET($H$3,0,0,'Données projet'!$E$11+1,1))</f>
        <v>297.07458564121606</v>
      </c>
      <c r="BJ30" s="59">
        <f t="shared" si="38"/>
        <v>514.93897725587567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11.620803102924279</v>
      </c>
      <c r="BQ30" s="21">
        <f>EXP(-LN(2)/25)*BQ29+(1-EXP(-LN(2)/25))/(LN(2)/25)*Calculateur!BL30*Calculateur!BN30*VLOOKUP('Données projet'!$B$11,Paramètres!$A$1:$I$89,3,0)*0.475*44/12</f>
        <v>49.467039727929468</v>
      </c>
      <c r="BR30" s="21">
        <f>EXP(-LN(2)/2)*BR29+(1-EXP(-LN(2)/2))/(LN(2)/2)*BL30*BO30*VLOOKUP('Données projet'!$B$11,Paramètres!$A$1:$I$89,3,0)*0.475*44/12</f>
        <v>3.8884467703464685</v>
      </c>
      <c r="BS30" s="22">
        <f t="shared" si="9"/>
        <v>64.976289601200207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13.103999999999999</v>
      </c>
      <c r="D31" s="11">
        <f t="shared" si="32"/>
        <v>4.4760006109979793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135.70526787437038</v>
      </c>
      <c r="H31" s="67">
        <f t="shared" si="1"/>
        <v>323.95183439748814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3.4425641025641025</v>
      </c>
      <c r="N31" s="13">
        <f>IF('Données projet'!$A$36&gt;35,N30+M31-V30,IF(A31&lt;'Données projet'!$A$36,$K$205^A31,IF(A31='Données projet'!$A$36,'Données projet'!$B$36,N30+M31-V30)))</f>
        <v>75.81172952673181</v>
      </c>
      <c r="O31" s="13">
        <f>N31*VLOOKUP('Données projet'!$B$9,Paramètres!$A$1:$I$89,3,0)*VLOOKUP('Données projet'!$B$9,Paramètres!$A$1:$I$89,5,0)</f>
        <v>35.479889418510488</v>
      </c>
      <c r="P31" s="13">
        <f t="shared" si="33"/>
        <v>10.7923591061602</v>
      </c>
      <c r="Q31" s="20">
        <f t="shared" si="2"/>
        <v>80.590832847134777</v>
      </c>
      <c r="R31" s="59">
        <f t="shared" si="0"/>
        <v>373.92416618046809</v>
      </c>
      <c r="S31" s="59">
        <f ca="1">AVERAGE(OFFSET($R$3,0,0,'Données projet'!$E$9+1,1))-AVERAGE(OFFSET($H$3,0,0,'Données projet'!$E$9+1,1))</f>
        <v>157.05226586109279</v>
      </c>
      <c r="T31" s="59">
        <f t="shared" si="34"/>
        <v>76.143582612540229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22.828205128205127</v>
      </c>
      <c r="AI31" s="13">
        <f>IF('Données projet'!$A$62&gt;35,AI30+AH31-AQ30,IF(A31&lt;'Données projet'!$A$62,$AF$205^A31,IF(A31='Données projet'!$A$62,'Données projet'!$B$62,AI30+AH31-AQ30)))</f>
        <v>286.21282051282037</v>
      </c>
      <c r="AJ31" s="13">
        <f>AI31*VLOOKUP('Données projet'!$B$10,Paramètres!$A$1:$I$89,3,0)*VLOOKUP('Données projet'!$B$10,Paramètres!$A$1:$I$89,5,0)</f>
        <v>159.99296666666658</v>
      </c>
      <c r="AK31" s="13">
        <f t="shared" si="35"/>
        <v>40.840929014671453</v>
      </c>
      <c r="AL31" s="20">
        <f t="shared" si="4"/>
        <v>349.785701644997</v>
      </c>
      <c r="AM31" s="59">
        <f t="shared" si="5"/>
        <v>643.11903497833032</v>
      </c>
      <c r="AN31" s="59">
        <f ca="1">AVERAGE(OFFSET($AM$3,0,0,'Données projet'!$E$10+1,1))-AVERAGE(OFFSET($H$3,0,0,'Données projet'!$E$10+1,1))</f>
        <v>279.32192402750189</v>
      </c>
      <c r="AO31" s="59">
        <f t="shared" si="36"/>
        <v>371.43572414443611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11.252110247156793</v>
      </c>
      <c r="AV31" s="21">
        <f>EXP(-LN(2)/25)*AV30+(1-EXP(-LN(2)/25))/(LN(2)/25)*Calculateur!AQ31*Calculateur!AS31*VLOOKUP('Données projet'!$B$10,Paramètres!$A$1:$I$89,3,0)*0.475*44/12</f>
        <v>14.551421526127376</v>
      </c>
      <c r="AW31" s="21">
        <f>EXP(-LN(2)/2)*AW30+(1-EXP(-LN(2)/2))/(LN(2)/2)*AQ31*AT31*VLOOKUP('Données projet'!$B$10,Paramètres!$A$1:$I$89,3,0)*0.475*44/12</f>
        <v>1.4939989436668142</v>
      </c>
      <c r="AX31" s="21">
        <f t="shared" si="6"/>
        <v>27.297530716950984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49</v>
      </c>
      <c r="BD31" s="12">
        <f>IF('Données projet'!$A$88&gt;35,BD30+BC31-BL30,IF(A31&lt;'Données projet'!$A$88,$BA$205^A31,IF(A31='Données projet'!$A$88,'Données projet'!$B$88,BD30+BC31-BL30)))</f>
        <v>442.99999999999994</v>
      </c>
      <c r="BE31" s="13">
        <f>BD31*VLOOKUP('Données projet'!$B$11,Paramètres!$A$1:$I$89,3,0)*VLOOKUP('Données projet'!$B$11,Paramètres!$A$1:$I$89,5,0)</f>
        <v>207.32399999999996</v>
      </c>
      <c r="BF31" s="13">
        <f t="shared" si="37"/>
        <v>51.350376612629674</v>
      </c>
      <c r="BG31" s="20">
        <f t="shared" si="7"/>
        <v>450.52453926699656</v>
      </c>
      <c r="BH31" s="59">
        <f t="shared" si="8"/>
        <v>743.85787260032987</v>
      </c>
      <c r="BI31" s="59">
        <f ca="1">AVERAGE(OFFSET($BH$3,0,0,'Données projet'!$E$11+1,1))-AVERAGE(OFFSET($H$3,0,0,'Données projet'!$E$11+1,1))</f>
        <v>297.07458564121606</v>
      </c>
      <c r="BJ31" s="59">
        <f t="shared" si="38"/>
        <v>514.93897725587567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11.392926242065947</v>
      </c>
      <c r="BQ31" s="21">
        <f>EXP(-LN(2)/25)*BQ30+(1-EXP(-LN(2)/25))/(LN(2)/25)*Calculateur!BL31*Calculateur!BN31*VLOOKUP('Données projet'!$B$11,Paramètres!$A$1:$I$89,3,0)*0.475*44/12</f>
        <v>48.114360925210676</v>
      </c>
      <c r="BR31" s="21">
        <f>EXP(-LN(2)/2)*BR30+(1-EXP(-LN(2)/2))/(LN(2)/2)*BL31*BO31*VLOOKUP('Données projet'!$B$11,Paramètres!$A$1:$I$89,3,0)*0.475*44/12</f>
        <v>2.749547079594918</v>
      </c>
      <c r="BS31" s="22">
        <f t="shared" si="9"/>
        <v>62.256834246871541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13.571999999999999</v>
      </c>
      <c r="D32" s="11">
        <f t="shared" si="32"/>
        <v>4.6169606338501863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140.40601191042251</v>
      </c>
      <c r="H32" s="67">
        <f t="shared" si="1"/>
        <v>325.01243977062239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3.4425641025641025</v>
      </c>
      <c r="N32" s="13">
        <f>IF('Données projet'!$A$36&gt;35,N31+M32-V31,IF(A32&lt;'Données projet'!$A$36,$K$205^A32,IF(A32='Données projet'!$A$36,'Données projet'!$B$36,N31+M32-V31)))</f>
        <v>88.485039179856727</v>
      </c>
      <c r="O32" s="13">
        <f>N32*VLOOKUP('Données projet'!$B$9,Paramètres!$A$1:$I$89,3,0)*VLOOKUP('Données projet'!$B$9,Paramètres!$A$1:$I$89,5,0)</f>
        <v>41.410998336172952</v>
      </c>
      <c r="P32" s="13">
        <f t="shared" si="33"/>
        <v>12.371874273168087</v>
      </c>
      <c r="Q32" s="20">
        <f t="shared" si="2"/>
        <v>93.671836461268967</v>
      </c>
      <c r="R32" s="59">
        <f t="shared" si="0"/>
        <v>387.0051697946023</v>
      </c>
      <c r="S32" s="59">
        <f ca="1">AVERAGE(OFFSET($R$3,0,0,'Données projet'!$E$9+1,1))-AVERAGE(OFFSET($H$3,0,0,'Données projet'!$E$9+1,1))</f>
        <v>157.05226586109279</v>
      </c>
      <c r="T32" s="59">
        <f t="shared" si="34"/>
        <v>76.143582612540229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22.828205128205127</v>
      </c>
      <c r="AI32" s="13">
        <f>IF('Données projet'!$A$62&gt;35,AI31+AH32-AQ31,IF(A32&lt;'Données projet'!$A$62,$AF$205^A32,IF(A32='Données projet'!$A$62,'Données projet'!$B$62,AI31+AH32-AQ31)))</f>
        <v>309.0410256410255</v>
      </c>
      <c r="AJ32" s="13">
        <f>AI32*VLOOKUP('Données projet'!$B$10,Paramètres!$A$1:$I$89,3,0)*VLOOKUP('Données projet'!$B$10,Paramètres!$A$1:$I$89,5,0)</f>
        <v>172.75393333333326</v>
      </c>
      <c r="AK32" s="13">
        <f t="shared" si="35"/>
        <v>43.706234996805463</v>
      </c>
      <c r="AL32" s="20">
        <f t="shared" si="4"/>
        <v>377.00145984165829</v>
      </c>
      <c r="AM32" s="59">
        <f t="shared" si="5"/>
        <v>670.33479317499155</v>
      </c>
      <c r="AN32" s="59">
        <f ca="1">AVERAGE(OFFSET($AM$3,0,0,'Données projet'!$E$10+1,1))-AVERAGE(OFFSET($H$3,0,0,'Données projet'!$E$10+1,1))</f>
        <v>279.32192402750189</v>
      </c>
      <c r="AO32" s="59">
        <f t="shared" si="36"/>
        <v>371.43572414443611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11.031463228319623</v>
      </c>
      <c r="AV32" s="21">
        <f>EXP(-LN(2)/25)*AV31+(1-EXP(-LN(2)/25))/(LN(2)/25)*Calculateur!AQ32*Calculateur!AS32*VLOOKUP('Données projet'!$B$10,Paramètres!$A$1:$I$89,3,0)*0.475*44/12</f>
        <v>14.153512139269422</v>
      </c>
      <c r="AW32" s="21">
        <f>EXP(-LN(2)/2)*AW31+(1-EXP(-LN(2)/2))/(LN(2)/2)*AQ32*AT32*VLOOKUP('Données projet'!$B$10,Paramètres!$A$1:$I$89,3,0)*0.475*44/12</f>
        <v>1.0564167841523431</v>
      </c>
      <c r="AX32" s="21">
        <f t="shared" si="6"/>
        <v>26.24139215174139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49</v>
      </c>
      <c r="BD32" s="12">
        <f>IF('Données projet'!$A$88&gt;35,BD31+BC32-BL31,IF(A32&lt;'Données projet'!$A$88,$BA$205^A32,IF(A32='Données projet'!$A$88,'Données projet'!$B$88,BD31+BC32-BL31)))</f>
        <v>491.99999999999994</v>
      </c>
      <c r="BE32" s="13">
        <f>BD32*VLOOKUP('Données projet'!$B$11,Paramètres!$A$1:$I$89,3,0)*VLOOKUP('Données projet'!$B$11,Paramètres!$A$1:$I$89,5,0)</f>
        <v>230.25599999999997</v>
      </c>
      <c r="BF32" s="13">
        <f t="shared" si="37"/>
        <v>56.338031132175118</v>
      </c>
      <c r="BG32" s="20">
        <f t="shared" si="7"/>
        <v>499.15127088853825</v>
      </c>
      <c r="BH32" s="59">
        <f t="shared" si="8"/>
        <v>792.48460422187156</v>
      </c>
      <c r="BI32" s="59">
        <f ca="1">AVERAGE(OFFSET($BH$3,0,0,'Données projet'!$E$11+1,1))-AVERAGE(OFFSET($H$3,0,0,'Données projet'!$E$11+1,1))</f>
        <v>297.07458564121606</v>
      </c>
      <c r="BJ32" s="59">
        <f t="shared" si="38"/>
        <v>514.93897725587567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11.169517907457884</v>
      </c>
      <c r="BQ32" s="21">
        <f>EXP(-LN(2)/25)*BQ31+(1-EXP(-LN(2)/25))/(LN(2)/25)*Calculateur!BL32*Calculateur!BN32*VLOOKUP('Données projet'!$B$11,Paramètres!$A$1:$I$89,3,0)*0.475*44/12</f>
        <v>46.798671195486513</v>
      </c>
      <c r="BR32" s="21">
        <f>EXP(-LN(2)/2)*BR31+(1-EXP(-LN(2)/2))/(LN(2)/2)*BL32*BO32*VLOOKUP('Données projet'!$B$11,Paramètres!$A$1:$I$89,3,0)*0.475*44/12</f>
        <v>1.9442233851732345</v>
      </c>
      <c r="BS32" s="22">
        <f t="shared" si="9"/>
        <v>59.912412488117624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14.04</v>
      </c>
      <c r="D33" s="11">
        <f t="shared" si="32"/>
        <v>4.75735588805329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145.10239632883244</v>
      </c>
      <c r="H33" s="67">
        <f t="shared" si="1"/>
        <v>326.07206150502611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103.27692307692307</v>
      </c>
      <c r="L33" s="12">
        <f>VLOOKUP(A33,'Données projet'!$A$35:$I$55,9,0)</f>
        <v>3.4425641025641025</v>
      </c>
      <c r="M33" s="12">
        <f t="array" ref="M33">INDEX(L:L,MIN(IF(ISNUMBER(L33:L229),ROW(L33:L229),"")))</f>
        <v>3.4425641025641025</v>
      </c>
      <c r="N33" s="13">
        <f>IF('Données projet'!$A$36&gt;35,N32+M33-V32,IF(A33&lt;'Données projet'!$A$36,$K$205^A33,IF(A33='Données projet'!$A$36,'Données projet'!$B$36,N32+M33-V32)))</f>
        <v>103.27692307692307</v>
      </c>
      <c r="O33" s="13">
        <f>N33*VLOOKUP('Données projet'!$B$9,Paramètres!$A$1:$I$89,3,0)*VLOOKUP('Données projet'!$B$9,Paramètres!$A$1:$I$89,5,0)</f>
        <v>48.333599999999997</v>
      </c>
      <c r="P33" s="13">
        <f t="shared" si="33"/>
        <v>14.182559301951969</v>
      </c>
      <c r="Q33" s="20">
        <f t="shared" si="2"/>
        <v>108.88231078423301</v>
      </c>
      <c r="R33" s="59">
        <f t="shared" si="0"/>
        <v>402.21564411756634</v>
      </c>
      <c r="S33" s="59">
        <f ca="1">AVERAGE(OFFSET($R$3,0,0,'Données projet'!$E$9+1,1))-AVERAGE(OFFSET($H$3,0,0,'Données projet'!$E$9+1,1))</f>
        <v>157.05226586109279</v>
      </c>
      <c r="T33" s="59">
        <f t="shared" si="34"/>
        <v>76.143582612540229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331.86923076923074</v>
      </c>
      <c r="AG33" s="12">
        <f>VLOOKUP(A33,'Données projet'!$A$61:$I$81,9,0)</f>
        <v>22.828205128205127</v>
      </c>
      <c r="AH33" s="12">
        <f t="array" ref="AH33">INDEX(AG:AG,MIN(IF(ISNUMBER(AG33:AG229),ROW(AG33:AG229),"")))</f>
        <v>22.828205128205127</v>
      </c>
      <c r="AI33" s="13">
        <f>IF('Données projet'!$A$62&gt;35,AI32+AH33-AQ32,IF(A33&lt;'Données projet'!$A$62,$AF$205^A33,IF(A33='Données projet'!$A$62,'Données projet'!$B$62,AI32+AH33-AQ32)))</f>
        <v>331.86923076923063</v>
      </c>
      <c r="AJ33" s="13">
        <f>AI33*VLOOKUP('Données projet'!$B$10,Paramètres!$A$1:$I$89,3,0)*VLOOKUP('Données projet'!$B$10,Paramètres!$A$1:$I$89,5,0)</f>
        <v>185.5148999999999</v>
      </c>
      <c r="AK33" s="13">
        <f t="shared" si="35"/>
        <v>46.546986497298995</v>
      </c>
      <c r="AL33" s="20">
        <f t="shared" si="4"/>
        <v>404.17445231612891</v>
      </c>
      <c r="AM33" s="59">
        <f t="shared" si="5"/>
        <v>697.50778564946222</v>
      </c>
      <c r="AN33" s="59">
        <f ca="1">AVERAGE(OFFSET($AM$3,0,0,'Données projet'!$E$10+1,1))-AVERAGE(OFFSET($H$3,0,0,'Données projet'!$E$10+1,1))</f>
        <v>279.32192402750189</v>
      </c>
      <c r="AO33" s="59">
        <f t="shared" si="36"/>
        <v>371.43572414443611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65.669230769230765</v>
      </c>
      <c r="AR33" s="16">
        <f>IF(ISNA(VLOOKUP(A33,'Données projet'!$A$61:$I$81,5,0)),0%,VLOOKUP(A33,'Données projet'!$A$61:$I$81,5,0)*VLOOKUP('Données projet'!$B$10,Paramètres!$A$1:$I$89,7,0))</f>
        <v>0.38500000000000001</v>
      </c>
      <c r="AS33" s="16">
        <f>IF(ISNA(VLOOKUP(A33,'Données projet'!$A$61:$I$81,6,0)),0%,VLOOKUP(A33,'Données projet'!$A$61:$I$81,6,0)*VLOOKUP('Données projet'!$B$10,Paramètres!$A$1:$I$89,7,0))</f>
        <v>9.240000000000001E-2</v>
      </c>
      <c r="AT33" s="16">
        <f>IF(ISNA(VLOOKUP(A33,'Données projet'!$A$61:$I$81,7,0)),0%,VLOOKUP(A33,'Données projet'!$A$61:$I$81,7,0))</f>
        <v>0.13200000000000001</v>
      </c>
      <c r="AU33" s="21">
        <f>EXP(-LN(2)/35)*AU32+(1-EXP(-LN(2)/35))/(LN(2)/35)*AQ33*AR33*VLOOKUP('Données projet'!$B$10,Paramètres!$A$1:$I$89,3,0)*0.475*44/12</f>
        <v>29.563483054643072</v>
      </c>
      <c r="AV33" s="21">
        <f>EXP(-LN(2)/25)*AV32+(1-EXP(-LN(2)/25))/(LN(2)/25)*Calculateur!AQ33*Calculateur!AS33*VLOOKUP('Données projet'!$B$10,Paramètres!$A$1:$I$89,3,0)*0.475*44/12</f>
        <v>18.248368581460394</v>
      </c>
      <c r="AW33" s="21">
        <f>EXP(-LN(2)/2)*AW32+(1-EXP(-LN(2)/2))/(LN(2)/2)*AQ33*AT33*VLOOKUP('Données projet'!$B$10,Paramètres!$A$1:$I$89,3,0)*0.475*44/12</f>
        <v>6.233345651406407</v>
      </c>
      <c r="AX33" s="21">
        <f t="shared" si="6"/>
        <v>54.045197287509879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541</v>
      </c>
      <c r="BB33" s="12">
        <f>VLOOKUP(A33,'Données projet'!$A$87:$I$107,9,0)</f>
        <v>49</v>
      </c>
      <c r="BC33" s="12">
        <f t="array" ref="BC33">INDEX(BB:BB,MIN(IF(ISNUMBER(BB33:BB229),ROW(BB33:BB229),"")))</f>
        <v>49</v>
      </c>
      <c r="BD33" s="12">
        <f>IF('Données projet'!$A$88&gt;35,BD32+BC33-BL32,IF(A33&lt;'Données projet'!$A$88,$BA$205^A33,IF(A33='Données projet'!$A$88,'Données projet'!$B$88,BD32+BC33-BL32)))</f>
        <v>541</v>
      </c>
      <c r="BE33" s="13">
        <f>BD33*VLOOKUP('Données projet'!$B$11,Paramètres!$A$1:$I$89,3,0)*VLOOKUP('Données projet'!$B$11,Paramètres!$A$1:$I$89,5,0)</f>
        <v>253.18799999999999</v>
      </c>
      <c r="BF33" s="13">
        <f t="shared" si="37"/>
        <v>61.268098810087139</v>
      </c>
      <c r="BG33" s="20">
        <f t="shared" si="7"/>
        <v>547.67770542756841</v>
      </c>
      <c r="BH33" s="59">
        <f t="shared" si="8"/>
        <v>841.01103876090178</v>
      </c>
      <c r="BI33" s="59">
        <f ca="1">AVERAGE(OFFSET($BH$3,0,0,'Données projet'!$E$11+1,1))-AVERAGE(OFFSET($H$3,0,0,'Données projet'!$E$11+1,1))</f>
        <v>297.07458564121606</v>
      </c>
      <c r="BJ33" s="59">
        <f t="shared" si="38"/>
        <v>514.93897725587567</v>
      </c>
      <c r="BK33" s="15">
        <f>IF(ISNA(VLOOKUP(A33,'Données projet'!$A$87:$I$107,3,0)),0,VLOOKUP(A33,'Données projet'!$A$87:$I$107,3,0))</f>
        <v>5</v>
      </c>
      <c r="BL33" s="15">
        <f>IF(ISNA(VLOOKUP(A33,'Données projet'!$A$87:$I$107,4,0)),0,VLOOKUP(A33,'Données projet'!$A$87:$I$107,4,0))</f>
        <v>78</v>
      </c>
      <c r="BM33" s="16">
        <f>IF(ISNA(VLOOKUP(A33,'Données projet'!$A$87:$I$107,5,0)),0%,VLOOKUP(A33,'Données projet'!$A$87:$I$107,5,0)*VLOOKUP('Données projet'!$B$11,Paramètres!$A$1:$I$89,7,0))</f>
        <v>0.16500000000000001</v>
      </c>
      <c r="BN33" s="16">
        <f>IF(ISNA(VLOOKUP(A33,'Données projet'!$A$87:$I$107,6,0)),0%,VLOOKUP(A33,'Données projet'!$A$87:$I$107,6,0)*VLOOKUP('Données projet'!$B$11,Paramètres!$A$1:$I$89,7,0))</f>
        <v>0.33</v>
      </c>
      <c r="BO33" s="16">
        <f>IF(ISNA(VLOOKUP(A33,'Données projet'!$A$87:$I$107,7,0)),0%,VLOOKUP(A33,'Données projet'!$A$87:$I$107,7,0))</f>
        <v>0.1</v>
      </c>
      <c r="BP33" s="21">
        <f>EXP(-LN(2)/35)*BP32+(1-EXP(-LN(2)/35))/(LN(2)/35)*BL33*BM33*VLOOKUP('Données projet'!$B$11,Paramètres!$A$1:$I$89,3,0)*0.475*44/12</f>
        <v>18.940600439451078</v>
      </c>
      <c r="BQ33" s="21">
        <f>EXP(-LN(2)/25)*BQ32+(1-EXP(-LN(2)/25))/(LN(2)/25)*Calculateur!BL33*Calculateur!BN33*VLOOKUP('Données projet'!$B$11,Paramètres!$A$1:$I$89,3,0)*0.475*44/12</f>
        <v>61.436258786652303</v>
      </c>
      <c r="BR33" s="21">
        <f>EXP(-LN(2)/2)*BR32+(1-EXP(-LN(2)/2))/(LN(2)/2)*BL33*BO33*VLOOKUP('Données projet'!$B$11,Paramètres!$A$1:$I$89,3,0)*0.475*44/12</f>
        <v>5.5078743186880699</v>
      </c>
      <c r="BS33" s="22">
        <f t="shared" si="9"/>
        <v>85.884733544791445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14.507999999999999</v>
      </c>
      <c r="D34" s="11">
        <f t="shared" si="32"/>
        <v>4.8972073577041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149.79458311210183</v>
      </c>
      <c r="H34" s="67">
        <f t="shared" si="1"/>
        <v>327.13073614800129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10.407692307692306</v>
      </c>
      <c r="N34" s="13">
        <f>IF('Données projet'!$A$36&gt;35,N33+M34-V33,IF(A34&lt;'Données projet'!$A$36,$K$205^A34,IF(A34='Données projet'!$A$36,'Données projet'!$B$36,N33+M34-V33)))</f>
        <v>113.68461538461537</v>
      </c>
      <c r="O34" s="13">
        <f>N34*VLOOKUP('Données projet'!$B$9,Paramètres!$A$1:$I$89,3,0)*VLOOKUP('Données projet'!$B$9,Paramètres!$A$1:$I$89,5,0)</f>
        <v>53.204399999999993</v>
      </c>
      <c r="P34" s="13">
        <f t="shared" si="33"/>
        <v>15.43829445428918</v>
      </c>
      <c r="Q34" s="20">
        <f t="shared" si="2"/>
        <v>119.55269284122029</v>
      </c>
      <c r="R34" s="59">
        <f t="shared" si="0"/>
        <v>412.88602617455359</v>
      </c>
      <c r="S34" s="59">
        <f ca="1">AVERAGE(OFFSET($R$3,0,0,'Données projet'!$E$9+1,1))-AVERAGE(OFFSET($H$3,0,0,'Données projet'!$E$9+1,1))</f>
        <v>157.05226586109279</v>
      </c>
      <c r="T34" s="59">
        <f t="shared" si="34"/>
        <v>76.143582612540229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22.884615384615397</v>
      </c>
      <c r="AI34" s="13">
        <f>IF('Données projet'!$A$62&gt;35,AI33+AH34-AQ33,IF(A34&lt;'Données projet'!$A$62,$AF$205^A34,IF(A34='Données projet'!$A$62,'Données projet'!$B$62,AI33+AH34-AQ33)))</f>
        <v>289.08461538461529</v>
      </c>
      <c r="AJ34" s="13">
        <f>AI34*VLOOKUP('Données projet'!$B$10,Paramètres!$A$1:$I$89,3,0)*VLOOKUP('Données projet'!$B$10,Paramètres!$A$1:$I$89,5,0)</f>
        <v>161.59829999999994</v>
      </c>
      <c r="AK34" s="13">
        <f t="shared" si="35"/>
        <v>41.202807619439731</v>
      </c>
      <c r="AL34" s="20">
        <f t="shared" si="4"/>
        <v>353.21192910385736</v>
      </c>
      <c r="AM34" s="59">
        <f t="shared" si="5"/>
        <v>646.54526243719067</v>
      </c>
      <c r="AN34" s="59">
        <f ca="1">AVERAGE(OFFSET($AM$3,0,0,'Données projet'!$E$10+1,1))-AVERAGE(OFFSET($H$3,0,0,'Données projet'!$E$10+1,1))</f>
        <v>279.32192402750189</v>
      </c>
      <c r="AO34" s="59">
        <f t="shared" si="36"/>
        <v>371.43572414443611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28.983761183885679</v>
      </c>
      <c r="AV34" s="21">
        <f>EXP(-LN(2)/25)*AV33+(1-EXP(-LN(2)/25))/(LN(2)/25)*Calculateur!AQ34*Calculateur!AS34*VLOOKUP('Données projet'!$B$10,Paramètres!$A$1:$I$89,3,0)*0.475*44/12</f>
        <v>17.749365982960363</v>
      </c>
      <c r="AW34" s="21">
        <f>EXP(-LN(2)/2)*AW33+(1-EXP(-LN(2)/2))/(LN(2)/2)*AQ34*AT34*VLOOKUP('Données projet'!$B$10,Paramètres!$A$1:$I$89,3,0)*0.475*44/12</f>
        <v>4.4076409795891482</v>
      </c>
      <c r="AX34" s="21">
        <f t="shared" si="6"/>
        <v>51.140768146435192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45</v>
      </c>
      <c r="BD34" s="12">
        <f>IF('Données projet'!$A$88&gt;35,BD33+BC34-BL33,IF(A34&lt;'Données projet'!$A$88,$BA$205^A34,IF(A34='Données projet'!$A$88,'Données projet'!$B$88,BD33+BC34-BL33)))</f>
        <v>508</v>
      </c>
      <c r="BE34" s="13">
        <f>BD34*VLOOKUP('Données projet'!$B$11,Paramètres!$A$1:$I$89,3,0)*VLOOKUP('Données projet'!$B$11,Paramètres!$A$1:$I$89,5,0)</f>
        <v>237.744</v>
      </c>
      <c r="BF34" s="13">
        <f t="shared" si="37"/>
        <v>57.953874611982577</v>
      </c>
      <c r="BG34" s="20">
        <f t="shared" si="7"/>
        <v>515.00713161586964</v>
      </c>
      <c r="BH34" s="59">
        <f t="shared" si="8"/>
        <v>808.3404649492029</v>
      </c>
      <c r="BI34" s="59">
        <f ca="1">AVERAGE(OFFSET($BH$3,0,0,'Données projet'!$E$11+1,1))-AVERAGE(OFFSET($H$3,0,0,'Données projet'!$E$11+1,1))</f>
        <v>297.07458564121606</v>
      </c>
      <c r="BJ34" s="59">
        <f t="shared" si="38"/>
        <v>514.93897725587567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18.569186817458984</v>
      </c>
      <c r="BQ34" s="21">
        <f>EXP(-LN(2)/25)*BQ33+(1-EXP(-LN(2)/25))/(LN(2)/25)*Calculateur!BL34*Calculateur!BN34*VLOOKUP('Données projet'!$B$11,Paramètres!$A$1:$I$89,3,0)*0.475*44/12</f>
        <v>59.75628105933886</v>
      </c>
      <c r="BR34" s="21">
        <f>EXP(-LN(2)/2)*BR33+(1-EXP(-LN(2)/2))/(LN(2)/2)*BL34*BO34*VLOOKUP('Données projet'!$B$11,Paramètres!$A$1:$I$89,3,0)*0.475*44/12</f>
        <v>3.8946552806675698</v>
      </c>
      <c r="BS34" s="22">
        <f t="shared" si="9"/>
        <v>82.220123157465409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14.975999999999999</v>
      </c>
      <c r="D35" s="11">
        <f t="shared" si="32"/>
        <v>5.0365345962274297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154.48272319894858</v>
      </c>
      <c r="H35" s="67">
        <f t="shared" si="1"/>
        <v>328.18849775509608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10.407692307692306</v>
      </c>
      <c r="N35" s="13">
        <f>IF('Données projet'!$A$36&gt;35,N34+M35-V34,IF(A35&lt;'Données projet'!$A$36,$K$205^A35,IF(A35='Données projet'!$A$36,'Données projet'!$B$36,N34+M35-V34)))</f>
        <v>124.09230769230767</v>
      </c>
      <c r="O35" s="13">
        <f>N35*VLOOKUP('Données projet'!$B$9,Paramètres!$A$1:$I$89,3,0)*VLOOKUP('Données projet'!$B$9,Paramètres!$A$1:$I$89,5,0)</f>
        <v>58.075199999999995</v>
      </c>
      <c r="P35" s="13">
        <f t="shared" si="33"/>
        <v>16.680699544623803</v>
      </c>
      <c r="Q35" s="20">
        <f t="shared" ref="Q35:Q66" si="53">(O35+P35)*0.475*44/12</f>
        <v>130.19985837355313</v>
      </c>
      <c r="R35" s="59">
        <f t="shared" si="0"/>
        <v>423.53319170688644</v>
      </c>
      <c r="S35" s="59">
        <f ca="1">AVERAGE(OFFSET($R$3,0,0,'Données projet'!$E$9+1,1))-AVERAGE(OFFSET($H$3,0,0,'Données projet'!$E$9+1,1))</f>
        <v>157.05226586109279</v>
      </c>
      <c r="T35" s="59">
        <f t="shared" si="34"/>
        <v>76.143582612540229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22.884615384615397</v>
      </c>
      <c r="AI35" s="13">
        <f>IF('Données projet'!$A$62&gt;35,AI34+AH35-AQ34,IF(A35&lt;'Données projet'!$A$62,$AF$205^A35,IF(A35='Données projet'!$A$62,'Données projet'!$B$62,AI34+AH35-AQ34)))</f>
        <v>311.96923076923071</v>
      </c>
      <c r="AJ35" s="13">
        <f>AI35*VLOOKUP('Données projet'!$B$10,Paramètres!$A$1:$I$89,3,0)*VLOOKUP('Données projet'!$B$10,Paramètres!$A$1:$I$89,5,0)</f>
        <v>174.39079999999996</v>
      </c>
      <c r="AK35" s="13">
        <f t="shared" si="35"/>
        <v>44.071952499783528</v>
      </c>
      <c r="AL35" s="20">
        <f t="shared" si="4"/>
        <v>380.48929393712291</v>
      </c>
      <c r="AM35" s="59">
        <f t="shared" si="5"/>
        <v>673.82262727045622</v>
      </c>
      <c r="AN35" s="59">
        <f ca="1">AVERAGE(OFFSET($AM$3,0,0,'Données projet'!$E$10+1,1))-AVERAGE(OFFSET($H$3,0,0,'Données projet'!$E$10+1,1))</f>
        <v>279.32192402750189</v>
      </c>
      <c r="AO35" s="59">
        <f t="shared" si="36"/>
        <v>371.43572414443611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28.415407305418412</v>
      </c>
      <c r="AV35" s="21">
        <f>EXP(-LN(2)/25)*AV34+(1-EXP(-LN(2)/25))/(LN(2)/25)*Calculateur!AQ35*Calculateur!AS35*VLOOKUP('Données projet'!$B$10,Paramètres!$A$1:$I$89,3,0)*0.475*44/12</f>
        <v>17.264008636757723</v>
      </c>
      <c r="AW35" s="21">
        <f>EXP(-LN(2)/2)*AW34+(1-EXP(-LN(2)/2))/(LN(2)/2)*AQ35*AT35*VLOOKUP('Données projet'!$B$10,Paramètres!$A$1:$I$89,3,0)*0.475*44/12</f>
        <v>3.1166728257032039</v>
      </c>
      <c r="AX35" s="21">
        <f t="shared" si="6"/>
        <v>48.79608876787934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45</v>
      </c>
      <c r="BD35" s="12">
        <f>IF('Données projet'!$A$88&gt;35,BD34+BC35-BL34,IF(A35&lt;'Données projet'!$A$88,$BA$205^A35,IF(A35='Données projet'!$A$88,'Données projet'!$B$88,BD34+BC35-BL34)))</f>
        <v>553</v>
      </c>
      <c r="BE35" s="13">
        <f>BD35*VLOOKUP('Données projet'!$B$11,Paramètres!$A$1:$I$89,3,0)*VLOOKUP('Données projet'!$B$11,Paramètres!$A$1:$I$89,5,0)</f>
        <v>258.80399999999997</v>
      </c>
      <c r="BF35" s="13">
        <f t="shared" si="37"/>
        <v>62.46737071826302</v>
      </c>
      <c r="BG35" s="20">
        <f t="shared" si="7"/>
        <v>559.54763733430798</v>
      </c>
      <c r="BH35" s="59">
        <f t="shared" si="8"/>
        <v>852.88097066764135</v>
      </c>
      <c r="BI35" s="59">
        <f ca="1">AVERAGE(OFFSET($BH$3,0,0,'Données projet'!$E$11+1,1))-AVERAGE(OFFSET($H$3,0,0,'Données projet'!$E$11+1,1))</f>
        <v>297.07458564121606</v>
      </c>
      <c r="BJ35" s="59">
        <f t="shared" si="38"/>
        <v>514.93897725587567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18.205056390054214</v>
      </c>
      <c r="BQ35" s="21">
        <f>EXP(-LN(2)/25)*BQ34+(1-EXP(-LN(2)/25))/(LN(2)/25)*Calculateur!BL35*Calculateur!BN35*VLOOKUP('Données projet'!$B$11,Paramètres!$A$1:$I$89,3,0)*0.475*44/12</f>
        <v>58.12224241132499</v>
      </c>
      <c r="BR35" s="21">
        <f>EXP(-LN(2)/2)*BR34+(1-EXP(-LN(2)/2))/(LN(2)/2)*BL35*BO35*VLOOKUP('Données projet'!$B$11,Paramètres!$A$1:$I$89,3,0)*0.475*44/12</f>
        <v>2.7539371593440354</v>
      </c>
      <c r="BS35" s="22">
        <f t="shared" si="9"/>
        <v>79.081235960723234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15.443999999999999</v>
      </c>
      <c r="D36" s="11">
        <f t="shared" si="32"/>
        <v>5.1753558655448444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159.16695755859178</v>
      </c>
      <c r="H36" s="67">
        <f t="shared" si="1"/>
        <v>329.2453781324906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10.407692307692306</v>
      </c>
      <c r="N36" s="13">
        <f>IF('Données projet'!$A$36&gt;35,N35+M36-V35,IF(A36&lt;'Données projet'!$A$36,$K$205^A36,IF(A36='Données projet'!$A$36,'Données projet'!$B$36,N35+M36-V35)))</f>
        <v>134.49999999999997</v>
      </c>
      <c r="O36" s="13">
        <f>N36*VLOOKUP('Données projet'!$B$9,Paramètres!$A$1:$I$89,3,0)*VLOOKUP('Données projet'!$B$9,Paramètres!$A$1:$I$89,5,0)</f>
        <v>62.945999999999984</v>
      </c>
      <c r="P36" s="13">
        <f t="shared" si="33"/>
        <v>17.911019680519317</v>
      </c>
      <c r="Q36" s="20">
        <f t="shared" si="53"/>
        <v>140.82597594357108</v>
      </c>
      <c r="R36" s="59">
        <f t="shared" si="0"/>
        <v>434.15930927690442</v>
      </c>
      <c r="S36" s="59">
        <f ca="1">AVERAGE(OFFSET($R$3,0,0,'Données projet'!$E$9+1,1))-AVERAGE(OFFSET($H$3,0,0,'Données projet'!$E$9+1,1))</f>
        <v>157.05226586109279</v>
      </c>
      <c r="T36" s="59">
        <f t="shared" si="34"/>
        <v>76.143582612540229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22.884615384615397</v>
      </c>
      <c r="AI36" s="13">
        <f>IF('Données projet'!$A$62&gt;35,AI35+AH36-AQ35,IF(A36&lt;'Données projet'!$A$62,$AF$205^A36,IF(A36='Données projet'!$A$62,'Données projet'!$B$62,AI35+AH36-AQ35)))</f>
        <v>334.85384615384612</v>
      </c>
      <c r="AJ36" s="13">
        <f>AI36*VLOOKUP('Données projet'!$B$10,Paramètres!$A$1:$I$89,3,0)*VLOOKUP('Données projet'!$B$10,Paramètres!$A$1:$I$89,5,0)</f>
        <v>187.18329999999997</v>
      </c>
      <c r="AK36" s="13">
        <f t="shared" si="35"/>
        <v>46.91668019244311</v>
      </c>
      <c r="AL36" s="20">
        <f t="shared" si="4"/>
        <v>407.72413216850504</v>
      </c>
      <c r="AM36" s="59">
        <f t="shared" si="5"/>
        <v>701.05746550183835</v>
      </c>
      <c r="AN36" s="59">
        <f ca="1">AVERAGE(OFFSET($AM$3,0,0,'Données projet'!$E$10+1,1))-AVERAGE(OFFSET($H$3,0,0,'Données projet'!$E$10+1,1))</f>
        <v>279.32192402750189</v>
      </c>
      <c r="AO36" s="59">
        <f t="shared" si="36"/>
        <v>371.43572414443611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27.858198499846253</v>
      </c>
      <c r="AV36" s="21">
        <f>EXP(-LN(2)/25)*AV35+(1-EXP(-LN(2)/25))/(LN(2)/25)*Calculateur!AQ36*Calculateur!AS36*VLOOKUP('Données projet'!$B$10,Paramètres!$A$1:$I$89,3,0)*0.475*44/12</f>
        <v>16.791923412710826</v>
      </c>
      <c r="AW36" s="21">
        <f>EXP(-LN(2)/2)*AW35+(1-EXP(-LN(2)/2))/(LN(2)/2)*AQ36*AT36*VLOOKUP('Données projet'!$B$10,Paramètres!$A$1:$I$89,3,0)*0.475*44/12</f>
        <v>2.2038204897945741</v>
      </c>
      <c r="AX36" s="21">
        <f t="shared" si="6"/>
        <v>46.853942402351656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45</v>
      </c>
      <c r="BD36" s="12">
        <f>IF('Données projet'!$A$88&gt;35,BD35+BC36-BL35,IF(A36&lt;'Données projet'!$A$88,$BA$205^A36,IF(A36='Données projet'!$A$88,'Données projet'!$B$88,BD35+BC36-BL35)))</f>
        <v>598</v>
      </c>
      <c r="BE36" s="13">
        <f>BD36*VLOOKUP('Données projet'!$B$11,Paramètres!$A$1:$I$89,3,0)*VLOOKUP('Données projet'!$B$11,Paramètres!$A$1:$I$89,5,0)</f>
        <v>279.86400000000003</v>
      </c>
      <c r="BF36" s="13">
        <f t="shared" si="37"/>
        <v>66.938267358965064</v>
      </c>
      <c r="BG36" s="20">
        <f t="shared" si="7"/>
        <v>604.01394898353078</v>
      </c>
      <c r="BH36" s="59">
        <f t="shared" si="8"/>
        <v>897.34728231686404</v>
      </c>
      <c r="BI36" s="59">
        <f ca="1">AVERAGE(OFFSET($BH$3,0,0,'Données projet'!$E$11+1,1))-AVERAGE(OFFSET($H$3,0,0,'Données projet'!$E$11+1,1))</f>
        <v>297.07458564121606</v>
      </c>
      <c r="BJ36" s="59">
        <f t="shared" si="38"/>
        <v>514.93897725587567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17.84806633823322</v>
      </c>
      <c r="BQ36" s="21">
        <f>EXP(-LN(2)/25)*BQ35+(1-EXP(-LN(2)/25))/(LN(2)/25)*Calculateur!BL36*Calculateur!BN36*VLOOKUP('Données projet'!$B$11,Paramètres!$A$1:$I$89,3,0)*0.475*44/12</f>
        <v>56.532886636071417</v>
      </c>
      <c r="BR36" s="21">
        <f>EXP(-LN(2)/2)*BR35+(1-EXP(-LN(2)/2))/(LN(2)/2)*BL36*BO36*VLOOKUP('Données projet'!$B$11,Paramètres!$A$1:$I$89,3,0)*0.475*44/12</f>
        <v>1.9473276403337851</v>
      </c>
      <c r="BS36" s="22">
        <f t="shared" si="9"/>
        <v>76.328280614638416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15.911999999999999</v>
      </c>
      <c r="D37" s="11">
        <f t="shared" si="32"/>
        <v>5.3136882579005116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163.84741813116185</v>
      </c>
      <c r="H37" s="67">
        <f t="shared" si="1"/>
        <v>330.3014070491767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10.407692307692306</v>
      </c>
      <c r="N37" s="13">
        <f>IF('Données projet'!$A$36&gt;35,N36+M37-V36,IF(A37&lt;'Données projet'!$A$36,$K$205^A37,IF(A37='Données projet'!$A$36,'Données projet'!$B$36,N36+M37-V36)))</f>
        <v>144.90769230769229</v>
      </c>
      <c r="O37" s="13">
        <f>N37*VLOOKUP('Données projet'!$B$9,Paramètres!$A$1:$I$89,3,0)*VLOOKUP('Données projet'!$B$9,Paramètres!$A$1:$I$89,5,0)</f>
        <v>67.816799999999986</v>
      </c>
      <c r="P37" s="13">
        <f t="shared" si="33"/>
        <v>19.130296326257337</v>
      </c>
      <c r="Q37" s="20">
        <f t="shared" si="53"/>
        <v>151.43285943489818</v>
      </c>
      <c r="R37" s="59">
        <f t="shared" si="0"/>
        <v>444.76619276823146</v>
      </c>
      <c r="S37" s="59">
        <f ca="1">AVERAGE(OFFSET($R$3,0,0,'Données projet'!$E$9+1,1))-AVERAGE(OFFSET($H$3,0,0,'Données projet'!$E$9+1,1))</f>
        <v>157.05226586109279</v>
      </c>
      <c r="T37" s="59">
        <f t="shared" si="34"/>
        <v>76.143582612540229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22.884615384615397</v>
      </c>
      <c r="AI37" s="13">
        <f>IF('Données projet'!$A$62&gt;35,AI36+AH37-AQ36,IF(A37&lt;'Données projet'!$A$62,$AF$205^A37,IF(A37='Données projet'!$A$62,'Données projet'!$B$62,AI36+AH37-AQ36)))</f>
        <v>357.73846153846154</v>
      </c>
      <c r="AJ37" s="13">
        <f>AI37*VLOOKUP('Données projet'!$B$10,Paramètres!$A$1:$I$89,3,0)*VLOOKUP('Données projet'!$B$10,Paramètres!$A$1:$I$89,5,0)</f>
        <v>199.97580000000002</v>
      </c>
      <c r="AK37" s="13">
        <f t="shared" si="35"/>
        <v>49.738849260389202</v>
      </c>
      <c r="AL37" s="20">
        <f t="shared" si="4"/>
        <v>434.91968079517784</v>
      </c>
      <c r="AM37" s="59">
        <f t="shared" si="5"/>
        <v>728.25301412851115</v>
      </c>
      <c r="AN37" s="59">
        <f ca="1">AVERAGE(OFFSET($AM$3,0,0,'Données projet'!$E$10+1,1))-AVERAGE(OFFSET($H$3,0,0,'Données projet'!$E$10+1,1))</f>
        <v>279.32192402750189</v>
      </c>
      <c r="AO37" s="59">
        <f t="shared" si="36"/>
        <v>371.43572414443611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27.31191621908755</v>
      </c>
      <c r="AV37" s="21">
        <f>EXP(-LN(2)/25)*AV36+(1-EXP(-LN(2)/25))/(LN(2)/25)*Calculateur!AQ37*Calculateur!AS37*VLOOKUP('Données projet'!$B$10,Paramètres!$A$1:$I$89,3,0)*0.475*44/12</f>
        <v>16.332747383941374</v>
      </c>
      <c r="AW37" s="21">
        <f>EXP(-LN(2)/2)*AW36+(1-EXP(-LN(2)/2))/(LN(2)/2)*AQ37*AT37*VLOOKUP('Données projet'!$B$10,Paramètres!$A$1:$I$89,3,0)*0.475*44/12</f>
        <v>1.558336412851602</v>
      </c>
      <c r="AX37" s="21">
        <f t="shared" si="6"/>
        <v>45.203000015880527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>
        <f>VLOOKUP(A37,'Données projet'!$A$87:$I$107,2,0)</f>
        <v>643</v>
      </c>
      <c r="BB37" s="12">
        <f>VLOOKUP(A37,'Données projet'!$A$87:$I$107,9,0)</f>
        <v>45</v>
      </c>
      <c r="BC37" s="12">
        <f t="array" ref="BC37">INDEX(BB:BB,MIN(IF(ISNUMBER(BB37:BB233),ROW(BB37:BB233),"")))</f>
        <v>45</v>
      </c>
      <c r="BD37" s="12">
        <f>IF('Données projet'!$A$88&gt;35,BD36+BC37-BL36,IF(A37&lt;'Données projet'!$A$88,$BA$205^A37,IF(A37='Données projet'!$A$88,'Données projet'!$B$88,BD36+BC37-BL36)))</f>
        <v>643</v>
      </c>
      <c r="BE37" s="13">
        <f>BD37*VLOOKUP('Données projet'!$B$11,Paramètres!$A$1:$I$89,3,0)*VLOOKUP('Données projet'!$B$11,Paramètres!$A$1:$I$89,5,0)</f>
        <v>300.92399999999998</v>
      </c>
      <c r="BF37" s="13">
        <f t="shared" si="37"/>
        <v>71.370134683710305</v>
      </c>
      <c r="BG37" s="20">
        <f t="shared" si="7"/>
        <v>648.41228457412876</v>
      </c>
      <c r="BH37" s="59">
        <f t="shared" si="8"/>
        <v>941.74561790746202</v>
      </c>
      <c r="BI37" s="59">
        <f ca="1">AVERAGE(OFFSET($BH$3,0,0,'Données projet'!$E$11+1,1))-AVERAGE(OFFSET($H$3,0,0,'Données projet'!$E$11+1,1))</f>
        <v>297.07458564121606</v>
      </c>
      <c r="BJ37" s="59">
        <f t="shared" si="38"/>
        <v>514.93897725587567</v>
      </c>
      <c r="BK37" s="15">
        <f>IF(ISNA(VLOOKUP(A37,'Données projet'!$A$87:$I$107,3,0)),0,VLOOKUP(A37,'Données projet'!$A$87:$I$107,3,0))</f>
        <v>6</v>
      </c>
      <c r="BL37" s="15">
        <f>IF(ISNA(VLOOKUP(A37,'Données projet'!$A$87:$I$107,4,0)),0,VLOOKUP(A37,'Données projet'!$A$87:$I$107,4,0))</f>
        <v>64</v>
      </c>
      <c r="BM37" s="16">
        <f>IF(ISNA(VLOOKUP(A37,'Données projet'!$A$87:$I$107,5,0)),0%,VLOOKUP(A37,'Données projet'!$A$87:$I$107,5,0)*VLOOKUP('Données projet'!$B$11,Paramètres!$A$1:$I$89,7,0))</f>
        <v>0.27500000000000002</v>
      </c>
      <c r="BN37" s="16">
        <f>IF(ISNA(VLOOKUP(A37,'Données projet'!$A$87:$I$107,6,0)),0%,VLOOKUP(A37,'Données projet'!$A$87:$I$107,6,0)*VLOOKUP('Données projet'!$B$11,Paramètres!$A$1:$I$89,7,0))</f>
        <v>0.27500000000000002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28.424722750150409</v>
      </c>
      <c r="BQ37" s="21">
        <f>EXP(-LN(2)/25)*BQ36+(1-EXP(-LN(2)/25))/(LN(2)/25)*Calculateur!BL37*Calculateur!BN37*VLOOKUP('Données projet'!$B$11,Paramètres!$A$1:$I$89,3,0)*0.475*44/12</f>
        <v>65.870615615537034</v>
      </c>
      <c r="BR37" s="21">
        <f>EXP(-LN(2)/2)*BR36+(1-EXP(-LN(2)/2))/(LN(2)/2)*BL37*BO37*VLOOKUP('Données projet'!$B$11,Paramètres!$A$1:$I$89,3,0)*0.475*44/12</f>
        <v>1.3769685796720179</v>
      </c>
      <c r="BS37" s="22">
        <f t="shared" si="9"/>
        <v>95.672306945359466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16.38</v>
      </c>
      <c r="D38" s="11">
        <f t="shared" si="32"/>
        <v>5.4515478029518825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168.5242286543654</v>
      </c>
      <c r="H38" s="67">
        <f t="shared" si="1"/>
        <v>331.35661242347453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10.407692307692306</v>
      </c>
      <c r="N38" s="13">
        <f>IF('Données projet'!$A$36&gt;35,N37+M38-V37,IF(A38&lt;'Données projet'!$A$36,$K$205^A38,IF(A38='Données projet'!$A$36,'Données projet'!$B$36,N37+M38-V37)))</f>
        <v>155.3153846153846</v>
      </c>
      <c r="O38" s="13">
        <f>N38*VLOOKUP('Données projet'!$B$9,Paramètres!$A$1:$I$89,3,0)*VLOOKUP('Données projet'!$B$9,Paramètres!$A$1:$I$89,5,0)</f>
        <v>72.687600000000003</v>
      </c>
      <c r="P38" s="13">
        <f t="shared" si="33"/>
        <v>20.339412865653394</v>
      </c>
      <c r="Q38" s="20">
        <f t="shared" si="53"/>
        <v>162.02204740767968</v>
      </c>
      <c r="R38" s="59">
        <f t="shared" si="0"/>
        <v>455.35538074101299</v>
      </c>
      <c r="S38" s="59">
        <f ca="1">AVERAGE(OFFSET($R$3,0,0,'Données projet'!$E$9+1,1))-AVERAGE(OFFSET($H$3,0,0,'Données projet'!$E$9+1,1))</f>
        <v>157.05226586109279</v>
      </c>
      <c r="T38" s="59">
        <f t="shared" si="34"/>
        <v>76.143582612540229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22.884615384615397</v>
      </c>
      <c r="AI38" s="13">
        <f>IF('Données projet'!$A$62&gt;35,AI37+AH38-AQ37,IF(A38&lt;'Données projet'!$A$62,$AF$205^A38,IF(A38='Données projet'!$A$62,'Données projet'!$B$62,AI37+AH38-AQ37)))</f>
        <v>380.62307692307695</v>
      </c>
      <c r="AJ38" s="13">
        <f>AI38*VLOOKUP('Données projet'!$B$10,Paramètres!$A$1:$I$89,3,0)*VLOOKUP('Données projet'!$B$10,Paramètres!$A$1:$I$89,5,0)</f>
        <v>212.76830000000001</v>
      </c>
      <c r="AK38" s="13">
        <f t="shared" si="35"/>
        <v>52.540067037520508</v>
      </c>
      <c r="AL38" s="20">
        <f t="shared" si="4"/>
        <v>462.07873925701483</v>
      </c>
      <c r="AM38" s="59">
        <f t="shared" si="5"/>
        <v>755.41207259034809</v>
      </c>
      <c r="AN38" s="59">
        <f ca="1">AVERAGE(OFFSET($AM$3,0,0,'Données projet'!$E$10+1,1))-AVERAGE(OFFSET($H$3,0,0,'Données projet'!$E$10+1,1))</f>
        <v>279.32192402750189</v>
      </c>
      <c r="AO38" s="59">
        <f t="shared" si="36"/>
        <v>371.43572414443611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26.776346200655233</v>
      </c>
      <c r="AV38" s="21">
        <f>EXP(-LN(2)/25)*AV37+(1-EXP(-LN(2)/25))/(LN(2)/25)*Calculateur!AQ38*Calculateur!AS38*VLOOKUP('Données projet'!$B$10,Paramètres!$A$1:$I$89,3,0)*0.475*44/12</f>
        <v>15.886127547825641</v>
      </c>
      <c r="AW38" s="21">
        <f>EXP(-LN(2)/2)*AW37+(1-EXP(-LN(2)/2))/(LN(2)/2)*AQ38*AT38*VLOOKUP('Données projet'!$B$10,Paramètres!$A$1:$I$89,3,0)*0.475*44/12</f>
        <v>1.1019102448972871</v>
      </c>
      <c r="AX38" s="21">
        <f t="shared" si="6"/>
        <v>43.764383993378168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39.5</v>
      </c>
      <c r="BD38" s="12">
        <f>IF('Données projet'!$A$88&gt;35,BD37+BC38-BL37,IF(A38&lt;'Données projet'!$A$88,$BA$205^A38,IF(A38='Données projet'!$A$88,'Données projet'!$B$88,BD37+BC38-BL37)))</f>
        <v>618.5</v>
      </c>
      <c r="BE38" s="13">
        <f>BD38*VLOOKUP('Données projet'!$B$11,Paramètres!$A$1:$I$89,3,0)*VLOOKUP('Données projet'!$B$11,Paramètres!$A$1:$I$89,5,0)</f>
        <v>289.45800000000003</v>
      </c>
      <c r="BF38" s="13">
        <f t="shared" si="37"/>
        <v>68.961875331463304</v>
      </c>
      <c r="BG38" s="20">
        <f t="shared" si="7"/>
        <v>624.24794953563196</v>
      </c>
      <c r="BH38" s="59">
        <f t="shared" si="8"/>
        <v>917.58128286896522</v>
      </c>
      <c r="BI38" s="59">
        <f ca="1">AVERAGE(OFFSET($BH$3,0,0,'Données projet'!$E$11+1,1))-AVERAGE(OFFSET($H$3,0,0,'Données projet'!$E$11+1,1))</f>
        <v>297.07458564121606</v>
      </c>
      <c r="BJ38" s="59">
        <f t="shared" si="38"/>
        <v>514.93897725587567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27.867331274388913</v>
      </c>
      <c r="BQ38" s="21">
        <f>EXP(-LN(2)/25)*BQ37+(1-EXP(-LN(2)/25))/(LN(2)/25)*Calculateur!BL38*Calculateur!BN38*VLOOKUP('Données projet'!$B$11,Paramètres!$A$1:$I$89,3,0)*0.475*44/12</f>
        <v>64.069380167545049</v>
      </c>
      <c r="BR38" s="21">
        <f>EXP(-LN(2)/2)*BR37+(1-EXP(-LN(2)/2))/(LN(2)/2)*BL38*BO38*VLOOKUP('Données projet'!$B$11,Paramètres!$A$1:$I$89,3,0)*0.475*44/12</f>
        <v>0.97366382016689279</v>
      </c>
      <c r="BS38" s="22">
        <f t="shared" si="9"/>
        <v>92.910375262100857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16.847999999999999</v>
      </c>
      <c r="D39" s="11">
        <f t="shared" si="32"/>
        <v>5.5889495622773833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173.19750539301842</v>
      </c>
      <c r="H39" s="67">
        <f t="shared" si="1"/>
        <v>332.4110204876331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10.407692307692306</v>
      </c>
      <c r="N39" s="13">
        <f>IF('Données projet'!$A$36&gt;35,N38+M39-V38,IF(A39&lt;'Données projet'!$A$36,$K$205^A39,IF(A39='Données projet'!$A$36,'Données projet'!$B$36,N38+M39-V38)))</f>
        <v>165.72307692307692</v>
      </c>
      <c r="O39" s="13">
        <f>N39*VLOOKUP('Données projet'!$B$9,Paramètres!$A$1:$I$89,3,0)*VLOOKUP('Données projet'!$B$9,Paramètres!$A$1:$I$89,5,0)</f>
        <v>77.558400000000006</v>
      </c>
      <c r="P39" s="13">
        <f t="shared" si="33"/>
        <v>21.539127592741618</v>
      </c>
      <c r="Q39" s="20">
        <f t="shared" si="53"/>
        <v>172.59486055735832</v>
      </c>
      <c r="R39" s="59">
        <f t="shared" si="0"/>
        <v>465.92819389069166</v>
      </c>
      <c r="S39" s="59">
        <f ca="1">AVERAGE(OFFSET($R$3,0,0,'Données projet'!$E$9+1,1))-AVERAGE(OFFSET($H$3,0,0,'Données projet'!$E$9+1,1))</f>
        <v>157.05226586109279</v>
      </c>
      <c r="T39" s="59">
        <f t="shared" si="34"/>
        <v>76.143582612540229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403.50769230769237</v>
      </c>
      <c r="AG39" s="12">
        <f>VLOOKUP(A39,'Données projet'!$A$61:$I$81,9,0)</f>
        <v>22.884615384615397</v>
      </c>
      <c r="AH39" s="12">
        <f t="array" ref="AH39">INDEX(AG:AG,MIN(IF(ISNUMBER(AG39:AG235),ROW(AG39:AG235),"")))</f>
        <v>22.884615384615397</v>
      </c>
      <c r="AI39" s="13">
        <f>IF('Données projet'!$A$62&gt;35,AI38+AH39-AQ38,IF(A39&lt;'Données projet'!$A$62,$AF$205^A39,IF(A39='Données projet'!$A$62,'Données projet'!$B$62,AI38+AH39-AQ38)))</f>
        <v>403.50769230769237</v>
      </c>
      <c r="AJ39" s="13">
        <f>AI39*VLOOKUP('Données projet'!$B$10,Paramètres!$A$1:$I$89,3,0)*VLOOKUP('Données projet'!$B$10,Paramètres!$A$1:$I$89,5,0)</f>
        <v>225.56080000000003</v>
      </c>
      <c r="AK39" s="13">
        <f t="shared" si="35"/>
        <v>55.321736658663667</v>
      </c>
      <c r="AL39" s="20">
        <f t="shared" si="4"/>
        <v>489.20375134717256</v>
      </c>
      <c r="AM39" s="59">
        <f t="shared" si="5"/>
        <v>782.53708468050581</v>
      </c>
      <c r="AN39" s="59">
        <f ca="1">AVERAGE(OFFSET($AM$3,0,0,'Données projet'!$E$10+1,1))-AVERAGE(OFFSET($H$3,0,0,'Données projet'!$E$10+1,1))</f>
        <v>279.32192402750189</v>
      </c>
      <c r="AO39" s="59">
        <f t="shared" si="36"/>
        <v>371.43572414443611</v>
      </c>
      <c r="AP39" s="15">
        <f>IF(ISNA(VLOOKUP(A39,'Données projet'!$A$61:$I$81,3,0)),0,VLOOKUP(A39,'Données projet'!$A$61:$I$81,3,0))</f>
        <v>4</v>
      </c>
      <c r="AQ39" s="15">
        <f>IF(ISNA(VLOOKUP(A39,'Données projet'!$A$61:$I$81,4,0)),0,VLOOKUP(A39,'Données projet'!$A$61:$I$81,4,0))</f>
        <v>69.3</v>
      </c>
      <c r="AR39" s="16">
        <f>IF(ISNA(VLOOKUP(A39,'Données projet'!$A$61:$I$81,5,0)),0%,VLOOKUP(A39,'Données projet'!$A$61:$I$81,5,0)*VLOOKUP('Données projet'!$B$10,Paramètres!$A$1:$I$89,7,0))</f>
        <v>0.38500000000000001</v>
      </c>
      <c r="AS39" s="16">
        <f>IF(ISNA(VLOOKUP(A39,'Données projet'!$A$61:$I$81,6,0)),0%,VLOOKUP(A39,'Données projet'!$A$61:$I$81,6,0)*VLOOKUP('Données projet'!$B$10,Paramètres!$A$1:$I$89,7,0))</f>
        <v>9.240000000000001E-2</v>
      </c>
      <c r="AT39" s="16">
        <f>IF(ISNA(VLOOKUP(A39,'Données projet'!$A$61:$I$81,7,0)),0%,VLOOKUP(A39,'Données projet'!$A$61:$I$81,7,0))</f>
        <v>0.13200000000000001</v>
      </c>
      <c r="AU39" s="21">
        <f>EXP(-LN(2)/35)*AU38+(1-EXP(-LN(2)/35))/(LN(2)/35)*AQ39*AR39*VLOOKUP('Données projet'!$B$10,Paramètres!$A$1:$I$89,3,0)*0.475*44/12</f>
        <v>46.036190634544177</v>
      </c>
      <c r="AV39" s="21">
        <f>EXP(-LN(2)/25)*AV38+(1-EXP(-LN(2)/25))/(LN(2)/25)*Calculateur!AQ39*Calculateur!AS39*VLOOKUP('Données projet'!$B$10,Paramètres!$A$1:$I$89,3,0)*0.475*44/12</f>
        <v>20.181403317675393</v>
      </c>
      <c r="AW39" s="21">
        <f>EXP(-LN(2)/2)*AW38+(1-EXP(-LN(2)/2))/(LN(2)/2)*AQ39*AT39*VLOOKUP('Données projet'!$B$10,Paramètres!$A$1:$I$89,3,0)*0.475*44/12</f>
        <v>6.5688475705786837</v>
      </c>
      <c r="AX39" s="21">
        <f t="shared" si="6"/>
        <v>72.786441522798256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39.5</v>
      </c>
      <c r="BD39" s="12">
        <f>IF('Données projet'!$A$88&gt;35,BD38+BC39-BL38,IF(A39&lt;'Données projet'!$A$88,$BA$205^A39,IF(A39='Données projet'!$A$88,'Données projet'!$B$88,BD38+BC39-BL38)))</f>
        <v>658</v>
      </c>
      <c r="BE39" s="13">
        <f>BD39*VLOOKUP('Données projet'!$B$11,Paramètres!$A$1:$I$89,3,0)*VLOOKUP('Données projet'!$B$11,Paramètres!$A$1:$I$89,5,0)</f>
        <v>307.94400000000002</v>
      </c>
      <c r="BF39" s="13">
        <f t="shared" si="37"/>
        <v>72.839289392732184</v>
      </c>
      <c r="BG39" s="20">
        <f t="shared" si="7"/>
        <v>663.19756235900854</v>
      </c>
      <c r="BH39" s="59">
        <f t="shared" si="8"/>
        <v>956.5308956923418</v>
      </c>
      <c r="BI39" s="59">
        <f ca="1">AVERAGE(OFFSET($BH$3,0,0,'Données projet'!$E$11+1,1))-AVERAGE(OFFSET($H$3,0,0,'Données projet'!$E$11+1,1))</f>
        <v>297.07458564121606</v>
      </c>
      <c r="BJ39" s="59">
        <f t="shared" si="38"/>
        <v>514.93897725587567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27.320869905491872</v>
      </c>
      <c r="BQ39" s="21">
        <f>EXP(-LN(2)/25)*BQ38+(1-EXP(-LN(2)/25))/(LN(2)/25)*Calculateur!BL39*Calculateur!BN39*VLOOKUP('Données projet'!$B$11,Paramètres!$A$1:$I$89,3,0)*0.475*44/12</f>
        <v>62.317399597601259</v>
      </c>
      <c r="BR39" s="21">
        <f>EXP(-LN(2)/2)*BR38+(1-EXP(-LN(2)/2))/(LN(2)/2)*BL39*BO39*VLOOKUP('Données projet'!$B$11,Paramètres!$A$1:$I$89,3,0)*0.475*44/12</f>
        <v>0.68848428983600907</v>
      </c>
      <c r="BS39" s="22">
        <f t="shared" si="9"/>
        <v>90.326753792929139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17.315999999999999</v>
      </c>
      <c r="D40" s="11">
        <f t="shared" si="32"/>
        <v>5.7259077130880893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177.86735778524135</v>
      </c>
      <c r="H40" s="67">
        <f t="shared" si="1"/>
        <v>333.46465593362842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10.407692307692306</v>
      </c>
      <c r="N40" s="13">
        <f>IF('Données projet'!$A$36&gt;35,N39+M40-V39,IF(A40&lt;'Données projet'!$A$36,$K$205^A40,IF(A40='Données projet'!$A$36,'Données projet'!$B$36,N39+M40-V39)))</f>
        <v>176.13076923076923</v>
      </c>
      <c r="O40" s="13">
        <f>N40*VLOOKUP('Données projet'!$B$9,Paramètres!$A$1:$I$89,3,0)*VLOOKUP('Données projet'!$B$9,Paramètres!$A$1:$I$89,5,0)</f>
        <v>82.429199999999994</v>
      </c>
      <c r="P40" s="13">
        <f t="shared" si="33"/>
        <v>22.730098173705116</v>
      </c>
      <c r="Q40" s="20">
        <f t="shared" si="53"/>
        <v>183.15244431920306</v>
      </c>
      <c r="R40" s="59">
        <f t="shared" si="0"/>
        <v>476.4857776525364</v>
      </c>
      <c r="S40" s="59">
        <f ca="1">AVERAGE(OFFSET($R$3,0,0,'Données projet'!$E$9+1,1))-AVERAGE(OFFSET($H$3,0,0,'Données projet'!$E$9+1,1))</f>
        <v>157.05226586109279</v>
      </c>
      <c r="T40" s="59">
        <f t="shared" si="34"/>
        <v>76.143582612540229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22.419230769230751</v>
      </c>
      <c r="AI40" s="13">
        <f>IF('Données projet'!$A$62&gt;35,AI39+AH40-AQ39,IF(A40&lt;'Données projet'!$A$62,$AF$205^A40,IF(A40='Données projet'!$A$62,'Données projet'!$B$62,AI39+AH40-AQ39)))</f>
        <v>356.62692307692311</v>
      </c>
      <c r="AJ40" s="13">
        <f>AI40*VLOOKUP('Données projet'!$B$10,Paramètres!$A$1:$I$89,3,0)*VLOOKUP('Données projet'!$B$10,Paramètres!$A$1:$I$89,5,0)</f>
        <v>199.35445000000001</v>
      </c>
      <c r="AK40" s="13">
        <f t="shared" si="35"/>
        <v>49.60226869073324</v>
      </c>
      <c r="AL40" s="20">
        <f t="shared" si="4"/>
        <v>433.59961838636042</v>
      </c>
      <c r="AM40" s="59">
        <f t="shared" si="5"/>
        <v>726.93295171969373</v>
      </c>
      <c r="AN40" s="59">
        <f ca="1">AVERAGE(OFFSET($AM$3,0,0,'Données projet'!$E$10+1,1))-AVERAGE(OFFSET($H$3,0,0,'Données projet'!$E$10+1,1))</f>
        <v>279.32192402750189</v>
      </c>
      <c r="AO40" s="59">
        <f t="shared" si="36"/>
        <v>371.43572414443611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45.133449015504453</v>
      </c>
      <c r="AV40" s="21">
        <f>EXP(-LN(2)/25)*AV39+(1-EXP(-LN(2)/25))/(LN(2)/25)*Calculateur!AQ40*Calculateur!AS40*VLOOKUP('Données projet'!$B$10,Paramètres!$A$1:$I$89,3,0)*0.475*44/12</f>
        <v>19.629541782659683</v>
      </c>
      <c r="AW40" s="21">
        <f>EXP(-LN(2)/2)*AW39+(1-EXP(-LN(2)/2))/(LN(2)/2)*AQ40*AT40*VLOOKUP('Données projet'!$B$10,Paramètres!$A$1:$I$89,3,0)*0.475*44/12</f>
        <v>4.6448766617369657</v>
      </c>
      <c r="AX40" s="21">
        <f t="shared" si="6"/>
        <v>69.407867459901098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39.5</v>
      </c>
      <c r="BD40" s="12">
        <f>IF('Données projet'!$A$88&gt;35,BD39+BC40-BL39,IF(A40&lt;'Données projet'!$A$88,$BA$205^A40,IF(A40='Données projet'!$A$88,'Données projet'!$B$88,BD39+BC40-BL39)))</f>
        <v>697.5</v>
      </c>
      <c r="BE40" s="13">
        <f>BD40*VLOOKUP('Données projet'!$B$11,Paramètres!$A$1:$I$89,3,0)*VLOOKUP('Données projet'!$B$11,Paramètres!$A$1:$I$89,5,0)</f>
        <v>326.43</v>
      </c>
      <c r="BF40" s="13">
        <f t="shared" si="37"/>
        <v>76.689687188938919</v>
      </c>
      <c r="BG40" s="20">
        <f t="shared" si="7"/>
        <v>702.10012185406868</v>
      </c>
      <c r="BH40" s="59">
        <f t="shared" si="8"/>
        <v>995.43345518740193</v>
      </c>
      <c r="BI40" s="59">
        <f ca="1">AVERAGE(OFFSET($BH$3,0,0,'Données projet'!$E$11+1,1))-AVERAGE(OFFSET($H$3,0,0,'Données projet'!$E$11+1,1))</f>
        <v>297.07458564121606</v>
      </c>
      <c r="BJ40" s="59">
        <f t="shared" si="38"/>
        <v>514.93897725587567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26.785124310730378</v>
      </c>
      <c r="BQ40" s="21">
        <f>EXP(-LN(2)/25)*BQ39+(1-EXP(-LN(2)/25))/(LN(2)/25)*Calculateur!BL40*Calculateur!BN40*VLOOKUP('Données projet'!$B$11,Paramètres!$A$1:$I$89,3,0)*0.475*44/12</f>
        <v>60.613327028475233</v>
      </c>
      <c r="BR40" s="21">
        <f>EXP(-LN(2)/2)*BR39+(1-EXP(-LN(2)/2))/(LN(2)/2)*BL40*BO40*VLOOKUP('Données projet'!$B$11,Paramètres!$A$1:$I$89,3,0)*0.475*44/12</f>
        <v>0.48683191008344645</v>
      </c>
      <c r="BS40" s="22">
        <f t="shared" si="9"/>
        <v>87.88528324928906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17.783999999999999</v>
      </c>
      <c r="D41" s="11">
        <f t="shared" si="32"/>
        <v>5.862435622634961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182.5338890168313</v>
      </c>
      <c r="H41" s="67">
        <f t="shared" si="1"/>
        <v>334.51754204275585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10.407692307692306</v>
      </c>
      <c r="N41" s="13">
        <f>IF('Données projet'!$A$36&gt;35,N40+M41-V40,IF(A41&lt;'Données projet'!$A$36,$K$205^A41,IF(A41='Données projet'!$A$36,'Données projet'!$B$36,N40+M41-V40)))</f>
        <v>186.53846153846155</v>
      </c>
      <c r="O41" s="13">
        <f>N41*VLOOKUP('Données projet'!$B$9,Paramètres!$A$1:$I$89,3,0)*VLOOKUP('Données projet'!$B$9,Paramètres!$A$1:$I$89,5,0)</f>
        <v>87.300000000000011</v>
      </c>
      <c r="P41" s="13">
        <f t="shared" si="33"/>
        <v>23.912900160000429</v>
      </c>
      <c r="Q41" s="20">
        <f t="shared" si="53"/>
        <v>193.69580111200079</v>
      </c>
      <c r="R41" s="59">
        <f t="shared" si="0"/>
        <v>487.02913444533408</v>
      </c>
      <c r="S41" s="59">
        <f ca="1">AVERAGE(OFFSET($R$3,0,0,'Données projet'!$E$9+1,1))-AVERAGE(OFFSET($H$3,0,0,'Données projet'!$E$9+1,1))</f>
        <v>157.05226586109279</v>
      </c>
      <c r="T41" s="59">
        <f t="shared" si="34"/>
        <v>76.143582612540229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22.419230769230751</v>
      </c>
      <c r="AI41" s="13">
        <f>IF('Données projet'!$A$62&gt;35,AI40+AH41-AQ40,IF(A41&lt;'Données projet'!$A$62,$AF$205^A41,IF(A41='Données projet'!$A$62,'Données projet'!$B$62,AI40+AH41-AQ40)))</f>
        <v>379.04615384615386</v>
      </c>
      <c r="AJ41" s="13">
        <f>AI41*VLOOKUP('Données projet'!$B$10,Paramètres!$A$1:$I$89,3,0)*VLOOKUP('Données projet'!$B$10,Paramètres!$A$1:$I$89,5,0)</f>
        <v>211.88679999999999</v>
      </c>
      <c r="AK41" s="13">
        <f t="shared" si="35"/>
        <v>52.347684082939317</v>
      </c>
      <c r="AL41" s="20">
        <f t="shared" si="4"/>
        <v>460.20839311111928</v>
      </c>
      <c r="AM41" s="59">
        <f t="shared" si="5"/>
        <v>753.54172644445259</v>
      </c>
      <c r="AN41" s="59">
        <f ca="1">AVERAGE(OFFSET($AM$3,0,0,'Données projet'!$E$10+1,1))-AVERAGE(OFFSET($H$3,0,0,'Données projet'!$E$10+1,1))</f>
        <v>279.32192402750189</v>
      </c>
      <c r="AO41" s="59">
        <f t="shared" si="36"/>
        <v>371.43572414443611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44.248409608996077</v>
      </c>
      <c r="AV41" s="21">
        <f>EXP(-LN(2)/25)*AV40+(1-EXP(-LN(2)/25))/(LN(2)/25)*Calculateur!AQ41*Calculateur!AS41*VLOOKUP('Données projet'!$B$10,Paramètres!$A$1:$I$89,3,0)*0.475*44/12</f>
        <v>19.092770930340116</v>
      </c>
      <c r="AW41" s="21">
        <f>EXP(-LN(2)/2)*AW40+(1-EXP(-LN(2)/2))/(LN(2)/2)*AQ41*AT41*VLOOKUP('Données projet'!$B$10,Paramètres!$A$1:$I$89,3,0)*0.475*44/12</f>
        <v>3.2844237852893423</v>
      </c>
      <c r="AX41" s="21">
        <f t="shared" si="6"/>
        <v>66.625604324625542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>
        <f>VLOOKUP(A41,'Données projet'!$A$87:$I$107,2,0)</f>
        <v>737</v>
      </c>
      <c r="BB41" s="12">
        <f>VLOOKUP(A41,'Données projet'!$A$87:$I$107,9,0)</f>
        <v>39.5</v>
      </c>
      <c r="BC41" s="12">
        <f t="array" ref="BC41">INDEX(BB:BB,MIN(IF(ISNUMBER(BB41:BB237),ROW(BB41:BB237),"")))</f>
        <v>39.5</v>
      </c>
      <c r="BD41" s="12">
        <f>IF('Données projet'!$A$88&gt;35,BD40+BC41-BL40,IF(A41&lt;'Données projet'!$A$88,$BA$205^A41,IF(A41='Données projet'!$A$88,'Données projet'!$B$88,BD40+BC41-BL40)))</f>
        <v>737</v>
      </c>
      <c r="BE41" s="13">
        <f>BD41*VLOOKUP('Données projet'!$B$11,Paramètres!$A$1:$I$89,3,0)*VLOOKUP('Données projet'!$B$11,Paramètres!$A$1:$I$89,5,0)</f>
        <v>344.916</v>
      </c>
      <c r="BF41" s="13">
        <f t="shared" si="37"/>
        <v>80.514773015069281</v>
      </c>
      <c r="BG41" s="20">
        <f t="shared" si="7"/>
        <v>740.95859633457894</v>
      </c>
      <c r="BH41" s="59">
        <f t="shared" si="8"/>
        <v>1034.2919296679122</v>
      </c>
      <c r="BI41" s="59">
        <f ca="1">AVERAGE(OFFSET($BH$3,0,0,'Données projet'!$E$11+1,1))-AVERAGE(OFFSET($H$3,0,0,'Données projet'!$E$11+1,1))</f>
        <v>297.07458564121606</v>
      </c>
      <c r="BJ41" s="59">
        <f t="shared" si="38"/>
        <v>514.93897725587567</v>
      </c>
      <c r="BK41" s="15">
        <f>IF(ISNA(VLOOKUP(A41,'Données projet'!$A$87:$I$107,3,0)),0,VLOOKUP(A41,'Données projet'!$A$87:$I$107,3,0))</f>
        <v>7</v>
      </c>
      <c r="BL41" s="15">
        <f>IF(ISNA(VLOOKUP(A41,'Données projet'!$A$87:$I$107,4,0)),0,VLOOKUP(A41,'Données projet'!$A$87:$I$107,4,0))</f>
        <v>55</v>
      </c>
      <c r="BM41" s="16">
        <f>IF(ISNA(VLOOKUP(A41,'Données projet'!$A$87:$I$107,5,0)),0%,VLOOKUP(A41,'Données projet'!$A$87:$I$107,5,0)*VLOOKUP('Données projet'!$B$11,Paramètres!$A$1:$I$89,7,0))</f>
        <v>0.27500000000000002</v>
      </c>
      <c r="BN41" s="16">
        <f>IF(ISNA(VLOOKUP(A41,'Données projet'!$A$87:$I$107,6,0)),0%,VLOOKUP(A41,'Données projet'!$A$87:$I$107,6,0)*VLOOKUP('Données projet'!$B$11,Paramètres!$A$1:$I$89,7,0))</f>
        <v>0.27500000000000002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35.649970858138396</v>
      </c>
      <c r="BQ41" s="21">
        <f>EXP(-LN(2)/25)*BQ40+(1-EXP(-LN(2)/25))/(LN(2)/25)*Calculateur!BL41*Calculateur!BN41*VLOOKUP('Données projet'!$B$11,Paramètres!$A$1:$I$89,3,0)*0.475*44/12</f>
        <v>68.308966562748623</v>
      </c>
      <c r="BR41" s="21">
        <f>EXP(-LN(2)/2)*BR40+(1-EXP(-LN(2)/2))/(LN(2)/2)*BL41*BO41*VLOOKUP('Données projet'!$B$11,Paramètres!$A$1:$I$89,3,0)*0.475*44/12</f>
        <v>0.34424214491800459</v>
      </c>
      <c r="BS41" s="22">
        <f t="shared" si="9"/>
        <v>104.30317956580502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18.251999999999999</v>
      </c>
      <c r="D42" s="11">
        <f t="shared" si="32"/>
        <v>5.9985459145634135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187.19719653347192</v>
      </c>
      <c r="H42" s="67">
        <f t="shared" si="1"/>
        <v>335.56970080119794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10.407692307692306</v>
      </c>
      <c r="N42" s="13">
        <f>IF('Données projet'!$A$36&gt;35,N41+M42-V41,IF(A42&lt;'Données projet'!$A$36,$K$205^A42,IF(A42='Données projet'!$A$36,'Données projet'!$B$36,N41+M42-V41)))</f>
        <v>196.94615384615386</v>
      </c>
      <c r="O42" s="13">
        <f>N42*VLOOKUP('Données projet'!$B$9,Paramètres!$A$1:$I$89,3,0)*VLOOKUP('Données projet'!$B$9,Paramètres!$A$1:$I$89,5,0)</f>
        <v>92.170800000000014</v>
      </c>
      <c r="P42" s="13">
        <f t="shared" si="33"/>
        <v>25.088041251308066</v>
      </c>
      <c r="Q42" s="20">
        <f t="shared" si="53"/>
        <v>204.22581517936158</v>
      </c>
      <c r="R42" s="59">
        <f t="shared" si="0"/>
        <v>497.55914851269489</v>
      </c>
      <c r="S42" s="59">
        <f ca="1">AVERAGE(OFFSET($R$3,0,0,'Données projet'!$E$9+1,1))-AVERAGE(OFFSET($H$3,0,0,'Données projet'!$E$9+1,1))</f>
        <v>157.05226586109279</v>
      </c>
      <c r="T42" s="59">
        <f t="shared" si="34"/>
        <v>76.143582612540229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22.419230769230751</v>
      </c>
      <c r="AI42" s="13">
        <f>IF('Données projet'!$A$62&gt;35,AI41+AH42-AQ41,IF(A42&lt;'Données projet'!$A$62,$AF$205^A42,IF(A42='Données projet'!$A$62,'Données projet'!$B$62,AI41+AH42-AQ41)))</f>
        <v>401.46538461538461</v>
      </c>
      <c r="AJ42" s="13">
        <f>AI42*VLOOKUP('Données projet'!$B$10,Paramètres!$A$1:$I$89,3,0)*VLOOKUP('Données projet'!$B$10,Paramètres!$A$1:$I$89,5,0)</f>
        <v>224.41915</v>
      </c>
      <c r="AK42" s="13">
        <f t="shared" si="35"/>
        <v>55.074251579267461</v>
      </c>
      <c r="AL42" s="20">
        <f t="shared" si="4"/>
        <v>486.78434108389075</v>
      </c>
      <c r="AM42" s="59">
        <f t="shared" si="5"/>
        <v>780.11767441722407</v>
      </c>
      <c r="AN42" s="59">
        <f ca="1">AVERAGE(OFFSET($AM$3,0,0,'Données projet'!$E$10+1,1))-AVERAGE(OFFSET($H$3,0,0,'Données projet'!$E$10+1,1))</f>
        <v>279.32192402750189</v>
      </c>
      <c r="AO42" s="59">
        <f t="shared" si="36"/>
        <v>371.43572414443611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43.380725285428596</v>
      </c>
      <c r="AV42" s="21">
        <f>EXP(-LN(2)/25)*AV41+(1-EXP(-LN(2)/25))/(LN(2)/25)*Calculateur!AQ42*Calculateur!AS42*VLOOKUP('Données projet'!$B$10,Paramètres!$A$1:$I$89,3,0)*0.475*44/12</f>
        <v>18.570678105204781</v>
      </c>
      <c r="AW42" s="21">
        <f>EXP(-LN(2)/2)*AW41+(1-EXP(-LN(2)/2))/(LN(2)/2)*AQ42*AT42*VLOOKUP('Données projet'!$B$10,Paramètres!$A$1:$I$89,3,0)*0.475*44/12</f>
        <v>2.3224383308684833</v>
      </c>
      <c r="AX42" s="21">
        <f t="shared" si="6"/>
        <v>64.273841721501853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33.200000000000003</v>
      </c>
      <c r="BD42" s="12">
        <f>IF('Données projet'!$A$88&gt;35,BD41+BC42-BL41,IF(A42&lt;'Données projet'!$A$88,$BA$205^A42,IF(A42='Données projet'!$A$88,'Données projet'!$B$88,BD41+BC42-BL41)))</f>
        <v>715.2</v>
      </c>
      <c r="BE42" s="13">
        <f>BD42*VLOOKUP('Données projet'!$B$11,Paramètres!$A$1:$I$89,3,0)*VLOOKUP('Données projet'!$B$11,Paramètres!$A$1:$I$89,5,0)</f>
        <v>334.71359999999999</v>
      </c>
      <c r="BF42" s="13">
        <f t="shared" si="37"/>
        <v>78.406748602579185</v>
      </c>
      <c r="BG42" s="20">
        <f t="shared" si="7"/>
        <v>719.51794048282534</v>
      </c>
      <c r="BH42" s="59">
        <f t="shared" si="8"/>
        <v>1012.8512738161587</v>
      </c>
      <c r="BI42" s="59">
        <f ca="1">AVERAGE(OFFSET($BH$3,0,0,'Données projet'!$E$11+1,1))-AVERAGE(OFFSET($H$3,0,0,'Données projet'!$E$11+1,1))</f>
        <v>297.07458564121606</v>
      </c>
      <c r="BJ42" s="59">
        <f t="shared" si="38"/>
        <v>514.93897725587567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34.950896673945451</v>
      </c>
      <c r="BQ42" s="21">
        <f>EXP(-LN(2)/25)*BQ41+(1-EXP(-LN(2)/25))/(LN(2)/25)*Calculateur!BL42*Calculateur!BN42*VLOOKUP('Données projet'!$B$11,Paramètres!$A$1:$I$89,3,0)*0.475*44/12</f>
        <v>66.441054279877832</v>
      </c>
      <c r="BR42" s="21">
        <f>EXP(-LN(2)/2)*BR41+(1-EXP(-LN(2)/2))/(LN(2)/2)*BL42*BO42*VLOOKUP('Données projet'!$B$11,Paramètres!$A$1:$I$89,3,0)*0.475*44/12</f>
        <v>0.24341595504172328</v>
      </c>
      <c r="BS42" s="22">
        <f t="shared" si="9"/>
        <v>101.63536690886501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18.72</v>
      </c>
      <c r="D43" s="11">
        <f t="shared" si="32"/>
        <v>6.1342505282708037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191.85737249893251</v>
      </c>
      <c r="H43" s="67">
        <f t="shared" si="1"/>
        <v>336.62115300340497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10.407692307692306</v>
      </c>
      <c r="N43" s="13">
        <f>IF('Données projet'!$A$36&gt;35,N42+M43-V42,IF(A43&lt;'Données projet'!$A$36,$K$205^A43,IF(A43='Données projet'!$A$36,'Données projet'!$B$36,N42+M43-V42)))</f>
        <v>207.35384615384618</v>
      </c>
      <c r="O43" s="13">
        <f>N43*VLOOKUP('Données projet'!$B$9,Paramètres!$A$1:$I$89,3,0)*VLOOKUP('Données projet'!$B$9,Paramètres!$A$1:$I$89,5,0)</f>
        <v>97.041600000000017</v>
      </c>
      <c r="P43" s="13">
        <f t="shared" si="33"/>
        <v>26.255972457521427</v>
      </c>
      <c r="Q43" s="20">
        <f t="shared" si="53"/>
        <v>214.74327203018319</v>
      </c>
      <c r="R43" s="59">
        <f t="shared" si="0"/>
        <v>508.07660536351648</v>
      </c>
      <c r="S43" s="59">
        <f ca="1">AVERAGE(OFFSET($R$3,0,0,'Données projet'!$E$9+1,1))-AVERAGE(OFFSET($H$3,0,0,'Données projet'!$E$9+1,1))</f>
        <v>157.05226586109279</v>
      </c>
      <c r="T43" s="59">
        <f t="shared" si="34"/>
        <v>76.143582612540229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22.419230769230751</v>
      </c>
      <c r="AI43" s="13">
        <f>IF('Données projet'!$A$62&gt;35,AI42+AH43-AQ42,IF(A43&lt;'Données projet'!$A$62,$AF$205^A43,IF(A43='Données projet'!$A$62,'Données projet'!$B$62,AI42+AH43-AQ42)))</f>
        <v>423.88461538461536</v>
      </c>
      <c r="AJ43" s="13">
        <f>AI43*VLOOKUP('Données projet'!$B$10,Paramètres!$A$1:$I$89,3,0)*VLOOKUP('Données projet'!$B$10,Paramètres!$A$1:$I$89,5,0)</f>
        <v>236.95150000000001</v>
      </c>
      <c r="AK43" s="13">
        <f t="shared" si="35"/>
        <v>57.783143668102753</v>
      </c>
      <c r="AL43" s="20">
        <f t="shared" si="4"/>
        <v>513.32950438861235</v>
      </c>
      <c r="AM43" s="59">
        <f t="shared" si="5"/>
        <v>806.66283772194561</v>
      </c>
      <c r="AN43" s="59">
        <f ca="1">AVERAGE(OFFSET($AM$3,0,0,'Données projet'!$E$10+1,1))-AVERAGE(OFFSET($H$3,0,0,'Données projet'!$E$10+1,1))</f>
        <v>279.32192402750189</v>
      </c>
      <c r="AO43" s="59">
        <f t="shared" si="36"/>
        <v>371.43572414443611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42.530055722211095</v>
      </c>
      <c r="AV43" s="21">
        <f>EXP(-LN(2)/25)*AV42+(1-EXP(-LN(2)/25))/(LN(2)/25)*Calculateur!AQ43*Calculateur!AS43*VLOOKUP('Données projet'!$B$10,Paramètres!$A$1:$I$89,3,0)*0.475*44/12</f>
        <v>18.062861935828437</v>
      </c>
      <c r="AW43" s="21">
        <f>EXP(-LN(2)/2)*AW42+(1-EXP(-LN(2)/2))/(LN(2)/2)*AQ43*AT43*VLOOKUP('Données projet'!$B$10,Paramètres!$A$1:$I$89,3,0)*0.475*44/12</f>
        <v>1.6422118926446714</v>
      </c>
      <c r="AX43" s="21">
        <f t="shared" si="6"/>
        <v>62.235129550684206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33.200000000000003</v>
      </c>
      <c r="BD43" s="12">
        <f>IF('Données projet'!$A$88&gt;35,BD42+BC43-BL42,IF(A43&lt;'Données projet'!$A$88,$BA$205^A43,IF(A43='Données projet'!$A$88,'Données projet'!$B$88,BD42+BC43-BL42)))</f>
        <v>748.40000000000009</v>
      </c>
      <c r="BE43" s="13">
        <f>BD43*VLOOKUP('Données projet'!$B$11,Paramètres!$A$1:$I$89,3,0)*VLOOKUP('Données projet'!$B$11,Paramètres!$A$1:$I$89,5,0)</f>
        <v>350.25120000000004</v>
      </c>
      <c r="BF43" s="13">
        <f t="shared" si="37"/>
        <v>81.61423376688245</v>
      </c>
      <c r="BG43" s="20">
        <f t="shared" si="7"/>
        <v>752.16563047732018</v>
      </c>
      <c r="BH43" s="59">
        <f t="shared" si="8"/>
        <v>1045.4989638106535</v>
      </c>
      <c r="BI43" s="59">
        <f ca="1">AVERAGE(OFFSET($BH$3,0,0,'Données projet'!$E$11+1,1))-AVERAGE(OFFSET($H$3,0,0,'Données projet'!$E$11+1,1))</f>
        <v>297.07458564121606</v>
      </c>
      <c r="BJ43" s="59">
        <f t="shared" si="38"/>
        <v>514.93897725587567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34.26553090811138</v>
      </c>
      <c r="BQ43" s="21">
        <f>EXP(-LN(2)/25)*BQ42+(1-EXP(-LN(2)/25))/(LN(2)/25)*Calculateur!BL43*Calculateur!BN43*VLOOKUP('Données projet'!$B$11,Paramètres!$A$1:$I$89,3,0)*0.475*44/12</f>
        <v>64.624220156611386</v>
      </c>
      <c r="BR43" s="21">
        <f>EXP(-LN(2)/2)*BR42+(1-EXP(-LN(2)/2))/(LN(2)/2)*BL43*BO43*VLOOKUP('Données projet'!$B$11,Paramètres!$A$1:$I$89,3,0)*0.475*44/12</f>
        <v>0.17212107245900232</v>
      </c>
      <c r="BS43" s="22">
        <f t="shared" si="9"/>
        <v>99.061872137181766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19.187999999999999</v>
      </c>
      <c r="D44" s="11">
        <f t="shared" si="32"/>
        <v>6.2695607721610704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196.51450420615564</v>
      </c>
      <c r="H44" s="67">
        <f t="shared" si="1"/>
        <v>337.6719183448472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10.407692307692306</v>
      </c>
      <c r="N44" s="13">
        <f>IF('Données projet'!$A$36&gt;35,N43+M44-V43,IF(A44&lt;'Données projet'!$A$36,$K$205^A44,IF(A44='Données projet'!$A$36,'Données projet'!$B$36,N43+M44-V43)))</f>
        <v>217.76153846153849</v>
      </c>
      <c r="O44" s="13">
        <f>N44*VLOOKUP('Données projet'!$B$9,Paramètres!$A$1:$I$89,3,0)*VLOOKUP('Données projet'!$B$9,Paramètres!$A$1:$I$89,5,0)</f>
        <v>101.91240000000002</v>
      </c>
      <c r="P44" s="13">
        <f t="shared" si="33"/>
        <v>27.417096956022522</v>
      </c>
      <c r="Q44" s="20">
        <f t="shared" si="53"/>
        <v>225.2488738650726</v>
      </c>
      <c r="R44" s="59">
        <f t="shared" si="0"/>
        <v>518.58220719840597</v>
      </c>
      <c r="S44" s="59">
        <f ca="1">AVERAGE(OFFSET($R$3,0,0,'Données projet'!$E$9+1,1))-AVERAGE(OFFSET($H$3,0,0,'Données projet'!$E$9+1,1))</f>
        <v>157.05226586109279</v>
      </c>
      <c r="T44" s="59">
        <f t="shared" si="34"/>
        <v>76.143582612540229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22.419230769230751</v>
      </c>
      <c r="AI44" s="13">
        <f>IF('Données projet'!$A$62&gt;35,AI43+AH44-AQ43,IF(A44&lt;'Données projet'!$A$62,$AF$205^A44,IF(A44='Données projet'!$A$62,'Données projet'!$B$62,AI43+AH44-AQ43)))</f>
        <v>446.30384615384611</v>
      </c>
      <c r="AJ44" s="13">
        <f>AI44*VLOOKUP('Données projet'!$B$10,Paramètres!$A$1:$I$89,3,0)*VLOOKUP('Données projet'!$B$10,Paramètres!$A$1:$I$89,5,0)</f>
        <v>249.48384999999996</v>
      </c>
      <c r="AK44" s="13">
        <f t="shared" si="35"/>
        <v>60.475401807280001</v>
      </c>
      <c r="AL44" s="20">
        <f t="shared" si="4"/>
        <v>539.8456968976792</v>
      </c>
      <c r="AM44" s="59">
        <f t="shared" si="5"/>
        <v>833.17903023101258</v>
      </c>
      <c r="AN44" s="59">
        <f ca="1">AVERAGE(OFFSET($AM$3,0,0,'Données projet'!$E$10+1,1))-AVERAGE(OFFSET($H$3,0,0,'Données projet'!$E$10+1,1))</f>
        <v>279.32192402750189</v>
      </c>
      <c r="AO44" s="59">
        <f t="shared" si="36"/>
        <v>371.43572414443611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41.696067270271087</v>
      </c>
      <c r="AV44" s="21">
        <f>EXP(-LN(2)/25)*AV43+(1-EXP(-LN(2)/25))/(LN(2)/25)*Calculateur!AQ44*Calculateur!AS44*VLOOKUP('Données projet'!$B$10,Paramètres!$A$1:$I$89,3,0)*0.475*44/12</f>
        <v>17.568932026308584</v>
      </c>
      <c r="AW44" s="21">
        <f>EXP(-LN(2)/2)*AW43+(1-EXP(-LN(2)/2))/(LN(2)/2)*AQ44*AT44*VLOOKUP('Données projet'!$B$10,Paramètres!$A$1:$I$89,3,0)*0.475*44/12</f>
        <v>1.1612191654342419</v>
      </c>
      <c r="AX44" s="21">
        <f t="shared" si="6"/>
        <v>60.426218462013914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33.200000000000003</v>
      </c>
      <c r="BD44" s="12">
        <f>IF('Données projet'!$A$88&gt;35,BD43+BC44-BL43,IF(A44&lt;'Données projet'!$A$88,$BA$205^A44,IF(A44='Données projet'!$A$88,'Données projet'!$B$88,BD43+BC44-BL43)))</f>
        <v>781.60000000000014</v>
      </c>
      <c r="BE44" s="13">
        <f>BD44*VLOOKUP('Données projet'!$B$11,Paramètres!$A$1:$I$89,3,0)*VLOOKUP('Données projet'!$B$11,Paramètres!$A$1:$I$89,5,0)</f>
        <v>365.78880000000004</v>
      </c>
      <c r="BF44" s="13">
        <f t="shared" si="37"/>
        <v>84.80519354593865</v>
      </c>
      <c r="BG44" s="20">
        <f t="shared" si="7"/>
        <v>784.78453875917648</v>
      </c>
      <c r="BH44" s="59">
        <f t="shared" si="8"/>
        <v>1078.1178720925097</v>
      </c>
      <c r="BI44" s="59">
        <f ca="1">AVERAGE(OFFSET($BH$3,0,0,'Données projet'!$E$11+1,1))-AVERAGE(OFFSET($H$3,0,0,'Données projet'!$E$11+1,1))</f>
        <v>297.07458564121606</v>
      </c>
      <c r="BJ44" s="59">
        <f t="shared" si="38"/>
        <v>514.93897725587567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33.593604746913478</v>
      </c>
      <c r="BQ44" s="21">
        <f>EXP(-LN(2)/25)*BQ43+(1-EXP(-LN(2)/25))/(LN(2)/25)*Calculateur!BL44*Calculateur!BN44*VLOOKUP('Données projet'!$B$11,Paramètres!$A$1:$I$89,3,0)*0.475*44/12</f>
        <v>62.857067457988812</v>
      </c>
      <c r="BR44" s="21">
        <f>EXP(-LN(2)/2)*BR43+(1-EXP(-LN(2)/2))/(LN(2)/2)*BL44*BO44*VLOOKUP('Données projet'!$B$11,Paramètres!$A$1:$I$89,3,0)*0.475*44/12</f>
        <v>0.12170797752086165</v>
      </c>
      <c r="BS44" s="22">
        <f t="shared" si="9"/>
        <v>96.572380182423146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19.655999999999999</v>
      </c>
      <c r="D45" s="11">
        <f t="shared" si="32"/>
        <v>6.4044873715575275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201.16867444711076</v>
      </c>
      <c r="H45" s="67">
        <f t="shared" si="1"/>
        <v>338.72201550546265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10.407692307692306</v>
      </c>
      <c r="N45" s="13">
        <f>IF('Données projet'!$A$36&gt;35,N44+M45-V44,IF(A45&lt;'Données projet'!$A$36,$K$205^A45,IF(A45='Données projet'!$A$36,'Données projet'!$B$36,N44+M45-V44)))</f>
        <v>228.16923076923081</v>
      </c>
      <c r="O45" s="13">
        <f>N45*VLOOKUP('Données projet'!$B$9,Paramètres!$A$1:$I$89,3,0)*VLOOKUP('Données projet'!$B$9,Paramètres!$A$1:$I$89,5,0)</f>
        <v>106.78320000000002</v>
      </c>
      <c r="P45" s="13">
        <f t="shared" si="33"/>
        <v>28.571777207672977</v>
      </c>
      <c r="Q45" s="20">
        <f t="shared" si="53"/>
        <v>235.74325197003046</v>
      </c>
      <c r="R45" s="59">
        <f t="shared" si="0"/>
        <v>529.0765853033638</v>
      </c>
      <c r="S45" s="59">
        <f ca="1">AVERAGE(OFFSET($R$3,0,0,'Données projet'!$E$9+1,1))-AVERAGE(OFFSET($H$3,0,0,'Données projet'!$E$9+1,1))</f>
        <v>157.05226586109279</v>
      </c>
      <c r="T45" s="59">
        <f t="shared" si="34"/>
        <v>76.143582612540229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468.72307692307686</v>
      </c>
      <c r="AG45" s="12">
        <f>VLOOKUP(A45,'Données projet'!$A$61:$I$81,9,0)</f>
        <v>22.419230769230751</v>
      </c>
      <c r="AH45" s="12">
        <f t="array" ref="AH45">INDEX(AG:AG,MIN(IF(ISNUMBER(AG45:AG241),ROW(AG45:AG241),"")))</f>
        <v>22.419230769230751</v>
      </c>
      <c r="AI45" s="13">
        <f>IF('Données projet'!$A$62&gt;35,AI44+AH45-AQ44,IF(A45&lt;'Données projet'!$A$62,$AF$205^A45,IF(A45='Données projet'!$A$62,'Données projet'!$B$62,AI44+AH45-AQ44)))</f>
        <v>468.72307692307686</v>
      </c>
      <c r="AJ45" s="13">
        <f>AI45*VLOOKUP('Données projet'!$B$10,Paramètres!$A$1:$I$89,3,0)*VLOOKUP('Données projet'!$B$10,Paramètres!$A$1:$I$89,5,0)</f>
        <v>262.01619999999997</v>
      </c>
      <c r="AK45" s="13">
        <f t="shared" si="35"/>
        <v>63.151956912854622</v>
      </c>
      <c r="AL45" s="20">
        <f t="shared" si="4"/>
        <v>566.33453995655509</v>
      </c>
      <c r="AM45" s="59">
        <f t="shared" si="5"/>
        <v>859.66787328988835</v>
      </c>
      <c r="AN45" s="59">
        <f ca="1">AVERAGE(OFFSET($AM$3,0,0,'Données projet'!$E$10+1,1))-AVERAGE(OFFSET($H$3,0,0,'Données projet'!$E$10+1,1))</f>
        <v>279.32192402750189</v>
      </c>
      <c r="AO45" s="59">
        <f t="shared" si="36"/>
        <v>371.43572414443611</v>
      </c>
      <c r="AP45" s="15">
        <f>IF(ISNA(VLOOKUP(A45,'Données projet'!$A$61:$I$81,3,0)),0,VLOOKUP(A45,'Données projet'!$A$61:$I$81,3,0))</f>
        <v>5</v>
      </c>
      <c r="AQ45" s="15">
        <f>IF(ISNA(VLOOKUP(A45,'Données projet'!$A$61:$I$81,4,0)),0,VLOOKUP(A45,'Données projet'!$A$61:$I$81,4,0))</f>
        <v>73.392307692307682</v>
      </c>
      <c r="AR45" s="16">
        <f>IF(ISNA(VLOOKUP(A45,'Données projet'!$A$61:$I$81,5,0)),0%,VLOOKUP(A45,'Données projet'!$A$61:$I$81,5,0)*VLOOKUP('Données projet'!$B$10,Paramètres!$A$1:$I$89,7,0))</f>
        <v>0.38500000000000001</v>
      </c>
      <c r="AS45" s="16">
        <f>IF(ISNA(VLOOKUP(A45,'Données projet'!$A$61:$I$81,6,0)),0%,VLOOKUP(A45,'Données projet'!$A$61:$I$81,6,0)*VLOOKUP('Données projet'!$B$10,Paramètres!$A$1:$I$89,7,0))</f>
        <v>9.240000000000001E-2</v>
      </c>
      <c r="AT45" s="16">
        <f>IF(ISNA(VLOOKUP(A45,'Données projet'!$A$61:$I$81,7,0)),0%,VLOOKUP(A45,'Données projet'!$A$61:$I$81,7,0))</f>
        <v>0.13200000000000001</v>
      </c>
      <c r="AU45" s="21">
        <f>EXP(-LN(2)/35)*AU44+(1-EXP(-LN(2)/35))/(LN(2)/35)*AQ45*AR45*VLOOKUP('Données projet'!$B$10,Paramètres!$A$1:$I$89,3,0)*0.475*44/12</f>
        <v>61.831684880697594</v>
      </c>
      <c r="AV45" s="21">
        <f>EXP(-LN(2)/25)*AV44+(1-EXP(-LN(2)/25))/(LN(2)/25)*Calculateur!AQ45*Calculateur!AS45*VLOOKUP('Données projet'!$B$10,Paramètres!$A$1:$I$89,3,0)*0.475*44/12</f>
        <v>22.097488925021114</v>
      </c>
      <c r="AW45" s="21">
        <f>EXP(-LN(2)/2)*AW44+(1-EXP(-LN(2)/2))/(LN(2)/2)*AQ45*AT45*VLOOKUP('Données projet'!$B$10,Paramètres!$A$1:$I$89,3,0)*0.475*44/12</f>
        <v>6.9526777981796624</v>
      </c>
      <c r="AX45" s="21">
        <f t="shared" si="6"/>
        <v>90.881851603898369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33.200000000000003</v>
      </c>
      <c r="BD45" s="12">
        <f>IF('Données projet'!$A$88&gt;35,BD44+BC45-BL44,IF(A45&lt;'Données projet'!$A$88,$BA$205^A45,IF(A45='Données projet'!$A$88,'Données projet'!$B$88,BD44+BC45-BL44)))</f>
        <v>814.80000000000018</v>
      </c>
      <c r="BE45" s="13">
        <f>BD45*VLOOKUP('Données projet'!$B$11,Paramètres!$A$1:$I$89,3,0)*VLOOKUP('Données projet'!$B$11,Paramètres!$A$1:$I$89,5,0)</f>
        <v>381.32640000000004</v>
      </c>
      <c r="BF45" s="13">
        <f t="shared" si="37"/>
        <v>87.980410140634021</v>
      </c>
      <c r="BG45" s="20">
        <f t="shared" si="7"/>
        <v>817.37602766160433</v>
      </c>
      <c r="BH45" s="59">
        <f t="shared" si="8"/>
        <v>1110.7093609949377</v>
      </c>
      <c r="BI45" s="59">
        <f ca="1">AVERAGE(OFFSET($BH$3,0,0,'Données projet'!$E$11+1,1))-AVERAGE(OFFSET($H$3,0,0,'Données projet'!$E$11+1,1))</f>
        <v>297.07458564121606</v>
      </c>
      <c r="BJ45" s="59">
        <f t="shared" si="38"/>
        <v>514.93897725587567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32.934854647902171</v>
      </c>
      <c r="BQ45" s="21">
        <f>EXP(-LN(2)/25)*BQ44+(1-EXP(-LN(2)/25))/(LN(2)/25)*Calculateur!BL45*Calculateur!BN45*VLOOKUP('Données projet'!$B$11,Paramètres!$A$1:$I$89,3,0)*0.475*44/12</f>
        <v>61.138237642840593</v>
      </c>
      <c r="BR45" s="21">
        <f>EXP(-LN(2)/2)*BR44+(1-EXP(-LN(2)/2))/(LN(2)/2)*BL45*BO45*VLOOKUP('Données projet'!$B$11,Paramètres!$A$1:$I$89,3,0)*0.475*44/12</f>
        <v>8.6060536229501175E-2</v>
      </c>
      <c r="BS45" s="22">
        <f t="shared" si="9"/>
        <v>94.15915282697226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20.123999999999999</v>
      </c>
      <c r="D46" s="11">
        <f t="shared" si="32"/>
        <v>6.539040511923969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205.81996184643063</v>
      </c>
      <c r="H46" s="67">
        <f t="shared" si="1"/>
        <v>339.77146222493423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10.407692307692306</v>
      </c>
      <c r="N46" s="13">
        <f>IF('Données projet'!$A$36&gt;35,N45+M46-V45,IF(A46&lt;'Données projet'!$A$36,$K$205^A46,IF(A46='Données projet'!$A$36,'Données projet'!$B$36,N45+M46-V45)))</f>
        <v>238.57692307692312</v>
      </c>
      <c r="O46" s="13">
        <f>N46*VLOOKUP('Données projet'!$B$9,Paramètres!$A$1:$I$89,3,0)*VLOOKUP('Données projet'!$B$9,Paramètres!$A$1:$I$89,5,0)</f>
        <v>111.65400000000002</v>
      </c>
      <c r="P46" s="13">
        <f t="shared" si="33"/>
        <v>29.720340737744728</v>
      </c>
      <c r="Q46" s="20">
        <f t="shared" si="53"/>
        <v>246.22697678490542</v>
      </c>
      <c r="R46" s="59">
        <f t="shared" si="0"/>
        <v>539.5603101182387</v>
      </c>
      <c r="S46" s="59">
        <f ca="1">AVERAGE(OFFSET($R$3,0,0,'Données projet'!$E$9+1,1))-AVERAGE(OFFSET($H$3,0,0,'Données projet'!$E$9+1,1))</f>
        <v>157.05226586109279</v>
      </c>
      <c r="T46" s="59">
        <f t="shared" si="34"/>
        <v>76.143582612540229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21.625641025641034</v>
      </c>
      <c r="AI46" s="13">
        <f>IF('Données projet'!$A$62&gt;35,AI45+AH46-AQ45,IF(A46&lt;'Données projet'!$A$62,$AF$205^A46,IF(A46='Données projet'!$A$62,'Données projet'!$B$62,AI45+AH46-AQ45)))</f>
        <v>416.95641025641021</v>
      </c>
      <c r="AJ46" s="13">
        <f>AI46*VLOOKUP('Données projet'!$B$10,Paramètres!$A$1:$I$89,3,0)*VLOOKUP('Données projet'!$B$10,Paramètres!$A$1:$I$89,5,0)</f>
        <v>233.0786333333333</v>
      </c>
      <c r="AK46" s="13">
        <f t="shared" si="35"/>
        <v>56.947838023653489</v>
      </c>
      <c r="AL46" s="20">
        <f t="shared" si="4"/>
        <v>505.1294376134187</v>
      </c>
      <c r="AM46" s="59">
        <f t="shared" si="5"/>
        <v>798.46277094675202</v>
      </c>
      <c r="AN46" s="59">
        <f ca="1">AVERAGE(OFFSET($AM$3,0,0,'Données projet'!$E$10+1,1))-AVERAGE(OFFSET($H$3,0,0,'Données projet'!$E$10+1,1))</f>
        <v>279.32192402750189</v>
      </c>
      <c r="AO46" s="59">
        <f t="shared" si="36"/>
        <v>371.43572414443611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60.619203253790985</v>
      </c>
      <c r="AV46" s="21">
        <f>EXP(-LN(2)/25)*AV45+(1-EXP(-LN(2)/25))/(LN(2)/25)*Calculateur!AQ46*Calculateur!AS46*VLOOKUP('Données projet'!$B$10,Paramètres!$A$1:$I$89,3,0)*0.475*44/12</f>
        <v>21.493231928309974</v>
      </c>
      <c r="AW46" s="21">
        <f>EXP(-LN(2)/2)*AW45+(1-EXP(-LN(2)/2))/(LN(2)/2)*AQ46*AT46*VLOOKUP('Données projet'!$B$10,Paramètres!$A$1:$I$89,3,0)*0.475*44/12</f>
        <v>4.9162856184979935</v>
      </c>
      <c r="AX46" s="21">
        <f t="shared" si="6"/>
        <v>87.028720800598961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>
        <f>VLOOKUP(A46,'Données projet'!$A$87:$I$107,2,0)</f>
        <v>848</v>
      </c>
      <c r="BB46" s="12">
        <f>VLOOKUP(A46,'Données projet'!$A$87:$I$107,9,0)</f>
        <v>33.200000000000003</v>
      </c>
      <c r="BC46" s="12">
        <f t="array" ref="BC46">INDEX(BB:BB,MIN(IF(ISNUMBER(BB46:BB242),ROW(BB46:BB242),"")))</f>
        <v>33.200000000000003</v>
      </c>
      <c r="BD46" s="12">
        <f>IF('Données projet'!$A$88&gt;35,BD45+BC46-BL45,IF(A46&lt;'Données projet'!$A$88,$BA$205^A46,IF(A46='Données projet'!$A$88,'Données projet'!$B$88,BD45+BC46-BL45)))</f>
        <v>848.00000000000023</v>
      </c>
      <c r="BE46" s="13">
        <f>BD46*VLOOKUP('Données projet'!$B$11,Paramètres!$A$1:$I$89,3,0)*VLOOKUP('Données projet'!$B$11,Paramètres!$A$1:$I$89,5,0)</f>
        <v>396.86400000000015</v>
      </c>
      <c r="BF46" s="13">
        <f t="shared" si="37"/>
        <v>91.140598401157234</v>
      </c>
      <c r="BG46" s="20">
        <f t="shared" si="7"/>
        <v>849.94134221534921</v>
      </c>
      <c r="BH46" s="59">
        <f t="shared" si="8"/>
        <v>1143.2746755486826</v>
      </c>
      <c r="BI46" s="59">
        <f ca="1">AVERAGE(OFFSET($BH$3,0,0,'Données projet'!$E$11+1,1))-AVERAGE(OFFSET($H$3,0,0,'Données projet'!$E$11+1,1))</f>
        <v>297.07458564121606</v>
      </c>
      <c r="BJ46" s="59">
        <f t="shared" si="38"/>
        <v>514.93897725587567</v>
      </c>
      <c r="BK46" s="15" t="str">
        <f>IF(ISNA(VLOOKUP(A46,'Données projet'!$A$87:$I$107,3,0)),0,VLOOKUP(A46,'Données projet'!$A$87:$I$107,3,0))</f>
        <v>CR</v>
      </c>
      <c r="BL46" s="15">
        <f>IF(ISNA(VLOOKUP(A46,'Données projet'!$A$87:$I$107,4,0)),0,VLOOKUP(A46,'Données projet'!$A$87:$I$107,4,0))</f>
        <v>848</v>
      </c>
      <c r="BM46" s="16">
        <f>IF(ISNA(VLOOKUP(A46,'Données projet'!$A$87:$I$107,5,0)),0%,VLOOKUP(A46,'Données projet'!$A$87:$I$107,5,0)*VLOOKUP('Données projet'!$B$11,Paramètres!$A$1:$I$89,7,0))</f>
        <v>0.27500000000000002</v>
      </c>
      <c r="BN46" s="16">
        <f>IF(ISNA(VLOOKUP(A46,'Données projet'!$A$87:$I$107,6,0)),0%,VLOOKUP(A46,'Données projet'!$A$87:$I$107,6,0)*VLOOKUP('Données projet'!$B$11,Paramètres!$A$1:$I$89,7,0))</f>
        <v>0.27500000000000002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177.06708314851295</v>
      </c>
      <c r="BQ46" s="21">
        <f>EXP(-LN(2)/25)*BQ45+(1-EXP(-LN(2)/25))/(LN(2)/25)*Calculateur!BL46*Calculateur!BN46*VLOOKUP('Données projet'!$B$11,Paramètres!$A$1:$I$89,3,0)*0.475*44/12</f>
        <v>203.67442384077881</v>
      </c>
      <c r="BR46" s="21">
        <f>EXP(-LN(2)/2)*BR45+(1-EXP(-LN(2)/2))/(LN(2)/2)*BL46*BO46*VLOOKUP('Données projet'!$B$11,Paramètres!$A$1:$I$89,3,0)*0.475*44/12</f>
        <v>6.0853988760430834E-2</v>
      </c>
      <c r="BS46" s="22">
        <f t="shared" si="9"/>
        <v>380.80236097805221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20.591999999999999</v>
      </c>
      <c r="D47" s="11">
        <f t="shared" si="32"/>
        <v>6.6732298779519512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210.46844116313787</v>
      </c>
      <c r="H47" s="67">
        <f t="shared" si="1"/>
        <v>340.8202753707663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10.407692307692306</v>
      </c>
      <c r="N47" s="13">
        <f>IF('Données projet'!$A$36&gt;35,N46+M47-V46,IF(A47&lt;'Données projet'!$A$36,$K$205^A47,IF(A47='Données projet'!$A$36,'Données projet'!$B$36,N46+M47-V46)))</f>
        <v>248.98461538461544</v>
      </c>
      <c r="O47" s="13">
        <f>N47*VLOOKUP('Données projet'!$B$9,Paramètres!$A$1:$I$89,3,0)*VLOOKUP('Données projet'!$B$9,Paramètres!$A$1:$I$89,5,0)</f>
        <v>116.52480000000001</v>
      </c>
      <c r="P47" s="13">
        <f t="shared" si="33"/>
        <v>30.86308487963316</v>
      </c>
      <c r="Q47" s="20">
        <f t="shared" si="53"/>
        <v>256.70056616536107</v>
      </c>
      <c r="R47" s="59">
        <f t="shared" si="0"/>
        <v>550.03389949869438</v>
      </c>
      <c r="S47" s="59">
        <f ca="1">AVERAGE(OFFSET($R$3,0,0,'Données projet'!$E$9+1,1))-AVERAGE(OFFSET($H$3,0,0,'Données projet'!$E$9+1,1))</f>
        <v>157.05226586109279</v>
      </c>
      <c r="T47" s="59">
        <f t="shared" si="34"/>
        <v>76.143582612540229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21.625641025641034</v>
      </c>
      <c r="AI47" s="13">
        <f>IF('Données projet'!$A$62&gt;35,AI46+AH47-AQ46,IF(A47&lt;'Données projet'!$A$62,$AF$205^A47,IF(A47='Données projet'!$A$62,'Données projet'!$B$62,AI46+AH47-AQ46)))</f>
        <v>438.58205128205122</v>
      </c>
      <c r="AJ47" s="13">
        <f>AI47*VLOOKUP('Données projet'!$B$10,Paramètres!$A$1:$I$89,3,0)*VLOOKUP('Données projet'!$B$10,Paramètres!$A$1:$I$89,5,0)</f>
        <v>245.16736666666665</v>
      </c>
      <c r="AK47" s="13">
        <f t="shared" si="35"/>
        <v>59.549932468183236</v>
      </c>
      <c r="AL47" s="20">
        <f t="shared" si="4"/>
        <v>530.71596265986352</v>
      </c>
      <c r="AM47" s="59">
        <f t="shared" si="5"/>
        <v>824.04929599319689</v>
      </c>
      <c r="AN47" s="59">
        <f ca="1">AVERAGE(OFFSET($AM$3,0,0,'Données projet'!$E$10+1,1))-AVERAGE(OFFSET($H$3,0,0,'Données projet'!$E$10+1,1))</f>
        <v>279.32192402750189</v>
      </c>
      <c r="AO47" s="59">
        <f t="shared" si="36"/>
        <v>371.43572414443611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59.430497652047244</v>
      </c>
      <c r="AV47" s="21">
        <f>EXP(-LN(2)/25)*AV46+(1-EXP(-LN(2)/25))/(LN(2)/25)*Calculateur!AQ47*Calculateur!AS47*VLOOKUP('Données projet'!$B$10,Paramètres!$A$1:$I$89,3,0)*0.475*44/12</f>
        <v>20.905498370950394</v>
      </c>
      <c r="AW47" s="21">
        <f>EXP(-LN(2)/2)*AW46+(1-EXP(-LN(2)/2))/(LN(2)/2)*AQ47*AT47*VLOOKUP('Données projet'!$B$10,Paramètres!$A$1:$I$89,3,0)*0.475*44/12</f>
        <v>3.4763388990898312</v>
      </c>
      <c r="AX47" s="21">
        <f t="shared" si="6"/>
        <v>83.812334922087459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2.2737367544323206E-13</v>
      </c>
      <c r="BE47" s="13">
        <f>BD47*VLOOKUP('Données projet'!$B$11,Paramètres!$A$1:$I$89,3,0)*VLOOKUP('Données projet'!$B$11,Paramètres!$A$1:$I$89,5,0)</f>
        <v>1.064108801074326E-13</v>
      </c>
      <c r="BF47" s="13">
        <f t="shared" si="37"/>
        <v>1.5870730813698654E-12</v>
      </c>
      <c r="BG47" s="20">
        <f t="shared" si="7"/>
        <v>2.9494845662396269E-12</v>
      </c>
      <c r="BH47" s="59">
        <f t="shared" si="8"/>
        <v>293.33333333333627</v>
      </c>
      <c r="BI47" s="59">
        <f ca="1">AVERAGE(OFFSET($BH$3,0,0,'Données projet'!$E$11+1,1))-AVERAGE(OFFSET($H$3,0,0,'Données projet'!$E$11+1,1))</f>
        <v>297.07458564121606</v>
      </c>
      <c r="BJ47" s="59">
        <f t="shared" si="38"/>
        <v>514.93897725587567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173.59490564822718</v>
      </c>
      <c r="BQ47" s="21">
        <f>EXP(-LN(2)/25)*BQ46+(1-EXP(-LN(2)/25))/(LN(2)/25)*Calculateur!BL47*Calculateur!BN47*VLOOKUP('Données projet'!$B$11,Paramètres!$A$1:$I$89,3,0)*0.475*44/12</f>
        <v>198.10493601008028</v>
      </c>
      <c r="BR47" s="21">
        <f>EXP(-LN(2)/2)*BR46+(1-EXP(-LN(2)/2))/(LN(2)/2)*BL47*BO47*VLOOKUP('Données projet'!$B$11,Paramètres!$A$1:$I$89,3,0)*0.475*44/12</f>
        <v>4.3030268114750594E-2</v>
      </c>
      <c r="BS47" s="22">
        <f t="shared" si="9"/>
        <v>371.74287192642225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21.06</v>
      </c>
      <c r="D48" s="11">
        <f t="shared" si="32"/>
        <v>6.8070646889944983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215.11418356416803</v>
      </c>
      <c r="H48" s="67">
        <f t="shared" si="1"/>
        <v>341.86847099999875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10.407692307692306</v>
      </c>
      <c r="N48" s="13">
        <f>IF('Données projet'!$A$36&gt;35,N47+M48-V47,IF(A48&lt;'Données projet'!$A$36,$K$205^A48,IF(A48='Données projet'!$A$36,'Données projet'!$B$36,N47+M48-V47)))</f>
        <v>259.39230769230772</v>
      </c>
      <c r="O48" s="13">
        <f>N48*VLOOKUP('Données projet'!$B$9,Paramètres!$A$1:$I$89,3,0)*VLOOKUP('Données projet'!$B$9,Paramètres!$A$1:$I$89,5,0)</f>
        <v>121.39560000000002</v>
      </c>
      <c r="P48" s="13">
        <f t="shared" si="33"/>
        <v>32.000280703058984</v>
      </c>
      <c r="Q48" s="20">
        <f t="shared" si="53"/>
        <v>267.16449222449438</v>
      </c>
      <c r="R48" s="59">
        <f t="shared" si="0"/>
        <v>560.4978255578277</v>
      </c>
      <c r="S48" s="59">
        <f ca="1">AVERAGE(OFFSET($R$3,0,0,'Données projet'!$E$9+1,1))-AVERAGE(OFFSET($H$3,0,0,'Données projet'!$E$9+1,1))</f>
        <v>157.05226586109279</v>
      </c>
      <c r="T48" s="59">
        <f t="shared" si="34"/>
        <v>76.143582612540229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21.625641025641034</v>
      </c>
      <c r="AI48" s="13">
        <f>IF('Données projet'!$A$62&gt;35,AI47+AH48-AQ47,IF(A48&lt;'Données projet'!$A$62,$AF$205^A48,IF(A48='Données projet'!$A$62,'Données projet'!$B$62,AI47+AH48-AQ47)))</f>
        <v>460.20769230769224</v>
      </c>
      <c r="AJ48" s="13">
        <f>AI48*VLOOKUP('Données projet'!$B$10,Paramètres!$A$1:$I$89,3,0)*VLOOKUP('Données projet'!$B$10,Paramètres!$A$1:$I$89,5,0)</f>
        <v>257.25609999999995</v>
      </c>
      <c r="AK48" s="13">
        <f t="shared" si="35"/>
        <v>62.137128695600659</v>
      </c>
      <c r="AL48" s="20">
        <f t="shared" si="4"/>
        <v>556.27653997817106</v>
      </c>
      <c r="AM48" s="59">
        <f t="shared" si="5"/>
        <v>849.60987331150432</v>
      </c>
      <c r="AN48" s="59">
        <f ca="1">AVERAGE(OFFSET($AM$3,0,0,'Données projet'!$E$10+1,1))-AVERAGE(OFFSET($H$3,0,0,'Données projet'!$E$10+1,1))</f>
        <v>279.32192402750189</v>
      </c>
      <c r="AO48" s="59">
        <f t="shared" si="36"/>
        <v>371.43572414443611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58.265101842114873</v>
      </c>
      <c r="AV48" s="21">
        <f>EXP(-LN(2)/25)*AV47+(1-EXP(-LN(2)/25))/(LN(2)/25)*Calculateur!AQ48*Calculateur!AS48*VLOOKUP('Données projet'!$B$10,Paramètres!$A$1:$I$89,3,0)*0.475*44/12</f>
        <v>20.333836418624376</v>
      </c>
      <c r="AW48" s="21">
        <f>EXP(-LN(2)/2)*AW47+(1-EXP(-LN(2)/2))/(LN(2)/2)*AQ48*AT48*VLOOKUP('Données projet'!$B$10,Paramètres!$A$1:$I$89,3,0)*0.475*44/12</f>
        <v>2.4581428092489968</v>
      </c>
      <c r="AX48" s="21">
        <f t="shared" si="6"/>
        <v>81.057081069988243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2.2737367544323206E-13</v>
      </c>
      <c r="BE48" s="13">
        <f>BD48*VLOOKUP('Données projet'!$B$11,Paramètres!$A$1:$I$89,3,0)*VLOOKUP('Données projet'!$B$11,Paramètres!$A$1:$I$89,5,0)</f>
        <v>1.064108801074326E-13</v>
      </c>
      <c r="BF48" s="13">
        <f t="shared" si="37"/>
        <v>1.5870730813698654E-12</v>
      </c>
      <c r="BG48" s="20">
        <f t="shared" si="7"/>
        <v>2.9494845662396269E-12</v>
      </c>
      <c r="BH48" s="59">
        <f t="shared" si="8"/>
        <v>293.33333333333627</v>
      </c>
      <c r="BI48" s="59">
        <f ca="1">AVERAGE(OFFSET($BH$3,0,0,'Données projet'!$E$11+1,1))-AVERAGE(OFFSET($H$3,0,0,'Données projet'!$E$11+1,1))</f>
        <v>297.07458564121606</v>
      </c>
      <c r="BJ48" s="59">
        <f t="shared" si="38"/>
        <v>514.93897725587567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170.19081543090286</v>
      </c>
      <c r="BQ48" s="21">
        <f>EXP(-LN(2)/25)*BQ47+(1-EXP(-LN(2)/25))/(LN(2)/25)*Calculateur!BL48*Calculateur!BN48*VLOOKUP('Données projet'!$B$11,Paramètres!$A$1:$I$89,3,0)*0.475*44/12</f>
        <v>192.68774611699882</v>
      </c>
      <c r="BR48" s="21">
        <f>EXP(-LN(2)/2)*BR47+(1-EXP(-LN(2)/2))/(LN(2)/2)*BL48*BO48*VLOOKUP('Données projet'!$B$11,Paramètres!$A$1:$I$89,3,0)*0.475*44/12</f>
        <v>3.0426994380215424E-2</v>
      </c>
      <c r="BS48" s="22">
        <f t="shared" si="9"/>
        <v>362.90898854228186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49" s="11">
        <f t="shared" si="32"/>
        <v>6.9405537312613585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219.75725687289471</v>
      </c>
      <c r="H49" s="67">
        <f t="shared" si="1"/>
        <v>342.91606441528018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10.407692307692306</v>
      </c>
      <c r="N49" s="13">
        <f>IF('Données projet'!$A$36&gt;35,N48+M49-V48,IF(A49&lt;'Données projet'!$A$36,$K$205^A49,IF(A49='Données projet'!$A$36,'Données projet'!$B$36,N48+M49-V48)))</f>
        <v>269.8</v>
      </c>
      <c r="O49" s="13">
        <f>N49*VLOOKUP('Données projet'!$B$9,Paramètres!$A$1:$I$89,3,0)*VLOOKUP('Données projet'!$B$9,Paramètres!$A$1:$I$89,5,0)</f>
        <v>126.2664</v>
      </c>
      <c r="P49" s="13">
        <f t="shared" si="33"/>
        <v>33.132176294071812</v>
      </c>
      <c r="Q49" s="20">
        <f t="shared" si="53"/>
        <v>277.6191870455084</v>
      </c>
      <c r="R49" s="59">
        <f t="shared" si="0"/>
        <v>570.95252037884165</v>
      </c>
      <c r="S49" s="59">
        <f ca="1">AVERAGE(OFFSET($R$3,0,0,'Données projet'!$E$9+1,1))-AVERAGE(OFFSET($H$3,0,0,'Données projet'!$E$9+1,1))</f>
        <v>157.05226586109279</v>
      </c>
      <c r="T49" s="59">
        <f t="shared" si="34"/>
        <v>76.143582612540229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21.625641025641034</v>
      </c>
      <c r="AI49" s="13">
        <f>IF('Données projet'!$A$62&gt;35,AI48+AH49-AQ48,IF(A49&lt;'Données projet'!$A$62,$AF$205^A49,IF(A49='Données projet'!$A$62,'Données projet'!$B$62,AI48+AH49-AQ48)))</f>
        <v>481.83333333333326</v>
      </c>
      <c r="AJ49" s="13">
        <f>AI49*VLOOKUP('Données projet'!$B$10,Paramètres!$A$1:$I$89,3,0)*VLOOKUP('Données projet'!$B$10,Paramètres!$A$1:$I$89,5,0)</f>
        <v>269.34483333333333</v>
      </c>
      <c r="AK49" s="13">
        <f t="shared" si="35"/>
        <v>64.710206731812576</v>
      </c>
      <c r="AL49" s="20">
        <f t="shared" si="4"/>
        <v>581.81252811346246</v>
      </c>
      <c r="AM49" s="59">
        <f t="shared" si="5"/>
        <v>875.14586144679583</v>
      </c>
      <c r="AN49" s="59">
        <f ca="1">AVERAGE(OFFSET($AM$3,0,0,'Données projet'!$E$10+1,1))-AVERAGE(OFFSET($H$3,0,0,'Données projet'!$E$10+1,1))</f>
        <v>279.32192402750189</v>
      </c>
      <c r="AO49" s="59">
        <f t="shared" si="36"/>
        <v>371.43572414443611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57.122558733194019</v>
      </c>
      <c r="AV49" s="21">
        <f>EXP(-LN(2)/25)*AV48+(1-EXP(-LN(2)/25))/(LN(2)/25)*Calculateur!AQ49*Calculateur!AS49*VLOOKUP('Données projet'!$B$10,Paramètres!$A$1:$I$89,3,0)*0.475*44/12</f>
        <v>19.77780659244711</v>
      </c>
      <c r="AW49" s="21">
        <f>EXP(-LN(2)/2)*AW48+(1-EXP(-LN(2)/2))/(LN(2)/2)*AQ49*AT49*VLOOKUP('Données projet'!$B$10,Paramètres!$A$1:$I$89,3,0)*0.475*44/12</f>
        <v>1.7381694495449156</v>
      </c>
      <c r="AX49" s="21">
        <f t="shared" si="6"/>
        <v>78.638534775186045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2.2737367544323206E-13</v>
      </c>
      <c r="BE49" s="13">
        <f>BD49*VLOOKUP('Données projet'!$B$11,Paramètres!$A$1:$I$89,3,0)*VLOOKUP('Données projet'!$B$11,Paramètres!$A$1:$I$89,5,0)</f>
        <v>1.064108801074326E-13</v>
      </c>
      <c r="BF49" s="13">
        <f t="shared" si="37"/>
        <v>1.5870730813698654E-12</v>
      </c>
      <c r="BG49" s="20">
        <f t="shared" si="7"/>
        <v>2.9494845662396269E-12</v>
      </c>
      <c r="BH49" s="59">
        <f t="shared" si="8"/>
        <v>293.33333333333627</v>
      </c>
      <c r="BI49" s="59">
        <f ca="1">AVERAGE(OFFSET($BH$3,0,0,'Données projet'!$E$11+1,1))-AVERAGE(OFFSET($H$3,0,0,'Données projet'!$E$11+1,1))</f>
        <v>297.07458564121606</v>
      </c>
      <c r="BJ49" s="59">
        <f t="shared" si="38"/>
        <v>514.93897725587567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166.85347734645026</v>
      </c>
      <c r="BQ49" s="21">
        <f>EXP(-LN(2)/25)*BQ48+(1-EXP(-LN(2)/25))/(LN(2)/25)*Calculateur!BL49*Calculateur!BN49*VLOOKUP('Données projet'!$B$11,Paramètres!$A$1:$I$89,3,0)*0.475*44/12</f>
        <v>187.41868956642131</v>
      </c>
      <c r="BR49" s="21">
        <f>EXP(-LN(2)/2)*BR48+(1-EXP(-LN(2)/2))/(LN(2)/2)*BL49*BO49*VLOOKUP('Données projet'!$B$11,Paramètres!$A$1:$I$89,3,0)*0.475*44/12</f>
        <v>2.1515134057375301E-2</v>
      </c>
      <c r="BS49" s="22">
        <f t="shared" si="9"/>
        <v>354.29368204692895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21.995999999999999</v>
      </c>
      <c r="D50" s="11">
        <f t="shared" si="32"/>
        <v>7.0737053871356732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224.39772579543327</v>
      </c>
      <c r="H50" s="67">
        <f t="shared" si="1"/>
        <v>343.96307021592793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10.407692307692306</v>
      </c>
      <c r="N50" s="13">
        <f>IF('Données projet'!$A$36&gt;35,N49+M50-V49,IF(A50&lt;'Données projet'!$A$36,$K$205^A50,IF(A50='Données projet'!$A$36,'Données projet'!$B$36,N49+M50-V49)))</f>
        <v>280.2076923076923</v>
      </c>
      <c r="O50" s="13">
        <f>N50*VLOOKUP('Données projet'!$B$9,Paramètres!$A$1:$I$89,3,0)*VLOOKUP('Données projet'!$B$9,Paramètres!$A$1:$I$89,5,0)</f>
        <v>131.13719999999998</v>
      </c>
      <c r="P50" s="13">
        <f t="shared" si="33"/>
        <v>34.258999514705152</v>
      </c>
      <c r="Q50" s="20">
        <f t="shared" si="53"/>
        <v>288.06504748811147</v>
      </c>
      <c r="R50" s="59">
        <f t="shared" si="0"/>
        <v>581.39838082144479</v>
      </c>
      <c r="S50" s="59">
        <f ca="1">AVERAGE(OFFSET($R$3,0,0,'Données projet'!$E$9+1,1))-AVERAGE(OFFSET($H$3,0,0,'Données projet'!$E$9+1,1))</f>
        <v>157.05226586109279</v>
      </c>
      <c r="T50" s="59">
        <f t="shared" si="34"/>
        <v>76.143582612540229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21.625641025641034</v>
      </c>
      <c r="AI50" s="13">
        <f>IF('Données projet'!$A$62&gt;35,AI49+AH50-AQ49,IF(A50&lt;'Données projet'!$A$62,$AF$205^A50,IF(A50='Données projet'!$A$62,'Données projet'!$B$62,AI49+AH50-AQ49)))</f>
        <v>503.45897435897427</v>
      </c>
      <c r="AJ50" s="13">
        <f>AI50*VLOOKUP('Données projet'!$B$10,Paramètres!$A$1:$I$89,3,0)*VLOOKUP('Données projet'!$B$10,Paramètres!$A$1:$I$89,5,0)</f>
        <v>281.43356666666659</v>
      </c>
      <c r="AK50" s="13">
        <f t="shared" si="35"/>
        <v>67.26987262617007</v>
      </c>
      <c r="AL50" s="20">
        <f t="shared" si="4"/>
        <v>607.32515676835726</v>
      </c>
      <c r="AM50" s="59">
        <f t="shared" si="5"/>
        <v>900.65849010169063</v>
      </c>
      <c r="AN50" s="59">
        <f ca="1">AVERAGE(OFFSET($AM$3,0,0,'Données projet'!$E$10+1,1))-AVERAGE(OFFSET($H$3,0,0,'Données projet'!$E$10+1,1))</f>
        <v>279.32192402750189</v>
      </c>
      <c r="AO50" s="59">
        <f t="shared" si="36"/>
        <v>371.43572414443611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56.002420197756614</v>
      </c>
      <c r="AV50" s="21">
        <f>EXP(-LN(2)/25)*AV49+(1-EXP(-LN(2)/25))/(LN(2)/25)*Calculateur!AQ50*Calculateur!AS50*VLOOKUP('Données projet'!$B$10,Paramètres!$A$1:$I$89,3,0)*0.475*44/12</f>
        <v>19.236981431106997</v>
      </c>
      <c r="AW50" s="21">
        <f>EXP(-LN(2)/2)*AW49+(1-EXP(-LN(2)/2))/(LN(2)/2)*AQ50*AT50*VLOOKUP('Données projet'!$B$10,Paramètres!$A$1:$I$89,3,0)*0.475*44/12</f>
        <v>1.2290714046244984</v>
      </c>
      <c r="AX50" s="21">
        <f t="shared" si="6"/>
        <v>76.46847303348811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2.2737367544323206E-13</v>
      </c>
      <c r="BE50" s="13">
        <f>BD50*VLOOKUP('Données projet'!$B$11,Paramètres!$A$1:$I$89,3,0)*VLOOKUP('Données projet'!$B$11,Paramètres!$A$1:$I$89,5,0)</f>
        <v>1.064108801074326E-13</v>
      </c>
      <c r="BF50" s="13">
        <f t="shared" si="37"/>
        <v>1.5870730813698654E-12</v>
      </c>
      <c r="BG50" s="20">
        <f t="shared" si="7"/>
        <v>2.9494845662396269E-12</v>
      </c>
      <c r="BH50" s="59">
        <f t="shared" si="8"/>
        <v>293.33333333333627</v>
      </c>
      <c r="BI50" s="59">
        <f ca="1">AVERAGE(OFFSET($BH$3,0,0,'Données projet'!$E$11+1,1))-AVERAGE(OFFSET($H$3,0,0,'Données projet'!$E$11+1,1))</f>
        <v>297.07458564121606</v>
      </c>
      <c r="BJ50" s="59">
        <f t="shared" si="38"/>
        <v>514.93897725587567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163.58158242625854</v>
      </c>
      <c r="BQ50" s="21">
        <f>EXP(-LN(2)/25)*BQ49+(1-EXP(-LN(2)/25))/(LN(2)/25)*Calculateur!BL50*Calculateur!BN50*VLOOKUP('Données projet'!$B$11,Paramètres!$A$1:$I$89,3,0)*0.475*44/12</f>
        <v>182.29371564430699</v>
      </c>
      <c r="BR50" s="21">
        <f>EXP(-LN(2)/2)*BR49+(1-EXP(-LN(2)/2))/(LN(2)/2)*BL50*BO50*VLOOKUP('Données projet'!$B$11,Paramètres!$A$1:$I$89,3,0)*0.475*44/12</f>
        <v>1.5213497190107714E-2</v>
      </c>
      <c r="BS50" s="22">
        <f t="shared" si="9"/>
        <v>345.89051156775565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22.463999999999999</v>
      </c>
      <c r="D51" s="11">
        <f t="shared" si="32"/>
        <v>7.2065276619252296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229.03565212714213</v>
      </c>
      <c r="H51" s="67">
        <f t="shared" si="1"/>
        <v>345.00950234451977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10.407692307692306</v>
      </c>
      <c r="N51" s="13">
        <f>IF('Données projet'!$A$36&gt;35,N50+M51-V50,IF(A51&lt;'Données projet'!$A$36,$K$205^A51,IF(A51='Données projet'!$A$36,'Données projet'!$B$36,N50+M51-V50)))</f>
        <v>290.61538461538458</v>
      </c>
      <c r="O51" s="13">
        <f>N51*VLOOKUP('Données projet'!$B$9,Paramètres!$A$1:$I$89,3,0)*VLOOKUP('Données projet'!$B$9,Paramètres!$A$1:$I$89,5,0)</f>
        <v>136.00799999999998</v>
      </c>
      <c r="P51" s="13">
        <f t="shared" si="33"/>
        <v>35.380960341100334</v>
      </c>
      <c r="Q51" s="20">
        <f t="shared" si="53"/>
        <v>298.50243926074967</v>
      </c>
      <c r="R51" s="59">
        <f t="shared" si="0"/>
        <v>591.83577259408298</v>
      </c>
      <c r="S51" s="59">
        <f ca="1">AVERAGE(OFFSET($R$3,0,0,'Données projet'!$E$9+1,1))-AVERAGE(OFFSET($H$3,0,0,'Données projet'!$E$9+1,1))</f>
        <v>157.05226586109279</v>
      </c>
      <c r="T51" s="59">
        <f t="shared" si="34"/>
        <v>76.143582612540229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525.0846153846154</v>
      </c>
      <c r="AG51" s="12">
        <f>VLOOKUP(A51,'Données projet'!$A$61:$I$81,9,0)</f>
        <v>21.625641025641034</v>
      </c>
      <c r="AH51" s="12">
        <f t="array" ref="AH51">INDEX(AG:AG,MIN(IF(ISNUMBER(AG51:AG247),ROW(AG51:AG247),"")))</f>
        <v>21.625641025641034</v>
      </c>
      <c r="AI51" s="13">
        <f>IF('Données projet'!$A$62&gt;35,AI50+AH51-AQ50,IF(A51&lt;'Données projet'!$A$62,$AF$205^A51,IF(A51='Données projet'!$A$62,'Données projet'!$B$62,AI50+AH51-AQ50)))</f>
        <v>525.08461538461529</v>
      </c>
      <c r="AJ51" s="13">
        <f>AI51*VLOOKUP('Données projet'!$B$10,Paramètres!$A$1:$I$89,3,0)*VLOOKUP('Données projet'!$B$10,Paramètres!$A$1:$I$89,5,0)</f>
        <v>293.52229999999997</v>
      </c>
      <c r="AK51" s="13">
        <f t="shared" si="35"/>
        <v>69.816768342057628</v>
      </c>
      <c r="AL51" s="20">
        <f t="shared" si="4"/>
        <v>632.81554402908364</v>
      </c>
      <c r="AM51" s="59">
        <f t="shared" si="5"/>
        <v>926.1488773624169</v>
      </c>
      <c r="AN51" s="59">
        <f ca="1">AVERAGE(OFFSET($AM$3,0,0,'Données projet'!$E$10+1,1))-AVERAGE(OFFSET($H$3,0,0,'Données projet'!$E$10+1,1))</f>
        <v>279.32192402750189</v>
      </c>
      <c r="AO51" s="59">
        <f t="shared" si="36"/>
        <v>371.43572414443611</v>
      </c>
      <c r="AP51" s="15">
        <f>IF(ISNA(VLOOKUP(A51,'Données projet'!$A$61:$I$81,3,0)),0,VLOOKUP(A51,'Données projet'!$A$61:$I$81,3,0))</f>
        <v>6</v>
      </c>
      <c r="AQ51" s="15">
        <f>IF(ISNA(VLOOKUP(A51,'Données projet'!$A$61:$I$81,4,0)),0,VLOOKUP(A51,'Données projet'!$A$61:$I$81,4,0))</f>
        <v>81.330769230769235</v>
      </c>
      <c r="AR51" s="16">
        <f>IF(ISNA(VLOOKUP(A51,'Données projet'!$A$61:$I$81,5,0)),0%,VLOOKUP(A51,'Données projet'!$A$61:$I$81,5,0)*VLOOKUP('Données projet'!$B$10,Paramètres!$A$1:$I$89,7,0))</f>
        <v>0.38500000000000001</v>
      </c>
      <c r="AS51" s="16">
        <f>IF(ISNA(VLOOKUP(A51,'Données projet'!$A$61:$I$81,6,0)),0%,VLOOKUP(A51,'Données projet'!$A$61:$I$81,6,0)*VLOOKUP('Données projet'!$B$10,Paramètres!$A$1:$I$89,7,0))</f>
        <v>9.240000000000001E-2</v>
      </c>
      <c r="AT51" s="16">
        <f>IF(ISNA(VLOOKUP(A51,'Données projet'!$A$61:$I$81,7,0)),0%,VLOOKUP(A51,'Données projet'!$A$61:$I$81,7,0))</f>
        <v>0.13200000000000001</v>
      </c>
      <c r="AU51" s="21">
        <f>EXP(-LN(2)/35)*AU50+(1-EXP(-LN(2)/35))/(LN(2)/35)*AQ51*AR51*VLOOKUP('Données projet'!$B$10,Paramètres!$A$1:$I$89,3,0)*0.475*44/12</f>
        <v>78.12390248786032</v>
      </c>
      <c r="AV51" s="21">
        <f>EXP(-LN(2)/25)*AV50+(1-EXP(-LN(2)/25))/(LN(2)/25)*Calculateur!AQ51*Calculateur!AS51*VLOOKUP('Données projet'!$B$10,Paramètres!$A$1:$I$89,3,0)*0.475*44/12</f>
        <v>24.261720592795644</v>
      </c>
      <c r="AW51" s="21">
        <f>EXP(-LN(2)/2)*AW50+(1-EXP(-LN(2)/2))/(LN(2)/2)*AQ51*AT51*VLOOKUP('Données projet'!$B$10,Paramètres!$A$1:$I$89,3,0)*0.475*44/12</f>
        <v>7.6638765903722392</v>
      </c>
      <c r="AX51" s="21">
        <f t="shared" si="6"/>
        <v>110.0494996710282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2.2737367544323206E-13</v>
      </c>
      <c r="BE51" s="13">
        <f>BD51*VLOOKUP('Données projet'!$B$11,Paramètres!$A$1:$I$89,3,0)*VLOOKUP('Données projet'!$B$11,Paramètres!$A$1:$I$89,5,0)</f>
        <v>1.064108801074326E-13</v>
      </c>
      <c r="BF51" s="13">
        <f t="shared" si="37"/>
        <v>1.5870730813698654E-12</v>
      </c>
      <c r="BG51" s="20">
        <f t="shared" si="7"/>
        <v>2.9494845662396269E-12</v>
      </c>
      <c r="BH51" s="59">
        <f t="shared" si="8"/>
        <v>293.33333333333627</v>
      </c>
      <c r="BI51" s="59">
        <f ca="1">AVERAGE(OFFSET($BH$3,0,0,'Données projet'!$E$11+1,1))-AVERAGE(OFFSET($H$3,0,0,'Données projet'!$E$11+1,1))</f>
        <v>297.07458564121606</v>
      </c>
      <c r="BJ51" s="59">
        <f t="shared" si="38"/>
        <v>514.93897725587567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160.37384736979294</v>
      </c>
      <c r="BQ51" s="21">
        <f>EXP(-LN(2)/25)*BQ50+(1-EXP(-LN(2)/25))/(LN(2)/25)*Calculateur!BL51*Calculateur!BN51*VLOOKUP('Données projet'!$B$11,Paramètres!$A$1:$I$89,3,0)*0.475*44/12</f>
        <v>177.30888440360354</v>
      </c>
      <c r="BR51" s="21">
        <f>EXP(-LN(2)/2)*BR50+(1-EXP(-LN(2)/2))/(LN(2)/2)*BL51*BO51*VLOOKUP('Données projet'!$B$11,Paramètres!$A$1:$I$89,3,0)*0.475*44/12</f>
        <v>1.0757567028687652E-2</v>
      </c>
      <c r="BS51" s="22">
        <f t="shared" si="9"/>
        <v>337.69348934042517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22.931999999999999</v>
      </c>
      <c r="D52" s="11">
        <f t="shared" si="32"/>
        <v>7.3390282083215084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233.67109494142917</v>
      </c>
      <c r="H52" s="67">
        <f t="shared" si="1"/>
        <v>346.05537412949326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10.407692307692306</v>
      </c>
      <c r="N52" s="13">
        <f>IF('Données projet'!$A$36&gt;35,N51+M52-V51,IF(A52&lt;'Données projet'!$A$36,$K$205^A52,IF(A52='Données projet'!$A$36,'Données projet'!$B$36,N51+M52-V51)))</f>
        <v>301.02307692307687</v>
      </c>
      <c r="O52" s="13">
        <f>N52*VLOOKUP('Données projet'!$B$9,Paramètres!$A$1:$I$89,3,0)*VLOOKUP('Données projet'!$B$9,Paramètres!$A$1:$I$89,5,0)</f>
        <v>140.87879999999998</v>
      </c>
      <c r="P52" s="13">
        <f t="shared" si="33"/>
        <v>36.498252857280519</v>
      </c>
      <c r="Q52" s="20">
        <f t="shared" si="53"/>
        <v>308.93170039309683</v>
      </c>
      <c r="R52" s="59">
        <f t="shared" si="0"/>
        <v>602.26503372643015</v>
      </c>
      <c r="S52" s="59">
        <f ca="1">AVERAGE(OFFSET($R$3,0,0,'Données projet'!$E$9+1,1))-AVERAGE(OFFSET($H$3,0,0,'Données projet'!$E$9+1,1))</f>
        <v>157.05226586109279</v>
      </c>
      <c r="T52" s="59">
        <f t="shared" si="34"/>
        <v>76.143582612540229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20.507692307692299</v>
      </c>
      <c r="AI52" s="13">
        <f>IF('Données projet'!$A$62&gt;35,AI51+AH52-AQ51,IF(A52&lt;'Données projet'!$A$62,$AF$205^A52,IF(A52='Données projet'!$A$62,'Données projet'!$B$62,AI51+AH52-AQ51)))</f>
        <v>464.26153846153835</v>
      </c>
      <c r="AJ52" s="13">
        <f>AI52*VLOOKUP('Données projet'!$B$10,Paramètres!$A$1:$I$89,3,0)*VLOOKUP('Données projet'!$B$10,Paramètres!$A$1:$I$89,5,0)</f>
        <v>259.52219999999994</v>
      </c>
      <c r="AK52" s="13">
        <f t="shared" si="35"/>
        <v>62.620519404058925</v>
      </c>
      <c r="AL52" s="20">
        <f t="shared" si="4"/>
        <v>561.06523629540254</v>
      </c>
      <c r="AM52" s="59">
        <f t="shared" si="5"/>
        <v>854.39856962873591</v>
      </c>
      <c r="AN52" s="59">
        <f ca="1">AVERAGE(OFFSET($AM$3,0,0,'Données projet'!$E$10+1,1))-AVERAGE(OFFSET($H$3,0,0,'Données projet'!$E$10+1,1))</f>
        <v>279.32192402750189</v>
      </c>
      <c r="AO52" s="59">
        <f t="shared" si="36"/>
        <v>371.43572414443611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76.591940410948766</v>
      </c>
      <c r="AV52" s="21">
        <f>EXP(-LN(2)/25)*AV51+(1-EXP(-LN(2)/25))/(LN(2)/25)*Calculateur!AQ52*Calculateur!AS52*VLOOKUP('Données projet'!$B$10,Paramètres!$A$1:$I$89,3,0)*0.475*44/12</f>
        <v>23.598282567317213</v>
      </c>
      <c r="AW52" s="21">
        <f>EXP(-LN(2)/2)*AW51+(1-EXP(-LN(2)/2))/(LN(2)/2)*AQ52*AT52*VLOOKUP('Données projet'!$B$10,Paramètres!$A$1:$I$89,3,0)*0.475*44/12</f>
        <v>5.4191791072290476</v>
      </c>
      <c r="AX52" s="21">
        <f t="shared" si="6"/>
        <v>105.60940208549502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2.2737367544323206E-13</v>
      </c>
      <c r="BE52" s="13">
        <f>BD52*VLOOKUP('Données projet'!$B$11,Paramètres!$A$1:$I$89,3,0)*VLOOKUP('Données projet'!$B$11,Paramètres!$A$1:$I$89,5,0)</f>
        <v>1.064108801074326E-13</v>
      </c>
      <c r="BF52" s="13">
        <f t="shared" si="37"/>
        <v>1.5870730813698654E-12</v>
      </c>
      <c r="BG52" s="20">
        <f t="shared" si="7"/>
        <v>2.9494845662396269E-12</v>
      </c>
      <c r="BH52" s="59">
        <f t="shared" si="8"/>
        <v>293.33333333333627</v>
      </c>
      <c r="BI52" s="59">
        <f ca="1">AVERAGE(OFFSET($BH$3,0,0,'Données projet'!$E$11+1,1))-AVERAGE(OFFSET($H$3,0,0,'Données projet'!$E$11+1,1))</f>
        <v>297.07458564121606</v>
      </c>
      <c r="BJ52" s="59">
        <f t="shared" si="38"/>
        <v>514.93897725587567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157.22901404125943</v>
      </c>
      <c r="BQ52" s="21">
        <f>EXP(-LN(2)/25)*BQ51+(1-EXP(-LN(2)/25))/(LN(2)/25)*Calculateur!BL52*Calculateur!BN52*VLOOKUP('Données projet'!$B$11,Paramètres!$A$1:$I$89,3,0)*0.475*44/12</f>
        <v>172.460363635318</v>
      </c>
      <c r="BR52" s="21">
        <f>EXP(-LN(2)/2)*BR51+(1-EXP(-LN(2)/2))/(LN(2)/2)*BL52*BO52*VLOOKUP('Données projet'!$B$11,Paramètres!$A$1:$I$89,3,0)*0.475*44/12</f>
        <v>7.6067485950538586E-3</v>
      </c>
      <c r="BS52" s="22">
        <f t="shared" si="9"/>
        <v>329.6969844251725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</v>
      </c>
      <c r="D53" s="11">
        <f t="shared" si="32"/>
        <v>7.4712143488056828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238.30411076271048</v>
      </c>
      <c r="H53" s="67">
        <f t="shared" si="1"/>
        <v>347.10069832416985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10.407692307692306</v>
      </c>
      <c r="N53" s="13">
        <f>IF('Données projet'!$A$36&gt;35,N52+M53-V52,IF(A53&lt;'Données projet'!$A$36,$K$205^A53,IF(A53='Données projet'!$A$36,'Données projet'!$B$36,N52+M53-V52)))</f>
        <v>311.43076923076916</v>
      </c>
      <c r="O53" s="13">
        <f>N53*VLOOKUP('Données projet'!$B$9,Paramètres!$A$1:$I$89,3,0)*VLOOKUP('Données projet'!$B$9,Paramètres!$A$1:$I$89,5,0)</f>
        <v>145.74959999999999</v>
      </c>
      <c r="P53" s="13">
        <f t="shared" si="33"/>
        <v>37.611056965444213</v>
      </c>
      <c r="Q53" s="20">
        <f t="shared" si="53"/>
        <v>319.3531442148153</v>
      </c>
      <c r="R53" s="59">
        <f t="shared" si="0"/>
        <v>612.68647754814856</v>
      </c>
      <c r="S53" s="59">
        <f ca="1">AVERAGE(OFFSET($R$3,0,0,'Données projet'!$E$9+1,1))-AVERAGE(OFFSET($H$3,0,0,'Données projet'!$E$9+1,1))</f>
        <v>157.05226586109279</v>
      </c>
      <c r="T53" s="59">
        <f t="shared" si="34"/>
        <v>76.143582612540229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20.507692307692299</v>
      </c>
      <c r="AI53" s="13">
        <f>IF('Données projet'!$A$62&gt;35,AI52+AH53-AQ52,IF(A53&lt;'Données projet'!$A$62,$AF$205^A53,IF(A53='Données projet'!$A$62,'Données projet'!$B$62,AI52+AH53-AQ52)))</f>
        <v>484.76923076923066</v>
      </c>
      <c r="AJ53" s="13">
        <f>AI53*VLOOKUP('Données projet'!$B$10,Paramètres!$A$1:$I$89,3,0)*VLOOKUP('Données projet'!$B$10,Paramètres!$A$1:$I$89,5,0)</f>
        <v>270.98599999999993</v>
      </c>
      <c r="AK53" s="13">
        <f t="shared" si="35"/>
        <v>65.058478958733772</v>
      </c>
      <c r="AL53" s="20">
        <f t="shared" si="4"/>
        <v>585.27746751979453</v>
      </c>
      <c r="AM53" s="59">
        <f t="shared" si="5"/>
        <v>878.61080085312778</v>
      </c>
      <c r="AN53" s="59">
        <f ca="1">AVERAGE(OFFSET($AM$3,0,0,'Données projet'!$E$10+1,1))-AVERAGE(OFFSET($H$3,0,0,'Données projet'!$E$10+1,1))</f>
        <v>279.32192402750189</v>
      </c>
      <c r="AO53" s="59">
        <f t="shared" si="36"/>
        <v>371.43572414443611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75.090019175960848</v>
      </c>
      <c r="AV53" s="21">
        <f>EXP(-LN(2)/25)*AV52+(1-EXP(-LN(2)/25))/(LN(2)/25)*Calculateur!AQ53*Calculateur!AS53*VLOOKUP('Données projet'!$B$10,Paramètres!$A$1:$I$89,3,0)*0.475*44/12</f>
        <v>22.952986289534177</v>
      </c>
      <c r="AW53" s="21">
        <f>EXP(-LN(2)/2)*AW52+(1-EXP(-LN(2)/2))/(LN(2)/2)*AQ53*AT53*VLOOKUP('Données projet'!$B$10,Paramètres!$A$1:$I$89,3,0)*0.475*44/12</f>
        <v>3.8319382951861205</v>
      </c>
      <c r="AX53" s="21">
        <f t="shared" si="6"/>
        <v>101.87494376068115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2.2737367544323206E-13</v>
      </c>
      <c r="BE53" s="13">
        <f>BD53*VLOOKUP('Données projet'!$B$11,Paramètres!$A$1:$I$89,3,0)*VLOOKUP('Données projet'!$B$11,Paramètres!$A$1:$I$89,5,0)</f>
        <v>1.064108801074326E-13</v>
      </c>
      <c r="BF53" s="13">
        <f t="shared" si="37"/>
        <v>1.5870730813698654E-12</v>
      </c>
      <c r="BG53" s="20">
        <f t="shared" si="7"/>
        <v>2.9494845662396269E-12</v>
      </c>
      <c r="BH53" s="59">
        <f t="shared" si="8"/>
        <v>293.33333333333627</v>
      </c>
      <c r="BI53" s="59">
        <f ca="1">AVERAGE(OFFSET($BH$3,0,0,'Données projet'!$E$11+1,1))-AVERAGE(OFFSET($H$3,0,0,'Données projet'!$E$11+1,1))</f>
        <v>297.07458564121606</v>
      </c>
      <c r="BJ53" s="59">
        <f t="shared" si="38"/>
        <v>514.93897725587567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154.14584897613955</v>
      </c>
      <c r="BQ53" s="21">
        <f>EXP(-LN(2)/25)*BQ52+(1-EXP(-LN(2)/25))/(LN(2)/25)*Calculateur!BL53*Calculateur!BN53*VLOOKUP('Données projet'!$B$11,Paramètres!$A$1:$I$89,3,0)*0.475*44/12</f>
        <v>167.74442592241388</v>
      </c>
      <c r="BR53" s="21">
        <f>EXP(-LN(2)/2)*BR52+(1-EXP(-LN(2)/2))/(LN(2)/2)*BL53*BO53*VLOOKUP('Données projet'!$B$11,Paramètres!$A$1:$I$89,3,0)*0.475*44/12</f>
        <v>5.3787835143438269E-3</v>
      </c>
      <c r="BS53" s="22">
        <f t="shared" si="9"/>
        <v>321.8956536820678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23.867999999999999</v>
      </c>
      <c r="D54" s="11">
        <f t="shared" si="32"/>
        <v>7.6030930962115368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242.93475372514169</v>
      </c>
      <c r="H54" s="67">
        <f t="shared" si="1"/>
        <v>348.14548714256841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>
        <f>VLOOKUP(A54,'Données projet'!$A$35:$I$55,2,0)</f>
        <v>321.8384615384615</v>
      </c>
      <c r="L54" s="12">
        <f>VLOOKUP(A54,'Données projet'!$A$35:$I$55,9,0)</f>
        <v>10.407692307692306</v>
      </c>
      <c r="M54" s="12">
        <f t="array" ref="M54">INDEX(L:L,MIN(IF(ISNUMBER(L54:L250),ROW(L54:L250),"")))</f>
        <v>10.407692307692306</v>
      </c>
      <c r="N54" s="13">
        <f>IF('Données projet'!$A$36&gt;35,N53+M54-V53,IF(A54&lt;'Données projet'!$A$36,$K$205^A54,IF(A54='Données projet'!$A$36,'Données projet'!$B$36,N53+M54-V53)))</f>
        <v>321.83846153846144</v>
      </c>
      <c r="O54" s="13">
        <f>N54*VLOOKUP('Données projet'!$B$9,Paramètres!$A$1:$I$89,3,0)*VLOOKUP('Données projet'!$B$9,Paramètres!$A$1:$I$89,5,0)</f>
        <v>150.62039999999996</v>
      </c>
      <c r="P54" s="13">
        <f t="shared" si="33"/>
        <v>38.719539861211025</v>
      </c>
      <c r="Q54" s="20">
        <f t="shared" si="53"/>
        <v>329.76706192494242</v>
      </c>
      <c r="R54" s="59">
        <f t="shared" si="0"/>
        <v>623.10039525827574</v>
      </c>
      <c r="S54" s="59">
        <f ca="1">AVERAGE(OFFSET($R$3,0,0,'Données projet'!$E$9+1,1))-AVERAGE(OFFSET($H$3,0,0,'Données projet'!$E$9+1,1))</f>
        <v>157.05226586109279</v>
      </c>
      <c r="T54" s="59">
        <f t="shared" si="34"/>
        <v>76.143582612540229</v>
      </c>
      <c r="U54" s="15">
        <f>IF(ISNA(VLOOKUP(A54,'Données projet'!$A$35:$I$55,3,0)),0,VLOOKUP(A54,'Données projet'!$A$35:$I$55,3,0))</f>
        <v>1</v>
      </c>
      <c r="V54" s="15">
        <f>IF(ISNA(VLOOKUP(A54,'Données projet'!$A$35:$I$55,4,0)),0,VLOOKUP(A54,'Données projet'!$A$35:$I$55,4,0))</f>
        <v>100.30769230769231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0.30800000000000005</v>
      </c>
      <c r="Y54" s="16">
        <f>IF(ISNA(VLOOKUP(A54,'Données projet'!$A$35:$I$55,7,0)),0%,VLOOKUP(A54,'Données projet'!$A$35:$I$55,7,0))</f>
        <v>0.44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19.104945668379624</v>
      </c>
      <c r="AB54" s="21">
        <f>EXP(-LN(2)/2)*AB53+(1-EXP(-LN(2)/2))/(LN(2)/2)*V54*Y54*VLOOKUP('Données projet'!$B$9,Paramètres!$A$1:$I$89,3,0)*0.475*44/12</f>
        <v>23.386665709036262</v>
      </c>
      <c r="AC54" s="22">
        <f t="shared" si="3"/>
        <v>42.491611377415886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20.507692307692299</v>
      </c>
      <c r="AI54" s="13">
        <f>IF('Données projet'!$A$62&gt;35,AI53+AH54-AQ53,IF(A54&lt;'Données projet'!$A$62,$AF$205^A54,IF(A54='Données projet'!$A$62,'Données projet'!$B$62,AI53+AH54-AQ53)))</f>
        <v>505.27692307692297</v>
      </c>
      <c r="AJ54" s="13">
        <f>AI54*VLOOKUP('Données projet'!$B$10,Paramètres!$A$1:$I$89,3,0)*VLOOKUP('Données projet'!$B$10,Paramètres!$A$1:$I$89,5,0)</f>
        <v>282.44979999999998</v>
      </c>
      <c r="AK54" s="13">
        <f t="shared" si="35"/>
        <v>67.484459274997945</v>
      </c>
      <c r="AL54" s="20">
        <f t="shared" si="4"/>
        <v>609.46883490395464</v>
      </c>
      <c r="AM54" s="59">
        <f t="shared" si="5"/>
        <v>902.80216823728802</v>
      </c>
      <c r="AN54" s="59">
        <f ca="1">AVERAGE(OFFSET($AM$3,0,0,'Données projet'!$E$10+1,1))-AVERAGE(OFFSET($H$3,0,0,'Données projet'!$E$10+1,1))</f>
        <v>279.32192402750189</v>
      </c>
      <c r="AO54" s="59">
        <f t="shared" si="36"/>
        <v>371.43572414443611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73.617549700309539</v>
      </c>
      <c r="AV54" s="21">
        <f>EXP(-LN(2)/25)*AV53+(1-EXP(-LN(2)/25))/(LN(2)/25)*Calculateur!AQ54*Calculateur!AS54*VLOOKUP('Données projet'!$B$10,Paramètres!$A$1:$I$89,3,0)*0.475*44/12</f>
        <v>22.325335672401774</v>
      </c>
      <c r="AW54" s="21">
        <f>EXP(-LN(2)/2)*AW53+(1-EXP(-LN(2)/2))/(LN(2)/2)*AQ54*AT54*VLOOKUP('Données projet'!$B$10,Paramètres!$A$1:$I$89,3,0)*0.475*44/12</f>
        <v>2.7095895536145242</v>
      </c>
      <c r="AX54" s="21">
        <f t="shared" si="6"/>
        <v>98.652474926325837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2.2737367544323206E-13</v>
      </c>
      <c r="BE54" s="13">
        <f>BD54*VLOOKUP('Données projet'!$B$11,Paramètres!$A$1:$I$89,3,0)*VLOOKUP('Données projet'!$B$11,Paramètres!$A$1:$I$89,5,0)</f>
        <v>1.064108801074326E-13</v>
      </c>
      <c r="BF54" s="13">
        <f t="shared" si="37"/>
        <v>1.5870730813698654E-12</v>
      </c>
      <c r="BG54" s="20">
        <f t="shared" si="7"/>
        <v>2.9494845662396269E-12</v>
      </c>
      <c r="BH54" s="59">
        <f t="shared" si="8"/>
        <v>293.33333333333627</v>
      </c>
      <c r="BI54" s="59">
        <f ca="1">AVERAGE(OFFSET($BH$3,0,0,'Données projet'!$E$11+1,1))-AVERAGE(OFFSET($H$3,0,0,'Données projet'!$E$11+1,1))</f>
        <v>297.07458564121606</v>
      </c>
      <c r="BJ54" s="59">
        <f t="shared" si="38"/>
        <v>514.93897725587567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151.12314289740166</v>
      </c>
      <c r="BQ54" s="21">
        <f>EXP(-LN(2)/25)*BQ53+(1-EXP(-LN(2)/25))/(LN(2)/25)*Calculateur!BL54*Calculateur!BN54*VLOOKUP('Données projet'!$B$11,Paramètres!$A$1:$I$89,3,0)*0.475*44/12</f>
        <v>163.15744577426949</v>
      </c>
      <c r="BR54" s="21">
        <f>EXP(-LN(2)/2)*BR53+(1-EXP(-LN(2)/2))/(LN(2)/2)*BL54*BO54*VLOOKUP('Données projet'!$B$11,Paramètres!$A$1:$I$89,3,0)*0.475*44/12</f>
        <v>3.8033742975269297E-3</v>
      </c>
      <c r="BS54" s="22">
        <f t="shared" si="9"/>
        <v>314.28439204596867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24.335999999999999</v>
      </c>
      <c r="D55" s="11">
        <f t="shared" si="32"/>
        <v>7.7346711726299766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247.56307571854714</v>
      </c>
      <c r="H55" s="67">
        <f t="shared" si="1"/>
        <v>349.18975229233052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10.763461538461542</v>
      </c>
      <c r="N55" s="13">
        <f>IF('Données projet'!$A$36&gt;35,N54+M55-V54,IF(A55&lt;'Données projet'!$A$36,$K$205^A55,IF(A55='Données projet'!$A$36,'Données projet'!$B$36,N54+M55-V54)))</f>
        <v>232.29423076923064</v>
      </c>
      <c r="O55" s="13">
        <f>N55*VLOOKUP('Données projet'!$B$9,Paramètres!$A$1:$I$89,3,0)*VLOOKUP('Données projet'!$B$9,Paramètres!$A$1:$I$89,5,0)</f>
        <v>108.71369999999995</v>
      </c>
      <c r="P55" s="13">
        <f t="shared" si="33"/>
        <v>29.027715101649999</v>
      </c>
      <c r="Q55" s="20">
        <f t="shared" si="53"/>
        <v>239.89963130204032</v>
      </c>
      <c r="R55" s="59">
        <f t="shared" si="0"/>
        <v>533.23296463537361</v>
      </c>
      <c r="S55" s="59">
        <f ca="1">AVERAGE(OFFSET($R$3,0,0,'Données projet'!$E$9+1,1))-AVERAGE(OFFSET($H$3,0,0,'Données projet'!$E$9+1,1))</f>
        <v>157.05226586109279</v>
      </c>
      <c r="T55" s="59">
        <f t="shared" si="34"/>
        <v>76.143582612540229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18.582519924392354</v>
      </c>
      <c r="AB55" s="21">
        <f>EXP(-LN(2)/2)*AB54+(1-EXP(-LN(2)/2))/(LN(2)/2)*V55*Y55*VLOOKUP('Données projet'!$B$9,Paramètres!$A$1:$I$89,3,0)*0.475*44/12</f>
        <v>16.536869912202441</v>
      </c>
      <c r="AC55" s="22">
        <f t="shared" si="3"/>
        <v>35.119389836594792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20.507692307692299</v>
      </c>
      <c r="AI55" s="13">
        <f>IF('Données projet'!$A$62&gt;35,AI54+AH55-AQ54,IF(A55&lt;'Données projet'!$A$62,$AF$205^A55,IF(A55='Données projet'!$A$62,'Données projet'!$B$62,AI54+AH55-AQ54)))</f>
        <v>525.78461538461522</v>
      </c>
      <c r="AJ55" s="13">
        <f>AI55*VLOOKUP('Données projet'!$B$10,Paramètres!$A$1:$I$89,3,0)*VLOOKUP('Données projet'!$B$10,Paramètres!$A$1:$I$89,5,0)</f>
        <v>293.91359999999992</v>
      </c>
      <c r="AK55" s="13">
        <f t="shared" si="35"/>
        <v>69.899002171586702</v>
      </c>
      <c r="AL55" s="20">
        <f t="shared" si="4"/>
        <v>633.64028211551329</v>
      </c>
      <c r="AM55" s="59">
        <f t="shared" si="5"/>
        <v>926.97361544884666</v>
      </c>
      <c r="AN55" s="59">
        <f ca="1">AVERAGE(OFFSET($AM$3,0,0,'Données projet'!$E$10+1,1))-AVERAGE(OFFSET($H$3,0,0,'Données projet'!$E$10+1,1))</f>
        <v>279.32192402750189</v>
      </c>
      <c r="AO55" s="59">
        <f t="shared" si="36"/>
        <v>371.43572414443611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72.173954452958057</v>
      </c>
      <c r="AV55" s="21">
        <f>EXP(-LN(2)/25)*AV54+(1-EXP(-LN(2)/25))/(LN(2)/25)*Calculateur!AQ55*Calculateur!AS55*VLOOKUP('Données projet'!$B$10,Paramètres!$A$1:$I$89,3,0)*0.475*44/12</f>
        <v>21.714848194401569</v>
      </c>
      <c r="AW55" s="21">
        <f>EXP(-LN(2)/2)*AW54+(1-EXP(-LN(2)/2))/(LN(2)/2)*AQ55*AT55*VLOOKUP('Données projet'!$B$10,Paramètres!$A$1:$I$89,3,0)*0.475*44/12</f>
        <v>1.9159691475930605</v>
      </c>
      <c r="AX55" s="21">
        <f t="shared" si="6"/>
        <v>95.804771794952686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2.2737367544323206E-13</v>
      </c>
      <c r="BE55" s="13">
        <f>BD55*VLOOKUP('Données projet'!$B$11,Paramètres!$A$1:$I$89,3,0)*VLOOKUP('Données projet'!$B$11,Paramètres!$A$1:$I$89,5,0)</f>
        <v>1.064108801074326E-13</v>
      </c>
      <c r="BF55" s="13">
        <f t="shared" si="37"/>
        <v>1.5870730813698654E-12</v>
      </c>
      <c r="BG55" s="20">
        <f t="shared" si="7"/>
        <v>2.9494845662396269E-12</v>
      </c>
      <c r="BH55" s="59">
        <f t="shared" si="8"/>
        <v>293.33333333333627</v>
      </c>
      <c r="BI55" s="59">
        <f ca="1">AVERAGE(OFFSET($BH$3,0,0,'Données projet'!$E$11+1,1))-AVERAGE(OFFSET($H$3,0,0,'Données projet'!$E$11+1,1))</f>
        <v>297.07458564121606</v>
      </c>
      <c r="BJ55" s="59">
        <f t="shared" si="38"/>
        <v>514.93897725587567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148.15971024119915</v>
      </c>
      <c r="BQ55" s="21">
        <f>EXP(-LN(2)/25)*BQ54+(1-EXP(-LN(2)/25))/(LN(2)/25)*Calculateur!BL55*Calculateur!BN55*VLOOKUP('Données projet'!$B$11,Paramètres!$A$1:$I$89,3,0)*0.475*44/12</f>
        <v>158.69589683949491</v>
      </c>
      <c r="BR55" s="21">
        <f>EXP(-LN(2)/2)*BR54+(1-EXP(-LN(2)/2))/(LN(2)/2)*BL55*BO55*VLOOKUP('Données projet'!$B$11,Paramètres!$A$1:$I$89,3,0)*0.475*44/12</f>
        <v>2.6893917571719139E-3</v>
      </c>
      <c r="BS55" s="22">
        <f t="shared" si="9"/>
        <v>306.85829647245123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24.803999999999998</v>
      </c>
      <c r="D56" s="11">
        <f t="shared" si="32"/>
        <v>7.8659550268183116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252.18912652280798</v>
      </c>
      <c r="H56" s="67">
        <f t="shared" si="1"/>
        <v>350.23350500504188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10.763461538461542</v>
      </c>
      <c r="N56" s="13">
        <f>IF('Données projet'!$A$36&gt;35,N55+M56-V55,IF(A56&lt;'Données projet'!$A$36,$K$205^A56,IF(A56='Données projet'!$A$36,'Données projet'!$B$36,N55+M56-V55)))</f>
        <v>243.05769230769218</v>
      </c>
      <c r="O56" s="13">
        <f>N56*VLOOKUP('Données projet'!$B$9,Paramètres!$A$1:$I$89,3,0)*VLOOKUP('Données projet'!$B$9,Paramètres!$A$1:$I$89,5,0)</f>
        <v>113.75099999999993</v>
      </c>
      <c r="P56" s="13">
        <f t="shared" si="33"/>
        <v>30.213017355661915</v>
      </c>
      <c r="Q56" s="20">
        <f t="shared" si="53"/>
        <v>250.73733022777768</v>
      </c>
      <c r="R56" s="59">
        <f t="shared" si="0"/>
        <v>544.07066356111102</v>
      </c>
      <c r="S56" s="59">
        <f ca="1">AVERAGE(OFFSET($R$3,0,0,'Données projet'!$E$9+1,1))-AVERAGE(OFFSET($H$3,0,0,'Données projet'!$E$9+1,1))</f>
        <v>157.05226586109279</v>
      </c>
      <c r="T56" s="59">
        <f t="shared" si="34"/>
        <v>76.143582612540229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18.074379939847592</v>
      </c>
      <c r="AB56" s="21">
        <f>EXP(-LN(2)/2)*AB55+(1-EXP(-LN(2)/2))/(LN(2)/2)*V56*Y56*VLOOKUP('Données projet'!$B$9,Paramètres!$A$1:$I$89,3,0)*0.475*44/12</f>
        <v>11.693332854518134</v>
      </c>
      <c r="AC56" s="22">
        <f t="shared" si="3"/>
        <v>29.767712794365728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20.507692307692299</v>
      </c>
      <c r="AI56" s="13">
        <f>IF('Données projet'!$A$62&gt;35,AI55+AH56-AQ55,IF(A56&lt;'Données projet'!$A$62,$AF$205^A56,IF(A56='Données projet'!$A$62,'Données projet'!$B$62,AI55+AH56-AQ55)))</f>
        <v>546.29230769230753</v>
      </c>
      <c r="AJ56" s="13">
        <f>AI56*VLOOKUP('Données projet'!$B$10,Paramètres!$A$1:$I$89,3,0)*VLOOKUP('Données projet'!$B$10,Paramètres!$A$1:$I$89,5,0)</f>
        <v>305.37739999999991</v>
      </c>
      <c r="AK56" s="13">
        <f t="shared" si="35"/>
        <v>72.302604807906476</v>
      </c>
      <c r="AL56" s="20">
        <f t="shared" si="4"/>
        <v>657.79267504043685</v>
      </c>
      <c r="AM56" s="59">
        <f t="shared" si="5"/>
        <v>951.12600837377022</v>
      </c>
      <c r="AN56" s="59">
        <f ca="1">AVERAGE(OFFSET($AM$3,0,0,'Données projet'!$E$10+1,1))-AVERAGE(OFFSET($H$3,0,0,'Données projet'!$E$10+1,1))</f>
        <v>279.32192402750189</v>
      </c>
      <c r="AO56" s="59">
        <f t="shared" si="36"/>
        <v>371.43572414443611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70.758667227900972</v>
      </c>
      <c r="AV56" s="21">
        <f>EXP(-LN(2)/25)*AV55+(1-EXP(-LN(2)/25))/(LN(2)/25)*Calculateur!AQ56*Calculateur!AS56*VLOOKUP('Données projet'!$B$10,Paramètres!$A$1:$I$89,3,0)*0.475*44/12</f>
        <v>21.121054528591422</v>
      </c>
      <c r="AW56" s="21">
        <f>EXP(-LN(2)/2)*AW55+(1-EXP(-LN(2)/2))/(LN(2)/2)*AQ56*AT56*VLOOKUP('Données projet'!$B$10,Paramètres!$A$1:$I$89,3,0)*0.475*44/12</f>
        <v>1.3547947768072623</v>
      </c>
      <c r="AX56" s="21">
        <f t="shared" si="6"/>
        <v>93.234516533299654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2.2737367544323206E-13</v>
      </c>
      <c r="BE56" s="13">
        <f>BD56*VLOOKUP('Données projet'!$B$11,Paramètres!$A$1:$I$89,3,0)*VLOOKUP('Données projet'!$B$11,Paramètres!$A$1:$I$89,5,0)</f>
        <v>1.064108801074326E-13</v>
      </c>
      <c r="BF56" s="13">
        <f t="shared" si="37"/>
        <v>1.5870730813698654E-12</v>
      </c>
      <c r="BG56" s="20">
        <f t="shared" si="7"/>
        <v>2.9494845662396269E-12</v>
      </c>
      <c r="BH56" s="59">
        <f t="shared" si="8"/>
        <v>293.33333333333627</v>
      </c>
      <c r="BI56" s="59">
        <f ca="1">AVERAGE(OFFSET($BH$3,0,0,'Données projet'!$E$11+1,1))-AVERAGE(OFFSET($H$3,0,0,'Données projet'!$E$11+1,1))</f>
        <v>297.07458564121606</v>
      </c>
      <c r="BJ56" s="59">
        <f t="shared" si="38"/>
        <v>514.93897725587567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145.25438869186934</v>
      </c>
      <c r="BQ56" s="21">
        <f>EXP(-LN(2)/25)*BQ55+(1-EXP(-LN(2)/25))/(LN(2)/25)*Calculateur!BL56*Calculateur!BN56*VLOOKUP('Données projet'!$B$11,Paramètres!$A$1:$I$89,3,0)*0.475*44/12</f>
        <v>154.35634919496439</v>
      </c>
      <c r="BR56" s="21">
        <f>EXP(-LN(2)/2)*BR55+(1-EXP(-LN(2)/2))/(LN(2)/2)*BL56*BO56*VLOOKUP('Données projet'!$B$11,Paramètres!$A$1:$I$89,3,0)*0.475*44/12</f>
        <v>1.9016871487634653E-3</v>
      </c>
      <c r="BS56" s="22">
        <f t="shared" si="9"/>
        <v>299.61263957398245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25.271999999999998</v>
      </c>
      <c r="D57" s="11">
        <f t="shared" si="32"/>
        <v>7.996950850258413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256.81295393181932</v>
      </c>
      <c r="H57" s="67">
        <f t="shared" si="1"/>
        <v>351.27675606420007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10.763461538461542</v>
      </c>
      <c r="N57" s="13">
        <f>IF('Données projet'!$A$36&gt;35,N56+M57-V56,IF(A57&lt;'Données projet'!$A$36,$K$205^A57,IF(A57='Données projet'!$A$36,'Données projet'!$B$36,N56+M57-V56)))</f>
        <v>253.82115384615372</v>
      </c>
      <c r="O57" s="13">
        <f>N57*VLOOKUP('Données projet'!$B$9,Paramètres!$A$1:$I$89,3,0)*VLOOKUP('Données projet'!$B$9,Paramètres!$A$1:$I$89,5,0)</f>
        <v>118.78829999999994</v>
      </c>
      <c r="P57" s="13">
        <f t="shared" si="33"/>
        <v>31.392223457890381</v>
      </c>
      <c r="Q57" s="20">
        <f t="shared" si="53"/>
        <v>261.56441168915899</v>
      </c>
      <c r="R57" s="59">
        <f t="shared" si="0"/>
        <v>554.89774502249224</v>
      </c>
      <c r="S57" s="59">
        <f ca="1">AVERAGE(OFFSET($R$3,0,0,'Données projet'!$E$9+1,1))-AVERAGE(OFFSET($H$3,0,0,'Données projet'!$E$9+1,1))</f>
        <v>157.05226586109279</v>
      </c>
      <c r="T57" s="59">
        <f t="shared" si="34"/>
        <v>76.143582612540229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17.580135069902127</v>
      </c>
      <c r="AB57" s="21">
        <f>EXP(-LN(2)/2)*AB56+(1-EXP(-LN(2)/2))/(LN(2)/2)*V57*Y57*VLOOKUP('Données projet'!$B$9,Paramètres!$A$1:$I$89,3,0)*0.475*44/12</f>
        <v>8.2684349561012223</v>
      </c>
      <c r="AC57" s="22">
        <f t="shared" si="3"/>
        <v>25.848570026003351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566.79999999999995</v>
      </c>
      <c r="AG57" s="12">
        <f>VLOOKUP(A57,'Données projet'!$A$61:$I$81,9,0)</f>
        <v>20.507692307692299</v>
      </c>
      <c r="AH57" s="12">
        <f t="array" ref="AH57">INDEX(AG:AG,MIN(IF(ISNUMBER(AG57:AG253),ROW(AG57:AG253),"")))</f>
        <v>20.507692307692299</v>
      </c>
      <c r="AI57" s="13">
        <f>IF('Données projet'!$A$62&gt;35,AI56+AH57-AQ56,IF(A57&lt;'Données projet'!$A$62,$AF$205^A57,IF(A57='Données projet'!$A$62,'Données projet'!$B$62,AI56+AH57-AQ56)))</f>
        <v>566.79999999999984</v>
      </c>
      <c r="AJ57" s="13">
        <f>AI57*VLOOKUP('Données projet'!$B$10,Paramètres!$A$1:$I$89,3,0)*VLOOKUP('Données projet'!$B$10,Paramètres!$A$1:$I$89,5,0)</f>
        <v>316.8411999999999</v>
      </c>
      <c r="AK57" s="13">
        <f t="shared" si="35"/>
        <v>74.695724902330795</v>
      </c>
      <c r="AL57" s="20">
        <f t="shared" si="4"/>
        <v>681.92681087155927</v>
      </c>
      <c r="AM57" s="59">
        <f t="shared" si="5"/>
        <v>975.26014420489264</v>
      </c>
      <c r="AN57" s="59">
        <f ca="1">AVERAGE(OFFSET($AM$3,0,0,'Données projet'!$E$10+1,1))-AVERAGE(OFFSET($H$3,0,0,'Données projet'!$E$10+1,1))</f>
        <v>279.32192402750189</v>
      </c>
      <c r="AO57" s="59">
        <f t="shared" si="36"/>
        <v>371.43572414443611</v>
      </c>
      <c r="AP57" s="15">
        <f>IF(ISNA(VLOOKUP(A57,'Données projet'!$A$61:$I$81,3,0)),0,VLOOKUP(A57,'Données projet'!$A$61:$I$81,3,0))</f>
        <v>7</v>
      </c>
      <c r="AQ57" s="15">
        <f>IF(ISNA(VLOOKUP(A57,'Données projet'!$A$61:$I$81,4,0)),0,VLOOKUP(A57,'Données projet'!$A$61:$I$81,4,0))</f>
        <v>566.79999999999995</v>
      </c>
      <c r="AR57" s="16">
        <f>IF(ISNA(VLOOKUP(A57,'Données projet'!$A$61:$I$81,5,0)),0%,VLOOKUP(A57,'Données projet'!$A$61:$I$81,5,0)*VLOOKUP('Données projet'!$B$10,Paramètres!$A$1:$I$89,7,0))</f>
        <v>0.38500000000000001</v>
      </c>
      <c r="AS57" s="16">
        <f>IF(ISNA(VLOOKUP(A57,'Données projet'!$A$61:$I$81,6,0)),0%,VLOOKUP(A57,'Données projet'!$A$61:$I$81,6,0)*VLOOKUP('Données projet'!$B$10,Paramètres!$A$1:$I$89,7,0))</f>
        <v>9.240000000000001E-2</v>
      </c>
      <c r="AT57" s="16">
        <f>IF(ISNA(VLOOKUP(A57,'Données projet'!$A$61:$I$81,7,0)),0%,VLOOKUP(A57,'Données projet'!$A$61:$I$81,7,0))</f>
        <v>0.13200000000000001</v>
      </c>
      <c r="AU57" s="21">
        <f>EXP(-LN(2)/35)*AU56+(1-EXP(-LN(2)/35))/(LN(2)/35)*AQ57*AR57*VLOOKUP('Données projet'!$B$10,Paramètres!$A$1:$I$89,3,0)*0.475*44/12</f>
        <v>231.19058838852931</v>
      </c>
      <c r="AV57" s="21">
        <f>EXP(-LN(2)/25)*AV56+(1-EXP(-LN(2)/25))/(LN(2)/25)*Calculateur!AQ57*Calculateur!AS57*VLOOKUP('Données projet'!$B$10,Paramètres!$A$1:$I$89,3,0)*0.475*44/12</f>
        <v>59.227252728732921</v>
      </c>
      <c r="AW57" s="21">
        <f>EXP(-LN(2)/2)*AW56+(1-EXP(-LN(2)/2))/(LN(2)/2)*AQ57*AT57*VLOOKUP('Données projet'!$B$10,Paramètres!$A$1:$I$89,3,0)*0.475*44/12</f>
        <v>48.311379430966142</v>
      </c>
      <c r="AX57" s="21">
        <f t="shared" si="6"/>
        <v>338.7292205482284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2.2737367544323206E-13</v>
      </c>
      <c r="BE57" s="13">
        <f>BD57*VLOOKUP('Données projet'!$B$11,Paramètres!$A$1:$I$89,3,0)*VLOOKUP('Données projet'!$B$11,Paramètres!$A$1:$I$89,5,0)</f>
        <v>1.064108801074326E-13</v>
      </c>
      <c r="BF57" s="13">
        <f t="shared" si="37"/>
        <v>1.5870730813698654E-12</v>
      </c>
      <c r="BG57" s="20">
        <f t="shared" si="7"/>
        <v>2.9494845662396269E-12</v>
      </c>
      <c r="BH57" s="59">
        <f t="shared" si="8"/>
        <v>293.33333333333627</v>
      </c>
      <c r="BI57" s="59">
        <f ca="1">AVERAGE(OFFSET($BH$3,0,0,'Données projet'!$E$11+1,1))-AVERAGE(OFFSET($H$3,0,0,'Données projet'!$E$11+1,1))</f>
        <v>297.07458564121606</v>
      </c>
      <c r="BJ57" s="59">
        <f t="shared" si="38"/>
        <v>514.93897725587567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142.40603872605072</v>
      </c>
      <c r="BQ57" s="21">
        <f>EXP(-LN(2)/25)*BQ56+(1-EXP(-LN(2)/25))/(LN(2)/25)*Calculateur!BL57*Calculateur!BN57*VLOOKUP('Données projet'!$B$11,Paramètres!$A$1:$I$89,3,0)*0.475*44/12</f>
        <v>150.13546670898049</v>
      </c>
      <c r="BR57" s="21">
        <f>EXP(-LN(2)/2)*BR56+(1-EXP(-LN(2)/2))/(LN(2)/2)*BL57*BO57*VLOOKUP('Données projet'!$B$11,Paramètres!$A$1:$I$89,3,0)*0.475*44/12</f>
        <v>1.3446958785859572E-3</v>
      </c>
      <c r="BS57" s="22">
        <f t="shared" si="9"/>
        <v>292.54285013090981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25.74</v>
      </c>
      <c r="D58" s="11">
        <f t="shared" si="32"/>
        <v>8.1276645919917723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261.43460386800666</v>
      </c>
      <c r="H58" s="67">
        <f t="shared" si="1"/>
        <v>352.31951583105229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10.763461538461542</v>
      </c>
      <c r="N58" s="13">
        <f>IF('Données projet'!$A$36&gt;35,N57+M58-V57,IF(A58&lt;'Données projet'!$A$36,$K$205^A58,IF(A58='Données projet'!$A$36,'Données projet'!$B$36,N57+M58-V57)))</f>
        <v>264.58461538461529</v>
      </c>
      <c r="O58" s="13">
        <f>N58*VLOOKUP('Données projet'!$B$9,Paramètres!$A$1:$I$89,3,0)*VLOOKUP('Données projet'!$B$9,Paramètres!$A$1:$I$89,5,0)</f>
        <v>123.82559999999997</v>
      </c>
      <c r="P58" s="13">
        <f t="shared" si="33"/>
        <v>32.565621475657444</v>
      </c>
      <c r="Q58" s="20">
        <f t="shared" si="53"/>
        <v>272.38137740343666</v>
      </c>
      <c r="R58" s="59">
        <f t="shared" si="0"/>
        <v>565.71471073677003</v>
      </c>
      <c r="S58" s="59">
        <f ca="1">AVERAGE(OFFSET($R$3,0,0,'Données projet'!$E$9+1,1))-AVERAGE(OFFSET($H$3,0,0,'Données projet'!$E$9+1,1))</f>
        <v>157.05226586109279</v>
      </c>
      <c r="T58" s="59">
        <f t="shared" si="34"/>
        <v>76.143582612540229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17.099405351916531</v>
      </c>
      <c r="AB58" s="21">
        <f>EXP(-LN(2)/2)*AB57+(1-EXP(-LN(2)/2))/(LN(2)/2)*V58*Y58*VLOOKUP('Données projet'!$B$9,Paramètres!$A$1:$I$89,3,0)*0.475*44/12</f>
        <v>5.846666427259068</v>
      </c>
      <c r="AC58" s="22">
        <f t="shared" si="3"/>
        <v>22.946071779175597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-1.1368683772161603E-13</v>
      </c>
      <c r="AJ58" s="13">
        <f>AI58*VLOOKUP('Données projet'!$B$10,Paramètres!$A$1:$I$89,3,0)*VLOOKUP('Données projet'!$B$10,Paramètres!$A$1:$I$89,5,0)</f>
        <v>-6.3550942286383367E-14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279.32192402750189</v>
      </c>
      <c r="AO58" s="59">
        <f t="shared" si="36"/>
        <v>371.43572414443611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226.65708196256534</v>
      </c>
      <c r="AV58" s="21">
        <f>EXP(-LN(2)/25)*AV57+(1-EXP(-LN(2)/25))/(LN(2)/25)*Calculateur!AQ58*Calculateur!AS58*VLOOKUP('Données projet'!$B$10,Paramètres!$A$1:$I$89,3,0)*0.475*44/12</f>
        <v>57.607680388239864</v>
      </c>
      <c r="AW58" s="21">
        <f>EXP(-LN(2)/2)*AW57+(1-EXP(-LN(2)/2))/(LN(2)/2)*AQ58*AT58*VLOOKUP('Données projet'!$B$10,Paramètres!$A$1:$I$89,3,0)*0.475*44/12</f>
        <v>34.161304004112452</v>
      </c>
      <c r="AX58" s="21">
        <f t="shared" si="6"/>
        <v>318.42606635491768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2.2737367544323206E-13</v>
      </c>
      <c r="BE58" s="13">
        <f>BD58*VLOOKUP('Données projet'!$B$11,Paramètres!$A$1:$I$89,3,0)*VLOOKUP('Données projet'!$B$11,Paramètres!$A$1:$I$89,5,0)</f>
        <v>1.064108801074326E-13</v>
      </c>
      <c r="BF58" s="13">
        <f t="shared" si="37"/>
        <v>1.5870730813698654E-12</v>
      </c>
      <c r="BG58" s="20">
        <f t="shared" si="7"/>
        <v>2.9494845662396269E-12</v>
      </c>
      <c r="BH58" s="59">
        <f t="shared" si="8"/>
        <v>293.33333333333627</v>
      </c>
      <c r="BI58" s="59">
        <f ca="1">AVERAGE(OFFSET($BH$3,0,0,'Données projet'!$E$11+1,1))-AVERAGE(OFFSET($H$3,0,0,'Données projet'!$E$11+1,1))</f>
        <v>297.07458564121606</v>
      </c>
      <c r="BJ58" s="59">
        <f t="shared" si="38"/>
        <v>514.93897725587567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139.61354316573986</v>
      </c>
      <c r="BQ58" s="21">
        <f>EXP(-LN(2)/25)*BQ57+(1-EXP(-LN(2)/25))/(LN(2)/25)*Calculateur!BL58*Calculateur!BN58*VLOOKUP('Données projet'!$B$11,Paramètres!$A$1:$I$89,3,0)*0.475*44/12</f>
        <v>146.03000447654236</v>
      </c>
      <c r="BR58" s="21">
        <f>EXP(-LN(2)/2)*BR57+(1-EXP(-LN(2)/2))/(LN(2)/2)*BL58*BO58*VLOOKUP('Données projet'!$B$11,Paramètres!$A$1:$I$89,3,0)*0.475*44/12</f>
        <v>9.5084357438173276E-4</v>
      </c>
      <c r="BS58" s="22">
        <f t="shared" si="9"/>
        <v>285.64449848585662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26.207999999999998</v>
      </c>
      <c r="D59" s="11">
        <f t="shared" si="32"/>
        <v>8.2581019723450986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266.05412048827799</v>
      </c>
      <c r="H59" s="67">
        <f t="shared" si="1"/>
        <v>353.361794268501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10.763461538461542</v>
      </c>
      <c r="N59" s="13">
        <f>IF('Données projet'!$A$36&gt;35,N58+M59-V58,IF(A59&lt;'Données projet'!$A$36,$K$205^A59,IF(A59='Données projet'!$A$36,'Données projet'!$B$36,N58+M59-V58)))</f>
        <v>275.34807692307686</v>
      </c>
      <c r="O59" s="13">
        <f>N59*VLOOKUP('Données projet'!$B$9,Paramètres!$A$1:$I$89,3,0)*VLOOKUP('Données projet'!$B$9,Paramètres!$A$1:$I$89,5,0)</f>
        <v>128.86289999999997</v>
      </c>
      <c r="P59" s="13">
        <f t="shared" si="33"/>
        <v>33.733474712413404</v>
      </c>
      <c r="Q59" s="20">
        <f t="shared" si="53"/>
        <v>283.18868595745323</v>
      </c>
      <c r="R59" s="59">
        <f t="shared" si="0"/>
        <v>576.5220192907866</v>
      </c>
      <c r="S59" s="59">
        <f ca="1">AVERAGE(OFFSET($R$3,0,0,'Données projet'!$E$9+1,1))-AVERAGE(OFFSET($H$3,0,0,'Données projet'!$E$9+1,1))</f>
        <v>157.05226586109279</v>
      </c>
      <c r="T59" s="59">
        <f t="shared" si="34"/>
        <v>76.143582612540229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16.631821213349728</v>
      </c>
      <c r="AB59" s="21">
        <f>EXP(-LN(2)/2)*AB58+(1-EXP(-LN(2)/2))/(LN(2)/2)*V59*Y59*VLOOKUP('Données projet'!$B$9,Paramètres!$A$1:$I$89,3,0)*0.475*44/12</f>
        <v>4.134217478050612</v>
      </c>
      <c r="AC59" s="22">
        <f t="shared" si="3"/>
        <v>20.76603869140034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-1.1368683772161603E-13</v>
      </c>
      <c r="AJ59" s="13">
        <f>AI59*VLOOKUP('Données projet'!$B$10,Paramètres!$A$1:$I$89,3,0)*VLOOKUP('Données projet'!$B$10,Paramètres!$A$1:$I$89,5,0)</f>
        <v>-6.3550942286383367E-14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279.32192402750189</v>
      </c>
      <c r="AO59" s="59">
        <f t="shared" si="36"/>
        <v>371.43572414443611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222.21247483244866</v>
      </c>
      <c r="AV59" s="21">
        <f>EXP(-LN(2)/25)*AV58+(1-EXP(-LN(2)/25))/(LN(2)/25)*Calculateur!AQ59*Calculateur!AS59*VLOOKUP('Données projet'!$B$10,Paramètres!$A$1:$I$89,3,0)*0.475*44/12</f>
        <v>56.032395338567198</v>
      </c>
      <c r="AW59" s="21">
        <f>EXP(-LN(2)/2)*AW58+(1-EXP(-LN(2)/2))/(LN(2)/2)*AQ59*AT59*VLOOKUP('Données projet'!$B$10,Paramètres!$A$1:$I$89,3,0)*0.475*44/12</f>
        <v>24.155689715483074</v>
      </c>
      <c r="AX59" s="21">
        <f t="shared" si="6"/>
        <v>302.40055988649891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2.2737367544323206E-13</v>
      </c>
      <c r="BE59" s="13">
        <f>BD59*VLOOKUP('Données projet'!$B$11,Paramètres!$A$1:$I$89,3,0)*VLOOKUP('Données projet'!$B$11,Paramètres!$A$1:$I$89,5,0)</f>
        <v>1.064108801074326E-13</v>
      </c>
      <c r="BF59" s="13">
        <f t="shared" si="37"/>
        <v>1.5870730813698654E-12</v>
      </c>
      <c r="BG59" s="20">
        <f t="shared" si="7"/>
        <v>2.9494845662396269E-12</v>
      </c>
      <c r="BH59" s="59">
        <f t="shared" si="8"/>
        <v>293.33333333333627</v>
      </c>
      <c r="BI59" s="59">
        <f ca="1">AVERAGE(OFFSET($BH$3,0,0,'Données projet'!$E$11+1,1))-AVERAGE(OFFSET($H$3,0,0,'Données projet'!$E$11+1,1))</f>
        <v>297.07458564121606</v>
      </c>
      <c r="BJ59" s="59">
        <f t="shared" si="38"/>
        <v>514.93897725587567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136.87580674011258</v>
      </c>
      <c r="BQ59" s="21">
        <f>EXP(-LN(2)/25)*BQ58+(1-EXP(-LN(2)/25))/(LN(2)/25)*Calculateur!BL59*Calculateur!BN59*VLOOKUP('Données projet'!$B$11,Paramètres!$A$1:$I$89,3,0)*0.475*44/12</f>
        <v>142.03680632474712</v>
      </c>
      <c r="BR59" s="21">
        <f>EXP(-LN(2)/2)*BR58+(1-EXP(-LN(2)/2))/(LN(2)/2)*BL59*BO59*VLOOKUP('Données projet'!$B$11,Paramètres!$A$1:$I$89,3,0)*0.475*44/12</f>
        <v>6.7234793929297869E-4</v>
      </c>
      <c r="BS59" s="22">
        <f t="shared" si="9"/>
        <v>278.91328541279898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26.675999999999998</v>
      </c>
      <c r="D60" s="11">
        <f t="shared" si="32"/>
        <v>8.388268495647786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270.67154628219339</v>
      </c>
      <c r="H60" s="67">
        <f t="shared" si="1"/>
        <v>354.40360096325321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10.763461538461542</v>
      </c>
      <c r="N60" s="13">
        <f>IF('Données projet'!$A$36&gt;35,N59+M60-V59,IF(A60&lt;'Données projet'!$A$36,$K$205^A60,IF(A60='Données projet'!$A$36,'Données projet'!$B$36,N59+M60-V59)))</f>
        <v>286.11153846153843</v>
      </c>
      <c r="O60" s="13">
        <f>N60*VLOOKUP('Données projet'!$B$9,Paramètres!$A$1:$I$89,3,0)*VLOOKUP('Données projet'!$B$9,Paramètres!$A$1:$I$89,5,0)</f>
        <v>133.90019999999998</v>
      </c>
      <c r="P60" s="13">
        <f t="shared" si="33"/>
        <v>34.89602472081711</v>
      </c>
      <c r="Q60" s="20">
        <f t="shared" si="53"/>
        <v>293.98675805542308</v>
      </c>
      <c r="R60" s="59">
        <f t="shared" si="0"/>
        <v>587.3200913887564</v>
      </c>
      <c r="S60" s="59">
        <f ca="1">AVERAGE(OFFSET($R$3,0,0,'Données projet'!$E$9+1,1))-AVERAGE(OFFSET($H$3,0,0,'Données projet'!$E$9+1,1))</f>
        <v>157.05226586109279</v>
      </c>
      <c r="T60" s="59">
        <f t="shared" si="34"/>
        <v>76.143582612540229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16.177023187641215</v>
      </c>
      <c r="AB60" s="21">
        <f>EXP(-LN(2)/2)*AB59+(1-EXP(-LN(2)/2))/(LN(2)/2)*V60*Y60*VLOOKUP('Données projet'!$B$9,Paramètres!$A$1:$I$89,3,0)*0.475*44/12</f>
        <v>2.9233332136295345</v>
      </c>
      <c r="AC60" s="22">
        <f t="shared" si="3"/>
        <v>19.100356401270748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-1.1368683772161603E-13</v>
      </c>
      <c r="AJ60" s="13">
        <f>AI60*VLOOKUP('Données projet'!$B$10,Paramètres!$A$1:$I$89,3,0)*VLOOKUP('Données projet'!$B$10,Paramètres!$A$1:$I$89,5,0)</f>
        <v>-6.3550942286383367E-14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279.32192402750189</v>
      </c>
      <c r="AO60" s="59">
        <f t="shared" si="36"/>
        <v>371.43572414443611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217.8550237372109</v>
      </c>
      <c r="AV60" s="21">
        <f>EXP(-LN(2)/25)*AV59+(1-EXP(-LN(2)/25))/(LN(2)/25)*Calculateur!AQ60*Calculateur!AS60*VLOOKUP('Données projet'!$B$10,Paramètres!$A$1:$I$89,3,0)*0.475*44/12</f>
        <v>54.500186541418472</v>
      </c>
      <c r="AW60" s="21">
        <f>EXP(-LN(2)/2)*AW59+(1-EXP(-LN(2)/2))/(LN(2)/2)*AQ60*AT60*VLOOKUP('Données projet'!$B$10,Paramètres!$A$1:$I$89,3,0)*0.475*44/12</f>
        <v>17.08065200205623</v>
      </c>
      <c r="AX60" s="21">
        <f t="shared" si="6"/>
        <v>289.43586228068563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2.2737367544323206E-13</v>
      </c>
      <c r="BE60" s="13">
        <f>BD60*VLOOKUP('Données projet'!$B$11,Paramètres!$A$1:$I$89,3,0)*VLOOKUP('Données projet'!$B$11,Paramètres!$A$1:$I$89,5,0)</f>
        <v>1.064108801074326E-13</v>
      </c>
      <c r="BF60" s="13">
        <f t="shared" si="37"/>
        <v>1.5870730813698654E-12</v>
      </c>
      <c r="BG60" s="20">
        <f t="shared" si="7"/>
        <v>2.9494845662396269E-12</v>
      </c>
      <c r="BH60" s="59">
        <f t="shared" si="8"/>
        <v>293.33333333333627</v>
      </c>
      <c r="BI60" s="59">
        <f ca="1">AVERAGE(OFFSET($BH$3,0,0,'Données projet'!$E$11+1,1))-AVERAGE(OFFSET($H$3,0,0,'Données projet'!$E$11+1,1))</f>
        <v>297.07458564121606</v>
      </c>
      <c r="BJ60" s="59">
        <f t="shared" si="38"/>
        <v>514.93897725587567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134.19175565593753</v>
      </c>
      <c r="BQ60" s="21">
        <f>EXP(-LN(2)/25)*BQ59+(1-EXP(-LN(2)/25))/(LN(2)/25)*Calculateur!BL60*Calculateur!BN60*VLOOKUP('Données projet'!$B$11,Paramètres!$A$1:$I$89,3,0)*0.475*44/12</f>
        <v>138.15280238640588</v>
      </c>
      <c r="BR60" s="21">
        <f>EXP(-LN(2)/2)*BR59+(1-EXP(-LN(2)/2))/(LN(2)/2)*BL60*BO60*VLOOKUP('Données projet'!$B$11,Paramètres!$A$1:$I$89,3,0)*0.475*44/12</f>
        <v>4.7542178719086643E-4</v>
      </c>
      <c r="BS60" s="22">
        <f t="shared" si="9"/>
        <v>272.34503346413061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27.143999999999998</v>
      </c>
      <c r="D61" s="11">
        <f t="shared" si="32"/>
        <v>8.5181694620316346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275.2869221630512</v>
      </c>
      <c r="H61" s="67">
        <f t="shared" si="1"/>
        <v>355.44494514637177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10.763461538461542</v>
      </c>
      <c r="N61" s="13">
        <f>IF('Données projet'!$A$36&gt;35,N60+M61-V60,IF(A61&lt;'Données projet'!$A$36,$K$205^A61,IF(A61='Données projet'!$A$36,'Données projet'!$B$36,N60+M61-V60)))</f>
        <v>296.875</v>
      </c>
      <c r="O61" s="13">
        <f>N61*VLOOKUP('Données projet'!$B$9,Paramètres!$A$1:$I$89,3,0)*VLOOKUP('Données projet'!$B$9,Paramètres!$A$1:$I$89,5,0)</f>
        <v>138.9375</v>
      </c>
      <c r="P61" s="13">
        <f t="shared" si="33"/>
        <v>36.053493849661677</v>
      </c>
      <c r="Q61" s="20">
        <f t="shared" si="53"/>
        <v>304.77598095482739</v>
      </c>
      <c r="R61" s="59">
        <f t="shared" si="0"/>
        <v>598.1093142881607</v>
      </c>
      <c r="S61" s="59">
        <f ca="1">AVERAGE(OFFSET($R$3,0,0,'Données projet'!$E$9+1,1))-AVERAGE(OFFSET($H$3,0,0,'Données projet'!$E$9+1,1))</f>
        <v>157.05226586109279</v>
      </c>
      <c r="T61" s="59">
        <f t="shared" si="34"/>
        <v>76.143582612540229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15.734661637862489</v>
      </c>
      <c r="AB61" s="21">
        <f>EXP(-LN(2)/2)*AB60+(1-EXP(-LN(2)/2))/(LN(2)/2)*V61*Y61*VLOOKUP('Données projet'!$B$9,Paramètres!$A$1:$I$89,3,0)*0.475*44/12</f>
        <v>2.067108739025306</v>
      </c>
      <c r="AC61" s="22">
        <f t="shared" si="3"/>
        <v>17.801770376887795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-1.1368683772161603E-13</v>
      </c>
      <c r="AJ61" s="13">
        <f>AI61*VLOOKUP('Données projet'!$B$10,Paramètres!$A$1:$I$89,3,0)*VLOOKUP('Données projet'!$B$10,Paramètres!$A$1:$I$89,5,0)</f>
        <v>-6.3550942286383367E-14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279.32192402750189</v>
      </c>
      <c r="AO61" s="59">
        <f t="shared" si="36"/>
        <v>371.43572414443611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213.58301960016803</v>
      </c>
      <c r="AV61" s="21">
        <f>EXP(-LN(2)/25)*AV60+(1-EXP(-LN(2)/25))/(LN(2)/25)*Calculateur!AQ61*Calculateur!AS61*VLOOKUP('Données projet'!$B$10,Paramètres!$A$1:$I$89,3,0)*0.475*44/12</f>
        <v>53.009876074403138</v>
      </c>
      <c r="AW61" s="21">
        <f>EXP(-LN(2)/2)*AW60+(1-EXP(-LN(2)/2))/(LN(2)/2)*AQ61*AT61*VLOOKUP('Données projet'!$B$10,Paramètres!$A$1:$I$89,3,0)*0.475*44/12</f>
        <v>12.077844857741541</v>
      </c>
      <c r="AX61" s="21">
        <f t="shared" si="6"/>
        <v>278.67074053231272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2.2737367544323206E-13</v>
      </c>
      <c r="BE61" s="13">
        <f>BD61*VLOOKUP('Données projet'!$B$11,Paramètres!$A$1:$I$89,3,0)*VLOOKUP('Données projet'!$B$11,Paramètres!$A$1:$I$89,5,0)</f>
        <v>1.064108801074326E-13</v>
      </c>
      <c r="BF61" s="13">
        <f t="shared" si="37"/>
        <v>1.5870730813698654E-12</v>
      </c>
      <c r="BG61" s="20">
        <f t="shared" si="7"/>
        <v>2.9494845662396269E-12</v>
      </c>
      <c r="BH61" s="59">
        <f t="shared" si="8"/>
        <v>293.33333333333627</v>
      </c>
      <c r="BI61" s="59">
        <f ca="1">AVERAGE(OFFSET($BH$3,0,0,'Données projet'!$E$11+1,1))-AVERAGE(OFFSET($H$3,0,0,'Données projet'!$E$11+1,1))</f>
        <v>297.07458564121606</v>
      </c>
      <c r="BJ61" s="59">
        <f t="shared" si="38"/>
        <v>514.93897725587567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131.56033717641364</v>
      </c>
      <c r="BQ61" s="21">
        <f>EXP(-LN(2)/25)*BQ60+(1-EXP(-LN(2)/25))/(LN(2)/25)*Calculateur!BL61*Calculateur!BN61*VLOOKUP('Données projet'!$B$11,Paramètres!$A$1:$I$89,3,0)*0.475*44/12</f>
        <v>134.3750067400095</v>
      </c>
      <c r="BR61" s="21">
        <f>EXP(-LN(2)/2)*BR60+(1-EXP(-LN(2)/2))/(LN(2)/2)*BL61*BO61*VLOOKUP('Données projet'!$B$11,Paramètres!$A$1:$I$89,3,0)*0.475*44/12</f>
        <v>3.361739696464894E-4</v>
      </c>
      <c r="BS61" s="22">
        <f t="shared" si="9"/>
        <v>265.93568009039274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27.611999999999998</v>
      </c>
      <c r="D62" s="11">
        <f t="shared" si="32"/>
        <v>8.6478099783937541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279.90028755251325</v>
      </c>
      <c r="H62" s="67">
        <f t="shared" si="1"/>
        <v>356.48583571236912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10.763461538461542</v>
      </c>
      <c r="N62" s="13">
        <f>IF('Données projet'!$A$36&gt;35,N61+M62-V61,IF(A62&lt;'Données projet'!$A$36,$K$205^A62,IF(A62='Données projet'!$A$36,'Données projet'!$B$36,N61+M62-V61)))</f>
        <v>307.63846153846157</v>
      </c>
      <c r="O62" s="13">
        <f>N62*VLOOKUP('Données projet'!$B$9,Paramètres!$A$1:$I$89,3,0)*VLOOKUP('Données projet'!$B$9,Paramètres!$A$1:$I$89,5,0)</f>
        <v>143.97480000000002</v>
      </c>
      <c r="P62" s="13">
        <f t="shared" si="33"/>
        <v>37.206087411055172</v>
      </c>
      <c r="Q62" s="20">
        <f t="shared" si="53"/>
        <v>315.55671224092112</v>
      </c>
      <c r="R62" s="59">
        <f t="shared" si="0"/>
        <v>608.89004557425437</v>
      </c>
      <c r="S62" s="59">
        <f ca="1">AVERAGE(OFFSET($R$3,0,0,'Données projet'!$E$9+1,1))-AVERAGE(OFFSET($H$3,0,0,'Données projet'!$E$9+1,1))</f>
        <v>157.05226586109279</v>
      </c>
      <c r="T62" s="59">
        <f t="shared" si="34"/>
        <v>76.143582612540229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15.304396487925246</v>
      </c>
      <c r="AB62" s="21">
        <f>EXP(-LN(2)/2)*AB61+(1-EXP(-LN(2)/2))/(LN(2)/2)*V62*Y62*VLOOKUP('Données projet'!$B$9,Paramètres!$A$1:$I$89,3,0)*0.475*44/12</f>
        <v>1.4616666068147672</v>
      </c>
      <c r="AC62" s="22">
        <f t="shared" si="3"/>
        <v>16.766063094740012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-1.1368683772161603E-13</v>
      </c>
      <c r="AJ62" s="13">
        <f>AI62*VLOOKUP('Données projet'!$B$10,Paramètres!$A$1:$I$89,3,0)*VLOOKUP('Données projet'!$B$10,Paramètres!$A$1:$I$89,5,0)</f>
        <v>-6.3550942286383367E-14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279.32192402750189</v>
      </c>
      <c r="AO62" s="59">
        <f t="shared" si="36"/>
        <v>371.43572414443611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209.39478685858731</v>
      </c>
      <c r="AV62" s="21">
        <f>EXP(-LN(2)/25)*AV61+(1-EXP(-LN(2)/25))/(LN(2)/25)*Calculateur!AQ62*Calculateur!AS62*VLOOKUP('Données projet'!$B$10,Paramètres!$A$1:$I$89,3,0)*0.475*44/12</f>
        <v>51.560318225480358</v>
      </c>
      <c r="AW62" s="21">
        <f>EXP(-LN(2)/2)*AW61+(1-EXP(-LN(2)/2))/(LN(2)/2)*AQ62*AT62*VLOOKUP('Données projet'!$B$10,Paramètres!$A$1:$I$89,3,0)*0.475*44/12</f>
        <v>8.5403260010281166</v>
      </c>
      <c r="AX62" s="21">
        <f t="shared" si="6"/>
        <v>269.49543108509579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2.2737367544323206E-13</v>
      </c>
      <c r="BE62" s="13">
        <f>BD62*VLOOKUP('Données projet'!$B$11,Paramètres!$A$1:$I$89,3,0)*VLOOKUP('Données projet'!$B$11,Paramètres!$A$1:$I$89,5,0)</f>
        <v>1.064108801074326E-13</v>
      </c>
      <c r="BF62" s="13">
        <f t="shared" si="37"/>
        <v>1.5870730813698654E-12</v>
      </c>
      <c r="BG62" s="20">
        <f t="shared" si="7"/>
        <v>2.9494845662396269E-12</v>
      </c>
      <c r="BH62" s="59">
        <f t="shared" si="8"/>
        <v>293.33333333333627</v>
      </c>
      <c r="BI62" s="59">
        <f ca="1">AVERAGE(OFFSET($BH$3,0,0,'Données projet'!$E$11+1,1))-AVERAGE(OFFSET($H$3,0,0,'Données projet'!$E$11+1,1))</f>
        <v>297.07458564121606</v>
      </c>
      <c r="BJ62" s="59">
        <f t="shared" si="38"/>
        <v>514.93897725587567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128.98051920826643</v>
      </c>
      <c r="BQ62" s="21">
        <f>EXP(-LN(2)/25)*BQ61+(1-EXP(-LN(2)/25))/(LN(2)/25)*Calculateur!BL62*Calculateur!BN62*VLOOKUP('Données projet'!$B$11,Paramètres!$A$1:$I$89,3,0)*0.475*44/12</f>
        <v>130.70051511422946</v>
      </c>
      <c r="BR62" s="21">
        <f>EXP(-LN(2)/2)*BR61+(1-EXP(-LN(2)/2))/(LN(2)/2)*BL62*BO62*VLOOKUP('Données projet'!$B$11,Paramètres!$A$1:$I$89,3,0)*0.475*44/12</f>
        <v>2.3771089359543327E-4</v>
      </c>
      <c r="BS62" s="22">
        <f t="shared" si="9"/>
        <v>259.68127203338946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28.08</v>
      </c>
      <c r="D63" s="11">
        <f t="shared" si="32"/>
        <v>8.7771949685951878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284.51168045933133</v>
      </c>
      <c r="H63" s="67">
        <f t="shared" si="1"/>
        <v>357.52628123696991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10.763461538461542</v>
      </c>
      <c r="N63" s="13">
        <f>IF('Données projet'!$A$36&gt;35,N62+M63-V62,IF(A63&lt;'Données projet'!$A$36,$K$205^A63,IF(A63='Données projet'!$A$36,'Données projet'!$B$36,N62+M63-V62)))</f>
        <v>318.40192307692314</v>
      </c>
      <c r="O63" s="13">
        <f>N63*VLOOKUP('Données projet'!$B$9,Paramètres!$A$1:$I$89,3,0)*VLOOKUP('Données projet'!$B$9,Paramètres!$A$1:$I$89,5,0)</f>
        <v>149.01210000000003</v>
      </c>
      <c r="P63" s="13">
        <f t="shared" si="33"/>
        <v>38.353995535783497</v>
      </c>
      <c r="Q63" s="20">
        <f t="shared" si="53"/>
        <v>326.32928305815631</v>
      </c>
      <c r="R63" s="59">
        <f t="shared" si="0"/>
        <v>619.66261639148956</v>
      </c>
      <c r="S63" s="59">
        <f ca="1">AVERAGE(OFFSET($R$3,0,0,'Données projet'!$E$9+1,1))-AVERAGE(OFFSET($H$3,0,0,'Données projet'!$E$9+1,1))</f>
        <v>157.05226586109279</v>
      </c>
      <c r="T63" s="59">
        <f t="shared" si="34"/>
        <v>76.143582612540229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14.885896961139697</v>
      </c>
      <c r="AB63" s="21">
        <f>EXP(-LN(2)/2)*AB62+(1-EXP(-LN(2)/2))/(LN(2)/2)*V63*Y63*VLOOKUP('Données projet'!$B$9,Paramètres!$A$1:$I$89,3,0)*0.475*44/12</f>
        <v>1.033554369512653</v>
      </c>
      <c r="AC63" s="22">
        <f t="shared" si="3"/>
        <v>15.91945133065235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-1.1368683772161603E-13</v>
      </c>
      <c r="AJ63" s="13">
        <f>AI63*VLOOKUP('Données projet'!$B$10,Paramètres!$A$1:$I$89,3,0)*VLOOKUP('Données projet'!$B$10,Paramètres!$A$1:$I$89,5,0)</f>
        <v>-6.3550942286383367E-14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279.32192402750189</v>
      </c>
      <c r="AO63" s="59">
        <f t="shared" si="36"/>
        <v>371.43572414443611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205.28868280649928</v>
      </c>
      <c r="AV63" s="21">
        <f>EXP(-LN(2)/25)*AV62+(1-EXP(-LN(2)/25))/(LN(2)/25)*Calculateur!AQ63*Calculateur!AS63*VLOOKUP('Données projet'!$B$10,Paramètres!$A$1:$I$89,3,0)*0.475*44/12</f>
        <v>50.150398612165304</v>
      </c>
      <c r="AW63" s="21">
        <f>EXP(-LN(2)/2)*AW62+(1-EXP(-LN(2)/2))/(LN(2)/2)*AQ63*AT63*VLOOKUP('Données projet'!$B$10,Paramètres!$A$1:$I$89,3,0)*0.475*44/12</f>
        <v>6.0389224288707712</v>
      </c>
      <c r="AX63" s="21">
        <f t="shared" si="6"/>
        <v>261.47800384753538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2.2737367544323206E-13</v>
      </c>
      <c r="BE63" s="13">
        <f>BD63*VLOOKUP('Données projet'!$B$11,Paramètres!$A$1:$I$89,3,0)*VLOOKUP('Données projet'!$B$11,Paramètres!$A$1:$I$89,5,0)</f>
        <v>1.064108801074326E-13</v>
      </c>
      <c r="BF63" s="13">
        <f t="shared" si="37"/>
        <v>1.5870730813698654E-12</v>
      </c>
      <c r="BG63" s="20">
        <f t="shared" si="7"/>
        <v>2.9494845662396269E-12</v>
      </c>
      <c r="BH63" s="59">
        <f t="shared" si="8"/>
        <v>293.33333333333627</v>
      </c>
      <c r="BI63" s="59">
        <f ca="1">AVERAGE(OFFSET($BH$3,0,0,'Données projet'!$E$11+1,1))-AVERAGE(OFFSET($H$3,0,0,'Données projet'!$E$11+1,1))</f>
        <v>297.07458564121606</v>
      </c>
      <c r="BJ63" s="59">
        <f t="shared" si="38"/>
        <v>514.93897725587567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126.45128989694099</v>
      </c>
      <c r="BQ63" s="21">
        <f>EXP(-LN(2)/25)*BQ62+(1-EXP(-LN(2)/25))/(LN(2)/25)*Calculateur!BL63*Calculateur!BN63*VLOOKUP('Données projet'!$B$11,Paramètres!$A$1:$I$89,3,0)*0.475*44/12</f>
        <v>127.12650265518948</v>
      </c>
      <c r="BR63" s="21">
        <f>EXP(-LN(2)/2)*BR62+(1-EXP(-LN(2)/2))/(LN(2)/2)*BL63*BO63*VLOOKUP('Données projet'!$B$11,Paramètres!$A$1:$I$89,3,0)*0.475*44/12</f>
        <v>1.6808698482324473E-4</v>
      </c>
      <c r="BS63" s="22">
        <f t="shared" si="9"/>
        <v>253.57796063911528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28.547999999999998</v>
      </c>
      <c r="D64" s="11">
        <f t="shared" si="32"/>
        <v>8.9063291829603237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289.1211375526762</v>
      </c>
      <c r="H64" s="67">
        <f t="shared" si="1"/>
        <v>358.56628999365586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10.763461538461542</v>
      </c>
      <c r="N64" s="13">
        <f>IF('Données projet'!$A$36&gt;35,N63+M64-V63,IF(A64&lt;'Données projet'!$A$36,$K$205^A64,IF(A64='Données projet'!$A$36,'Données projet'!$B$36,N63+M64-V63)))</f>
        <v>329.16538461538471</v>
      </c>
      <c r="O64" s="13">
        <f>N64*VLOOKUP('Données projet'!$B$9,Paramètres!$A$1:$I$89,3,0)*VLOOKUP('Données projet'!$B$9,Paramètres!$A$1:$I$89,5,0)</f>
        <v>154.04940000000005</v>
      </c>
      <c r="P64" s="13">
        <f t="shared" si="33"/>
        <v>39.497394770746702</v>
      </c>
      <c r="Q64" s="20">
        <f t="shared" si="53"/>
        <v>337.09400089238392</v>
      </c>
      <c r="R64" s="59">
        <f t="shared" si="0"/>
        <v>630.42733422571723</v>
      </c>
      <c r="S64" s="59">
        <f ca="1">AVERAGE(OFFSET($R$3,0,0,'Données projet'!$E$9+1,1))-AVERAGE(OFFSET($H$3,0,0,'Données projet'!$E$9+1,1))</f>
        <v>157.05226586109279</v>
      </c>
      <c r="T64" s="59">
        <f t="shared" si="34"/>
        <v>76.143582612540229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14.478841325922032</v>
      </c>
      <c r="AB64" s="21">
        <f>EXP(-LN(2)/2)*AB63+(1-EXP(-LN(2)/2))/(LN(2)/2)*V64*Y64*VLOOKUP('Données projet'!$B$9,Paramètres!$A$1:$I$89,3,0)*0.475*44/12</f>
        <v>0.73083330340738362</v>
      </c>
      <c r="AC64" s="22">
        <f t="shared" si="3"/>
        <v>15.209674629329415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-1.1368683772161603E-13</v>
      </c>
      <c r="AJ64" s="13">
        <f>AI64*VLOOKUP('Données projet'!$B$10,Paramètres!$A$1:$I$89,3,0)*VLOOKUP('Données projet'!$B$10,Paramètres!$A$1:$I$89,5,0)</f>
        <v>-6.3550942286383367E-14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279.32192402750189</v>
      </c>
      <c r="AO64" s="59">
        <f t="shared" si="36"/>
        <v>371.43572414443611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201.26309695039652</v>
      </c>
      <c r="AV64" s="21">
        <f>EXP(-LN(2)/25)*AV63+(1-EXP(-LN(2)/25))/(LN(2)/25)*Calculateur!AQ64*Calculateur!AS64*VLOOKUP('Données projet'!$B$10,Paramètres!$A$1:$I$89,3,0)*0.475*44/12</f>
        <v>48.779033324820801</v>
      </c>
      <c r="AW64" s="21">
        <f>EXP(-LN(2)/2)*AW63+(1-EXP(-LN(2)/2))/(LN(2)/2)*AQ64*AT64*VLOOKUP('Données projet'!$B$10,Paramètres!$A$1:$I$89,3,0)*0.475*44/12</f>
        <v>4.2701630005140592</v>
      </c>
      <c r="AX64" s="21">
        <f t="shared" si="6"/>
        <v>254.31229327573138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2.2737367544323206E-13</v>
      </c>
      <c r="BE64" s="13">
        <f>BD64*VLOOKUP('Données projet'!$B$11,Paramètres!$A$1:$I$89,3,0)*VLOOKUP('Données projet'!$B$11,Paramètres!$A$1:$I$89,5,0)</f>
        <v>1.064108801074326E-13</v>
      </c>
      <c r="BF64" s="13">
        <f t="shared" si="37"/>
        <v>1.5870730813698654E-12</v>
      </c>
      <c r="BG64" s="20">
        <f t="shared" si="7"/>
        <v>2.9494845662396269E-12</v>
      </c>
      <c r="BH64" s="59">
        <f t="shared" si="8"/>
        <v>293.33333333333627</v>
      </c>
      <c r="BI64" s="59">
        <f ca="1">AVERAGE(OFFSET($BH$3,0,0,'Données projet'!$E$11+1,1))-AVERAGE(OFFSET($H$3,0,0,'Données projet'!$E$11+1,1))</f>
        <v>297.07458564121606</v>
      </c>
      <c r="BJ64" s="59">
        <f t="shared" si="38"/>
        <v>514.93897725587567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123.9716572297331</v>
      </c>
      <c r="BQ64" s="21">
        <f>EXP(-LN(2)/25)*BQ63+(1-EXP(-LN(2)/25))/(LN(2)/25)*Calculateur!BL64*Calculateur!BN64*VLOOKUP('Données projet'!$B$11,Paramètres!$A$1:$I$89,3,0)*0.475*44/12</f>
        <v>123.6502217547911</v>
      </c>
      <c r="BR64" s="21">
        <f>EXP(-LN(2)/2)*BR63+(1-EXP(-LN(2)/2))/(LN(2)/2)*BL64*BO64*VLOOKUP('Données projet'!$B$11,Paramètres!$A$1:$I$89,3,0)*0.475*44/12</f>
        <v>1.1885544679771665E-4</v>
      </c>
      <c r="BS64" s="22">
        <f t="shared" si="9"/>
        <v>247.62199783997099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29.015999999999998</v>
      </c>
      <c r="D65" s="11">
        <f t="shared" si="32"/>
        <v>9.0352172071357693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293.72869423052168</v>
      </c>
      <c r="H65" s="67">
        <f t="shared" si="1"/>
        <v>359.60586996909478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10.763461538461542</v>
      </c>
      <c r="N65" s="13">
        <f>IF('Données projet'!$A$36&gt;35,N64+M65-V64,IF(A65&lt;'Données projet'!$A$36,$K$205^A65,IF(A65='Données projet'!$A$36,'Données projet'!$B$36,N64+M65-V64)))</f>
        <v>339.92884615384628</v>
      </c>
      <c r="O65" s="13">
        <f>N65*VLOOKUP('Données projet'!$B$9,Paramètres!$A$1:$I$89,3,0)*VLOOKUP('Données projet'!$B$9,Paramètres!$A$1:$I$89,5,0)</f>
        <v>159.08670000000006</v>
      </c>
      <c r="P65" s="13">
        <f t="shared" si="33"/>
        <v>40.636449461585293</v>
      </c>
      <c r="Q65" s="20">
        <f t="shared" si="53"/>
        <v>347.85115197892782</v>
      </c>
      <c r="R65" s="59">
        <f t="shared" si="0"/>
        <v>641.18448531226113</v>
      </c>
      <c r="S65" s="59">
        <f ca="1">AVERAGE(OFFSET($R$3,0,0,'Données projet'!$E$9+1,1))-AVERAGE(OFFSET($H$3,0,0,'Données projet'!$E$9+1,1))</f>
        <v>157.05226586109279</v>
      </c>
      <c r="T65" s="59">
        <f t="shared" si="34"/>
        <v>76.143582612540229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14.082916648455519</v>
      </c>
      <c r="AB65" s="21">
        <f>EXP(-LN(2)/2)*AB64+(1-EXP(-LN(2)/2))/(LN(2)/2)*V65*Y65*VLOOKUP('Données projet'!$B$9,Paramètres!$A$1:$I$89,3,0)*0.475*44/12</f>
        <v>0.5167771847563265</v>
      </c>
      <c r="AC65" s="22">
        <f t="shared" si="3"/>
        <v>14.599693833211846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-1.1368683772161603E-13</v>
      </c>
      <c r="AJ65" s="13">
        <f>AI65*VLOOKUP('Données projet'!$B$10,Paramètres!$A$1:$I$89,3,0)*VLOOKUP('Données projet'!$B$10,Paramètres!$A$1:$I$89,5,0)</f>
        <v>-6.3550942286383367E-14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279.32192402750189</v>
      </c>
      <c r="AO65" s="59">
        <f t="shared" si="36"/>
        <v>371.43572414443611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197.31645037756701</v>
      </c>
      <c r="AV65" s="21">
        <f>EXP(-LN(2)/25)*AV64+(1-EXP(-LN(2)/25))/(LN(2)/25)*Calculateur!AQ65*Calculateur!AS65*VLOOKUP('Données projet'!$B$10,Paramètres!$A$1:$I$89,3,0)*0.475*44/12</f>
        <v>47.445168093375699</v>
      </c>
      <c r="AW65" s="21">
        <f>EXP(-LN(2)/2)*AW64+(1-EXP(-LN(2)/2))/(LN(2)/2)*AQ65*AT65*VLOOKUP('Données projet'!$B$10,Paramètres!$A$1:$I$89,3,0)*0.475*44/12</f>
        <v>3.0194612144353861</v>
      </c>
      <c r="AX65" s="21">
        <f t="shared" si="6"/>
        <v>247.7810796853781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2.2737367544323206E-13</v>
      </c>
      <c r="BE65" s="13">
        <f>BD65*VLOOKUP('Données projet'!$B$11,Paramètres!$A$1:$I$89,3,0)*VLOOKUP('Données projet'!$B$11,Paramètres!$A$1:$I$89,5,0)</f>
        <v>1.064108801074326E-13</v>
      </c>
      <c r="BF65" s="13">
        <f t="shared" si="37"/>
        <v>1.5870730813698654E-12</v>
      </c>
      <c r="BG65" s="20">
        <f t="shared" si="7"/>
        <v>2.9494845662396269E-12</v>
      </c>
      <c r="BH65" s="59">
        <f t="shared" si="8"/>
        <v>293.33333333333627</v>
      </c>
      <c r="BI65" s="59">
        <f ca="1">AVERAGE(OFFSET($BH$3,0,0,'Données projet'!$E$11+1,1))-AVERAGE(OFFSET($H$3,0,0,'Données projet'!$E$11+1,1))</f>
        <v>297.07458564121606</v>
      </c>
      <c r="BJ65" s="59">
        <f t="shared" si="38"/>
        <v>514.93897725587567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121.54064864670255</v>
      </c>
      <c r="BQ65" s="21">
        <f>EXP(-LN(2)/25)*BQ64+(1-EXP(-LN(2)/25))/(LN(2)/25)*Calculateur!BL65*Calculateur!BN65*VLOOKUP('Données projet'!$B$11,Paramètres!$A$1:$I$89,3,0)*0.475*44/12</f>
        <v>120.26899993842379</v>
      </c>
      <c r="BR65" s="21">
        <f>EXP(-LN(2)/2)*BR64+(1-EXP(-LN(2)/2))/(LN(2)/2)*BL65*BO65*VLOOKUP('Données projet'!$B$11,Paramètres!$A$1:$I$89,3,0)*0.475*44/12</f>
        <v>8.4043492411622377E-5</v>
      </c>
      <c r="BS65" s="22">
        <f t="shared" si="9"/>
        <v>241.80973262861878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29.483999999999998</v>
      </c>
      <c r="D66" s="11">
        <f t="shared" si="32"/>
        <v>9.1638634703614379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298.33438468349181</v>
      </c>
      <c r="H66" s="67">
        <f t="shared" si="1"/>
        <v>360.64502887754617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350.69230769230768</v>
      </c>
      <c r="L66" s="12">
        <f>VLOOKUP(A66,'Données projet'!$A$35:$I$55,9,0)</f>
        <v>10.763461538461542</v>
      </c>
      <c r="M66" s="12">
        <f t="array" ref="M66">INDEX(L:L,MIN(IF(ISNUMBER(L66:L262),ROW(L66:L262),"")))</f>
        <v>10.763461538461542</v>
      </c>
      <c r="N66" s="13">
        <f>IF('Données projet'!$A$36&gt;35,N65+M66-V65,IF(A66&lt;'Données projet'!$A$36,$K$205^A66,IF(A66='Données projet'!$A$36,'Données projet'!$B$36,N65+M66-V65)))</f>
        <v>350.69230769230785</v>
      </c>
      <c r="O66" s="13">
        <f>N66*VLOOKUP('Données projet'!$B$9,Paramètres!$A$1:$I$89,3,0)*VLOOKUP('Données projet'!$B$9,Paramètres!$A$1:$I$89,5,0)</f>
        <v>164.12400000000008</v>
      </c>
      <c r="P66" s="13">
        <f t="shared" si="33"/>
        <v>41.771312955270602</v>
      </c>
      <c r="Q66" s="20">
        <f t="shared" si="53"/>
        <v>358.60100339709646</v>
      </c>
      <c r="R66" s="59">
        <f t="shared" si="0"/>
        <v>651.93433673042978</v>
      </c>
      <c r="S66" s="59">
        <f ca="1">AVERAGE(OFFSET($R$3,0,0,'Données projet'!$E$9+1,1))-AVERAGE(OFFSET($H$3,0,0,'Données projet'!$E$9+1,1))</f>
        <v>157.05226586109279</v>
      </c>
      <c r="T66" s="59">
        <f t="shared" si="34"/>
        <v>76.143582612540229</v>
      </c>
      <c r="U66" s="15">
        <f>IF(ISNA(VLOOKUP(A66,'Données projet'!$A$35:$I$55,3,0)),0,VLOOKUP(A66,'Données projet'!$A$35:$I$55,3,0))</f>
        <v>2</v>
      </c>
      <c r="V66" s="15">
        <f>IF(ISNA(VLOOKUP(A66,'Données projet'!$A$35:$I$55,4,0)),0,VLOOKUP(A66,'Données projet'!$A$35:$I$55,4,0))</f>
        <v>108.08461538461538</v>
      </c>
      <c r="W66" s="16">
        <f>IF(ISNA(VLOOKUP(A66,'Données projet'!$A$35:$I$55,5,0)),0%,VLOOKUP(A66,'Données projet'!$A$35:$I$55,5,0)*VLOOKUP('Données projet'!$B$9,Paramètres!$A$1:$I$89,7,0))</f>
        <v>0.38500000000000001</v>
      </c>
      <c r="X66" s="16">
        <f>IF(ISNA(VLOOKUP(A66,'Données projet'!$A$35:$I$55,6,0)),0%,VLOOKUP(A66,'Données projet'!$A$35:$I$55,6,0)*VLOOKUP('Données projet'!$B$9,Paramètres!$A$1:$I$89,7,0))</f>
        <v>9.240000000000001E-2</v>
      </c>
      <c r="Y66" s="16">
        <f>IF(ISNA(VLOOKUP(A66,'Données projet'!$A$35:$I$55,7,0)),0%,VLOOKUP(A66,'Données projet'!$A$35:$I$55,7,0))</f>
        <v>0.13200000000000001</v>
      </c>
      <c r="Z66" s="21">
        <f>EXP(-LN(2)/35)*Z65+(1-EXP(-LN(2)/35))/(LN(2)/35)*V66*W66*VLOOKUP('Données projet'!$B$9,Paramètres!$A$1:$I$89,3,0)*0.475*44/12</f>
        <v>25.834426228446034</v>
      </c>
      <c r="AA66" s="21">
        <f>EXP(-LN(2)/25)*AA65+(1-EXP(-LN(2)/25))/(LN(2)/25)*Calculateur!V66*Calculateur!X66*VLOOKUP('Données projet'!$B$9,Paramètres!$A$1:$I$89,3,0)*0.475*44/12</f>
        <v>19.873668051802269</v>
      </c>
      <c r="AB66" s="21">
        <f>EXP(-LN(2)/2)*AB65+(1-EXP(-LN(2)/2))/(LN(2)/2)*V66*Y66*VLOOKUP('Données projet'!$B$9,Paramètres!$A$1:$I$89,3,0)*0.475*44/12</f>
        <v>7.9253715568647767</v>
      </c>
      <c r="AC66" s="22">
        <f t="shared" si="3"/>
        <v>53.633465837113079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-1.1368683772161603E-13</v>
      </c>
      <c r="AJ66" s="13">
        <f>AI66*VLOOKUP('Données projet'!$B$10,Paramètres!$A$1:$I$89,3,0)*VLOOKUP('Données projet'!$B$10,Paramètres!$A$1:$I$89,5,0)</f>
        <v>-6.3550942286383367E-14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279.32192402750189</v>
      </c>
      <c r="AO66" s="59">
        <f t="shared" si="36"/>
        <v>371.43572414443611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193.44719513681397</v>
      </c>
      <c r="AV66" s="21">
        <f>EXP(-LN(2)/25)*AV65+(1-EXP(-LN(2)/25))/(LN(2)/25)*Calculateur!AQ66*Calculateur!AS66*VLOOKUP('Données projet'!$B$10,Paramètres!$A$1:$I$89,3,0)*0.475*44/12</f>
        <v>46.14777747682939</v>
      </c>
      <c r="AW66" s="21">
        <f>EXP(-LN(2)/2)*AW65+(1-EXP(-LN(2)/2))/(LN(2)/2)*AQ66*AT66*VLOOKUP('Données projet'!$B$10,Paramètres!$A$1:$I$89,3,0)*0.475*44/12</f>
        <v>2.1350815002570296</v>
      </c>
      <c r="AX66" s="21">
        <f t="shared" si="6"/>
        <v>241.73005411390039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2.2737367544323206E-13</v>
      </c>
      <c r="BE66" s="13">
        <f>BD66*VLOOKUP('Données projet'!$B$11,Paramètres!$A$1:$I$89,3,0)*VLOOKUP('Données projet'!$B$11,Paramètres!$A$1:$I$89,5,0)</f>
        <v>1.064108801074326E-13</v>
      </c>
      <c r="BF66" s="13">
        <f t="shared" si="37"/>
        <v>1.5870730813698654E-12</v>
      </c>
      <c r="BG66" s="20">
        <f t="shared" si="7"/>
        <v>2.9494845662396269E-12</v>
      </c>
      <c r="BH66" s="59">
        <f t="shared" si="8"/>
        <v>293.33333333333627</v>
      </c>
      <c r="BI66" s="59">
        <f ca="1">AVERAGE(OFFSET($BH$3,0,0,'Données projet'!$E$11+1,1))-AVERAGE(OFFSET($H$3,0,0,'Données projet'!$E$11+1,1))</f>
        <v>297.07458564121606</v>
      </c>
      <c r="BJ66" s="59">
        <f t="shared" si="38"/>
        <v>514.93897725587567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119.15731065921641</v>
      </c>
      <c r="BQ66" s="21">
        <f>EXP(-LN(2)/25)*BQ65+(1-EXP(-LN(2)/25))/(LN(2)/25)*Calculateur!BL66*Calculateur!BN66*VLOOKUP('Données projet'!$B$11,Paramètres!$A$1:$I$89,3,0)*0.475*44/12</f>
        <v>116.98023781043577</v>
      </c>
      <c r="BR66" s="21">
        <f>EXP(-LN(2)/2)*BR65+(1-EXP(-LN(2)/2))/(LN(2)/2)*BL66*BO66*VLOOKUP('Données projet'!$B$11,Paramètres!$A$1:$I$89,3,0)*0.475*44/12</f>
        <v>5.9427723398858338E-5</v>
      </c>
      <c r="BS66" s="22">
        <f t="shared" si="9"/>
        <v>236.13760789737557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29.951999999999998</v>
      </c>
      <c r="D67" s="11">
        <f t="shared" si="32"/>
        <v>9.2922722532016273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302.93824195453891</v>
      </c>
      <c r="H67" s="67">
        <f t="shared" si="1"/>
        <v>361.68377417432612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9.8224358974358967</v>
      </c>
      <c r="N67" s="13">
        <f>IF('Données projet'!$A$36&gt;35,N66+M67-V66,IF(A67&lt;'Données projet'!$A$36,$K$205^A67,IF(A67='Données projet'!$A$36,'Données projet'!$B$36,N66+M67-V66)))</f>
        <v>252.4301282051284</v>
      </c>
      <c r="O67" s="13">
        <f>N67*VLOOKUP('Données projet'!$B$9,Paramètres!$A$1:$I$89,3,0)*VLOOKUP('Données projet'!$B$9,Paramètres!$A$1:$I$89,5,0)</f>
        <v>118.1373000000001</v>
      </c>
      <c r="P67" s="13">
        <f t="shared" si="33"/>
        <v>31.240160341179944</v>
      </c>
      <c r="Q67" s="20">
        <f t="shared" ref="Q67:Q98" si="54">(O67+P67)*0.475*44/12</f>
        <v>260.16574342755524</v>
      </c>
      <c r="R67" s="59">
        <f t="shared" ref="R67:R130" si="55">Q67+(I67+J67)*44/12</f>
        <v>553.49907676088856</v>
      </c>
      <c r="S67" s="59">
        <f ca="1">AVERAGE(OFFSET($R$3,0,0,'Données projet'!$E$9+1,1))-AVERAGE(OFFSET($H$3,0,0,'Données projet'!$E$9+1,1))</f>
        <v>157.05226586109279</v>
      </c>
      <c r="T67" s="59">
        <f t="shared" si="34"/>
        <v>76.143582612540229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25.327828887550289</v>
      </c>
      <c r="AA67" s="21">
        <f>EXP(-LN(2)/25)*AA66+(1-EXP(-LN(2)/25))/(LN(2)/25)*Calculateur!V67*Calculateur!X67*VLOOKUP('Données projet'!$B$9,Paramètres!$A$1:$I$89,3,0)*0.475*44/12</f>
        <v>19.330221553814955</v>
      </c>
      <c r="AB67" s="21">
        <f>EXP(-LN(2)/2)*AB66+(1-EXP(-LN(2)/2))/(LN(2)/2)*V67*Y67*VLOOKUP('Données projet'!$B$9,Paramètres!$A$1:$I$89,3,0)*0.475*44/12</f>
        <v>5.6040839712820691</v>
      </c>
      <c r="AC67" s="22">
        <f t="shared" si="3"/>
        <v>50.262134412647313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-1.1368683772161603E-13</v>
      </c>
      <c r="AJ67" s="13">
        <f>AI67*VLOOKUP('Données projet'!$B$10,Paramètres!$A$1:$I$89,3,0)*VLOOKUP('Données projet'!$B$10,Paramètres!$A$1:$I$89,5,0)</f>
        <v>-6.3550942286383367E-14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279.32192402750189</v>
      </c>
      <c r="AO67" s="59">
        <f t="shared" si="36"/>
        <v>371.43572414443611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189.65381363131942</v>
      </c>
      <c r="AV67" s="21">
        <f>EXP(-LN(2)/25)*AV66+(1-EXP(-LN(2)/25))/(LN(2)/25)*Calculateur!AQ67*Calculateur!AS67*VLOOKUP('Données projet'!$B$10,Paramètres!$A$1:$I$89,3,0)*0.475*44/12</f>
        <v>44.885864074919347</v>
      </c>
      <c r="AW67" s="21">
        <f>EXP(-LN(2)/2)*AW66+(1-EXP(-LN(2)/2))/(LN(2)/2)*AQ67*AT67*VLOOKUP('Données projet'!$B$10,Paramètres!$A$1:$I$89,3,0)*0.475*44/12</f>
        <v>1.509730607217693</v>
      </c>
      <c r="AX67" s="21">
        <f t="shared" si="6"/>
        <v>236.04940831345647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2.2737367544323206E-13</v>
      </c>
      <c r="BE67" s="13">
        <f>BD67*VLOOKUP('Données projet'!$B$11,Paramètres!$A$1:$I$89,3,0)*VLOOKUP('Données projet'!$B$11,Paramètres!$A$1:$I$89,5,0)</f>
        <v>1.064108801074326E-13</v>
      </c>
      <c r="BF67" s="13">
        <f t="shared" si="37"/>
        <v>1.5870730813698654E-12</v>
      </c>
      <c r="BG67" s="20">
        <f t="shared" si="7"/>
        <v>2.9494845662396269E-12</v>
      </c>
      <c r="BH67" s="59">
        <f t="shared" si="8"/>
        <v>293.33333333333627</v>
      </c>
      <c r="BI67" s="59">
        <f ca="1">AVERAGE(OFFSET($BH$3,0,0,'Données projet'!$E$11+1,1))-AVERAGE(OFFSET($H$3,0,0,'Données projet'!$E$11+1,1))</f>
        <v>297.07458564121606</v>
      </c>
      <c r="BJ67" s="59">
        <f t="shared" si="38"/>
        <v>514.93897725587567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116.82070847597224</v>
      </c>
      <c r="BQ67" s="21">
        <f>EXP(-LN(2)/25)*BQ66+(1-EXP(-LN(2)/25))/(LN(2)/25)*Calculateur!BL67*Calculateur!BN67*VLOOKUP('Données projet'!$B$11,Paramètres!$A$1:$I$89,3,0)*0.475*44/12</f>
        <v>113.78140705578606</v>
      </c>
      <c r="BR67" s="21">
        <f>EXP(-LN(2)/2)*BR66+(1-EXP(-LN(2)/2))/(LN(2)/2)*BL67*BO67*VLOOKUP('Données projet'!$B$11,Paramètres!$A$1:$I$89,3,0)*0.475*44/12</f>
        <v>4.2021746205811195E-5</v>
      </c>
      <c r="BS67" s="22">
        <f t="shared" si="9"/>
        <v>230.6021575535045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30.419999999999998</v>
      </c>
      <c r="D68" s="11">
        <f t="shared" si="32"/>
        <v>9.4204476947792024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307.54029799478684</v>
      </c>
      <c r="H68" s="67">
        <f t="shared" ref="H68:H131" si="56">(B68+E68+F68)*44/12+(C68+D68)*0.475*44/12</f>
        <v>362.72211306840711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9.8224358974358967</v>
      </c>
      <c r="N68" s="13">
        <f>IF('Données projet'!$A$36&gt;35,N67+M68-V67,IF(A68&lt;'Données projet'!$A$36,$K$205^A68,IF(A68='Données projet'!$A$36,'Données projet'!$B$36,N67+M68-V67)))</f>
        <v>262.25256410256429</v>
      </c>
      <c r="O68" s="13">
        <f>N68*VLOOKUP('Données projet'!$B$9,Paramètres!$A$1:$I$89,3,0)*VLOOKUP('Données projet'!$B$9,Paramètres!$A$1:$I$89,5,0)</f>
        <v>122.73420000000009</v>
      </c>
      <c r="P68" s="13">
        <f t="shared" si="33"/>
        <v>32.311867973295051</v>
      </c>
      <c r="Q68" s="20">
        <f t="shared" si="54"/>
        <v>270.03856838682231</v>
      </c>
      <c r="R68" s="59">
        <f t="shared" si="55"/>
        <v>563.37190172015562</v>
      </c>
      <c r="S68" s="59">
        <f ca="1">AVERAGE(OFFSET($R$3,0,0,'Données projet'!$E$9+1,1))-AVERAGE(OFFSET($H$3,0,0,'Données projet'!$E$9+1,1))</f>
        <v>157.05226586109279</v>
      </c>
      <c r="T68" s="59">
        <f t="shared" si="34"/>
        <v>76.143582612540229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24.83116561151564</v>
      </c>
      <c r="AA68" s="21">
        <f>EXP(-LN(2)/25)*AA67+(1-EXP(-LN(2)/25))/(LN(2)/25)*Calculateur!V68*Calculateur!X68*VLOOKUP('Données projet'!$B$9,Paramètres!$A$1:$I$89,3,0)*0.475*44/12</f>
        <v>18.801635628893713</v>
      </c>
      <c r="AB68" s="21">
        <f>EXP(-LN(2)/2)*AB67+(1-EXP(-LN(2)/2))/(LN(2)/2)*V68*Y68*VLOOKUP('Données projet'!$B$9,Paramètres!$A$1:$I$89,3,0)*0.475*44/12</f>
        <v>3.9626857784323888</v>
      </c>
      <c r="AC68" s="22">
        <f t="shared" ref="AC68:AC131" si="57">SUM(Z68:AB68)</f>
        <v>47.595487018841737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-1.1368683772161603E-13</v>
      </c>
      <c r="AJ68" s="13">
        <f>AI68*VLOOKUP('Données projet'!$B$10,Paramètres!$A$1:$I$89,3,0)*VLOOKUP('Données projet'!$B$10,Paramètres!$A$1:$I$89,5,0)</f>
        <v>-6.3550942286383367E-14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279.32192402750189</v>
      </c>
      <c r="AO68" s="59">
        <f t="shared" si="36"/>
        <v>371.43572414443611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185.93481802341336</v>
      </c>
      <c r="AV68" s="21">
        <f>EXP(-LN(2)/25)*AV67+(1-EXP(-LN(2)/25))/(LN(2)/25)*Calculateur!AQ68*Calculateur!AS68*VLOOKUP('Données projet'!$B$10,Paramètres!$A$1:$I$89,3,0)*0.475*44/12</f>
        <v>43.658457761345673</v>
      </c>
      <c r="AW68" s="21">
        <f>EXP(-LN(2)/2)*AW67+(1-EXP(-LN(2)/2))/(LN(2)/2)*AQ68*AT68*VLOOKUP('Données projet'!$B$10,Paramètres!$A$1:$I$89,3,0)*0.475*44/12</f>
        <v>1.0675407501285148</v>
      </c>
      <c r="AX68" s="21">
        <f t="shared" ref="AX68:AX131" si="60">SUM(AU68:AW68)</f>
        <v>230.66081653488754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2.2737367544323206E-13</v>
      </c>
      <c r="BE68" s="13">
        <f>BD68*VLOOKUP('Données projet'!$B$11,Paramètres!$A$1:$I$89,3,0)*VLOOKUP('Données projet'!$B$11,Paramètres!$A$1:$I$89,5,0)</f>
        <v>1.064108801074326E-13</v>
      </c>
      <c r="BF68" s="13">
        <f t="shared" si="37"/>
        <v>1.5870730813698654E-12</v>
      </c>
      <c r="BG68" s="20">
        <f t="shared" ref="BG68:BG131" si="61">(BE68+BF68)*0.475*44/12</f>
        <v>2.9494845662396269E-12</v>
      </c>
      <c r="BH68" s="59">
        <f t="shared" ref="BH68:BH131" si="62">BG68+(AY68+AZ68)*44/12</f>
        <v>293.33333333333627</v>
      </c>
      <c r="BI68" s="59">
        <f ca="1">AVERAGE(OFFSET($BH$3,0,0,'Données projet'!$E$11+1,1))-AVERAGE(OFFSET($H$3,0,0,'Données projet'!$E$11+1,1))</f>
        <v>297.07458564121606</v>
      </c>
      <c r="BJ68" s="59">
        <f t="shared" si="38"/>
        <v>514.93897725587567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114.52992563635489</v>
      </c>
      <c r="BQ68" s="21">
        <f>EXP(-LN(2)/25)*BQ67+(1-EXP(-LN(2)/25))/(LN(2)/25)*Calculateur!BL68*Calculateur!BN68*VLOOKUP('Données projet'!$B$11,Paramètres!$A$1:$I$89,3,0)*0.475*44/12</f>
        <v>110.67004849634145</v>
      </c>
      <c r="BR68" s="21">
        <f>EXP(-LN(2)/2)*BR67+(1-EXP(-LN(2)/2))/(LN(2)/2)*BL68*BO68*VLOOKUP('Données projet'!$B$11,Paramètres!$A$1:$I$89,3,0)*0.475*44/12</f>
        <v>2.9713861699429172E-5</v>
      </c>
      <c r="BS68" s="22">
        <f t="shared" ref="BS68:BS131" si="63">SUM(BP68:BR68)</f>
        <v>225.20000384655805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30.887999999999998</v>
      </c>
      <c r="D69" s="11">
        <f t="shared" ref="D69:D132" si="86">IFERROR(EXP(-1.0587+0.8836*LN(C69)+0.284),0)</f>
        <v>9.5483937995519046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312.14058371583923</v>
      </c>
      <c r="H69" s="67">
        <f t="shared" si="56"/>
        <v>363.76005253421954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9.8224358974358967</v>
      </c>
      <c r="N69" s="13">
        <f>IF('Données projet'!$A$36&gt;35,N68+M69-V68,IF(A69&lt;'Données projet'!$A$36,$K$205^A69,IF(A69='Données projet'!$A$36,'Données projet'!$B$36,N68+M69-V68)))</f>
        <v>272.07500000000022</v>
      </c>
      <c r="O69" s="13">
        <f>N69*VLOOKUP('Données projet'!$B$9,Paramètres!$A$1:$I$89,3,0)*VLOOKUP('Données projet'!$B$9,Paramètres!$A$1:$I$89,5,0)</f>
        <v>127.33110000000011</v>
      </c>
      <c r="P69" s="13">
        <f t="shared" ref="P69:P132" si="87">EXP(-1.0587+0.8836*LN(O69)+0.284)</f>
        <v>33.378912344830439</v>
      </c>
      <c r="Q69" s="20">
        <f t="shared" si="54"/>
        <v>279.90327150057988</v>
      </c>
      <c r="R69" s="59">
        <f t="shared" si="55"/>
        <v>573.23660483391313</v>
      </c>
      <c r="S69" s="59">
        <f ca="1">AVERAGE(OFFSET($R$3,0,0,'Données projet'!$E$9+1,1))-AVERAGE(OFFSET($H$3,0,0,'Données projet'!$E$9+1,1))</f>
        <v>157.05226586109279</v>
      </c>
      <c r="T69" s="59">
        <f t="shared" ref="T69:T132" si="88">$T$3</f>
        <v>76.143582612540229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24.344241599389346</v>
      </c>
      <c r="AA69" s="21">
        <f>EXP(-LN(2)/25)*AA68+(1-EXP(-LN(2)/25))/(LN(2)/25)*Calculateur!V69*Calculateur!X69*VLOOKUP('Données projet'!$B$9,Paramètres!$A$1:$I$89,3,0)*0.475*44/12</f>
        <v>18.287503913886567</v>
      </c>
      <c r="AB69" s="21">
        <f>EXP(-LN(2)/2)*AB68+(1-EXP(-LN(2)/2))/(LN(2)/2)*V69*Y69*VLOOKUP('Données projet'!$B$9,Paramètres!$A$1:$I$89,3,0)*0.475*44/12</f>
        <v>2.802041985641035</v>
      </c>
      <c r="AC69" s="22">
        <f t="shared" si="57"/>
        <v>45.433787498916949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-1.1368683772161603E-13</v>
      </c>
      <c r="AJ69" s="13">
        <f>AI69*VLOOKUP('Données projet'!$B$10,Paramètres!$A$1:$I$89,3,0)*VLOOKUP('Données projet'!$B$10,Paramètres!$A$1:$I$89,5,0)</f>
        <v>-6.3550942286383367E-14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279.32192402750189</v>
      </c>
      <c r="AO69" s="59">
        <f t="shared" ref="AO69:AO132" si="90">$AO$3</f>
        <v>371.43572414443611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182.288749651015</v>
      </c>
      <c r="AV69" s="21">
        <f>EXP(-LN(2)/25)*AV68+(1-EXP(-LN(2)/25))/(LN(2)/25)*Calculateur!AQ69*Calculateur!AS69*VLOOKUP('Données projet'!$B$10,Paramètres!$A$1:$I$89,3,0)*0.475*44/12</f>
        <v>42.464614937963162</v>
      </c>
      <c r="AW69" s="21">
        <f>EXP(-LN(2)/2)*AW68+(1-EXP(-LN(2)/2))/(LN(2)/2)*AQ69*AT69*VLOOKUP('Données projet'!$B$10,Paramètres!$A$1:$I$89,3,0)*0.475*44/12</f>
        <v>0.75486530360884652</v>
      </c>
      <c r="AX69" s="21">
        <f t="shared" si="60"/>
        <v>225.50822989258702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2.2737367544323206E-13</v>
      </c>
      <c r="BE69" s="13">
        <f>BD69*VLOOKUP('Données projet'!$B$11,Paramètres!$A$1:$I$89,3,0)*VLOOKUP('Données projet'!$B$11,Paramètres!$A$1:$I$89,5,0)</f>
        <v>1.064108801074326E-13</v>
      </c>
      <c r="BF69" s="13">
        <f t="shared" ref="BF69:BF132" si="91">EXP(-1.0587+0.8836*LN(BE69)+0.284)</f>
        <v>1.5870730813698654E-12</v>
      </c>
      <c r="BG69" s="20">
        <f t="shared" si="61"/>
        <v>2.9494845662396269E-12</v>
      </c>
      <c r="BH69" s="59">
        <f t="shared" si="62"/>
        <v>293.33333333333627</v>
      </c>
      <c r="BI69" s="59">
        <f ca="1">AVERAGE(OFFSET($BH$3,0,0,'Données projet'!$E$11+1,1))-AVERAGE(OFFSET($H$3,0,0,'Données projet'!$E$11+1,1))</f>
        <v>297.07458564121606</v>
      </c>
      <c r="BJ69" s="59">
        <f t="shared" ref="BJ69:BJ132" si="92">$BJ$3</f>
        <v>514.93897725587567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112.28406365098287</v>
      </c>
      <c r="BQ69" s="21">
        <f>EXP(-LN(2)/25)*BQ68+(1-EXP(-LN(2)/25))/(LN(2)/25)*Calculateur!BL69*Calculateur!BN69*VLOOKUP('Données projet'!$B$11,Paramètres!$A$1:$I$89,3,0)*0.475*44/12</f>
        <v>107.64377020032408</v>
      </c>
      <c r="BR69" s="21">
        <f>EXP(-LN(2)/2)*BR68+(1-EXP(-LN(2)/2))/(LN(2)/2)*BL69*BO69*VLOOKUP('Données projet'!$B$11,Paramètres!$A$1:$I$89,3,0)*0.475*44/12</f>
        <v>2.1010873102905601E-5</v>
      </c>
      <c r="BS69" s="22">
        <f t="shared" si="63"/>
        <v>219.92785486218006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31.355999999999998</v>
      </c>
      <c r="D70" s="11">
        <f t="shared" si="86"/>
        <v>9.6761144436663837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316.73912903882825</v>
      </c>
      <c r="H70" s="67">
        <f t="shared" si="56"/>
        <v>364.79759932271895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9.8224358974358967</v>
      </c>
      <c r="N70" s="13">
        <f>IF('Données projet'!$A$36&gt;35,N69+M70-V69,IF(A70&lt;'Données projet'!$A$36,$K$205^A70,IF(A70='Données projet'!$A$36,'Données projet'!$B$36,N69+M70-V69)))</f>
        <v>281.89743589743614</v>
      </c>
      <c r="O70" s="13">
        <f>N70*VLOOKUP('Données projet'!$B$9,Paramètres!$A$1:$I$89,3,0)*VLOOKUP('Données projet'!$B$9,Paramètres!$A$1:$I$89,5,0)</f>
        <v>131.92800000000011</v>
      </c>
      <c r="P70" s="13">
        <f t="shared" si="87"/>
        <v>34.441481093359563</v>
      </c>
      <c r="Q70" s="20">
        <f t="shared" si="54"/>
        <v>289.76017957093472</v>
      </c>
      <c r="R70" s="59">
        <f t="shared" si="55"/>
        <v>583.09351290426798</v>
      </c>
      <c r="S70" s="59">
        <f ca="1">AVERAGE(OFFSET($R$3,0,0,'Données projet'!$E$9+1,1))-AVERAGE(OFFSET($H$3,0,0,'Données projet'!$E$9+1,1))</f>
        <v>157.05226586109279</v>
      </c>
      <c r="T70" s="59">
        <f t="shared" si="88"/>
        <v>76.143582612540229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23.866865870146526</v>
      </c>
      <c r="AA70" s="21">
        <f>EXP(-LN(2)/25)*AA69+(1-EXP(-LN(2)/25))/(LN(2)/25)*Calculateur!V70*Calculateur!X70*VLOOKUP('Données projet'!$B$9,Paramètres!$A$1:$I$89,3,0)*0.475*44/12</f>
        <v>17.787431157663306</v>
      </c>
      <c r="AB70" s="21">
        <f>EXP(-LN(2)/2)*AB69+(1-EXP(-LN(2)/2))/(LN(2)/2)*V70*Y70*VLOOKUP('Données projet'!$B$9,Paramètres!$A$1:$I$89,3,0)*0.475*44/12</f>
        <v>1.9813428892161946</v>
      </c>
      <c r="AC70" s="22">
        <f t="shared" si="57"/>
        <v>43.635639917026026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-1.1368683772161603E-13</v>
      </c>
      <c r="AJ70" s="13">
        <f>AI70*VLOOKUP('Données projet'!$B$10,Paramètres!$A$1:$I$89,3,0)*VLOOKUP('Données projet'!$B$10,Paramètres!$A$1:$I$89,5,0)</f>
        <v>-6.3550942286383367E-14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279.32192402750189</v>
      </c>
      <c r="AO70" s="59">
        <f t="shared" si="90"/>
        <v>371.43572414443611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178.71417845551724</v>
      </c>
      <c r="AV70" s="21">
        <f>EXP(-LN(2)/25)*AV69+(1-EXP(-LN(2)/25))/(LN(2)/25)*Calculateur!AQ70*Calculateur!AS70*VLOOKUP('Données projet'!$B$10,Paramètres!$A$1:$I$89,3,0)*0.475*44/12</f>
        <v>41.303417809367517</v>
      </c>
      <c r="AW70" s="21">
        <f>EXP(-LN(2)/2)*AW69+(1-EXP(-LN(2)/2))/(LN(2)/2)*AQ70*AT70*VLOOKUP('Données projet'!$B$10,Paramètres!$A$1:$I$89,3,0)*0.475*44/12</f>
        <v>0.5337703750642574</v>
      </c>
      <c r="AX70" s="21">
        <f t="shared" si="60"/>
        <v>220.55136663994901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2.2737367544323206E-13</v>
      </c>
      <c r="BE70" s="13">
        <f>BD70*VLOOKUP('Données projet'!$B$11,Paramètres!$A$1:$I$89,3,0)*VLOOKUP('Données projet'!$B$11,Paramètres!$A$1:$I$89,5,0)</f>
        <v>1.064108801074326E-13</v>
      </c>
      <c r="BF70" s="13">
        <f t="shared" si="91"/>
        <v>1.5870730813698654E-12</v>
      </c>
      <c r="BG70" s="20">
        <f t="shared" si="61"/>
        <v>2.9494845662396269E-12</v>
      </c>
      <c r="BH70" s="59">
        <f t="shared" si="62"/>
        <v>293.33333333333627</v>
      </c>
      <c r="BI70" s="59">
        <f ca="1">AVERAGE(OFFSET($BH$3,0,0,'Données projet'!$E$11+1,1))-AVERAGE(OFFSET($H$3,0,0,'Données projet'!$E$11+1,1))</f>
        <v>297.07458564121606</v>
      </c>
      <c r="BJ70" s="59">
        <f t="shared" si="92"/>
        <v>514.93897725587567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110.08224164930344</v>
      </c>
      <c r="BQ70" s="21">
        <f>EXP(-LN(2)/25)*BQ69+(1-EXP(-LN(2)/25))/(LN(2)/25)*Calculateur!BL70*Calculateur!BN70*VLOOKUP('Données projet'!$B$11,Paramètres!$A$1:$I$89,3,0)*0.475*44/12</f>
        <v>104.70024564345637</v>
      </c>
      <c r="BR70" s="21">
        <f>EXP(-LN(2)/2)*BR69+(1-EXP(-LN(2)/2))/(LN(2)/2)*BL70*BO70*VLOOKUP('Données projet'!$B$11,Paramètres!$A$1:$I$89,3,0)*0.475*44/12</f>
        <v>1.4856930849714588E-5</v>
      </c>
      <c r="BS70" s="22">
        <f t="shared" si="63"/>
        <v>214.78250214969066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31.823999999999998</v>
      </c>
      <c r="D71" s="11">
        <f t="shared" si="86"/>
        <v>9.8036133809220889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321.33596294045122</v>
      </c>
      <c r="H71" s="67">
        <f t="shared" si="56"/>
        <v>365.8347599717726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9.8224358974358967</v>
      </c>
      <c r="N71" s="13">
        <f>IF('Données projet'!$A$36&gt;35,N70+M71-V70,IF(A71&lt;'Données projet'!$A$36,$K$205^A71,IF(A71='Données projet'!$A$36,'Données projet'!$B$36,N70+M71-V70)))</f>
        <v>291.71987179487206</v>
      </c>
      <c r="O71" s="13">
        <f>N71*VLOOKUP('Données projet'!$B$9,Paramètres!$A$1:$I$89,3,0)*VLOOKUP('Données projet'!$B$9,Paramètres!$A$1:$I$89,5,0)</f>
        <v>136.52490000000012</v>
      </c>
      <c r="P71" s="13">
        <f t="shared" si="87"/>
        <v>35.49974803884507</v>
      </c>
      <c r="Q71" s="20">
        <f t="shared" si="54"/>
        <v>299.60959533432202</v>
      </c>
      <c r="R71" s="59">
        <f t="shared" si="55"/>
        <v>592.94292866765534</v>
      </c>
      <c r="S71" s="59">
        <f ca="1">AVERAGE(OFFSET($R$3,0,0,'Données projet'!$E$9+1,1))-AVERAGE(OFFSET($H$3,0,0,'Données projet'!$E$9+1,1))</f>
        <v>157.05226586109279</v>
      </c>
      <c r="T71" s="59">
        <f t="shared" si="88"/>
        <v>76.143582612540229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23.398851187783716</v>
      </c>
      <c r="AA71" s="21">
        <f>EXP(-LN(2)/25)*AA70+(1-EXP(-LN(2)/25))/(LN(2)/25)*Calculateur!V71*Calculateur!X71*VLOOKUP('Données projet'!$B$9,Paramètres!$A$1:$I$89,3,0)*0.475*44/12</f>
        <v>17.301032917256652</v>
      </c>
      <c r="AB71" s="21">
        <f>EXP(-LN(2)/2)*AB70+(1-EXP(-LN(2)/2))/(LN(2)/2)*V71*Y71*VLOOKUP('Données projet'!$B$9,Paramètres!$A$1:$I$89,3,0)*0.475*44/12</f>
        <v>1.4010209928205177</v>
      </c>
      <c r="AC71" s="22">
        <f t="shared" si="57"/>
        <v>42.100905097860888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-1.1368683772161603E-13</v>
      </c>
      <c r="AJ71" s="13">
        <f>AI71*VLOOKUP('Données projet'!$B$10,Paramètres!$A$1:$I$89,3,0)*VLOOKUP('Données projet'!$B$10,Paramètres!$A$1:$I$89,5,0)</f>
        <v>-6.3550942286383367E-14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279.32192402750189</v>
      </c>
      <c r="AO71" s="59">
        <f t="shared" si="90"/>
        <v>371.43572414443611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175.20970242089007</v>
      </c>
      <c r="AV71" s="21">
        <f>EXP(-LN(2)/25)*AV70+(1-EXP(-LN(2)/25))/(LN(2)/25)*Calculateur!AQ71*Calculateur!AS71*VLOOKUP('Données projet'!$B$10,Paramètres!$A$1:$I$89,3,0)*0.475*44/12</f>
        <v>40.173973677318017</v>
      </c>
      <c r="AW71" s="21">
        <f>EXP(-LN(2)/2)*AW70+(1-EXP(-LN(2)/2))/(LN(2)/2)*AQ71*AT71*VLOOKUP('Données projet'!$B$10,Paramètres!$A$1:$I$89,3,0)*0.475*44/12</f>
        <v>0.37743265180442326</v>
      </c>
      <c r="AX71" s="21">
        <f t="shared" si="60"/>
        <v>215.76110875001248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2.2737367544323206E-13</v>
      </c>
      <c r="BE71" s="13">
        <f>BD71*VLOOKUP('Données projet'!$B$11,Paramètres!$A$1:$I$89,3,0)*VLOOKUP('Données projet'!$B$11,Paramètres!$A$1:$I$89,5,0)</f>
        <v>1.064108801074326E-13</v>
      </c>
      <c r="BF71" s="13">
        <f t="shared" si="91"/>
        <v>1.5870730813698654E-12</v>
      </c>
      <c r="BG71" s="20">
        <f t="shared" si="61"/>
        <v>2.9494845662396269E-12</v>
      </c>
      <c r="BH71" s="59">
        <f t="shared" si="62"/>
        <v>293.33333333333627</v>
      </c>
      <c r="BI71" s="59">
        <f ca="1">AVERAGE(OFFSET($BH$3,0,0,'Données projet'!$E$11+1,1))-AVERAGE(OFFSET($H$3,0,0,'Données projet'!$E$11+1,1))</f>
        <v>297.07458564121606</v>
      </c>
      <c r="BJ71" s="59">
        <f t="shared" si="92"/>
        <v>514.93897725587567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107.92359603409814</v>
      </c>
      <c r="BQ71" s="21">
        <f>EXP(-LN(2)/25)*BQ70+(1-EXP(-LN(2)/25))/(LN(2)/25)*Calculateur!BL71*Calculateur!BN71*VLOOKUP('Données projet'!$B$11,Paramètres!$A$1:$I$89,3,0)*0.475*44/12</f>
        <v>101.83721192038944</v>
      </c>
      <c r="BR71" s="21">
        <f>EXP(-LN(2)/2)*BR70+(1-EXP(-LN(2)/2))/(LN(2)/2)*BL71*BO71*VLOOKUP('Données projet'!$B$11,Paramètres!$A$1:$I$89,3,0)*0.475*44/12</f>
        <v>1.0505436551452802E-5</v>
      </c>
      <c r="BS71" s="22">
        <f t="shared" si="63"/>
        <v>209.76081845992414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32.292000000000002</v>
      </c>
      <c r="D72" s="11">
        <f t="shared" si="86"/>
        <v>9.9308942483743401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325.93111349622302</v>
      </c>
      <c r="H72" s="67">
        <f t="shared" si="56"/>
        <v>366.87154081591865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9.8224358974358967</v>
      </c>
      <c r="N72" s="13">
        <f>IF('Données projet'!$A$36&gt;35,N71+M72-V71,IF(A72&lt;'Données projet'!$A$36,$K$205^A72,IF(A72='Données projet'!$A$36,'Données projet'!$B$36,N71+M72-V71)))</f>
        <v>301.54230769230799</v>
      </c>
      <c r="O72" s="13">
        <f>N72*VLOOKUP('Données projet'!$B$9,Paramètres!$A$1:$I$89,3,0)*VLOOKUP('Données projet'!$B$9,Paramètres!$A$1:$I$89,5,0)</f>
        <v>141.12180000000015</v>
      </c>
      <c r="P72" s="13">
        <f t="shared" si="87"/>
        <v>36.553874631825011</v>
      </c>
      <c r="Q72" s="20">
        <f t="shared" si="54"/>
        <v>309.4517999837621</v>
      </c>
      <c r="R72" s="59">
        <f t="shared" si="55"/>
        <v>602.78513331709541</v>
      </c>
      <c r="S72" s="59">
        <f ca="1">AVERAGE(OFFSET($R$3,0,0,'Données projet'!$E$9+1,1))-AVERAGE(OFFSET($H$3,0,0,'Données projet'!$E$9+1,1))</f>
        <v>157.05226586109279</v>
      </c>
      <c r="T72" s="59">
        <f t="shared" si="88"/>
        <v>76.143582612540229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22.940013987881269</v>
      </c>
      <c r="AA72" s="21">
        <f>EXP(-LN(2)/25)*AA71+(1-EXP(-LN(2)/25))/(LN(2)/25)*Calculateur!V72*Calculateur!X72*VLOOKUP('Données projet'!$B$9,Paramètres!$A$1:$I$89,3,0)*0.475*44/12</f>
        <v>16.82793526231249</v>
      </c>
      <c r="AB72" s="21">
        <f>EXP(-LN(2)/2)*AB71+(1-EXP(-LN(2)/2))/(LN(2)/2)*V72*Y72*VLOOKUP('Données projet'!$B$9,Paramètres!$A$1:$I$89,3,0)*0.475*44/12</f>
        <v>0.99067144460809742</v>
      </c>
      <c r="AC72" s="22">
        <f t="shared" si="57"/>
        <v>40.758620694801856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-1.1368683772161603E-13</v>
      </c>
      <c r="AJ72" s="13">
        <f>AI72*VLOOKUP('Données projet'!$B$10,Paramètres!$A$1:$I$89,3,0)*VLOOKUP('Données projet'!$B$10,Paramètres!$A$1:$I$89,5,0)</f>
        <v>-6.3550942286383367E-14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279.32192402750189</v>
      </c>
      <c r="AO72" s="59">
        <f t="shared" si="90"/>
        <v>371.43572414443611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171.77394702378263</v>
      </c>
      <c r="AV72" s="21">
        <f>EXP(-LN(2)/25)*AV71+(1-EXP(-LN(2)/25))/(LN(2)/25)*Calculateur!AQ72*Calculateur!AS72*VLOOKUP('Données projet'!$B$10,Paramètres!$A$1:$I$89,3,0)*0.475*44/12</f>
        <v>39.075414254454301</v>
      </c>
      <c r="AW72" s="21">
        <f>EXP(-LN(2)/2)*AW71+(1-EXP(-LN(2)/2))/(LN(2)/2)*AQ72*AT72*VLOOKUP('Données projet'!$B$10,Paramètres!$A$1:$I$89,3,0)*0.475*44/12</f>
        <v>0.2668851875321287</v>
      </c>
      <c r="AX72" s="21">
        <f t="shared" si="60"/>
        <v>211.11624646576905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2.2737367544323206E-13</v>
      </c>
      <c r="BE72" s="13">
        <f>BD72*VLOOKUP('Données projet'!$B$11,Paramètres!$A$1:$I$89,3,0)*VLOOKUP('Données projet'!$B$11,Paramètres!$A$1:$I$89,5,0)</f>
        <v>1.064108801074326E-13</v>
      </c>
      <c r="BF72" s="13">
        <f t="shared" si="91"/>
        <v>1.5870730813698654E-12</v>
      </c>
      <c r="BG72" s="20">
        <f t="shared" si="61"/>
        <v>2.9494845662396269E-12</v>
      </c>
      <c r="BH72" s="59">
        <f t="shared" si="62"/>
        <v>293.33333333333627</v>
      </c>
      <c r="BI72" s="59">
        <f ca="1">AVERAGE(OFFSET($BH$3,0,0,'Données projet'!$E$11+1,1))-AVERAGE(OFFSET($H$3,0,0,'Données projet'!$E$11+1,1))</f>
        <v>297.07458564121606</v>
      </c>
      <c r="BJ72" s="59">
        <f t="shared" si="92"/>
        <v>514.93897725587567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105.80728014276319</v>
      </c>
      <c r="BQ72" s="21">
        <f>EXP(-LN(2)/25)*BQ71+(1-EXP(-LN(2)/25))/(LN(2)/25)*Calculateur!BL72*Calculateur!BN72*VLOOKUP('Données projet'!$B$11,Paramètres!$A$1:$I$89,3,0)*0.475*44/12</f>
        <v>99.052468005040168</v>
      </c>
      <c r="BR72" s="21">
        <f>EXP(-LN(2)/2)*BR71+(1-EXP(-LN(2)/2))/(LN(2)/2)*BL72*BO72*VLOOKUP('Données projet'!$B$11,Paramètres!$A$1:$I$89,3,0)*0.475*44/12</f>
        <v>7.4284654248572956E-6</v>
      </c>
      <c r="BS72" s="22">
        <f t="shared" si="63"/>
        <v>204.85975557626881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32.760000000000005</v>
      </c>
      <c r="D73" s="11">
        <f t="shared" si="86"/>
        <v>10.057960571603429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330.52460792114931</v>
      </c>
      <c r="H73" s="67">
        <f t="shared" si="56"/>
        <v>367.9079479955426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9.8224358974358967</v>
      </c>
      <c r="N73" s="13">
        <f>IF('Données projet'!$A$36&gt;35,N72+M73-V72,IF(A73&lt;'Données projet'!$A$36,$K$205^A73,IF(A73='Données projet'!$A$36,'Données projet'!$B$36,N72+M73-V72)))</f>
        <v>311.36474358974391</v>
      </c>
      <c r="O73" s="13">
        <f>N73*VLOOKUP('Données projet'!$B$9,Paramètres!$A$1:$I$89,3,0)*VLOOKUP('Données projet'!$B$9,Paramètres!$A$1:$I$89,5,0)</f>
        <v>145.71870000000015</v>
      </c>
      <c r="P73" s="13">
        <f t="shared" si="87"/>
        <v>37.604011207604955</v>
      </c>
      <c r="Q73" s="20">
        <f t="shared" si="54"/>
        <v>319.28705535324553</v>
      </c>
      <c r="R73" s="59">
        <f t="shared" si="55"/>
        <v>612.62038868657885</v>
      </c>
      <c r="S73" s="59">
        <f ca="1">AVERAGE(OFFSET($R$3,0,0,'Données projet'!$E$9+1,1))-AVERAGE(OFFSET($H$3,0,0,'Données projet'!$E$9+1,1))</f>
        <v>157.05226586109279</v>
      </c>
      <c r="T73" s="59">
        <f t="shared" si="88"/>
        <v>76.143582612540229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22.490174305605851</v>
      </c>
      <c r="AA73" s="21">
        <f>EXP(-LN(2)/25)*AA72+(1-EXP(-LN(2)/25))/(LN(2)/25)*Calculateur!V73*Calculateur!X73*VLOOKUP('Données projet'!$B$9,Paramètres!$A$1:$I$89,3,0)*0.475*44/12</f>
        <v>16.367774487621901</v>
      </c>
      <c r="AB73" s="21">
        <f>EXP(-LN(2)/2)*AB72+(1-EXP(-LN(2)/2))/(LN(2)/2)*V73*Y73*VLOOKUP('Données projet'!$B$9,Paramètres!$A$1:$I$89,3,0)*0.475*44/12</f>
        <v>0.70051049641025898</v>
      </c>
      <c r="AC73" s="22">
        <f t="shared" si="57"/>
        <v>39.558459289638009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-1.1368683772161603E-13</v>
      </c>
      <c r="AJ73" s="13">
        <f>AI73*VLOOKUP('Données projet'!$B$10,Paramètres!$A$1:$I$89,3,0)*VLOOKUP('Données projet'!$B$10,Paramètres!$A$1:$I$89,5,0)</f>
        <v>-6.3550942286383367E-14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279.32192402750189</v>
      </c>
      <c r="AO73" s="59">
        <f t="shared" si="90"/>
        <v>371.43572414443611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168.40556469440858</v>
      </c>
      <c r="AV73" s="21">
        <f>EXP(-LN(2)/25)*AV72+(1-EXP(-LN(2)/25))/(LN(2)/25)*Calculateur!AQ73*Calculateur!AS73*VLOOKUP('Données projet'!$B$10,Paramètres!$A$1:$I$89,3,0)*0.475*44/12</f>
        <v>38.006894996779522</v>
      </c>
      <c r="AW73" s="21">
        <f>EXP(-LN(2)/2)*AW72+(1-EXP(-LN(2)/2))/(LN(2)/2)*AQ73*AT73*VLOOKUP('Données projet'!$B$10,Paramètres!$A$1:$I$89,3,0)*0.475*44/12</f>
        <v>0.18871632590221163</v>
      </c>
      <c r="AX73" s="21">
        <f t="shared" si="60"/>
        <v>206.60117601709032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2.2737367544323206E-13</v>
      </c>
      <c r="BE73" s="13">
        <f>BD73*VLOOKUP('Données projet'!$B$11,Paramètres!$A$1:$I$89,3,0)*VLOOKUP('Données projet'!$B$11,Paramètres!$A$1:$I$89,5,0)</f>
        <v>1.064108801074326E-13</v>
      </c>
      <c r="BF73" s="13">
        <f t="shared" si="91"/>
        <v>1.5870730813698654E-12</v>
      </c>
      <c r="BG73" s="20">
        <f t="shared" si="61"/>
        <v>2.9494845662396269E-12</v>
      </c>
      <c r="BH73" s="59">
        <f t="shared" si="62"/>
        <v>293.33333333333627</v>
      </c>
      <c r="BI73" s="59">
        <f ca="1">AVERAGE(OFFSET($BH$3,0,0,'Données projet'!$E$11+1,1))-AVERAGE(OFFSET($H$3,0,0,'Données projet'!$E$11+1,1))</f>
        <v>297.07458564121606</v>
      </c>
      <c r="BJ73" s="59">
        <f t="shared" si="92"/>
        <v>514.93897725587567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103.73246391523209</v>
      </c>
      <c r="BQ73" s="21">
        <f>EXP(-LN(2)/25)*BQ72+(1-EXP(-LN(2)/25))/(LN(2)/25)*Calculateur!BL73*Calculateur!BN73*VLOOKUP('Données projet'!$B$11,Paramètres!$A$1:$I$89,3,0)*0.475*44/12</f>
        <v>96.34387305849944</v>
      </c>
      <c r="BR73" s="21">
        <f>EXP(-LN(2)/2)*BR72+(1-EXP(-LN(2)/2))/(LN(2)/2)*BL73*BO73*VLOOKUP('Données projet'!$B$11,Paramètres!$A$1:$I$89,3,0)*0.475*44/12</f>
        <v>5.2527182757264019E-6</v>
      </c>
      <c r="BS73" s="22">
        <f t="shared" si="63"/>
        <v>200.07634222644981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33.228000000000009</v>
      </c>
      <c r="D74" s="11">
        <f t="shared" si="86"/>
        <v>10.184815769674017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335.11647260801004</v>
      </c>
      <c r="H74" s="67">
        <f t="shared" si="56"/>
        <v>368.94398746551559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9.8224358974358967</v>
      </c>
      <c r="N74" s="13">
        <f>IF('Données projet'!$A$36&gt;35,N73+M74-V73,IF(A74&lt;'Données projet'!$A$36,$K$205^A74,IF(A74='Données projet'!$A$36,'Données projet'!$B$36,N73+M74-V73)))</f>
        <v>321.18717948717983</v>
      </c>
      <c r="O74" s="13">
        <f>N74*VLOOKUP('Données projet'!$B$9,Paramètres!$A$1:$I$89,3,0)*VLOOKUP('Données projet'!$B$9,Paramètres!$A$1:$I$89,5,0)</f>
        <v>150.31560000000016</v>
      </c>
      <c r="P74" s="13">
        <f t="shared" si="87"/>
        <v>38.650298077744381</v>
      </c>
      <c r="Q74" s="20">
        <f t="shared" si="54"/>
        <v>329.1156058187384</v>
      </c>
      <c r="R74" s="59">
        <f t="shared" si="55"/>
        <v>622.44893915207172</v>
      </c>
      <c r="S74" s="59">
        <f ca="1">AVERAGE(OFFSET($R$3,0,0,'Données projet'!$E$9+1,1))-AVERAGE(OFFSET($H$3,0,0,'Données projet'!$E$9+1,1))</f>
        <v>157.05226586109279</v>
      </c>
      <c r="T74" s="59">
        <f t="shared" si="88"/>
        <v>76.143582612540229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22.04915570512474</v>
      </c>
      <c r="AA74" s="21">
        <f>EXP(-LN(2)/25)*AA73+(1-EXP(-LN(2)/25))/(LN(2)/25)*Calculateur!V74*Calculateur!X74*VLOOKUP('Données projet'!$B$9,Paramètres!$A$1:$I$89,3,0)*0.475*44/12</f>
        <v>15.920196833514028</v>
      </c>
      <c r="AB74" s="21">
        <f>EXP(-LN(2)/2)*AB73+(1-EXP(-LN(2)/2))/(LN(2)/2)*V74*Y74*VLOOKUP('Données projet'!$B$9,Paramètres!$A$1:$I$89,3,0)*0.475*44/12</f>
        <v>0.49533572230404882</v>
      </c>
      <c r="AC74" s="22">
        <f t="shared" si="57"/>
        <v>38.464688260942815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-1.1368683772161603E-13</v>
      </c>
      <c r="AJ74" s="13">
        <f>AI74*VLOOKUP('Données projet'!$B$10,Paramètres!$A$1:$I$89,3,0)*VLOOKUP('Données projet'!$B$10,Paramètres!$A$1:$I$89,5,0)</f>
        <v>-6.3550942286383367E-14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279.32192402750189</v>
      </c>
      <c r="AO74" s="59">
        <f t="shared" si="90"/>
        <v>371.43572414443611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165.10323428800319</v>
      </c>
      <c r="AV74" s="21">
        <f>EXP(-LN(2)/25)*AV73+(1-EXP(-LN(2)/25))/(LN(2)/25)*Calculateur!AQ74*Calculateur!AS74*VLOOKUP('Données projet'!$B$10,Paramètres!$A$1:$I$89,3,0)*0.475*44/12</f>
        <v>36.967594454396846</v>
      </c>
      <c r="AW74" s="21">
        <f>EXP(-LN(2)/2)*AW73+(1-EXP(-LN(2)/2))/(LN(2)/2)*AQ74*AT74*VLOOKUP('Données projet'!$B$10,Paramètres!$A$1:$I$89,3,0)*0.475*44/12</f>
        <v>0.13344259376606435</v>
      </c>
      <c r="AX74" s="21">
        <f t="shared" si="60"/>
        <v>202.2042713361661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2.2737367544323206E-13</v>
      </c>
      <c r="BE74" s="13">
        <f>BD74*VLOOKUP('Données projet'!$B$11,Paramètres!$A$1:$I$89,3,0)*VLOOKUP('Données projet'!$B$11,Paramètres!$A$1:$I$89,5,0)</f>
        <v>1.064108801074326E-13</v>
      </c>
      <c r="BF74" s="13">
        <f t="shared" si="91"/>
        <v>1.5870730813698654E-12</v>
      </c>
      <c r="BG74" s="20">
        <f t="shared" si="61"/>
        <v>2.9494845662396269E-12</v>
      </c>
      <c r="BH74" s="59">
        <f t="shared" si="62"/>
        <v>293.33333333333627</v>
      </c>
      <c r="BI74" s="59">
        <f ca="1">AVERAGE(OFFSET($BH$3,0,0,'Données projet'!$E$11+1,1))-AVERAGE(OFFSET($H$3,0,0,'Données projet'!$E$11+1,1))</f>
        <v>297.07458564121606</v>
      </c>
      <c r="BJ74" s="59">
        <f t="shared" si="92"/>
        <v>514.93897725587567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101.69833356840992</v>
      </c>
      <c r="BQ74" s="21">
        <f>EXP(-LN(2)/25)*BQ73+(1-EXP(-LN(2)/25))/(LN(2)/25)*Calculateur!BL74*Calculateur!BN74*VLOOKUP('Données projet'!$B$11,Paramètres!$A$1:$I$89,3,0)*0.475*44/12</f>
        <v>93.709344783210682</v>
      </c>
      <c r="BR74" s="21">
        <f>EXP(-LN(2)/2)*BR73+(1-EXP(-LN(2)/2))/(LN(2)/2)*BL74*BO74*VLOOKUP('Données projet'!$B$11,Paramètres!$A$1:$I$89,3,0)*0.475*44/12</f>
        <v>3.7142327124286482E-6</v>
      </c>
      <c r="BS74" s="22">
        <f t="shared" si="63"/>
        <v>195.40768206585332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33.696000000000012</v>
      </c>
      <c r="D75" s="11">
        <f t="shared" si="86"/>
        <v>10.311463159807191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339.70673316342402</v>
      </c>
      <c r="H75" s="67">
        <f t="shared" si="56"/>
        <v>369.97966500333087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9.8224358974358967</v>
      </c>
      <c r="N75" s="13">
        <f>IF('Données projet'!$A$36&gt;35,N74+M75-V74,IF(A75&lt;'Données projet'!$A$36,$K$205^A75,IF(A75='Données projet'!$A$36,'Données projet'!$B$36,N74+M75-V74)))</f>
        <v>331.00961538461576</v>
      </c>
      <c r="O75" s="13">
        <f>N75*VLOOKUP('Données projet'!$B$9,Paramètres!$A$1:$I$89,3,0)*VLOOKUP('Données projet'!$B$9,Paramètres!$A$1:$I$89,5,0)</f>
        <v>154.91250000000016</v>
      </c>
      <c r="P75" s="13">
        <f t="shared" si="87"/>
        <v>39.692866484273097</v>
      </c>
      <c r="Q75" s="20">
        <f t="shared" si="54"/>
        <v>338.93767996010916</v>
      </c>
      <c r="R75" s="59">
        <f t="shared" si="55"/>
        <v>632.27101329344248</v>
      </c>
      <c r="S75" s="59">
        <f ca="1">AVERAGE(OFFSET($R$3,0,0,'Données projet'!$E$9+1,1))-AVERAGE(OFFSET($H$3,0,0,'Données projet'!$E$9+1,1))</f>
        <v>157.05226586109279</v>
      </c>
      <c r="T75" s="59">
        <f t="shared" si="88"/>
        <v>76.143582612540229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21.616785210404281</v>
      </c>
      <c r="AA75" s="21">
        <f>EXP(-LN(2)/25)*AA74+(1-EXP(-LN(2)/25))/(LN(2)/25)*Calculateur!V75*Calculateur!X75*VLOOKUP('Données projet'!$B$9,Paramètres!$A$1:$I$89,3,0)*0.475*44/12</f>
        <v>15.484858213894821</v>
      </c>
      <c r="AB75" s="21">
        <f>EXP(-LN(2)/2)*AB74+(1-EXP(-LN(2)/2))/(LN(2)/2)*V75*Y75*VLOOKUP('Données projet'!$B$9,Paramètres!$A$1:$I$89,3,0)*0.475*44/12</f>
        <v>0.35025524820512954</v>
      </c>
      <c r="AC75" s="22">
        <f t="shared" si="57"/>
        <v>37.451898672504228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-1.1368683772161603E-13</v>
      </c>
      <c r="AJ75" s="13">
        <f>AI75*VLOOKUP('Données projet'!$B$10,Paramètres!$A$1:$I$89,3,0)*VLOOKUP('Données projet'!$B$10,Paramètres!$A$1:$I$89,5,0)</f>
        <v>-6.3550942286383367E-14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279.32192402750189</v>
      </c>
      <c r="AO75" s="59">
        <f t="shared" si="90"/>
        <v>371.43572414443611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161.86566056664478</v>
      </c>
      <c r="AV75" s="21">
        <f>EXP(-LN(2)/25)*AV74+(1-EXP(-LN(2)/25))/(LN(2)/25)*Calculateur!AQ75*Calculateur!AS75*VLOOKUP('Données projet'!$B$10,Paramètres!$A$1:$I$89,3,0)*0.475*44/12</f>
        <v>35.956713640000061</v>
      </c>
      <c r="AW75" s="21">
        <f>EXP(-LN(2)/2)*AW74+(1-EXP(-LN(2)/2))/(LN(2)/2)*AQ75*AT75*VLOOKUP('Données projet'!$B$10,Paramètres!$A$1:$I$89,3,0)*0.475*44/12</f>
        <v>9.4358162951105815E-2</v>
      </c>
      <c r="AX75" s="21">
        <f t="shared" si="60"/>
        <v>197.91673236959593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2.2737367544323206E-13</v>
      </c>
      <c r="BE75" s="13">
        <f>BD75*VLOOKUP('Données projet'!$B$11,Paramètres!$A$1:$I$89,3,0)*VLOOKUP('Données projet'!$B$11,Paramètres!$A$1:$I$89,5,0)</f>
        <v>1.064108801074326E-13</v>
      </c>
      <c r="BF75" s="13">
        <f t="shared" si="91"/>
        <v>1.5870730813698654E-12</v>
      </c>
      <c r="BG75" s="20">
        <f t="shared" si="61"/>
        <v>2.9494845662396269E-12</v>
      </c>
      <c r="BH75" s="59">
        <f t="shared" si="62"/>
        <v>293.33333333333627</v>
      </c>
      <c r="BI75" s="59">
        <f ca="1">AVERAGE(OFFSET($BH$3,0,0,'Données projet'!$E$11+1,1))-AVERAGE(OFFSET($H$3,0,0,'Données projet'!$E$11+1,1))</f>
        <v>297.07458564121606</v>
      </c>
      <c r="BJ75" s="59">
        <f t="shared" si="92"/>
        <v>514.93897725587567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99.704091276991946</v>
      </c>
      <c r="BQ75" s="21">
        <f>EXP(-LN(2)/25)*BQ74+(1-EXP(-LN(2)/25))/(LN(2)/25)*Calculateur!BL75*Calculateur!BN75*VLOOKUP('Données projet'!$B$11,Paramètres!$A$1:$I$89,3,0)*0.475*44/12</f>
        <v>91.146857822153521</v>
      </c>
      <c r="BR75" s="21">
        <f>EXP(-LN(2)/2)*BR74+(1-EXP(-LN(2)/2))/(LN(2)/2)*BL75*BO75*VLOOKUP('Données projet'!$B$11,Paramètres!$A$1:$I$89,3,0)*0.475*44/12</f>
        <v>2.6263591378632014E-6</v>
      </c>
      <c r="BS75" s="22">
        <f t="shared" si="63"/>
        <v>190.85095172550459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34.164000000000016</v>
      </c>
      <c r="D76" s="11">
        <f t="shared" si="86"/>
        <v>10.437905961785614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344.29541444185406</v>
      </c>
      <c r="H76" s="67">
        <f t="shared" si="56"/>
        <v>371.01498621677661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9.8224358974358967</v>
      </c>
      <c r="N76" s="13">
        <f>IF('Données projet'!$A$36&gt;35,N75+M76-V75,IF(A76&lt;'Données projet'!$A$36,$K$205^A76,IF(A76='Données projet'!$A$36,'Données projet'!$B$36,N75+M76-V75)))</f>
        <v>340.83205128205168</v>
      </c>
      <c r="O76" s="13">
        <f>N76*VLOOKUP('Données projet'!$B$9,Paramètres!$A$1:$I$89,3,0)*VLOOKUP('Données projet'!$B$9,Paramètres!$A$1:$I$89,5,0)</f>
        <v>159.50940000000017</v>
      </c>
      <c r="P76" s="13">
        <f t="shared" si="87"/>
        <v>40.7318394374633</v>
      </c>
      <c r="Q76" s="20">
        <f t="shared" si="54"/>
        <v>348.75349202024881</v>
      </c>
      <c r="R76" s="59">
        <f t="shared" si="55"/>
        <v>642.08682535358207</v>
      </c>
      <c r="S76" s="59">
        <f ca="1">AVERAGE(OFFSET($R$3,0,0,'Données projet'!$E$9+1,1))-AVERAGE(OFFSET($H$3,0,0,'Données projet'!$E$9+1,1))</f>
        <v>157.05226586109279</v>
      </c>
      <c r="T76" s="59">
        <f t="shared" si="88"/>
        <v>76.143582612540229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21.192893237365325</v>
      </c>
      <c r="AA76" s="21">
        <f>EXP(-LN(2)/25)*AA75+(1-EXP(-LN(2)/25))/(LN(2)/25)*Calculateur!V76*Calculateur!X76*VLOOKUP('Données projet'!$B$9,Paramètres!$A$1:$I$89,3,0)*0.475*44/12</f>
        <v>15.061423951722565</v>
      </c>
      <c r="AB76" s="21">
        <f>EXP(-LN(2)/2)*AB75+(1-EXP(-LN(2)/2))/(LN(2)/2)*V76*Y76*VLOOKUP('Données projet'!$B$9,Paramètres!$A$1:$I$89,3,0)*0.475*44/12</f>
        <v>0.24766786115202444</v>
      </c>
      <c r="AC76" s="22">
        <f t="shared" si="57"/>
        <v>36.501985050239917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-1.1368683772161603E-13</v>
      </c>
      <c r="AJ76" s="13">
        <f>AI76*VLOOKUP('Données projet'!$B$10,Paramètres!$A$1:$I$89,3,0)*VLOOKUP('Données projet'!$B$10,Paramètres!$A$1:$I$89,5,0)</f>
        <v>-6.3550942286383367E-14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279.32192402750189</v>
      </c>
      <c r="AO76" s="59">
        <f t="shared" si="90"/>
        <v>371.43572414443611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158.69157369123721</v>
      </c>
      <c r="AV76" s="21">
        <f>EXP(-LN(2)/25)*AV75+(1-EXP(-LN(2)/25))/(LN(2)/25)*Calculateur!AQ76*Calculateur!AS76*VLOOKUP('Données projet'!$B$10,Paramètres!$A$1:$I$89,3,0)*0.475*44/12</f>
        <v>34.973475414632865</v>
      </c>
      <c r="AW76" s="21">
        <f>EXP(-LN(2)/2)*AW75+(1-EXP(-LN(2)/2))/(LN(2)/2)*AQ76*AT76*VLOOKUP('Données projet'!$B$10,Paramètres!$A$1:$I$89,3,0)*0.475*44/12</f>
        <v>6.6721296883032175E-2</v>
      </c>
      <c r="AX76" s="21">
        <f t="shared" si="60"/>
        <v>193.73177040275311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2.2737367544323206E-13</v>
      </c>
      <c r="BE76" s="13">
        <f>BD76*VLOOKUP('Données projet'!$B$11,Paramètres!$A$1:$I$89,3,0)*VLOOKUP('Données projet'!$B$11,Paramètres!$A$1:$I$89,5,0)</f>
        <v>1.064108801074326E-13</v>
      </c>
      <c r="BF76" s="13">
        <f t="shared" si="91"/>
        <v>1.5870730813698654E-12</v>
      </c>
      <c r="BG76" s="20">
        <f t="shared" si="61"/>
        <v>2.9494845662396269E-12</v>
      </c>
      <c r="BH76" s="59">
        <f t="shared" si="62"/>
        <v>293.33333333333627</v>
      </c>
      <c r="BI76" s="59">
        <f ca="1">AVERAGE(OFFSET($BH$3,0,0,'Données projet'!$E$11+1,1))-AVERAGE(OFFSET($H$3,0,0,'Données projet'!$E$11+1,1))</f>
        <v>297.07458564121606</v>
      </c>
      <c r="BJ76" s="59">
        <f t="shared" si="92"/>
        <v>514.93897725587567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97.748954860540977</v>
      </c>
      <c r="BQ76" s="21">
        <f>EXP(-LN(2)/25)*BQ75+(1-EXP(-LN(2)/25))/(LN(2)/25)*Calculateur!BL76*Calculateur!BN76*VLOOKUP('Données projet'!$B$11,Paramètres!$A$1:$I$89,3,0)*0.475*44/12</f>
        <v>88.6544422018018</v>
      </c>
      <c r="BR76" s="21">
        <f>EXP(-LN(2)/2)*BR75+(1-EXP(-LN(2)/2))/(LN(2)/2)*BL76*BO76*VLOOKUP('Données projet'!$B$11,Paramètres!$A$1:$I$89,3,0)*0.475*44/12</f>
        <v>1.8571163562143245E-6</v>
      </c>
      <c r="BS76" s="22">
        <f t="shared" si="63"/>
        <v>186.40339891945914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34.632000000000019</v>
      </c>
      <c r="D77" s="11">
        <f t="shared" si="86"/>
        <v>10.564147302110397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348.88254057769444</v>
      </c>
      <c r="H77" s="67">
        <f t="shared" si="56"/>
        <v>372.04995655117563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9.8224358974358967</v>
      </c>
      <c r="N77" s="13">
        <f>IF('Données projet'!$A$36&gt;35,N76+M77-V76,IF(A77&lt;'Données projet'!$A$36,$K$205^A77,IF(A77='Données projet'!$A$36,'Données projet'!$B$36,N76+M77-V76)))</f>
        <v>350.6544871794876</v>
      </c>
      <c r="O77" s="13">
        <f>N77*VLOOKUP('Données projet'!$B$9,Paramètres!$A$1:$I$89,3,0)*VLOOKUP('Données projet'!$B$9,Paramètres!$A$1:$I$89,5,0)</f>
        <v>164.1063000000002</v>
      </c>
      <c r="P77" s="13">
        <f t="shared" si="87"/>
        <v>41.767332454312395</v>
      </c>
      <c r="Q77" s="20">
        <f t="shared" si="54"/>
        <v>358.56324319126111</v>
      </c>
      <c r="R77" s="59">
        <f t="shared" si="55"/>
        <v>651.89657652459437</v>
      </c>
      <c r="S77" s="59">
        <f ca="1">AVERAGE(OFFSET($R$3,0,0,'Données projet'!$E$9+1,1))-AVERAGE(OFFSET($H$3,0,0,'Données projet'!$E$9+1,1))</f>
        <v>157.05226586109279</v>
      </c>
      <c r="T77" s="59">
        <f t="shared" si="88"/>
        <v>76.143582612540229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20.777313527369092</v>
      </c>
      <c r="AA77" s="21">
        <f>EXP(-LN(2)/25)*AA76+(1-EXP(-LN(2)/25))/(LN(2)/25)*Calculateur!V77*Calculateur!X77*VLOOKUP('Données projet'!$B$9,Paramètres!$A$1:$I$89,3,0)*0.475*44/12</f>
        <v>14.64956852171685</v>
      </c>
      <c r="AB77" s="21">
        <f>EXP(-LN(2)/2)*AB76+(1-EXP(-LN(2)/2))/(LN(2)/2)*V77*Y77*VLOOKUP('Données projet'!$B$9,Paramètres!$A$1:$I$89,3,0)*0.475*44/12</f>
        <v>0.1751276241025648</v>
      </c>
      <c r="AC77" s="22">
        <f t="shared" si="57"/>
        <v>35.602009673188505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-1.1368683772161603E-13</v>
      </c>
      <c r="AJ77" s="13">
        <f>AI77*VLOOKUP('Données projet'!$B$10,Paramètres!$A$1:$I$89,3,0)*VLOOKUP('Données projet'!$B$10,Paramètres!$A$1:$I$89,5,0)</f>
        <v>-6.3550942286383367E-14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279.32192402750189</v>
      </c>
      <c r="AO77" s="59">
        <f t="shared" si="90"/>
        <v>371.43572414443611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155.57972872345456</v>
      </c>
      <c r="AV77" s="21">
        <f>EXP(-LN(2)/25)*AV76+(1-EXP(-LN(2)/25))/(LN(2)/25)*Calculateur!AQ77*Calculateur!AS77*VLOOKUP('Données projet'!$B$10,Paramètres!$A$1:$I$89,3,0)*0.475*44/12</f>
        <v>34.017123890244591</v>
      </c>
      <c r="AW77" s="21">
        <f>EXP(-LN(2)/2)*AW76+(1-EXP(-LN(2)/2))/(LN(2)/2)*AQ77*AT77*VLOOKUP('Données projet'!$B$10,Paramètres!$A$1:$I$89,3,0)*0.475*44/12</f>
        <v>4.7179081475552907E-2</v>
      </c>
      <c r="AX77" s="21">
        <f t="shared" si="60"/>
        <v>189.6440316951747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2.2737367544323206E-13</v>
      </c>
      <c r="BE77" s="13">
        <f>BD77*VLOOKUP('Données projet'!$B$11,Paramètres!$A$1:$I$89,3,0)*VLOOKUP('Données projet'!$B$11,Paramètres!$A$1:$I$89,5,0)</f>
        <v>1.064108801074326E-13</v>
      </c>
      <c r="BF77" s="13">
        <f t="shared" si="91"/>
        <v>1.5870730813698654E-12</v>
      </c>
      <c r="BG77" s="20">
        <f t="shared" si="61"/>
        <v>2.9494845662396269E-12</v>
      </c>
      <c r="BH77" s="59">
        <f t="shared" si="62"/>
        <v>293.33333333333627</v>
      </c>
      <c r="BI77" s="59">
        <f ca="1">AVERAGE(OFFSET($BH$3,0,0,'Données projet'!$E$11+1,1))-AVERAGE(OFFSET($H$3,0,0,'Données projet'!$E$11+1,1))</f>
        <v>297.07458564121606</v>
      </c>
      <c r="BJ77" s="59">
        <f t="shared" si="92"/>
        <v>514.93897725587567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95.832157476701155</v>
      </c>
      <c r="BQ77" s="21">
        <f>EXP(-LN(2)/25)*BQ76+(1-EXP(-LN(2)/25))/(LN(2)/25)*Calculateur!BL77*Calculateur!BN77*VLOOKUP('Données projet'!$B$11,Paramètres!$A$1:$I$89,3,0)*0.475*44/12</f>
        <v>86.23018181765903</v>
      </c>
      <c r="BR77" s="21">
        <f>EXP(-LN(2)/2)*BR76+(1-EXP(-LN(2)/2))/(LN(2)/2)*BL77*BO77*VLOOKUP('Données projet'!$B$11,Paramètres!$A$1:$I$89,3,0)*0.475*44/12</f>
        <v>1.3131795689316009E-6</v>
      </c>
      <c r="BS77" s="22">
        <f t="shared" si="63"/>
        <v>182.06234060753977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35.100000000000023</v>
      </c>
      <c r="D78" s="11">
        <f t="shared" si="86"/>
        <v>10.690190217926903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353.46813501557631</v>
      </c>
      <c r="H78" s="67">
        <f t="shared" si="56"/>
        <v>373.08458129622272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360.47692307692307</v>
      </c>
      <c r="L78" s="12">
        <f>VLOOKUP(A78,'Données projet'!$A$35:$I$55,9,0)</f>
        <v>9.8224358974358967</v>
      </c>
      <c r="M78" s="12">
        <f t="array" ref="M78">INDEX(L:L,MIN(IF(ISNUMBER(L78:L274),ROW(L78:L274),"")))</f>
        <v>9.8224358974358967</v>
      </c>
      <c r="N78" s="13">
        <f>IF('Données projet'!$A$36&gt;35,N77+M78-V77,IF(A78&lt;'Données projet'!$A$36,$K$205^A78,IF(A78='Données projet'!$A$36,'Données projet'!$B$36,N77+M78-V77)))</f>
        <v>360.47692307692353</v>
      </c>
      <c r="O78" s="13">
        <f>N78*VLOOKUP('Données projet'!$B$9,Paramètres!$A$1:$I$89,3,0)*VLOOKUP('Données projet'!$B$9,Paramètres!$A$1:$I$89,5,0)</f>
        <v>168.70320000000021</v>
      </c>
      <c r="P78" s="13">
        <f t="shared" si="87"/>
        <v>42.799454211954647</v>
      </c>
      <c r="Q78" s="20">
        <f t="shared" si="54"/>
        <v>368.367122752488</v>
      </c>
      <c r="R78" s="59">
        <f t="shared" si="55"/>
        <v>661.70045608582132</v>
      </c>
      <c r="S78" s="59">
        <f ca="1">AVERAGE(OFFSET($R$3,0,0,'Données projet'!$E$9+1,1))-AVERAGE(OFFSET($H$3,0,0,'Données projet'!$E$9+1,1))</f>
        <v>157.05226586109279</v>
      </c>
      <c r="T78" s="59">
        <f t="shared" si="88"/>
        <v>76.143582612540229</v>
      </c>
      <c r="U78" s="15">
        <f>IF(ISNA(VLOOKUP(A78,'Données projet'!$A$35:$I$55,3,0)),0,VLOOKUP(A78,'Données projet'!$A$35:$I$55,3,0))</f>
        <v>3</v>
      </c>
      <c r="V78" s="15">
        <f>IF(ISNA(VLOOKUP(A78,'Données projet'!$A$35:$I$55,4,0)),0,VLOOKUP(A78,'Données projet'!$A$35:$I$55,4,0))</f>
        <v>85.361538461538458</v>
      </c>
      <c r="W78" s="16">
        <f>IF(ISNA(VLOOKUP(A78,'Données projet'!$A$35:$I$55,5,0)),0%,VLOOKUP(A78,'Données projet'!$A$35:$I$55,5,0)*VLOOKUP('Données projet'!$B$9,Paramètres!$A$1:$I$89,7,0))</f>
        <v>0.38500000000000001</v>
      </c>
      <c r="X78" s="16">
        <f>IF(ISNA(VLOOKUP(A78,'Données projet'!$A$35:$I$55,6,0)),0%,VLOOKUP(A78,'Données projet'!$A$35:$I$55,6,0)*VLOOKUP('Données projet'!$B$9,Paramètres!$A$1:$I$89,7,0))</f>
        <v>9.240000000000001E-2</v>
      </c>
      <c r="Y78" s="16">
        <f>IF(ISNA(VLOOKUP(A78,'Données projet'!$A$35:$I$55,7,0)),0%,VLOOKUP(A78,'Données projet'!$A$35:$I$55,7,0))</f>
        <v>0.13200000000000001</v>
      </c>
      <c r="Z78" s="21">
        <f>EXP(-LN(2)/35)*Z77+(1-EXP(-LN(2)/35))/(LN(2)/35)*V78*W78*VLOOKUP('Données projet'!$B$9,Paramètres!$A$1:$I$89,3,0)*0.475*44/12</f>
        <v>40.773030748156728</v>
      </c>
      <c r="AA78" s="21">
        <f>EXP(-LN(2)/25)*AA77+(1-EXP(-LN(2)/25))/(LN(2)/25)*Calculateur!V78*Calculateur!X78*VLOOKUP('Données projet'!$B$9,Paramètres!$A$1:$I$89,3,0)*0.475*44/12</f>
        <v>19.126450348002148</v>
      </c>
      <c r="AB78" s="21">
        <f>EXP(-LN(2)/2)*AB77+(1-EXP(-LN(2)/2))/(LN(2)/2)*V78*Y78*VLOOKUP('Données projet'!$B$9,Paramètres!$A$1:$I$89,3,0)*0.475*44/12</f>
        <v>6.0944281646214584</v>
      </c>
      <c r="AC78" s="22">
        <f t="shared" si="57"/>
        <v>65.993909260780342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-1.1368683772161603E-13</v>
      </c>
      <c r="AJ78" s="13">
        <f>AI78*VLOOKUP('Données projet'!$B$10,Paramètres!$A$1:$I$89,3,0)*VLOOKUP('Données projet'!$B$10,Paramètres!$A$1:$I$89,5,0)</f>
        <v>-6.3550942286383367E-14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279.32192402750189</v>
      </c>
      <c r="AO78" s="59">
        <f t="shared" si="90"/>
        <v>371.43572414443611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152.52890513745211</v>
      </c>
      <c r="AV78" s="21">
        <f>EXP(-LN(2)/25)*AV77+(1-EXP(-LN(2)/25))/(LN(2)/25)*Calculateur!AQ78*Calculateur!AS78*VLOOKUP('Données projet'!$B$10,Paramètres!$A$1:$I$89,3,0)*0.475*44/12</f>
        <v>33.086923848583055</v>
      </c>
      <c r="AW78" s="21">
        <f>EXP(-LN(2)/2)*AW77+(1-EXP(-LN(2)/2))/(LN(2)/2)*AQ78*AT78*VLOOKUP('Données projet'!$B$10,Paramètres!$A$1:$I$89,3,0)*0.475*44/12</f>
        <v>3.3360648441516087E-2</v>
      </c>
      <c r="AX78" s="21">
        <f t="shared" si="60"/>
        <v>185.6491896344767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2.2737367544323206E-13</v>
      </c>
      <c r="BE78" s="13">
        <f>BD78*VLOOKUP('Données projet'!$B$11,Paramètres!$A$1:$I$89,3,0)*VLOOKUP('Données projet'!$B$11,Paramètres!$A$1:$I$89,5,0)</f>
        <v>1.064108801074326E-13</v>
      </c>
      <c r="BF78" s="13">
        <f t="shared" si="91"/>
        <v>1.5870730813698654E-12</v>
      </c>
      <c r="BG78" s="20">
        <f t="shared" si="61"/>
        <v>2.9494845662396269E-12</v>
      </c>
      <c r="BH78" s="59">
        <f t="shared" si="62"/>
        <v>293.33333333333627</v>
      </c>
      <c r="BI78" s="59">
        <f ca="1">AVERAGE(OFFSET($BH$3,0,0,'Données projet'!$E$11+1,1))-AVERAGE(OFFSET($H$3,0,0,'Données projet'!$E$11+1,1))</f>
        <v>297.07458564121606</v>
      </c>
      <c r="BJ78" s="59">
        <f t="shared" si="92"/>
        <v>514.93897725587567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93.952947320427469</v>
      </c>
      <c r="BQ78" s="21">
        <f>EXP(-LN(2)/25)*BQ77+(1-EXP(-LN(2)/25))/(LN(2)/25)*Calculateur!BL78*Calculateur!BN78*VLOOKUP('Données projet'!$B$11,Paramètres!$A$1:$I$89,3,0)*0.475*44/12</f>
        <v>83.872212961206969</v>
      </c>
      <c r="BR78" s="21">
        <f>EXP(-LN(2)/2)*BR77+(1-EXP(-LN(2)/2))/(LN(2)/2)*BL78*BO78*VLOOKUP('Données projet'!$B$11,Paramètres!$A$1:$I$89,3,0)*0.475*44/12</f>
        <v>9.2855817810716238E-7</v>
      </c>
      <c r="BS78" s="22">
        <f t="shared" si="63"/>
        <v>177.82516121019262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35.568000000000026</v>
      </c>
      <c r="D79" s="11">
        <f t="shared" si="86"/>
        <v>10.816037660735214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358.05222053900889</v>
      </c>
      <c r="H79" s="67">
        <f t="shared" si="56"/>
        <v>374.11886559244721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9.001923076923072</v>
      </c>
      <c r="N79" s="13">
        <f>IF('Données projet'!$A$36&gt;35,N78+M79-V78,IF(A79&lt;'Données projet'!$A$36,$K$205^A79,IF(A79='Données projet'!$A$36,'Données projet'!$B$36,N78+M79-V78)))</f>
        <v>284.11730769230815</v>
      </c>
      <c r="O79" s="13">
        <f>N79*VLOOKUP('Données projet'!$B$9,Paramètres!$A$1:$I$89,3,0)*VLOOKUP('Données projet'!$B$9,Paramètres!$A$1:$I$89,5,0)</f>
        <v>132.96690000000021</v>
      </c>
      <c r="P79" s="13">
        <f t="shared" si="87"/>
        <v>34.681019848273998</v>
      </c>
      <c r="Q79" s="20">
        <f t="shared" si="54"/>
        <v>291.98679373574424</v>
      </c>
      <c r="R79" s="59">
        <f t="shared" si="55"/>
        <v>585.32012706907756</v>
      </c>
      <c r="S79" s="59">
        <f ca="1">AVERAGE(OFFSET($R$3,0,0,'Données projet'!$E$9+1,1))-AVERAGE(OFFSET($H$3,0,0,'Données projet'!$E$9+1,1))</f>
        <v>157.05226586109279</v>
      </c>
      <c r="T79" s="59">
        <f t="shared" si="88"/>
        <v>76.143582612540229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39.973496484278513</v>
      </c>
      <c r="AA79" s="21">
        <f>EXP(-LN(2)/25)*AA78+(1-EXP(-LN(2)/25))/(LN(2)/25)*Calculateur!V79*Calculateur!X79*VLOOKUP('Données projet'!$B$9,Paramètres!$A$1:$I$89,3,0)*0.475*44/12</f>
        <v>18.60343655741972</v>
      </c>
      <c r="AB79" s="21">
        <f>EXP(-LN(2)/2)*AB78+(1-EXP(-LN(2)/2))/(LN(2)/2)*V79*Y79*VLOOKUP('Données projet'!$B$9,Paramètres!$A$1:$I$89,3,0)*0.475*44/12</f>
        <v>4.3094114826581187</v>
      </c>
      <c r="AC79" s="22">
        <f t="shared" si="57"/>
        <v>62.886344524356353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-1.1368683772161603E-13</v>
      </c>
      <c r="AJ79" s="13">
        <f>AI79*VLOOKUP('Données projet'!$B$10,Paramètres!$A$1:$I$89,3,0)*VLOOKUP('Données projet'!$B$10,Paramètres!$A$1:$I$89,5,0)</f>
        <v>-6.3550942286383367E-14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279.32192402750189</v>
      </c>
      <c r="AO79" s="59">
        <f t="shared" si="90"/>
        <v>371.43572414443611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149.53790634115254</v>
      </c>
      <c r="AV79" s="21">
        <f>EXP(-LN(2)/25)*AV78+(1-EXP(-LN(2)/25))/(LN(2)/25)*Calculateur!AQ79*Calculateur!AS79*VLOOKUP('Données projet'!$B$10,Paramètres!$A$1:$I$89,3,0)*0.475*44/12</f>
        <v>32.182160175977849</v>
      </c>
      <c r="AW79" s="21">
        <f>EXP(-LN(2)/2)*AW78+(1-EXP(-LN(2)/2))/(LN(2)/2)*AQ79*AT79*VLOOKUP('Données projet'!$B$10,Paramètres!$A$1:$I$89,3,0)*0.475*44/12</f>
        <v>2.3589540737776454E-2</v>
      </c>
      <c r="AX79" s="21">
        <f t="shared" si="60"/>
        <v>181.74365605786818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2.2737367544323206E-13</v>
      </c>
      <c r="BE79" s="13">
        <f>BD79*VLOOKUP('Données projet'!$B$11,Paramètres!$A$1:$I$89,3,0)*VLOOKUP('Données projet'!$B$11,Paramètres!$A$1:$I$89,5,0)</f>
        <v>1.064108801074326E-13</v>
      </c>
      <c r="BF79" s="13">
        <f t="shared" si="91"/>
        <v>1.5870730813698654E-12</v>
      </c>
      <c r="BG79" s="20">
        <f t="shared" si="61"/>
        <v>2.9494845662396269E-12</v>
      </c>
      <c r="BH79" s="59">
        <f t="shared" si="62"/>
        <v>293.33333333333627</v>
      </c>
      <c r="BI79" s="59">
        <f ca="1">AVERAGE(OFFSET($BH$3,0,0,'Données projet'!$E$11+1,1))-AVERAGE(OFFSET($H$3,0,0,'Données projet'!$E$11+1,1))</f>
        <v>297.07458564121606</v>
      </c>
      <c r="BJ79" s="59">
        <f t="shared" si="92"/>
        <v>514.93897725587567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92.110587329113287</v>
      </c>
      <c r="BQ79" s="21">
        <f>EXP(-LN(2)/25)*BQ78+(1-EXP(-LN(2)/25))/(LN(2)/25)*Calculateur!BL79*Calculateur!BN79*VLOOKUP('Données projet'!$B$11,Paramètres!$A$1:$I$89,3,0)*0.475*44/12</f>
        <v>81.578722887134774</v>
      </c>
      <c r="BR79" s="21">
        <f>EXP(-LN(2)/2)*BR78+(1-EXP(-LN(2)/2))/(LN(2)/2)*BL79*BO79*VLOOKUP('Données projet'!$B$11,Paramètres!$A$1:$I$89,3,0)*0.475*44/12</f>
        <v>6.5658978446580056E-7</v>
      </c>
      <c r="BS79" s="22">
        <f t="shared" si="63"/>
        <v>173.68931087283784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36.03600000000003</v>
      </c>
      <c r="D80" s="11">
        <f t="shared" si="86"/>
        <v>10.941692499899752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362.63481929747201</v>
      </c>
      <c r="H80" s="67">
        <f t="shared" si="56"/>
        <v>375.15281443732545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9.001923076923072</v>
      </c>
      <c r="N80" s="13">
        <f>IF('Données projet'!$A$36&gt;35,N79+M80-V79,IF(A80&lt;'Données projet'!$A$36,$K$205^A80,IF(A80='Données projet'!$A$36,'Données projet'!$B$36,N79+M80-V79)))</f>
        <v>293.11923076923119</v>
      </c>
      <c r="O80" s="13">
        <f>N80*VLOOKUP('Données projet'!$B$9,Paramètres!$A$1:$I$89,3,0)*VLOOKUP('Données projet'!$B$9,Paramètres!$A$1:$I$89,5,0)</f>
        <v>137.1798000000002</v>
      </c>
      <c r="P80" s="13">
        <f t="shared" si="87"/>
        <v>35.65017408944302</v>
      </c>
      <c r="Q80" s="20">
        <f t="shared" si="54"/>
        <v>301.01220487244694</v>
      </c>
      <c r="R80" s="59">
        <f t="shared" si="55"/>
        <v>594.34553820578026</v>
      </c>
      <c r="S80" s="59">
        <f ca="1">AVERAGE(OFFSET($R$3,0,0,'Données projet'!$E$9+1,1))-AVERAGE(OFFSET($H$3,0,0,'Données projet'!$E$9+1,1))</f>
        <v>157.05226586109279</v>
      </c>
      <c r="T80" s="59">
        <f t="shared" si="88"/>
        <v>76.143582612540229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39.189640599647198</v>
      </c>
      <c r="AA80" s="21">
        <f>EXP(-LN(2)/25)*AA79+(1-EXP(-LN(2)/25))/(LN(2)/25)*Calculateur!V80*Calculateur!X80*VLOOKUP('Données projet'!$B$9,Paramètres!$A$1:$I$89,3,0)*0.475*44/12</f>
        <v>18.094724606444867</v>
      </c>
      <c r="AB80" s="21">
        <f>EXP(-LN(2)/2)*AB79+(1-EXP(-LN(2)/2))/(LN(2)/2)*V80*Y80*VLOOKUP('Données projet'!$B$9,Paramètres!$A$1:$I$89,3,0)*0.475*44/12</f>
        <v>3.0472140823107301</v>
      </c>
      <c r="AC80" s="22">
        <f t="shared" si="57"/>
        <v>60.331579288402793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-1.1368683772161603E-13</v>
      </c>
      <c r="AJ80" s="13">
        <f>AI80*VLOOKUP('Données projet'!$B$10,Paramètres!$A$1:$I$89,3,0)*VLOOKUP('Données projet'!$B$10,Paramètres!$A$1:$I$89,5,0)</f>
        <v>-6.3550942286383367E-14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279.32192402750189</v>
      </c>
      <c r="AO80" s="59">
        <f t="shared" si="90"/>
        <v>371.43572414443611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146.60555920691925</v>
      </c>
      <c r="AV80" s="21">
        <f>EXP(-LN(2)/25)*AV79+(1-EXP(-LN(2)/25))/(LN(2)/25)*Calculateur!AQ80*Calculateur!AS80*VLOOKUP('Données projet'!$B$10,Paramètres!$A$1:$I$89,3,0)*0.475*44/12</f>
        <v>31.302137313579482</v>
      </c>
      <c r="AW80" s="21">
        <f>EXP(-LN(2)/2)*AW79+(1-EXP(-LN(2)/2))/(LN(2)/2)*AQ80*AT80*VLOOKUP('Données projet'!$B$10,Paramètres!$A$1:$I$89,3,0)*0.475*44/12</f>
        <v>1.6680324220758044E-2</v>
      </c>
      <c r="AX80" s="21">
        <f t="shared" si="60"/>
        <v>177.92437684471952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2.2737367544323206E-13</v>
      </c>
      <c r="BE80" s="13">
        <f>BD80*VLOOKUP('Données projet'!$B$11,Paramètres!$A$1:$I$89,3,0)*VLOOKUP('Données projet'!$B$11,Paramètres!$A$1:$I$89,5,0)</f>
        <v>1.064108801074326E-13</v>
      </c>
      <c r="BF80" s="13">
        <f t="shared" si="91"/>
        <v>1.5870730813698654E-12</v>
      </c>
      <c r="BG80" s="20">
        <f t="shared" si="61"/>
        <v>2.9494845662396269E-12</v>
      </c>
      <c r="BH80" s="59">
        <f t="shared" si="62"/>
        <v>293.33333333333627</v>
      </c>
      <c r="BI80" s="59">
        <f ca="1">AVERAGE(OFFSET($BH$3,0,0,'Données projet'!$E$11+1,1))-AVERAGE(OFFSET($H$3,0,0,'Données projet'!$E$11+1,1))</f>
        <v>297.07458564121606</v>
      </c>
      <c r="BJ80" s="59">
        <f t="shared" si="92"/>
        <v>514.93897725587567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90.304354893500147</v>
      </c>
      <c r="BQ80" s="21">
        <f>EXP(-LN(2)/25)*BQ79+(1-EXP(-LN(2)/25))/(LN(2)/25)*Calculateur!BL80*Calculateur!BN80*VLOOKUP('Données projet'!$B$11,Paramètres!$A$1:$I$89,3,0)*0.475*44/12</f>
        <v>79.347948419747482</v>
      </c>
      <c r="BR80" s="21">
        <f>EXP(-LN(2)/2)*BR79+(1-EXP(-LN(2)/2))/(LN(2)/2)*BL80*BO80*VLOOKUP('Données projet'!$B$11,Paramètres!$A$1:$I$89,3,0)*0.475*44/12</f>
        <v>4.6427908905358124E-7</v>
      </c>
      <c r="BS80" s="22">
        <f t="shared" si="63"/>
        <v>169.6523037775267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36.504000000000033</v>
      </c>
      <c r="D81" s="11">
        <f t="shared" si="86"/>
        <v>11.067157525971385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367.21595283206005</v>
      </c>
      <c r="H81" s="67">
        <f t="shared" si="56"/>
        <v>376.18643269106684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9.001923076923072</v>
      </c>
      <c r="N81" s="13">
        <f>IF('Données projet'!$A$36&gt;35,N80+M81-V80,IF(A81&lt;'Données projet'!$A$36,$K$205^A81,IF(A81='Données projet'!$A$36,'Données projet'!$B$36,N80+M81-V80)))</f>
        <v>302.12115384615424</v>
      </c>
      <c r="O81" s="13">
        <f>N81*VLOOKUP('Données projet'!$B$9,Paramètres!$A$1:$I$89,3,0)*VLOOKUP('Données projet'!$B$9,Paramètres!$A$1:$I$89,5,0)</f>
        <v>141.39270000000019</v>
      </c>
      <c r="P81" s="13">
        <f t="shared" si="87"/>
        <v>36.615869470582794</v>
      </c>
      <c r="Q81" s="20">
        <f t="shared" si="54"/>
        <v>310.031591827932</v>
      </c>
      <c r="R81" s="59">
        <f t="shared" si="55"/>
        <v>603.36492516126532</v>
      </c>
      <c r="S81" s="59">
        <f ca="1">AVERAGE(OFFSET($R$3,0,0,'Données projet'!$E$9+1,1))-AVERAGE(OFFSET($H$3,0,0,'Données projet'!$E$9+1,1))</f>
        <v>157.05226586109279</v>
      </c>
      <c r="T81" s="59">
        <f t="shared" si="88"/>
        <v>76.143582612540229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38.421155650808629</v>
      </c>
      <c r="AA81" s="21">
        <f>EXP(-LN(2)/25)*AA80+(1-EXP(-LN(2)/25))/(LN(2)/25)*Calculateur!V81*Calculateur!X81*VLOOKUP('Données projet'!$B$9,Paramètres!$A$1:$I$89,3,0)*0.475*44/12</f>
        <v>17.59992341052142</v>
      </c>
      <c r="AB81" s="21">
        <f>EXP(-LN(2)/2)*AB80+(1-EXP(-LN(2)/2))/(LN(2)/2)*V81*Y81*VLOOKUP('Données projet'!$B$9,Paramètres!$A$1:$I$89,3,0)*0.475*44/12</f>
        <v>2.1547057413290598</v>
      </c>
      <c r="AC81" s="22">
        <f t="shared" si="57"/>
        <v>58.175784802659109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-1.1368683772161603E-13</v>
      </c>
      <c r="AJ81" s="13">
        <f>AI81*VLOOKUP('Données projet'!$B$10,Paramètres!$A$1:$I$89,3,0)*VLOOKUP('Données projet'!$B$10,Paramètres!$A$1:$I$89,5,0)</f>
        <v>-6.3550942286383367E-14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279.32192402750189</v>
      </c>
      <c r="AO81" s="59">
        <f t="shared" si="90"/>
        <v>371.43572414443611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143.73071361143315</v>
      </c>
      <c r="AV81" s="21">
        <f>EXP(-LN(2)/25)*AV80+(1-EXP(-LN(2)/25))/(LN(2)/25)*Calculateur!AQ81*Calculateur!AS81*VLOOKUP('Données projet'!$B$10,Paramètres!$A$1:$I$89,3,0)*0.475*44/12</f>
        <v>30.446178722631792</v>
      </c>
      <c r="AW81" s="21">
        <f>EXP(-LN(2)/2)*AW80+(1-EXP(-LN(2)/2))/(LN(2)/2)*AQ81*AT81*VLOOKUP('Données projet'!$B$10,Paramètres!$A$1:$I$89,3,0)*0.475*44/12</f>
        <v>1.1794770368888227E-2</v>
      </c>
      <c r="AX81" s="21">
        <f t="shared" si="60"/>
        <v>174.18868710443382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2.2737367544323206E-13</v>
      </c>
      <c r="BE81" s="13">
        <f>BD81*VLOOKUP('Données projet'!$B$11,Paramètres!$A$1:$I$89,3,0)*VLOOKUP('Données projet'!$B$11,Paramètres!$A$1:$I$89,5,0)</f>
        <v>1.064108801074326E-13</v>
      </c>
      <c r="BF81" s="13">
        <f t="shared" si="91"/>
        <v>1.5870730813698654E-12</v>
      </c>
      <c r="BG81" s="20">
        <f t="shared" si="61"/>
        <v>2.9494845662396269E-12</v>
      </c>
      <c r="BH81" s="59">
        <f t="shared" si="62"/>
        <v>293.33333333333627</v>
      </c>
      <c r="BI81" s="59">
        <f ca="1">AVERAGE(OFFSET($BH$3,0,0,'Données projet'!$E$11+1,1))-AVERAGE(OFFSET($H$3,0,0,'Données projet'!$E$11+1,1))</f>
        <v>297.07458564121606</v>
      </c>
      <c r="BJ81" s="59">
        <f t="shared" si="92"/>
        <v>514.93897725587567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88.533541574256375</v>
      </c>
      <c r="BQ81" s="21">
        <f>EXP(-LN(2)/25)*BQ80+(1-EXP(-LN(2)/25))/(LN(2)/25)*Calculateur!BL81*Calculateur!BN81*VLOOKUP('Données projet'!$B$11,Paramètres!$A$1:$I$89,3,0)*0.475*44/12</f>
        <v>77.178174597482226</v>
      </c>
      <c r="BR81" s="21">
        <f>EXP(-LN(2)/2)*BR80+(1-EXP(-LN(2)/2))/(LN(2)/2)*BL81*BO81*VLOOKUP('Données projet'!$B$11,Paramètres!$A$1:$I$89,3,0)*0.475*44/12</f>
        <v>3.2829489223290033E-7</v>
      </c>
      <c r="BS81" s="22">
        <f t="shared" si="63"/>
        <v>165.7117165000335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36.972000000000037</v>
      </c>
      <c r="D82" s="11">
        <f t="shared" si="86"/>
        <v>11.192435453834337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371.79564209977411</v>
      </c>
      <c r="H82" s="67">
        <f t="shared" si="56"/>
        <v>377.21972508209484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9.001923076923072</v>
      </c>
      <c r="N82" s="13">
        <f>IF('Données projet'!$A$36&gt;35,N81+M82-V81,IF(A82&lt;'Données projet'!$A$36,$K$205^A82,IF(A82='Données projet'!$A$36,'Données projet'!$B$36,N81+M82-V81)))</f>
        <v>311.12307692307729</v>
      </c>
      <c r="O82" s="13">
        <f>N82*VLOOKUP('Données projet'!$B$9,Paramètres!$A$1:$I$89,3,0)*VLOOKUP('Données projet'!$B$9,Paramètres!$A$1:$I$89,5,0)</f>
        <v>145.60560000000018</v>
      </c>
      <c r="P82" s="13">
        <f t="shared" si="87"/>
        <v>37.578220882267132</v>
      </c>
      <c r="Q82" s="20">
        <f t="shared" si="54"/>
        <v>319.04515470328221</v>
      </c>
      <c r="R82" s="59">
        <f t="shared" si="55"/>
        <v>612.37848803661552</v>
      </c>
      <c r="S82" s="59">
        <f ca="1">AVERAGE(OFFSET($R$3,0,0,'Données projet'!$E$9+1,1))-AVERAGE(OFFSET($H$3,0,0,'Données projet'!$E$9+1,1))</f>
        <v>157.05226586109279</v>
      </c>
      <c r="T82" s="59">
        <f t="shared" si="88"/>
        <v>76.143582612540229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37.667740223087243</v>
      </c>
      <c r="AA82" s="21">
        <f>EXP(-LN(2)/25)*AA81+(1-EXP(-LN(2)/25))/(LN(2)/25)*Calculateur!V82*Calculateur!X82*VLOOKUP('Données projet'!$B$9,Paramètres!$A$1:$I$89,3,0)*0.475*44/12</f>
        <v>17.118652579320965</v>
      </c>
      <c r="AB82" s="21">
        <f>EXP(-LN(2)/2)*AB81+(1-EXP(-LN(2)/2))/(LN(2)/2)*V82*Y82*VLOOKUP('Données projet'!$B$9,Paramètres!$A$1:$I$89,3,0)*0.475*44/12</f>
        <v>1.5236070411553653</v>
      </c>
      <c r="AC82" s="22">
        <f t="shared" si="57"/>
        <v>56.309999843563574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-1.1368683772161603E-13</v>
      </c>
      <c r="AJ82" s="13">
        <f>AI82*VLOOKUP('Données projet'!$B$10,Paramètres!$A$1:$I$89,3,0)*VLOOKUP('Données projet'!$B$10,Paramètres!$A$1:$I$89,5,0)</f>
        <v>-6.3550942286383367E-14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279.32192402750189</v>
      </c>
      <c r="AO82" s="59">
        <f t="shared" si="90"/>
        <v>371.43572414443611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140.91224198459184</v>
      </c>
      <c r="AV82" s="21">
        <f>EXP(-LN(2)/25)*AV81+(1-EXP(-LN(2)/25))/(LN(2)/25)*Calculateur!AQ82*Calculateur!AS82*VLOOKUP('Données projet'!$B$10,Paramètres!$A$1:$I$89,3,0)*0.475*44/12</f>
        <v>29.613626364366471</v>
      </c>
      <c r="AW82" s="21">
        <f>EXP(-LN(2)/2)*AW81+(1-EXP(-LN(2)/2))/(LN(2)/2)*AQ82*AT82*VLOOKUP('Données projet'!$B$10,Paramètres!$A$1:$I$89,3,0)*0.475*44/12</f>
        <v>8.3401621103790218E-3</v>
      </c>
      <c r="AX82" s="21">
        <f t="shared" si="60"/>
        <v>170.5342085110687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2.2737367544323206E-13</v>
      </c>
      <c r="BE82" s="13">
        <f>BD82*VLOOKUP('Données projet'!$B$11,Paramètres!$A$1:$I$89,3,0)*VLOOKUP('Données projet'!$B$11,Paramètres!$A$1:$I$89,5,0)</f>
        <v>1.064108801074326E-13</v>
      </c>
      <c r="BF82" s="13">
        <f t="shared" si="91"/>
        <v>1.5870730813698654E-12</v>
      </c>
      <c r="BG82" s="20">
        <f t="shared" si="61"/>
        <v>2.9494845662396269E-12</v>
      </c>
      <c r="BH82" s="59">
        <f t="shared" si="62"/>
        <v>293.33333333333627</v>
      </c>
      <c r="BI82" s="59">
        <f ca="1">AVERAGE(OFFSET($BH$3,0,0,'Données projet'!$E$11+1,1))-AVERAGE(OFFSET($H$3,0,0,'Données projet'!$E$11+1,1))</f>
        <v>297.07458564121606</v>
      </c>
      <c r="BJ82" s="59">
        <f t="shared" si="92"/>
        <v>514.93897725587567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86.797452824113492</v>
      </c>
      <c r="BQ82" s="21">
        <f>EXP(-LN(2)/25)*BQ81+(1-EXP(-LN(2)/25))/(LN(2)/25)*Calculateur!BL82*Calculateur!BN82*VLOOKUP('Données projet'!$B$11,Paramètres!$A$1:$I$89,3,0)*0.475*44/12</f>
        <v>75.067733354490272</v>
      </c>
      <c r="BR82" s="21">
        <f>EXP(-LN(2)/2)*BR81+(1-EXP(-LN(2)/2))/(LN(2)/2)*BL82*BO82*VLOOKUP('Données projet'!$B$11,Paramètres!$A$1:$I$89,3,0)*0.475*44/12</f>
        <v>2.3213954452679067E-7</v>
      </c>
      <c r="BS82" s="22">
        <f t="shared" si="63"/>
        <v>161.86518641074332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37.44000000000004</v>
      </c>
      <c r="D83" s="11">
        <f t="shared" si="86"/>
        <v>11.317528925689196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376.37390749654855</v>
      </c>
      <c r="H83" s="67">
        <f t="shared" si="56"/>
        <v>378.25269621224209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9.001923076923072</v>
      </c>
      <c r="N83" s="13">
        <f>IF('Données projet'!$A$36&gt;35,N82+M83-V82,IF(A83&lt;'Données projet'!$A$36,$K$205^A83,IF(A83='Données projet'!$A$36,'Données projet'!$B$36,N82+M83-V82)))</f>
        <v>320.12500000000034</v>
      </c>
      <c r="O83" s="13">
        <f>N83*VLOOKUP('Données projet'!$B$9,Paramètres!$A$1:$I$89,3,0)*VLOOKUP('Données projet'!$B$9,Paramètres!$A$1:$I$89,5,0)</f>
        <v>149.81850000000017</v>
      </c>
      <c r="P83" s="13">
        <f t="shared" si="87"/>
        <v>38.537336188594026</v>
      </c>
      <c r="Q83" s="20">
        <f t="shared" si="54"/>
        <v>328.0530813618015</v>
      </c>
      <c r="R83" s="59">
        <f t="shared" si="55"/>
        <v>621.38641469513482</v>
      </c>
      <c r="S83" s="59">
        <f ca="1">AVERAGE(OFFSET($R$3,0,0,'Données projet'!$E$9+1,1))-AVERAGE(OFFSET($H$3,0,0,'Données projet'!$E$9+1,1))</f>
        <v>157.05226586109279</v>
      </c>
      <c r="T83" s="59">
        <f t="shared" si="88"/>
        <v>76.143582612540229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36.929098812365439</v>
      </c>
      <c r="AA83" s="21">
        <f>EXP(-LN(2)/25)*AA82+(1-EXP(-LN(2)/25))/(LN(2)/25)*Calculateur!V83*Calculateur!X83*VLOOKUP('Données projet'!$B$9,Paramètres!$A$1:$I$89,3,0)*0.475*44/12</f>
        <v>16.650542124308618</v>
      </c>
      <c r="AB83" s="21">
        <f>EXP(-LN(2)/2)*AB82+(1-EXP(-LN(2)/2))/(LN(2)/2)*V83*Y83*VLOOKUP('Données projet'!$B$9,Paramètres!$A$1:$I$89,3,0)*0.475*44/12</f>
        <v>1.0773528706645301</v>
      </c>
      <c r="AC83" s="22">
        <f t="shared" si="57"/>
        <v>54.65699380733858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-1.1368683772161603E-13</v>
      </c>
      <c r="AJ83" s="13">
        <f>AI83*VLOOKUP('Données projet'!$B$10,Paramètres!$A$1:$I$89,3,0)*VLOOKUP('Données projet'!$B$10,Paramètres!$A$1:$I$89,5,0)</f>
        <v>-6.3550942286383367E-14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279.32192402750189</v>
      </c>
      <c r="AO83" s="59">
        <f t="shared" si="90"/>
        <v>371.43572414443611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138.14903886725494</v>
      </c>
      <c r="AV83" s="21">
        <f>EXP(-LN(2)/25)*AV82+(1-EXP(-LN(2)/25))/(LN(2)/25)*Calculateur!AQ83*Calculateur!AS83*VLOOKUP('Données projet'!$B$10,Paramètres!$A$1:$I$89,3,0)*0.475*44/12</f>
        <v>28.803840194119942</v>
      </c>
      <c r="AW83" s="21">
        <f>EXP(-LN(2)/2)*AW82+(1-EXP(-LN(2)/2))/(LN(2)/2)*AQ83*AT83*VLOOKUP('Données projet'!$B$10,Paramètres!$A$1:$I$89,3,0)*0.475*44/12</f>
        <v>5.8973851844441134E-3</v>
      </c>
      <c r="AX83" s="21">
        <f t="shared" si="60"/>
        <v>166.95877644655934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2.2737367544323206E-13</v>
      </c>
      <c r="BE83" s="13">
        <f>BD83*VLOOKUP('Données projet'!$B$11,Paramètres!$A$1:$I$89,3,0)*VLOOKUP('Données projet'!$B$11,Paramètres!$A$1:$I$89,5,0)</f>
        <v>1.064108801074326E-13</v>
      </c>
      <c r="BF83" s="13">
        <f t="shared" si="91"/>
        <v>1.5870730813698654E-12</v>
      </c>
      <c r="BG83" s="20">
        <f t="shared" si="61"/>
        <v>2.9494845662396269E-12</v>
      </c>
      <c r="BH83" s="59">
        <f t="shared" si="62"/>
        <v>293.33333333333627</v>
      </c>
      <c r="BI83" s="59">
        <f ca="1">AVERAGE(OFFSET($BH$3,0,0,'Données projet'!$E$11+1,1))-AVERAGE(OFFSET($H$3,0,0,'Données projet'!$E$11+1,1))</f>
        <v>297.07458564121606</v>
      </c>
      <c r="BJ83" s="59">
        <f t="shared" si="92"/>
        <v>514.93897725587567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85.095407715451344</v>
      </c>
      <c r="BQ83" s="21">
        <f>EXP(-LN(2)/25)*BQ82+(1-EXP(-LN(2)/25))/(LN(2)/25)*Calculateur!BL83*Calculateur!BN83*VLOOKUP('Données projet'!$B$11,Paramètres!$A$1:$I$89,3,0)*0.475*44/12</f>
        <v>73.015002238271208</v>
      </c>
      <c r="BR83" s="21">
        <f>EXP(-LN(2)/2)*BR82+(1-EXP(-LN(2)/2))/(LN(2)/2)*BL83*BO83*VLOOKUP('Données projet'!$B$11,Paramètres!$A$1:$I$89,3,0)*0.475*44/12</f>
        <v>1.6414744611645019E-7</v>
      </c>
      <c r="BS83" s="22">
        <f t="shared" si="63"/>
        <v>158.11041011787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37.908000000000044</v>
      </c>
      <c r="D84" s="11">
        <f t="shared" si="86"/>
        <v>11.442440513882541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380.95076887909363</v>
      </c>
      <c r="H84" s="67">
        <f t="shared" si="56"/>
        <v>379.2853505616788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9.001923076923072</v>
      </c>
      <c r="N84" s="13">
        <f>IF('Données projet'!$A$36&gt;35,N83+M84-V83,IF(A84&lt;'Données projet'!$A$36,$K$205^A84,IF(A84='Données projet'!$A$36,'Données projet'!$B$36,N83+M84-V83)))</f>
        <v>329.12692307692339</v>
      </c>
      <c r="O84" s="13">
        <f>N84*VLOOKUP('Données projet'!$B$9,Paramètres!$A$1:$I$89,3,0)*VLOOKUP('Données projet'!$B$9,Paramètres!$A$1:$I$89,5,0)</f>
        <v>154.03140000000016</v>
      </c>
      <c r="P84" s="13">
        <f t="shared" si="87"/>
        <v>39.493316842260541</v>
      </c>
      <c r="Q84" s="20">
        <f t="shared" si="54"/>
        <v>337.05554850027073</v>
      </c>
      <c r="R84" s="59">
        <f t="shared" si="55"/>
        <v>630.38888183360405</v>
      </c>
      <c r="S84" s="59">
        <f ca="1">AVERAGE(OFFSET($R$3,0,0,'Données projet'!$E$9+1,1))-AVERAGE(OFFSET($H$3,0,0,'Données projet'!$E$9+1,1))</f>
        <v>157.05226586109279</v>
      </c>
      <c r="T84" s="59">
        <f t="shared" si="88"/>
        <v>76.143582612540229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36.204941709181114</v>
      </c>
      <c r="AA84" s="21">
        <f>EXP(-LN(2)/25)*AA83+(1-EXP(-LN(2)/25))/(LN(2)/25)*Calculateur!V84*Calculateur!X84*VLOOKUP('Données projet'!$B$9,Paramètres!$A$1:$I$89,3,0)*0.475*44/12</f>
        <v>16.195232174305445</v>
      </c>
      <c r="AB84" s="21">
        <f>EXP(-LN(2)/2)*AB83+(1-EXP(-LN(2)/2))/(LN(2)/2)*V84*Y84*VLOOKUP('Données projet'!$B$9,Paramètres!$A$1:$I$89,3,0)*0.475*44/12</f>
        <v>0.76180352057768275</v>
      </c>
      <c r="AC84" s="22">
        <f t="shared" si="57"/>
        <v>53.161977404064245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-6.3550942286383367E-14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279.32192402750189</v>
      </c>
      <c r="AO84" s="59">
        <f t="shared" si="90"/>
        <v>371.43572414443611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135.44002047766153</v>
      </c>
      <c r="AV84" s="21">
        <f>EXP(-LN(2)/25)*AV83+(1-EXP(-LN(2)/25))/(LN(2)/25)*Calculateur!AQ84*Calculateur!AS84*VLOOKUP('Données projet'!$B$10,Paramètres!$A$1:$I$89,3,0)*0.475*44/12</f>
        <v>28.01619766928361</v>
      </c>
      <c r="AW84" s="21">
        <f>EXP(-LN(2)/2)*AW83+(1-EXP(-LN(2)/2))/(LN(2)/2)*AQ84*AT84*VLOOKUP('Données projet'!$B$10,Paramètres!$A$1:$I$89,3,0)*0.475*44/12</f>
        <v>4.1700810551895109E-3</v>
      </c>
      <c r="AX84" s="21">
        <f t="shared" si="60"/>
        <v>163.46038822800031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2.2737367544323206E-13</v>
      </c>
      <c r="BE84" s="13">
        <f>BD84*VLOOKUP('Données projet'!$B$11,Paramètres!$A$1:$I$89,3,0)*VLOOKUP('Données projet'!$B$11,Paramètres!$A$1:$I$89,5,0)</f>
        <v>1.064108801074326E-13</v>
      </c>
      <c r="BF84" s="13">
        <f t="shared" si="91"/>
        <v>1.5870730813698654E-12</v>
      </c>
      <c r="BG84" s="20">
        <f t="shared" si="61"/>
        <v>2.9494845662396269E-12</v>
      </c>
      <c r="BH84" s="59">
        <f t="shared" si="62"/>
        <v>293.33333333333627</v>
      </c>
      <c r="BI84" s="59">
        <f ca="1">AVERAGE(OFFSET($BH$3,0,0,'Données projet'!$E$11+1,1))-AVERAGE(OFFSET($H$3,0,0,'Données projet'!$E$11+1,1))</f>
        <v>297.07458564121606</v>
      </c>
      <c r="BJ84" s="59">
        <f t="shared" si="92"/>
        <v>514.93897725587567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83.426738673225046</v>
      </c>
      <c r="BQ84" s="21">
        <f>EXP(-LN(2)/25)*BQ83+(1-EXP(-LN(2)/25))/(LN(2)/25)*Calculateur!BL84*Calculateur!BN84*VLOOKUP('Données projet'!$B$11,Paramètres!$A$1:$I$89,3,0)*0.475*44/12</f>
        <v>71.018403162373588</v>
      </c>
      <c r="BR84" s="21">
        <f>EXP(-LN(2)/2)*BR83+(1-EXP(-LN(2)/2))/(LN(2)/2)*BL84*BO84*VLOOKUP('Données projet'!$B$11,Paramètres!$A$1:$I$89,3,0)*0.475*44/12</f>
        <v>1.1606977226339535E-7</v>
      </c>
      <c r="BS84" s="22">
        <f t="shared" si="63"/>
        <v>154.4451419516684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38.376000000000047</v>
      </c>
      <c r="D85" s="11">
        <f t="shared" si="86"/>
        <v>11.567172723592876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385.52624558562957</v>
      </c>
      <c r="H85" s="67">
        <f t="shared" si="56"/>
        <v>380.31769249359098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9.001923076923072</v>
      </c>
      <c r="N85" s="13">
        <f>IF('Données projet'!$A$36&gt;35,N84+M85-V84,IF(A85&lt;'Données projet'!$A$36,$K$205^A85,IF(A85='Données projet'!$A$36,'Données projet'!$B$36,N84+M85-V84)))</f>
        <v>338.12884615384644</v>
      </c>
      <c r="O85" s="13">
        <f>N85*VLOOKUP('Données projet'!$B$9,Paramètres!$A$1:$I$89,3,0)*VLOOKUP('Données projet'!$B$9,Paramètres!$A$1:$I$89,5,0)</f>
        <v>158.24430000000012</v>
      </c>
      <c r="P85" s="13">
        <f t="shared" si="87"/>
        <v>40.446258430453724</v>
      </c>
      <c r="Q85" s="20">
        <f t="shared" si="54"/>
        <v>346.05272259970707</v>
      </c>
      <c r="R85" s="59">
        <f t="shared" si="55"/>
        <v>639.38605593304032</v>
      </c>
      <c r="S85" s="59">
        <f ca="1">AVERAGE(OFFSET($R$3,0,0,'Données projet'!$E$9+1,1))-AVERAGE(OFFSET($H$3,0,0,'Données projet'!$E$9+1,1))</f>
        <v>157.05226586109279</v>
      </c>
      <c r="T85" s="59">
        <f t="shared" si="88"/>
        <v>76.143582612540229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35.494984885098013</v>
      </c>
      <c r="AA85" s="21">
        <f>EXP(-LN(2)/25)*AA84+(1-EXP(-LN(2)/25))/(LN(2)/25)*Calculateur!V85*Calculateur!X85*VLOOKUP('Données projet'!$B$9,Paramètres!$A$1:$I$89,3,0)*0.475*44/12</f>
        <v>15.752372698828818</v>
      </c>
      <c r="AB85" s="21">
        <f>EXP(-LN(2)/2)*AB84+(1-EXP(-LN(2)/2))/(LN(2)/2)*V85*Y85*VLOOKUP('Données projet'!$B$9,Paramètres!$A$1:$I$89,3,0)*0.475*44/12</f>
        <v>0.53867643533226506</v>
      </c>
      <c r="AC85" s="22">
        <f t="shared" si="57"/>
        <v>51.786034019259091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-6.3550942286383367E-14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279.32192402750189</v>
      </c>
      <c r="AO85" s="59">
        <f t="shared" si="90"/>
        <v>371.43572414443611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132.78412428634999</v>
      </c>
      <c r="AV85" s="21">
        <f>EXP(-LN(2)/25)*AV84+(1-EXP(-LN(2)/25))/(LN(2)/25)*Calculateur!AQ85*Calculateur!AS85*VLOOKUP('Données projet'!$B$10,Paramètres!$A$1:$I$89,3,0)*0.475*44/12</f>
        <v>27.250093270709247</v>
      </c>
      <c r="AW85" s="21">
        <f>EXP(-LN(2)/2)*AW84+(1-EXP(-LN(2)/2))/(LN(2)/2)*AQ85*AT85*VLOOKUP('Données projet'!$B$10,Paramètres!$A$1:$I$89,3,0)*0.475*44/12</f>
        <v>2.9486925922220567E-3</v>
      </c>
      <c r="AX85" s="21">
        <f t="shared" si="60"/>
        <v>160.03716624965145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2.2737367544323206E-13</v>
      </c>
      <c r="BE85" s="13">
        <f>BD85*VLOOKUP('Données projet'!$B$11,Paramètres!$A$1:$I$89,3,0)*VLOOKUP('Données projet'!$B$11,Paramètres!$A$1:$I$89,5,0)</f>
        <v>1.064108801074326E-13</v>
      </c>
      <c r="BF85" s="13">
        <f t="shared" si="91"/>
        <v>1.5870730813698654E-12</v>
      </c>
      <c r="BG85" s="20">
        <f t="shared" si="61"/>
        <v>2.9494845662396269E-12</v>
      </c>
      <c r="BH85" s="59">
        <f t="shared" si="62"/>
        <v>293.33333333333627</v>
      </c>
      <c r="BI85" s="59">
        <f ca="1">AVERAGE(OFFSET($BH$3,0,0,'Données projet'!$E$11+1,1))-AVERAGE(OFFSET($H$3,0,0,'Données projet'!$E$11+1,1))</f>
        <v>297.07458564121606</v>
      </c>
      <c r="BJ85" s="59">
        <f t="shared" si="92"/>
        <v>514.93897725587567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81.790791213129182</v>
      </c>
      <c r="BQ85" s="21">
        <f>EXP(-LN(2)/25)*BQ84+(1-EXP(-LN(2)/25))/(LN(2)/25)*Calculateur!BL85*Calculateur!BN85*VLOOKUP('Données projet'!$B$11,Paramètres!$A$1:$I$89,3,0)*0.475*44/12</f>
        <v>69.076401193202969</v>
      </c>
      <c r="BR85" s="21">
        <f>EXP(-LN(2)/2)*BR84+(1-EXP(-LN(2)/2))/(LN(2)/2)*BL85*BO85*VLOOKUP('Données projet'!$B$11,Paramètres!$A$1:$I$89,3,0)*0.475*44/12</f>
        <v>8.207372305822511E-8</v>
      </c>
      <c r="BS85" s="22">
        <f t="shared" si="63"/>
        <v>150.86719248840586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38.844000000000051</v>
      </c>
      <c r="D86" s="11">
        <f t="shared" si="86"/>
        <v>11.691727995381735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390.10035645557872</v>
      </c>
      <c r="H86" s="67">
        <f t="shared" si="56"/>
        <v>381.34972625862326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9.001923076923072</v>
      </c>
      <c r="N86" s="13">
        <f>IF('Données projet'!$A$36&gt;35,N85+M86-V85,IF(A86&lt;'Données projet'!$A$36,$K$205^A86,IF(A86='Données projet'!$A$36,'Données projet'!$B$36,N85+M86-V85)))</f>
        <v>347.13076923076949</v>
      </c>
      <c r="O86" s="13">
        <f>N86*VLOOKUP('Données projet'!$B$9,Paramètres!$A$1:$I$89,3,0)*VLOOKUP('Données projet'!$B$9,Paramètres!$A$1:$I$89,5,0)</f>
        <v>162.45720000000011</v>
      </c>
      <c r="P86" s="13">
        <f t="shared" si="87"/>
        <v>41.396251160974799</v>
      </c>
      <c r="Q86" s="20">
        <f t="shared" si="54"/>
        <v>355.04476077203134</v>
      </c>
      <c r="R86" s="59">
        <f t="shared" si="55"/>
        <v>648.37809410536465</v>
      </c>
      <c r="S86" s="59">
        <f ca="1">AVERAGE(OFFSET($R$3,0,0,'Données projet'!$E$9+1,1))-AVERAGE(OFFSET($H$3,0,0,'Données projet'!$E$9+1,1))</f>
        <v>157.05226586109279</v>
      </c>
      <c r="T86" s="59">
        <f t="shared" si="88"/>
        <v>76.143582612540229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34.798949881304281</v>
      </c>
      <c r="AA86" s="21">
        <f>EXP(-LN(2)/25)*AA85+(1-EXP(-LN(2)/25))/(LN(2)/25)*Calculateur!V86*Calculateur!X86*VLOOKUP('Données projet'!$B$9,Paramètres!$A$1:$I$89,3,0)*0.475*44/12</f>
        <v>15.321623238998066</v>
      </c>
      <c r="AB86" s="21">
        <f>EXP(-LN(2)/2)*AB85+(1-EXP(-LN(2)/2))/(LN(2)/2)*V86*Y86*VLOOKUP('Données projet'!$B$9,Paramètres!$A$1:$I$89,3,0)*0.475*44/12</f>
        <v>0.38090176028884137</v>
      </c>
      <c r="AC86" s="22">
        <f t="shared" si="57"/>
        <v>50.501474880591189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-6.3550942286383367E-14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279.32192402750189</v>
      </c>
      <c r="AO86" s="59">
        <f t="shared" si="90"/>
        <v>371.43572414443611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130.18030859941337</v>
      </c>
      <c r="AV86" s="21">
        <f>EXP(-LN(2)/25)*AV85+(1-EXP(-LN(2)/25))/(LN(2)/25)*Calculateur!AQ86*Calculateur!AS86*VLOOKUP('Données projet'!$B$10,Paramètres!$A$1:$I$89,3,0)*0.475*44/12</f>
        <v>26.50493803720158</v>
      </c>
      <c r="AW86" s="21">
        <f>EXP(-LN(2)/2)*AW85+(1-EXP(-LN(2)/2))/(LN(2)/2)*AQ86*AT86*VLOOKUP('Données projet'!$B$10,Paramètres!$A$1:$I$89,3,0)*0.475*44/12</f>
        <v>2.0850405275947555E-3</v>
      </c>
      <c r="AX86" s="21">
        <f t="shared" si="60"/>
        <v>156.68733167714254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2.2737367544323206E-13</v>
      </c>
      <c r="BE86" s="13">
        <f>BD86*VLOOKUP('Données projet'!$B$11,Paramètres!$A$1:$I$89,3,0)*VLOOKUP('Données projet'!$B$11,Paramètres!$A$1:$I$89,5,0)</f>
        <v>1.064108801074326E-13</v>
      </c>
      <c r="BF86" s="13">
        <f t="shared" si="91"/>
        <v>1.5870730813698654E-12</v>
      </c>
      <c r="BG86" s="20">
        <f t="shared" si="61"/>
        <v>2.9494845662396269E-12</v>
      </c>
      <c r="BH86" s="59">
        <f t="shared" si="62"/>
        <v>293.33333333333627</v>
      </c>
      <c r="BI86" s="59">
        <f ca="1">AVERAGE(OFFSET($BH$3,0,0,'Données projet'!$E$11+1,1))-AVERAGE(OFFSET($H$3,0,0,'Données projet'!$E$11+1,1))</f>
        <v>297.07458564121606</v>
      </c>
      <c r="BJ86" s="59">
        <f t="shared" si="92"/>
        <v>514.93897725587567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80.186923684896385</v>
      </c>
      <c r="BQ86" s="21">
        <f>EXP(-LN(2)/25)*BQ85+(1-EXP(-LN(2)/25))/(LN(2)/25)*Calculateur!BL86*Calculateur!BN86*VLOOKUP('Données projet'!$B$11,Paramètres!$A$1:$I$89,3,0)*0.475*44/12</f>
        <v>67.187503370004777</v>
      </c>
      <c r="BR86" s="21">
        <f>EXP(-LN(2)/2)*BR85+(1-EXP(-LN(2)/2))/(LN(2)/2)*BL86*BO86*VLOOKUP('Données projet'!$B$11,Paramètres!$A$1:$I$89,3,0)*0.475*44/12</f>
        <v>5.8034886131697688E-8</v>
      </c>
      <c r="BS86" s="22">
        <f t="shared" si="63"/>
        <v>147.37442711293605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39.312000000000054</v>
      </c>
      <c r="D87" s="11">
        <f t="shared" si="86"/>
        <v>11.816108707618415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394.67311984828297</v>
      </c>
      <c r="H87" s="67">
        <f t="shared" si="56"/>
        <v>382.38145599910212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9.001923076923072</v>
      </c>
      <c r="N87" s="13">
        <f>IF('Données projet'!$A$36&gt;35,N86+M87-V86,IF(A87&lt;'Données projet'!$A$36,$K$205^A87,IF(A87='Données projet'!$A$36,'Données projet'!$B$36,N86+M87-V86)))</f>
        <v>356.13269230769254</v>
      </c>
      <c r="O87" s="13">
        <f>N87*VLOOKUP('Données projet'!$B$9,Paramètres!$A$1:$I$89,3,0)*VLOOKUP('Données projet'!$B$9,Paramètres!$A$1:$I$89,5,0)</f>
        <v>166.6701000000001</v>
      </c>
      <c r="P87" s="13">
        <f t="shared" si="87"/>
        <v>42.34338029651839</v>
      </c>
      <c r="Q87" s="20">
        <f t="shared" si="54"/>
        <v>364.03181151643639</v>
      </c>
      <c r="R87" s="59">
        <f t="shared" si="55"/>
        <v>657.36514484976965</v>
      </c>
      <c r="S87" s="59">
        <f ca="1">AVERAGE(OFFSET($R$3,0,0,'Données projet'!$E$9+1,1))-AVERAGE(OFFSET($H$3,0,0,'Données projet'!$E$9+1,1))</f>
        <v>157.05226586109279</v>
      </c>
      <c r="T87" s="59">
        <f t="shared" si="88"/>
        <v>76.143582612540229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34.116563699395513</v>
      </c>
      <c r="AA87" s="21">
        <f>EXP(-LN(2)/25)*AA86+(1-EXP(-LN(2)/25))/(LN(2)/25)*Calculateur!V87*Calculateur!X87*VLOOKUP('Données projet'!$B$9,Paramètres!$A$1:$I$89,3,0)*0.475*44/12</f>
        <v>14.902652645798517</v>
      </c>
      <c r="AB87" s="21">
        <f>EXP(-LN(2)/2)*AB86+(1-EXP(-LN(2)/2))/(LN(2)/2)*V87*Y87*VLOOKUP('Données projet'!$B$9,Paramètres!$A$1:$I$89,3,0)*0.475*44/12</f>
        <v>0.26933821766613253</v>
      </c>
      <c r="AC87" s="22">
        <f t="shared" si="57"/>
        <v>49.288554562860163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-6.3550942286383367E-14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279.32192402750189</v>
      </c>
      <c r="AO87" s="59">
        <f t="shared" si="90"/>
        <v>371.43572414443611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127.6275521499268</v>
      </c>
      <c r="AV87" s="21">
        <f>EXP(-LN(2)/25)*AV86+(1-EXP(-LN(2)/25))/(LN(2)/25)*Calculateur!AQ87*Calculateur!AS87*VLOOKUP('Données projet'!$B$10,Paramètres!$A$1:$I$89,3,0)*0.475*44/12</f>
        <v>25.78015911274019</v>
      </c>
      <c r="AW87" s="21">
        <f>EXP(-LN(2)/2)*AW86+(1-EXP(-LN(2)/2))/(LN(2)/2)*AQ87*AT87*VLOOKUP('Données projet'!$B$10,Paramètres!$A$1:$I$89,3,0)*0.475*44/12</f>
        <v>1.4743462961110284E-3</v>
      </c>
      <c r="AX87" s="21">
        <f t="shared" si="60"/>
        <v>153.4091856089631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2.2737367544323206E-13</v>
      </c>
      <c r="BE87" s="13">
        <f>BD87*VLOOKUP('Données projet'!$B$11,Paramètres!$A$1:$I$89,3,0)*VLOOKUP('Données projet'!$B$11,Paramètres!$A$1:$I$89,5,0)</f>
        <v>1.064108801074326E-13</v>
      </c>
      <c r="BF87" s="13">
        <f t="shared" si="91"/>
        <v>1.5870730813698654E-12</v>
      </c>
      <c r="BG87" s="20">
        <f t="shared" si="61"/>
        <v>2.9494845662396269E-12</v>
      </c>
      <c r="BH87" s="59">
        <f t="shared" si="62"/>
        <v>293.33333333333627</v>
      </c>
      <c r="BI87" s="59">
        <f ca="1">AVERAGE(OFFSET($BH$3,0,0,'Données projet'!$E$11+1,1))-AVERAGE(OFFSET($H$3,0,0,'Données projet'!$E$11+1,1))</f>
        <v>297.07458564121606</v>
      </c>
      <c r="BJ87" s="59">
        <f t="shared" si="92"/>
        <v>514.93897725587567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78.614507020629631</v>
      </c>
      <c r="BQ87" s="21">
        <f>EXP(-LN(2)/25)*BQ86+(1-EXP(-LN(2)/25))/(LN(2)/25)*Calculateur!BL87*Calculateur!BN87*VLOOKUP('Données projet'!$B$11,Paramètres!$A$1:$I$89,3,0)*0.475*44/12</f>
        <v>65.350257557114759</v>
      </c>
      <c r="BR87" s="21">
        <f>EXP(-LN(2)/2)*BR86+(1-EXP(-LN(2)/2))/(LN(2)/2)*BL87*BO87*VLOOKUP('Données projet'!$B$11,Paramètres!$A$1:$I$89,3,0)*0.475*44/12</f>
        <v>4.1036861529112561E-8</v>
      </c>
      <c r="BS87" s="22">
        <f t="shared" si="63"/>
        <v>143.96476461878126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39.780000000000058</v>
      </c>
      <c r="D88" s="11">
        <f t="shared" si="86"/>
        <v>11.940317178785941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399.24455366080423</v>
      </c>
      <c r="H88" s="67">
        <f t="shared" si="56"/>
        <v>383.41288575305225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9.001923076923072</v>
      </c>
      <c r="N88" s="13">
        <f>IF('Données projet'!$A$36&gt;35,N87+M88-V87,IF(A88&lt;'Données projet'!$A$36,$K$205^A88,IF(A88='Données projet'!$A$36,'Données projet'!$B$36,N87+M88-V87)))</f>
        <v>365.13461538461559</v>
      </c>
      <c r="O88" s="13">
        <f>N88*VLOOKUP('Données projet'!$B$9,Paramètres!$A$1:$I$89,3,0)*VLOOKUP('Données projet'!$B$9,Paramètres!$A$1:$I$89,5,0)</f>
        <v>170.8830000000001</v>
      </c>
      <c r="P88" s="13">
        <f t="shared" si="87"/>
        <v>43.287726543807658</v>
      </c>
      <c r="Q88" s="20">
        <f t="shared" si="54"/>
        <v>373.0140153971318</v>
      </c>
      <c r="R88" s="59">
        <f t="shared" si="55"/>
        <v>666.34734873046511</v>
      </c>
      <c r="S88" s="59">
        <f ca="1">AVERAGE(OFFSET($R$3,0,0,'Données projet'!$E$9+1,1))-AVERAGE(OFFSET($H$3,0,0,'Données projet'!$E$9+1,1))</f>
        <v>157.05226586109279</v>
      </c>
      <c r="T88" s="59">
        <f t="shared" si="88"/>
        <v>76.143582612540229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33.447558694299502</v>
      </c>
      <c r="AA88" s="21">
        <f>EXP(-LN(2)/25)*AA87+(1-EXP(-LN(2)/25))/(LN(2)/25)*Calculateur!V88*Calculateur!X88*VLOOKUP('Données projet'!$B$9,Paramètres!$A$1:$I$89,3,0)*0.475*44/12</f>
        <v>14.495138825502714</v>
      </c>
      <c r="AB88" s="21">
        <f>EXP(-LN(2)/2)*AB87+(1-EXP(-LN(2)/2))/(LN(2)/2)*V88*Y88*VLOOKUP('Données projet'!$B$9,Paramètres!$A$1:$I$89,3,0)*0.475*44/12</f>
        <v>0.19045088014442069</v>
      </c>
      <c r="AC88" s="22">
        <f t="shared" si="57"/>
        <v>48.133148399946634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-6.3550942286383367E-14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279.32192402750189</v>
      </c>
      <c r="AO88" s="59">
        <f t="shared" si="90"/>
        <v>371.43572414443611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125.12485369738698</v>
      </c>
      <c r="AV88" s="21">
        <f>EXP(-LN(2)/25)*AV87+(1-EXP(-LN(2)/25))/(LN(2)/25)*Calculateur!AQ88*Calculateur!AS88*VLOOKUP('Données projet'!$B$10,Paramètres!$A$1:$I$89,3,0)*0.475*44/12</f>
        <v>25.075199306082663</v>
      </c>
      <c r="AW88" s="21">
        <f>EXP(-LN(2)/2)*AW87+(1-EXP(-LN(2)/2))/(LN(2)/2)*AQ88*AT88*VLOOKUP('Données projet'!$B$10,Paramètres!$A$1:$I$89,3,0)*0.475*44/12</f>
        <v>1.0425202637973777E-3</v>
      </c>
      <c r="AX88" s="21">
        <f t="shared" si="60"/>
        <v>150.20109552373344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2.2737367544323206E-13</v>
      </c>
      <c r="BE88" s="13">
        <f>BD88*VLOOKUP('Données projet'!$B$11,Paramètres!$A$1:$I$89,3,0)*VLOOKUP('Données projet'!$B$11,Paramètres!$A$1:$I$89,5,0)</f>
        <v>1.064108801074326E-13</v>
      </c>
      <c r="BF88" s="13">
        <f t="shared" si="91"/>
        <v>1.5870730813698654E-12</v>
      </c>
      <c r="BG88" s="20">
        <f t="shared" si="61"/>
        <v>2.9494845662396269E-12</v>
      </c>
      <c r="BH88" s="59">
        <f t="shared" si="62"/>
        <v>293.33333333333627</v>
      </c>
      <c r="BI88" s="59">
        <f ca="1">AVERAGE(OFFSET($BH$3,0,0,'Données projet'!$E$11+1,1))-AVERAGE(OFFSET($H$3,0,0,'Données projet'!$E$11+1,1))</f>
        <v>297.07458564121606</v>
      </c>
      <c r="BJ88" s="59">
        <f t="shared" si="92"/>
        <v>514.93897725587567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77.072924488069688</v>
      </c>
      <c r="BQ88" s="21">
        <f>EXP(-LN(2)/25)*BQ87+(1-EXP(-LN(2)/25))/(LN(2)/25)*Calculateur!BL88*Calculateur!BN88*VLOOKUP('Données projet'!$B$11,Paramètres!$A$1:$I$89,3,0)*0.475*44/12</f>
        <v>63.56325132759477</v>
      </c>
      <c r="BR88" s="21">
        <f>EXP(-LN(2)/2)*BR87+(1-EXP(-LN(2)/2))/(LN(2)/2)*BL88*BO88*VLOOKUP('Données projet'!$B$11,Paramètres!$A$1:$I$89,3,0)*0.475*44/12</f>
        <v>2.9017443065848848E-8</v>
      </c>
      <c r="BS88" s="22">
        <f t="shared" si="63"/>
        <v>140.6361758446819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40.248000000000062</v>
      </c>
      <c r="D89" s="11">
        <f t="shared" si="86"/>
        <v>12.064355669675374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403.81467534486302</v>
      </c>
      <c r="H89" s="67">
        <f t="shared" si="56"/>
        <v>384.44401945801803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9.001923076923072</v>
      </c>
      <c r="N89" s="13">
        <f>IF('Données projet'!$A$36&gt;35,N88+M89-V88,IF(A89&lt;'Données projet'!$A$36,$K$205^A89,IF(A89='Données projet'!$A$36,'Données projet'!$B$36,N88+M89-V88)))</f>
        <v>374.13653846153863</v>
      </c>
      <c r="O89" s="13">
        <f>N89*VLOOKUP('Données projet'!$B$9,Paramètres!$A$1:$I$89,3,0)*VLOOKUP('Données projet'!$B$9,Paramètres!$A$1:$I$89,5,0)</f>
        <v>175.09590000000009</v>
      </c>
      <c r="P89" s="13">
        <f t="shared" si="87"/>
        <v>44.229366403274248</v>
      </c>
      <c r="Q89" s="20">
        <f t="shared" si="54"/>
        <v>381.99150565236943</v>
      </c>
      <c r="R89" s="59">
        <f t="shared" si="55"/>
        <v>675.32483898570274</v>
      </c>
      <c r="S89" s="59">
        <f ca="1">AVERAGE(OFFSET($R$3,0,0,'Données projet'!$E$9+1,1))-AVERAGE(OFFSET($H$3,0,0,'Données projet'!$E$9+1,1))</f>
        <v>157.05226586109279</v>
      </c>
      <c r="T89" s="59">
        <f t="shared" si="88"/>
        <v>76.143582612540229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32.791672469300664</v>
      </c>
      <c r="AA89" s="21">
        <f>EXP(-LN(2)/25)*AA88+(1-EXP(-LN(2)/25))/(LN(2)/25)*Calculateur!V89*Calculateur!X89*VLOOKUP('Données projet'!$B$9,Paramètres!$A$1:$I$89,3,0)*0.475*44/12</f>
        <v>14.09876849205312</v>
      </c>
      <c r="AB89" s="21">
        <f>EXP(-LN(2)/2)*AB88+(1-EXP(-LN(2)/2))/(LN(2)/2)*V89*Y89*VLOOKUP('Données projet'!$B$9,Paramètres!$A$1:$I$89,3,0)*0.475*44/12</f>
        <v>0.13466910883306626</v>
      </c>
      <c r="AC89" s="22">
        <f t="shared" si="57"/>
        <v>47.025110070186848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-6.3550942286383367E-14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279.32192402750189</v>
      </c>
      <c r="AO89" s="59">
        <f t="shared" si="90"/>
        <v>371.43572414443611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122.67123163500614</v>
      </c>
      <c r="AV89" s="21">
        <f>EXP(-LN(2)/25)*AV88+(1-EXP(-LN(2)/25))/(LN(2)/25)*Calculateur!AQ89*Calculateur!AS89*VLOOKUP('Données projet'!$B$10,Paramètres!$A$1:$I$89,3,0)*0.475*44/12</f>
        <v>24.389516662410411</v>
      </c>
      <c r="AW89" s="21">
        <f>EXP(-LN(2)/2)*AW88+(1-EXP(-LN(2)/2))/(LN(2)/2)*AQ89*AT89*VLOOKUP('Données projet'!$B$10,Paramètres!$A$1:$I$89,3,0)*0.475*44/12</f>
        <v>7.3717314805551418E-4</v>
      </c>
      <c r="AX89" s="21">
        <f t="shared" si="60"/>
        <v>147.06148547056461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2.2737367544323206E-13</v>
      </c>
      <c r="BE89" s="13">
        <f>BD89*VLOOKUP('Données projet'!$B$11,Paramètres!$A$1:$I$89,3,0)*VLOOKUP('Données projet'!$B$11,Paramètres!$A$1:$I$89,5,0)</f>
        <v>1.064108801074326E-13</v>
      </c>
      <c r="BF89" s="13">
        <f t="shared" si="91"/>
        <v>1.5870730813698654E-12</v>
      </c>
      <c r="BG89" s="20">
        <f t="shared" si="61"/>
        <v>2.9494845662396269E-12</v>
      </c>
      <c r="BH89" s="59">
        <f t="shared" si="62"/>
        <v>293.33333333333627</v>
      </c>
      <c r="BI89" s="59">
        <f ca="1">AVERAGE(OFFSET($BH$3,0,0,'Données projet'!$E$11+1,1))-AVERAGE(OFFSET($H$3,0,0,'Données projet'!$E$11+1,1))</f>
        <v>297.07458564121606</v>
      </c>
      <c r="BJ89" s="59">
        <f t="shared" si="92"/>
        <v>514.93897725587567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75.561571448700747</v>
      </c>
      <c r="BQ89" s="21">
        <f>EXP(-LN(2)/25)*BQ88+(1-EXP(-LN(2)/25))/(LN(2)/25)*Calculateur!BL89*Calculateur!BN89*VLOOKUP('Données projet'!$B$11,Paramètres!$A$1:$I$89,3,0)*0.475*44/12</f>
        <v>61.825110877395581</v>
      </c>
      <c r="BR89" s="21">
        <f>EXP(-LN(2)/2)*BR88+(1-EXP(-LN(2)/2))/(LN(2)/2)*BL89*BO89*VLOOKUP('Données projet'!$B$11,Paramètres!$A$1:$I$89,3,0)*0.475*44/12</f>
        <v>2.0518430764556284E-8</v>
      </c>
      <c r="BS89" s="22">
        <f t="shared" si="63"/>
        <v>137.38668234661475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40.716000000000065</v>
      </c>
      <c r="D90" s="11">
        <f t="shared" si="86"/>
        <v>12.188226385475193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408.38350192296684</v>
      </c>
      <c r="H90" s="67">
        <f t="shared" si="56"/>
        <v>385.47486095470271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>
        <f>VLOOKUP(A90,'Données projet'!$A$35:$I$55,2,0)</f>
        <v>383.13846153846151</v>
      </c>
      <c r="L90" s="12">
        <f>VLOOKUP(A90,'Données projet'!$A$35:$I$55,9,0)</f>
        <v>9.001923076923072</v>
      </c>
      <c r="M90" s="12">
        <f t="array" ref="M90">INDEX(L:L,MIN(IF(ISNUMBER(L90:L286),ROW(L90:L286),"")))</f>
        <v>9.001923076923072</v>
      </c>
      <c r="N90" s="13">
        <f>IF('Données projet'!$A$36&gt;35,N89+M90-V89,IF(A90&lt;'Données projet'!$A$36,$K$205^A90,IF(A90='Données projet'!$A$36,'Données projet'!$B$36,N89+M90-V89)))</f>
        <v>383.13846153846168</v>
      </c>
      <c r="O90" s="13">
        <f>N90*VLOOKUP('Données projet'!$B$9,Paramètres!$A$1:$I$89,3,0)*VLOOKUP('Données projet'!$B$9,Paramètres!$A$1:$I$89,5,0)</f>
        <v>179.30880000000008</v>
      </c>
      <c r="P90" s="13">
        <f t="shared" si="87"/>
        <v>45.168372484136597</v>
      </c>
      <c r="Q90" s="20">
        <f t="shared" si="54"/>
        <v>390.96440874320461</v>
      </c>
      <c r="R90" s="59">
        <f t="shared" si="55"/>
        <v>684.29774207653793</v>
      </c>
      <c r="S90" s="59">
        <f ca="1">AVERAGE(OFFSET($R$3,0,0,'Données projet'!$E$9+1,1))-AVERAGE(OFFSET($H$3,0,0,'Données projet'!$E$9+1,1))</f>
        <v>157.05226586109279</v>
      </c>
      <c r="T90" s="59">
        <f t="shared" si="88"/>
        <v>76.143582612540229</v>
      </c>
      <c r="U90" s="15">
        <f>IF(ISNA(VLOOKUP(A90,'Données projet'!$A$35:$I$55,3,0)),0,VLOOKUP(A90,'Données projet'!$A$35:$I$55,3,0))</f>
        <v>4</v>
      </c>
      <c r="V90" s="15">
        <f>IF(ISNA(VLOOKUP(A90,'Données projet'!$A$35:$I$55,4,0)),0,VLOOKUP(A90,'Données projet'!$A$35:$I$55,4,0))</f>
        <v>82.938461538461524</v>
      </c>
      <c r="W90" s="16">
        <f>IF(ISNA(VLOOKUP(A90,'Données projet'!$A$35:$I$55,5,0)),0%,VLOOKUP(A90,'Données projet'!$A$35:$I$55,5,0)*VLOOKUP('Données projet'!$B$9,Paramètres!$A$1:$I$89,7,0))</f>
        <v>0.38500000000000001</v>
      </c>
      <c r="X90" s="16">
        <f>IF(ISNA(VLOOKUP(A90,'Données projet'!$A$35:$I$55,6,0)),0%,VLOOKUP(A90,'Données projet'!$A$35:$I$55,6,0)*VLOOKUP('Données projet'!$B$9,Paramètres!$A$1:$I$89,7,0))</f>
        <v>9.240000000000001E-2</v>
      </c>
      <c r="Y90" s="16">
        <f>IF(ISNA(VLOOKUP(A90,'Données projet'!$A$35:$I$55,7,0)),0%,VLOOKUP(A90,'Données projet'!$A$35:$I$55,7,0))</f>
        <v>0.13200000000000001</v>
      </c>
      <c r="Z90" s="21">
        <f>EXP(-LN(2)/35)*Z89+(1-EXP(-LN(2)/35))/(LN(2)/35)*V90*W90*VLOOKUP('Données projet'!$B$9,Paramètres!$A$1:$I$89,3,0)*0.475*44/12</f>
        <v>51.972630663672035</v>
      </c>
      <c r="AA90" s="21">
        <f>EXP(-LN(2)/25)*AA89+(1-EXP(-LN(2)/25))/(LN(2)/25)*Calculateur!V90*Calculateur!X90*VLOOKUP('Données projet'!$B$9,Paramètres!$A$1:$I$89,3,0)*0.475*44/12</f>
        <v>18.452259722146952</v>
      </c>
      <c r="AB90" s="21">
        <f>EXP(-LN(2)/2)*AB89+(1-EXP(-LN(2)/2))/(LN(2)/2)*V90*Y90*VLOOKUP('Données projet'!$B$9,Paramètres!$A$1:$I$89,3,0)*0.475*44/12</f>
        <v>5.8963380859655139</v>
      </c>
      <c r="AC90" s="22">
        <f t="shared" si="57"/>
        <v>76.321228471784494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-6.3550942286383367E-14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279.32192402750189</v>
      </c>
      <c r="AO90" s="59">
        <f t="shared" si="90"/>
        <v>371.43572414443611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120.26572360470689</v>
      </c>
      <c r="AV90" s="21">
        <f>EXP(-LN(2)/25)*AV89+(1-EXP(-LN(2)/25))/(LN(2)/25)*Calculateur!AQ90*Calculateur!AS90*VLOOKUP('Données projet'!$B$10,Paramètres!$A$1:$I$89,3,0)*0.475*44/12</f>
        <v>23.72258404668786</v>
      </c>
      <c r="AW90" s="21">
        <f>EXP(-LN(2)/2)*AW89+(1-EXP(-LN(2)/2))/(LN(2)/2)*AQ90*AT90*VLOOKUP('Données projet'!$B$10,Paramètres!$A$1:$I$89,3,0)*0.475*44/12</f>
        <v>5.2126013189868886E-4</v>
      </c>
      <c r="AX90" s="21">
        <f t="shared" si="60"/>
        <v>143.98882891152667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2.2737367544323206E-13</v>
      </c>
      <c r="BE90" s="13">
        <f>BD90*VLOOKUP('Données projet'!$B$11,Paramètres!$A$1:$I$89,3,0)*VLOOKUP('Données projet'!$B$11,Paramètres!$A$1:$I$89,5,0)</f>
        <v>1.064108801074326E-13</v>
      </c>
      <c r="BF90" s="13">
        <f t="shared" si="91"/>
        <v>1.5870730813698654E-12</v>
      </c>
      <c r="BG90" s="20">
        <f t="shared" si="61"/>
        <v>2.9494845662396269E-12</v>
      </c>
      <c r="BH90" s="59">
        <f t="shared" si="62"/>
        <v>293.33333333333627</v>
      </c>
      <c r="BI90" s="59">
        <f ca="1">AVERAGE(OFFSET($BH$3,0,0,'Données projet'!$E$11+1,1))-AVERAGE(OFFSET($H$3,0,0,'Données projet'!$E$11+1,1))</f>
        <v>297.07458564121606</v>
      </c>
      <c r="BJ90" s="59">
        <f t="shared" si="92"/>
        <v>514.93897725587567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74.07985512059949</v>
      </c>
      <c r="BQ90" s="21">
        <f>EXP(-LN(2)/25)*BQ89+(1-EXP(-LN(2)/25))/(LN(2)/25)*Calculateur!BL90*Calculateur!BN90*VLOOKUP('Données projet'!$B$11,Paramètres!$A$1:$I$89,3,0)*0.475*44/12</f>
        <v>60.134499969211923</v>
      </c>
      <c r="BR90" s="21">
        <f>EXP(-LN(2)/2)*BR89+(1-EXP(-LN(2)/2))/(LN(2)/2)*BL90*BO90*VLOOKUP('Données projet'!$B$11,Paramètres!$A$1:$I$89,3,0)*0.475*44/12</f>
        <v>1.4508721532924427E-8</v>
      </c>
      <c r="BS90" s="22">
        <f t="shared" si="63"/>
        <v>134.21435510432013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41.184000000000069</v>
      </c>
      <c r="D91" s="11">
        <f t="shared" si="86"/>
        <v>12.311931477761863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412.95105000377634</v>
      </c>
      <c r="H91" s="67">
        <f t="shared" si="56"/>
        <v>386.50541399043533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8.1391025641025667</v>
      </c>
      <c r="N91" s="13">
        <f>IF('Données projet'!$A$36&gt;35,N90+M91-V90,IF(A91&lt;'Données projet'!$A$36,$K$205^A91,IF(A91='Données projet'!$A$36,'Données projet'!$B$36,N90+M91-V90)))</f>
        <v>308.33910256410275</v>
      </c>
      <c r="O91" s="13">
        <f>N91*VLOOKUP('Données projet'!$B$9,Paramètres!$A$1:$I$89,3,0)*VLOOKUP('Données projet'!$B$9,Paramètres!$A$1:$I$89,5,0)</f>
        <v>144.30270000000007</v>
      </c>
      <c r="P91" s="13">
        <f t="shared" si="87"/>
        <v>37.280950392910917</v>
      </c>
      <c r="Q91" s="20">
        <f t="shared" si="54"/>
        <v>316.25819110098661</v>
      </c>
      <c r="R91" s="59">
        <f t="shared" si="55"/>
        <v>609.59152443431992</v>
      </c>
      <c r="S91" s="59">
        <f ca="1">AVERAGE(OFFSET($R$3,0,0,'Données projet'!$E$9+1,1))-AVERAGE(OFFSET($H$3,0,0,'Données projet'!$E$9+1,1))</f>
        <v>157.05226586109279</v>
      </c>
      <c r="T91" s="59">
        <f t="shared" si="88"/>
        <v>76.143582612540229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50.953479076531998</v>
      </c>
      <c r="AA91" s="21">
        <f>EXP(-LN(2)/25)*AA90+(1-EXP(-LN(2)/25))/(LN(2)/25)*Calculateur!V91*Calculateur!X91*VLOOKUP('Données projet'!$B$9,Paramètres!$A$1:$I$89,3,0)*0.475*44/12</f>
        <v>17.947681709682676</v>
      </c>
      <c r="AB91" s="21">
        <f>EXP(-LN(2)/2)*AB90+(1-EXP(-LN(2)/2))/(LN(2)/2)*V91*Y91*VLOOKUP('Données projet'!$B$9,Paramètres!$A$1:$I$89,3,0)*0.475*44/12</f>
        <v>4.1693406447547234</v>
      </c>
      <c r="AC91" s="22">
        <f t="shared" si="57"/>
        <v>73.070501430969401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-6.3550942286383367E-14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279.32192402750189</v>
      </c>
      <c r="AO91" s="59">
        <f t="shared" si="90"/>
        <v>371.43572414443611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117.9073861196668</v>
      </c>
      <c r="AV91" s="21">
        <f>EXP(-LN(2)/25)*AV90+(1-EXP(-LN(2)/25))/(LN(2)/25)*Calculateur!AQ91*Calculateur!AS91*VLOOKUP('Données projet'!$B$10,Paramètres!$A$1:$I$89,3,0)*0.475*44/12</f>
        <v>23.073888738414706</v>
      </c>
      <c r="AW91" s="21">
        <f>EXP(-LN(2)/2)*AW90+(1-EXP(-LN(2)/2))/(LN(2)/2)*AQ91*AT91*VLOOKUP('Données projet'!$B$10,Paramètres!$A$1:$I$89,3,0)*0.475*44/12</f>
        <v>3.6858657402775709E-4</v>
      </c>
      <c r="AX91" s="21">
        <f t="shared" si="60"/>
        <v>140.98164344465553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2.2737367544323206E-13</v>
      </c>
      <c r="BE91" s="13">
        <f>BD91*VLOOKUP('Données projet'!$B$11,Paramètres!$A$1:$I$89,3,0)*VLOOKUP('Données projet'!$B$11,Paramètres!$A$1:$I$89,5,0)</f>
        <v>1.064108801074326E-13</v>
      </c>
      <c r="BF91" s="13">
        <f t="shared" si="91"/>
        <v>1.5870730813698654E-12</v>
      </c>
      <c r="BG91" s="20">
        <f t="shared" si="61"/>
        <v>2.9494845662396269E-12</v>
      </c>
      <c r="BH91" s="59">
        <f t="shared" si="62"/>
        <v>293.33333333333627</v>
      </c>
      <c r="BI91" s="59">
        <f ca="1">AVERAGE(OFFSET($BH$3,0,0,'Données projet'!$E$11+1,1))-AVERAGE(OFFSET($H$3,0,0,'Données projet'!$E$11+1,1))</f>
        <v>297.07458564121606</v>
      </c>
      <c r="BJ91" s="59">
        <f t="shared" si="92"/>
        <v>514.93897725587567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72.627194345934583</v>
      </c>
      <c r="BQ91" s="21">
        <f>EXP(-LN(2)/25)*BQ90+(1-EXP(-LN(2)/25))/(LN(2)/25)*Calculateur!BL91*Calculateur!BN91*VLOOKUP('Données projet'!$B$11,Paramètres!$A$1:$I$89,3,0)*0.475*44/12</f>
        <v>58.490118905217912</v>
      </c>
      <c r="BR91" s="21">
        <f>EXP(-LN(2)/2)*BR90+(1-EXP(-LN(2)/2))/(LN(2)/2)*BL91*BO91*VLOOKUP('Données projet'!$B$11,Paramètres!$A$1:$I$89,3,0)*0.475*44/12</f>
        <v>1.0259215382278144E-8</v>
      </c>
      <c r="BS91" s="22">
        <f t="shared" si="63"/>
        <v>131.11731326141171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41.652000000000072</v>
      </c>
      <c r="D92" s="11">
        <f t="shared" si="86"/>
        <v>12.435473046397316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417.51733579675187</v>
      </c>
      <c r="H92" s="67">
        <f t="shared" si="56"/>
        <v>387.53568222247543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8.1391025641025667</v>
      </c>
      <c r="N92" s="13">
        <f>IF('Données projet'!$A$36&gt;35,N91+M92-V91,IF(A92&lt;'Données projet'!$A$36,$K$205^A92,IF(A92='Données projet'!$A$36,'Données projet'!$B$36,N91+M92-V91)))</f>
        <v>316.47820512820533</v>
      </c>
      <c r="O92" s="13">
        <f>N92*VLOOKUP('Données projet'!$B$9,Paramètres!$A$1:$I$89,3,0)*VLOOKUP('Données projet'!$B$9,Paramètres!$A$1:$I$89,5,0)</f>
        <v>148.11180000000007</v>
      </c>
      <c r="P92" s="13">
        <f t="shared" si="87"/>
        <v>38.149169544694949</v>
      </c>
      <c r="Q92" s="20">
        <f t="shared" si="54"/>
        <v>324.4045219570105</v>
      </c>
      <c r="R92" s="59">
        <f t="shared" si="55"/>
        <v>617.73785529034376</v>
      </c>
      <c r="S92" s="59">
        <f ca="1">AVERAGE(OFFSET($R$3,0,0,'Données projet'!$E$9+1,1))-AVERAGE(OFFSET($H$3,0,0,'Données projet'!$E$9+1,1))</f>
        <v>157.05226586109279</v>
      </c>
      <c r="T92" s="59">
        <f t="shared" si="88"/>
        <v>76.143582612540229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49.954312430394687</v>
      </c>
      <c r="AA92" s="21">
        <f>EXP(-LN(2)/25)*AA91+(1-EXP(-LN(2)/25))/(LN(2)/25)*Calculateur!V92*Calculateur!X92*VLOOKUP('Données projet'!$B$9,Paramètres!$A$1:$I$89,3,0)*0.475*44/12</f>
        <v>17.456901409503843</v>
      </c>
      <c r="AB92" s="21">
        <f>EXP(-LN(2)/2)*AB91+(1-EXP(-LN(2)/2))/(LN(2)/2)*V92*Y92*VLOOKUP('Données projet'!$B$9,Paramètres!$A$1:$I$89,3,0)*0.475*44/12</f>
        <v>2.9481690429827574</v>
      </c>
      <c r="AC92" s="22">
        <f t="shared" si="57"/>
        <v>70.359382882881278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-6.3550942286383367E-14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279.32192402750189</v>
      </c>
      <c r="AO92" s="59">
        <f t="shared" si="90"/>
        <v>371.43572414443611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115.59529419426451</v>
      </c>
      <c r="AV92" s="21">
        <f>EXP(-LN(2)/25)*AV91+(1-EXP(-LN(2)/25))/(LN(2)/25)*Calculateur!AQ92*Calculateur!AS92*VLOOKUP('Données projet'!$B$10,Paramètres!$A$1:$I$89,3,0)*0.475*44/12</f>
        <v>22.442932037459684</v>
      </c>
      <c r="AW92" s="21">
        <f>EXP(-LN(2)/2)*AW91+(1-EXP(-LN(2)/2))/(LN(2)/2)*AQ92*AT92*VLOOKUP('Données projet'!$B$10,Paramètres!$A$1:$I$89,3,0)*0.475*44/12</f>
        <v>2.6063006594934443E-4</v>
      </c>
      <c r="AX92" s="21">
        <f t="shared" si="60"/>
        <v>138.03848686179015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2.2737367544323206E-13</v>
      </c>
      <c r="BE92" s="13">
        <f>BD92*VLOOKUP('Données projet'!$B$11,Paramètres!$A$1:$I$89,3,0)*VLOOKUP('Données projet'!$B$11,Paramètres!$A$1:$I$89,5,0)</f>
        <v>1.064108801074326E-13</v>
      </c>
      <c r="BF92" s="13">
        <f t="shared" si="91"/>
        <v>1.5870730813698654E-12</v>
      </c>
      <c r="BG92" s="20">
        <f t="shared" si="61"/>
        <v>2.9494845662396269E-12</v>
      </c>
      <c r="BH92" s="59">
        <f t="shared" si="62"/>
        <v>293.33333333333627</v>
      </c>
      <c r="BI92" s="59">
        <f ca="1">AVERAGE(OFFSET($BH$3,0,0,'Données projet'!$E$11+1,1))-AVERAGE(OFFSET($H$3,0,0,'Données projet'!$E$11+1,1))</f>
        <v>297.07458564121606</v>
      </c>
      <c r="BJ92" s="59">
        <f t="shared" si="92"/>
        <v>514.93897725587567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71.203019363025277</v>
      </c>
      <c r="BQ92" s="21">
        <f>EXP(-LN(2)/25)*BQ91+(1-EXP(-LN(2)/25))/(LN(2)/25)*Calculateur!BL92*Calculateur!BN92*VLOOKUP('Données projet'!$B$11,Paramètres!$A$1:$I$89,3,0)*0.475*44/12</f>
        <v>56.890703527893059</v>
      </c>
      <c r="BR92" s="21">
        <f>EXP(-LN(2)/2)*BR91+(1-EXP(-LN(2)/2))/(LN(2)/2)*BL92*BO92*VLOOKUP('Données projet'!$B$11,Paramètres!$A$1:$I$89,3,0)*0.475*44/12</f>
        <v>7.2543607664622144E-9</v>
      </c>
      <c r="BS92" s="22">
        <f t="shared" si="63"/>
        <v>128.0937228981727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42.120000000000076</v>
      </c>
      <c r="D93" s="11">
        <f t="shared" si="86"/>
        <v>12.558853141338776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422.08237512612442</v>
      </c>
      <c r="H93" s="67">
        <f t="shared" si="56"/>
        <v>388.56566922116514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8.1391025641025667</v>
      </c>
      <c r="N93" s="13">
        <f>IF('Données projet'!$A$36&gt;35,N92+M93-V92,IF(A93&lt;'Données projet'!$A$36,$K$205^A93,IF(A93='Données projet'!$A$36,'Données projet'!$B$36,N92+M93-V92)))</f>
        <v>324.61730769230792</v>
      </c>
      <c r="O93" s="13">
        <f>N93*VLOOKUP('Données projet'!$B$9,Paramètres!$A$1:$I$89,3,0)*VLOOKUP('Données projet'!$B$9,Paramètres!$A$1:$I$89,5,0)</f>
        <v>151.9209000000001</v>
      </c>
      <c r="P93" s="13">
        <f t="shared" si="87"/>
        <v>39.014793227910218</v>
      </c>
      <c r="Q93" s="20">
        <f t="shared" si="54"/>
        <v>332.54633237194383</v>
      </c>
      <c r="R93" s="59">
        <f t="shared" si="55"/>
        <v>625.87966570527715</v>
      </c>
      <c r="S93" s="59">
        <f ca="1">AVERAGE(OFFSET($R$3,0,0,'Données projet'!$E$9+1,1))-AVERAGE(OFFSET($H$3,0,0,'Données projet'!$E$9+1,1))</f>
        <v>157.05226586109279</v>
      </c>
      <c r="T93" s="59">
        <f t="shared" si="88"/>
        <v>76.143582612540229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48.974738832756657</v>
      </c>
      <c r="AA93" s="21">
        <f>EXP(-LN(2)/25)*AA92+(1-EXP(-LN(2)/25))/(LN(2)/25)*Calculateur!V93*Calculateur!X93*VLOOKUP('Données projet'!$B$9,Paramètres!$A$1:$I$89,3,0)*0.475*44/12</f>
        <v>16.979541522442414</v>
      </c>
      <c r="AB93" s="21">
        <f>EXP(-LN(2)/2)*AB92+(1-EXP(-LN(2)/2))/(LN(2)/2)*V93*Y93*VLOOKUP('Données projet'!$B$9,Paramètres!$A$1:$I$89,3,0)*0.475*44/12</f>
        <v>2.0846703223773622</v>
      </c>
      <c r="AC93" s="22">
        <f t="shared" si="57"/>
        <v>68.038950677576437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-6.3550942286383367E-14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279.32192402750189</v>
      </c>
      <c r="AO93" s="59">
        <f t="shared" si="90"/>
        <v>371.43572414443611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113.32854098128254</v>
      </c>
      <c r="AV93" s="21">
        <f>EXP(-LN(2)/25)*AV92+(1-EXP(-LN(2)/25))/(LN(2)/25)*Calculateur!AQ93*Calculateur!AS93*VLOOKUP('Données projet'!$B$10,Paramètres!$A$1:$I$89,3,0)*0.475*44/12</f>
        <v>21.829228880672847</v>
      </c>
      <c r="AW93" s="21">
        <f>EXP(-LN(2)/2)*AW92+(1-EXP(-LN(2)/2))/(LN(2)/2)*AQ93*AT93*VLOOKUP('Données projet'!$B$10,Paramètres!$A$1:$I$89,3,0)*0.475*44/12</f>
        <v>1.8429328701387854E-4</v>
      </c>
      <c r="AX93" s="21">
        <f t="shared" si="60"/>
        <v>135.15795415524241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2.2737367544323206E-13</v>
      </c>
      <c r="BE93" s="13">
        <f>BD93*VLOOKUP('Données projet'!$B$11,Paramètres!$A$1:$I$89,3,0)*VLOOKUP('Données projet'!$B$11,Paramètres!$A$1:$I$89,5,0)</f>
        <v>1.064108801074326E-13</v>
      </c>
      <c r="BF93" s="13">
        <f t="shared" si="91"/>
        <v>1.5870730813698654E-12</v>
      </c>
      <c r="BG93" s="20">
        <f t="shared" si="61"/>
        <v>2.9494845662396269E-12</v>
      </c>
      <c r="BH93" s="59">
        <f t="shared" si="62"/>
        <v>293.33333333333627</v>
      </c>
      <c r="BI93" s="59">
        <f ca="1">AVERAGE(OFFSET($BH$3,0,0,'Données projet'!$E$11+1,1))-AVERAGE(OFFSET($H$3,0,0,'Données projet'!$E$11+1,1))</f>
        <v>297.07458564121606</v>
      </c>
      <c r="BJ93" s="59">
        <f t="shared" si="92"/>
        <v>514.93897725587567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69.806771582869857</v>
      </c>
      <c r="BQ93" s="21">
        <f>EXP(-LN(2)/25)*BQ92+(1-EXP(-LN(2)/25))/(LN(2)/25)*Calculateur!BL93*Calculateur!BN93*VLOOKUP('Données projet'!$B$11,Paramètres!$A$1:$I$89,3,0)*0.475*44/12</f>
        <v>55.335024248170754</v>
      </c>
      <c r="BR93" s="21">
        <f>EXP(-LN(2)/2)*BR92+(1-EXP(-LN(2)/2))/(LN(2)/2)*BL93*BO93*VLOOKUP('Données projet'!$B$11,Paramètres!$A$1:$I$89,3,0)*0.475*44/12</f>
        <v>5.1296076911390727E-9</v>
      </c>
      <c r="BS93" s="22">
        <f t="shared" si="63"/>
        <v>125.14179583617022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42.588000000000079</v>
      </c>
      <c r="D94" s="11">
        <f t="shared" si="86"/>
        <v>12.682073764365786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426.64618344422774</v>
      </c>
      <c r="H94" s="67">
        <f t="shared" si="56"/>
        <v>389.59537847293717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8.1391025641025667</v>
      </c>
      <c r="N94" s="13">
        <f>IF('Données projet'!$A$36&gt;35,N93+M94-V93,IF(A94&lt;'Données projet'!$A$36,$K$205^A94,IF(A94='Données projet'!$A$36,'Données projet'!$B$36,N93+M94-V93)))</f>
        <v>332.7564102564105</v>
      </c>
      <c r="O94" s="13">
        <f>N94*VLOOKUP('Données projet'!$B$9,Paramètres!$A$1:$I$89,3,0)*VLOOKUP('Données projet'!$B$9,Paramètres!$A$1:$I$89,5,0)</f>
        <v>155.7300000000001</v>
      </c>
      <c r="P94" s="13">
        <f t="shared" si="87"/>
        <v>39.877894002833592</v>
      </c>
      <c r="Q94" s="20">
        <f t="shared" si="54"/>
        <v>340.68374872160194</v>
      </c>
      <c r="R94" s="59">
        <f t="shared" si="55"/>
        <v>634.01708205493526</v>
      </c>
      <c r="S94" s="59">
        <f ca="1">AVERAGE(OFFSET($R$3,0,0,'Données projet'!$E$9+1,1))-AVERAGE(OFFSET($H$3,0,0,'Données projet'!$E$9+1,1))</f>
        <v>157.05226586109279</v>
      </c>
      <c r="T94" s="59">
        <f t="shared" si="88"/>
        <v>76.143582612540229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48.01437407588741</v>
      </c>
      <c r="AA94" s="21">
        <f>EXP(-LN(2)/25)*AA93+(1-EXP(-LN(2)/25))/(LN(2)/25)*Calculateur!V94*Calculateur!X94*VLOOKUP('Données projet'!$B$9,Paramètres!$A$1:$I$89,3,0)*0.475*44/12</f>
        <v>16.515235066595945</v>
      </c>
      <c r="AB94" s="21">
        <f>EXP(-LN(2)/2)*AB93+(1-EXP(-LN(2)/2))/(LN(2)/2)*V94*Y94*VLOOKUP('Données projet'!$B$9,Paramètres!$A$1:$I$89,3,0)*0.475*44/12</f>
        <v>1.4740845214913789</v>
      </c>
      <c r="AC94" s="22">
        <f t="shared" si="57"/>
        <v>66.00369366397473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-6.3550942286383367E-14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279.32192402750189</v>
      </c>
      <c r="AO94" s="59">
        <f t="shared" si="90"/>
        <v>371.43572414443611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111.1062374162242</v>
      </c>
      <c r="AV94" s="21">
        <f>EXP(-LN(2)/25)*AV93+(1-EXP(-LN(2)/25))/(LN(2)/25)*Calculateur!AQ94*Calculateur!AS94*VLOOKUP('Données projet'!$B$10,Paramètres!$A$1:$I$89,3,0)*0.475*44/12</f>
        <v>21.232307468981592</v>
      </c>
      <c r="AW94" s="21">
        <f>EXP(-LN(2)/2)*AW93+(1-EXP(-LN(2)/2))/(LN(2)/2)*AQ94*AT94*VLOOKUP('Données projet'!$B$10,Paramètres!$A$1:$I$89,3,0)*0.475*44/12</f>
        <v>1.3031503297467222E-4</v>
      </c>
      <c r="AX94" s="21">
        <f t="shared" si="60"/>
        <v>132.33867520023878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2.2737367544323206E-13</v>
      </c>
      <c r="BE94" s="13">
        <f>BD94*VLOOKUP('Données projet'!$B$11,Paramètres!$A$1:$I$89,3,0)*VLOOKUP('Données projet'!$B$11,Paramètres!$A$1:$I$89,5,0)</f>
        <v>1.064108801074326E-13</v>
      </c>
      <c r="BF94" s="13">
        <f t="shared" si="91"/>
        <v>1.5870730813698654E-12</v>
      </c>
      <c r="BG94" s="20">
        <f t="shared" si="61"/>
        <v>2.9494845662396269E-12</v>
      </c>
      <c r="BH94" s="59">
        <f t="shared" si="62"/>
        <v>293.33333333333627</v>
      </c>
      <c r="BI94" s="59">
        <f ca="1">AVERAGE(OFFSET($BH$3,0,0,'Données projet'!$E$11+1,1))-AVERAGE(OFFSET($H$3,0,0,'Données projet'!$E$11+1,1))</f>
        <v>297.07458564121606</v>
      </c>
      <c r="BJ94" s="59">
        <f t="shared" si="92"/>
        <v>514.93897725587567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68.437903370056219</v>
      </c>
      <c r="BQ94" s="21">
        <f>EXP(-LN(2)/25)*BQ93+(1-EXP(-LN(2)/25))/(LN(2)/25)*Calculateur!BL94*Calculateur!BN94*VLOOKUP('Données projet'!$B$11,Paramètres!$A$1:$I$89,3,0)*0.475*44/12</f>
        <v>53.821885100162071</v>
      </c>
      <c r="BR94" s="21">
        <f>EXP(-LN(2)/2)*BR93+(1-EXP(-LN(2)/2))/(LN(2)/2)*BL94*BO94*VLOOKUP('Données projet'!$B$11,Paramètres!$A$1:$I$89,3,0)*0.475*44/12</f>
        <v>3.6271803832311076E-9</v>
      </c>
      <c r="BS94" s="22">
        <f t="shared" si="63"/>
        <v>122.25978847384548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43.056000000000083</v>
      </c>
      <c r="D95" s="11">
        <f t="shared" si="86"/>
        <v>12.805136870729203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431.20877584422607</v>
      </c>
      <c r="H95" s="67">
        <f t="shared" si="56"/>
        <v>390.62481338318679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8.1391025641025667</v>
      </c>
      <c r="N95" s="13">
        <f>IF('Données projet'!$A$36&gt;35,N94+M95-V94,IF(A95&lt;'Données projet'!$A$36,$K$205^A95,IF(A95='Données projet'!$A$36,'Données projet'!$B$36,N94+M95-V94)))</f>
        <v>340.89551282051309</v>
      </c>
      <c r="O95" s="13">
        <f>N95*VLOOKUP('Données projet'!$B$9,Paramètres!$A$1:$I$89,3,0)*VLOOKUP('Données projet'!$B$9,Paramètres!$A$1:$I$89,5,0)</f>
        <v>159.53910000000013</v>
      </c>
      <c r="P95" s="13">
        <f t="shared" si="87"/>
        <v>40.73854067777345</v>
      </c>
      <c r="Q95" s="20">
        <f t="shared" si="54"/>
        <v>348.81689084712229</v>
      </c>
      <c r="R95" s="59">
        <f t="shared" si="55"/>
        <v>642.15022418045555</v>
      </c>
      <c r="S95" s="59">
        <f ca="1">AVERAGE(OFFSET($R$3,0,0,'Données projet'!$E$9+1,1))-AVERAGE(OFFSET($H$3,0,0,'Données projet'!$E$9+1,1))</f>
        <v>157.05226586109279</v>
      </c>
      <c r="T95" s="59">
        <f t="shared" si="88"/>
        <v>76.143582612540229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47.072841486135701</v>
      </c>
      <c r="AA95" s="21">
        <f>EXP(-LN(2)/25)*AA94+(1-EXP(-LN(2)/25))/(LN(2)/25)*Calculateur!V95*Calculateur!X95*VLOOKUP('Données projet'!$B$9,Paramètres!$A$1:$I$89,3,0)*0.475*44/12</f>
        <v>16.063625095201413</v>
      </c>
      <c r="AB95" s="21">
        <f>EXP(-LN(2)/2)*AB94+(1-EXP(-LN(2)/2))/(LN(2)/2)*V95*Y95*VLOOKUP('Données projet'!$B$9,Paramètres!$A$1:$I$89,3,0)*0.475*44/12</f>
        <v>1.0423351611886811</v>
      </c>
      <c r="AC95" s="22">
        <f t="shared" si="57"/>
        <v>64.178801742525792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-6.3550942286383367E-14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279.32192402750189</v>
      </c>
      <c r="AO95" s="59">
        <f t="shared" si="90"/>
        <v>371.43572414443611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108.92751186860532</v>
      </c>
      <c r="AV95" s="21">
        <f>EXP(-LN(2)/25)*AV94+(1-EXP(-LN(2)/25))/(LN(2)/25)*Calculateur!AQ95*Calculateur!AS95*VLOOKUP('Données projet'!$B$10,Paramètres!$A$1:$I$89,3,0)*0.475*44/12</f>
        <v>20.651708904683769</v>
      </c>
      <c r="AW95" s="21">
        <f>EXP(-LN(2)/2)*AW94+(1-EXP(-LN(2)/2))/(LN(2)/2)*AQ95*AT95*VLOOKUP('Données projet'!$B$10,Paramètres!$A$1:$I$89,3,0)*0.475*44/12</f>
        <v>9.2146643506939272E-5</v>
      </c>
      <c r="AX95" s="21">
        <f t="shared" si="60"/>
        <v>129.57931291993259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2.2737367544323206E-13</v>
      </c>
      <c r="BE95" s="13">
        <f>BD95*VLOOKUP('Données projet'!$B$11,Paramètres!$A$1:$I$89,3,0)*VLOOKUP('Données projet'!$B$11,Paramètres!$A$1:$I$89,5,0)</f>
        <v>1.064108801074326E-13</v>
      </c>
      <c r="BF95" s="13">
        <f t="shared" si="91"/>
        <v>1.5870730813698654E-12</v>
      </c>
      <c r="BG95" s="20">
        <f t="shared" si="61"/>
        <v>2.9494845662396269E-12</v>
      </c>
      <c r="BH95" s="59">
        <f t="shared" si="62"/>
        <v>293.33333333333627</v>
      </c>
      <c r="BI95" s="59">
        <f ca="1">AVERAGE(OFFSET($BH$3,0,0,'Données projet'!$E$11+1,1))-AVERAGE(OFFSET($H$3,0,0,'Données projet'!$E$11+1,1))</f>
        <v>297.07458564121606</v>
      </c>
      <c r="BJ95" s="59">
        <f t="shared" si="92"/>
        <v>514.93897725587567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67.095877827968692</v>
      </c>
      <c r="BQ95" s="21">
        <f>EXP(-LN(2)/25)*BQ94+(1-EXP(-LN(2)/25))/(LN(2)/25)*Calculateur!BL95*Calculateur!BN95*VLOOKUP('Données projet'!$B$11,Paramètres!$A$1:$I$89,3,0)*0.475*44/12</f>
        <v>52.350122821728213</v>
      </c>
      <c r="BR95" s="21">
        <f>EXP(-LN(2)/2)*BR94+(1-EXP(-LN(2)/2))/(LN(2)/2)*BL95*BO95*VLOOKUP('Données projet'!$B$11,Paramètres!$A$1:$I$89,3,0)*0.475*44/12</f>
        <v>2.5648038455695367E-9</v>
      </c>
      <c r="BS95" s="22">
        <f t="shared" si="63"/>
        <v>119.44600065226172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43.524000000000086</v>
      </c>
      <c r="D96" s="11">
        <f t="shared" si="86"/>
        <v>12.928044370726413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435.77016707227472</v>
      </c>
      <c r="H96" s="67">
        <f t="shared" si="56"/>
        <v>391.65397727901529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8.1391025641025667</v>
      </c>
      <c r="N96" s="13">
        <f>IF('Données projet'!$A$36&gt;35,N95+M96-V95,IF(A96&lt;'Données projet'!$A$36,$K$205^A96,IF(A96='Données projet'!$A$36,'Données projet'!$B$36,N95+M96-V95)))</f>
        <v>349.03461538461568</v>
      </c>
      <c r="O96" s="13">
        <f>N96*VLOOKUP('Données projet'!$B$9,Paramètres!$A$1:$I$89,3,0)*VLOOKUP('Données projet'!$B$9,Paramètres!$A$1:$I$89,5,0)</f>
        <v>163.34820000000013</v>
      </c>
      <c r="P96" s="13">
        <f t="shared" si="87"/>
        <v>41.596798587958098</v>
      </c>
      <c r="Q96" s="20">
        <f t="shared" si="54"/>
        <v>356.94587254069387</v>
      </c>
      <c r="R96" s="59">
        <f t="shared" si="55"/>
        <v>650.27920587402718</v>
      </c>
      <c r="S96" s="59">
        <f ca="1">AVERAGE(OFFSET($R$3,0,0,'Données projet'!$E$9+1,1))-AVERAGE(OFFSET($H$3,0,0,'Données projet'!$E$9+1,1))</f>
        <v>157.05226586109279</v>
      </c>
      <c r="T96" s="59">
        <f t="shared" si="88"/>
        <v>76.143582612540229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46.149771776190853</v>
      </c>
      <c r="AA96" s="21">
        <f>EXP(-LN(2)/25)*AA95+(1-EXP(-LN(2)/25))/(LN(2)/25)*Calculateur!V96*Calculateur!X96*VLOOKUP('Données projet'!$B$9,Paramètres!$A$1:$I$89,3,0)*0.475*44/12</f>
        <v>15.624364422223801</v>
      </c>
      <c r="AB96" s="21">
        <f>EXP(-LN(2)/2)*AB95+(1-EXP(-LN(2)/2))/(LN(2)/2)*V96*Y96*VLOOKUP('Données projet'!$B$9,Paramètres!$A$1:$I$89,3,0)*0.475*44/12</f>
        <v>0.73704226074568946</v>
      </c>
      <c r="AC96" s="22">
        <f t="shared" si="57"/>
        <v>62.511178459160341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-6.3550942286383367E-14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279.32192402750189</v>
      </c>
      <c r="AO96" s="59">
        <f t="shared" si="90"/>
        <v>371.43572414443611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106.79150980008389</v>
      </c>
      <c r="AV96" s="21">
        <f>EXP(-LN(2)/25)*AV95+(1-EXP(-LN(2)/25))/(LN(2)/25)*Calculateur!AQ96*Calculateur!AS96*VLOOKUP('Données projet'!$B$10,Paramètres!$A$1:$I$89,3,0)*0.475*44/12</f>
        <v>20.086986838659019</v>
      </c>
      <c r="AW96" s="21">
        <f>EXP(-LN(2)/2)*AW95+(1-EXP(-LN(2)/2))/(LN(2)/2)*AQ96*AT96*VLOOKUP('Données projet'!$B$10,Paramètres!$A$1:$I$89,3,0)*0.475*44/12</f>
        <v>6.5157516487336108E-5</v>
      </c>
      <c r="AX96" s="21">
        <f t="shared" si="60"/>
        <v>126.87856179625939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2.2737367544323206E-13</v>
      </c>
      <c r="BE96" s="13">
        <f>BD96*VLOOKUP('Données projet'!$B$11,Paramètres!$A$1:$I$89,3,0)*VLOOKUP('Données projet'!$B$11,Paramètres!$A$1:$I$89,5,0)</f>
        <v>1.064108801074326E-13</v>
      </c>
      <c r="BF96" s="13">
        <f t="shared" si="91"/>
        <v>1.5870730813698654E-12</v>
      </c>
      <c r="BG96" s="20">
        <f t="shared" si="61"/>
        <v>2.9494845662396269E-12</v>
      </c>
      <c r="BH96" s="59">
        <f t="shared" si="62"/>
        <v>293.33333333333627</v>
      </c>
      <c r="BI96" s="59">
        <f ca="1">AVERAGE(OFFSET($BH$3,0,0,'Données projet'!$E$11+1,1))-AVERAGE(OFFSET($H$3,0,0,'Données projet'!$E$11+1,1))</f>
        <v>297.07458564121606</v>
      </c>
      <c r="BJ96" s="59">
        <f t="shared" si="92"/>
        <v>514.93897725587567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65.780168588206749</v>
      </c>
      <c r="BQ96" s="21">
        <f>EXP(-LN(2)/25)*BQ95+(1-EXP(-LN(2)/25))/(LN(2)/25)*Calculateur!BL96*Calculateur!BN96*VLOOKUP('Données projet'!$B$11,Paramètres!$A$1:$I$89,3,0)*0.475*44/12</f>
        <v>50.918605960194746</v>
      </c>
      <c r="BR96" s="21">
        <f>EXP(-LN(2)/2)*BR95+(1-EXP(-LN(2)/2))/(LN(2)/2)*BL96*BO96*VLOOKUP('Données projet'!$B$11,Paramètres!$A$1:$I$89,3,0)*0.475*44/12</f>
        <v>1.8135901916155542E-9</v>
      </c>
      <c r="BS96" s="22">
        <f t="shared" si="63"/>
        <v>116.69877455021509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43.99200000000009</v>
      </c>
      <c r="D97" s="11">
        <f t="shared" si="86"/>
        <v>13.050798131206898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440.33037153914165</v>
      </c>
      <c r="H97" s="67">
        <f t="shared" si="56"/>
        <v>392.68287341185214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8.1391025641025667</v>
      </c>
      <c r="N97" s="13">
        <f>IF('Données projet'!$A$36&gt;35,N96+M97-V96,IF(A97&lt;'Données projet'!$A$36,$K$205^A97,IF(A97='Données projet'!$A$36,'Données projet'!$B$36,N96+M97-V96)))</f>
        <v>357.17371794871826</v>
      </c>
      <c r="O97" s="13">
        <f>N97*VLOOKUP('Données projet'!$B$9,Paramètres!$A$1:$I$89,3,0)*VLOOKUP('Données projet'!$B$9,Paramètres!$A$1:$I$89,5,0)</f>
        <v>167.15730000000016</v>
      </c>
      <c r="P97" s="13">
        <f t="shared" si="87"/>
        <v>42.452729847677681</v>
      </c>
      <c r="Q97" s="20">
        <f t="shared" si="54"/>
        <v>365.07080198470561</v>
      </c>
      <c r="R97" s="59">
        <f t="shared" si="55"/>
        <v>658.40413531803893</v>
      </c>
      <c r="S97" s="59">
        <f ca="1">AVERAGE(OFFSET($R$3,0,0,'Données projet'!$E$9+1,1))-AVERAGE(OFFSET($H$3,0,0,'Données projet'!$E$9+1,1))</f>
        <v>157.05226586109279</v>
      </c>
      <c r="T97" s="59">
        <f t="shared" si="88"/>
        <v>76.143582612540229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45.244802900241091</v>
      </c>
      <c r="AA97" s="21">
        <f>EXP(-LN(2)/25)*AA96+(1-EXP(-LN(2)/25))/(LN(2)/25)*Calculateur!V97*Calculateur!X97*VLOOKUP('Données projet'!$B$9,Paramètres!$A$1:$I$89,3,0)*0.475*44/12</f>
        <v>15.197115355448476</v>
      </c>
      <c r="AB97" s="21">
        <f>EXP(-LN(2)/2)*AB96+(1-EXP(-LN(2)/2))/(LN(2)/2)*V97*Y97*VLOOKUP('Données projet'!$B$9,Paramètres!$A$1:$I$89,3,0)*0.475*44/12</f>
        <v>0.52116758059434054</v>
      </c>
      <c r="AC97" s="22">
        <f t="shared" si="57"/>
        <v>60.963085836283902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-6.3550942286383367E-14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279.32192402750189</v>
      </c>
      <c r="AO97" s="59">
        <f t="shared" si="90"/>
        <v>371.43572414443611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104.69739342929354</v>
      </c>
      <c r="AV97" s="21">
        <f>EXP(-LN(2)/25)*AV96+(1-EXP(-LN(2)/25))/(LN(2)/25)*Calculateur!AQ97*Calculateur!AS97*VLOOKUP('Données projet'!$B$10,Paramètres!$A$1:$I$89,3,0)*0.475*44/12</f>
        <v>19.537707127227161</v>
      </c>
      <c r="AW97" s="21">
        <f>EXP(-LN(2)/2)*AW96+(1-EXP(-LN(2)/2))/(LN(2)/2)*AQ97*AT97*VLOOKUP('Données projet'!$B$10,Paramètres!$A$1:$I$89,3,0)*0.475*44/12</f>
        <v>4.6073321753469636E-5</v>
      </c>
      <c r="AX97" s="21">
        <f t="shared" si="60"/>
        <v>124.23514662984246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2.2737367544323206E-13</v>
      </c>
      <c r="BE97" s="13">
        <f>BD97*VLOOKUP('Données projet'!$B$11,Paramètres!$A$1:$I$89,3,0)*VLOOKUP('Données projet'!$B$11,Paramètres!$A$1:$I$89,5,0)</f>
        <v>1.064108801074326E-13</v>
      </c>
      <c r="BF97" s="13">
        <f t="shared" si="91"/>
        <v>1.5870730813698654E-12</v>
      </c>
      <c r="BG97" s="20">
        <f t="shared" si="61"/>
        <v>2.9494845662396269E-12</v>
      </c>
      <c r="BH97" s="59">
        <f t="shared" si="62"/>
        <v>293.33333333333627</v>
      </c>
      <c r="BI97" s="59">
        <f ca="1">AVERAGE(OFFSET($BH$3,0,0,'Données projet'!$E$11+1,1))-AVERAGE(OFFSET($H$3,0,0,'Données projet'!$E$11+1,1))</f>
        <v>297.07458564121606</v>
      </c>
      <c r="BJ97" s="59">
        <f t="shared" si="92"/>
        <v>514.93897725587567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64.490259604133144</v>
      </c>
      <c r="BQ97" s="21">
        <f>EXP(-LN(2)/25)*BQ96+(1-EXP(-LN(2)/25))/(LN(2)/25)*Calculateur!BL97*Calculateur!BN97*VLOOKUP('Données projet'!$B$11,Paramètres!$A$1:$I$89,3,0)*0.475*44/12</f>
        <v>49.526234002520113</v>
      </c>
      <c r="BR97" s="21">
        <f>EXP(-LN(2)/2)*BR96+(1-EXP(-LN(2)/2))/(LN(2)/2)*BL97*BO97*VLOOKUP('Données projet'!$B$11,Paramètres!$A$1:$I$89,3,0)*0.475*44/12</f>
        <v>1.2824019227847686E-9</v>
      </c>
      <c r="BS97" s="22">
        <f t="shared" si="63"/>
        <v>114.01649360793566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44.460000000000093</v>
      </c>
      <c r="D98" s="11">
        <f t="shared" si="86"/>
        <v>13.173399977011883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444.88940333132058</v>
      </c>
      <c r="H98" s="67">
        <f t="shared" si="56"/>
        <v>393.7115049599625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8.1391025641025667</v>
      </c>
      <c r="N98" s="13">
        <f>IF('Données projet'!$A$36&gt;35,N97+M98-V97,IF(A98&lt;'Données projet'!$A$36,$K$205^A98,IF(A98='Données projet'!$A$36,'Données projet'!$B$36,N97+M98-V97)))</f>
        <v>365.31282051282085</v>
      </c>
      <c r="O98" s="13">
        <f>N98*VLOOKUP('Données projet'!$B$9,Paramètres!$A$1:$I$89,3,0)*VLOOKUP('Données projet'!$B$9,Paramètres!$A$1:$I$89,5,0)</f>
        <v>170.96640000000016</v>
      </c>
      <c r="P98" s="13">
        <f t="shared" si="87"/>
        <v>43.306393578795678</v>
      </c>
      <c r="Q98" s="20">
        <f t="shared" si="54"/>
        <v>373.19178214973607</v>
      </c>
      <c r="R98" s="59">
        <f t="shared" si="55"/>
        <v>666.52511548306938</v>
      </c>
      <c r="S98" s="59">
        <f ca="1">AVERAGE(OFFSET($R$3,0,0,'Données projet'!$E$9+1,1))-AVERAGE(OFFSET($H$3,0,0,'Données projet'!$E$9+1,1))</f>
        <v>157.05226586109279</v>
      </c>
      <c r="T98" s="59">
        <f t="shared" si="88"/>
        <v>76.143582612540229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44.357579911972195</v>
      </c>
      <c r="AA98" s="21">
        <f>EXP(-LN(2)/25)*AA97+(1-EXP(-LN(2)/25))/(LN(2)/25)*Calculateur!V98*Calculateur!X98*VLOOKUP('Données projet'!$B$9,Paramètres!$A$1:$I$89,3,0)*0.475*44/12</f>
        <v>14.781549436872174</v>
      </c>
      <c r="AB98" s="21">
        <f>EXP(-LN(2)/2)*AB97+(1-EXP(-LN(2)/2))/(LN(2)/2)*V98*Y98*VLOOKUP('Données projet'!$B$9,Paramètres!$A$1:$I$89,3,0)*0.475*44/12</f>
        <v>0.36852113037284473</v>
      </c>
      <c r="AC98" s="22">
        <f t="shared" si="57"/>
        <v>59.507650479217219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-6.3550942286383367E-14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279.32192402750189</v>
      </c>
      <c r="AO98" s="59">
        <f t="shared" si="90"/>
        <v>371.43572414443611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102.64434140324953</v>
      </c>
      <c r="AV98" s="21">
        <f>EXP(-LN(2)/25)*AV97+(1-EXP(-LN(2)/25))/(LN(2)/25)*Calculateur!AQ98*Calculateur!AS98*VLOOKUP('Données projet'!$B$10,Paramètres!$A$1:$I$89,3,0)*0.475*44/12</f>
        <v>19.003447498389772</v>
      </c>
      <c r="AW98" s="21">
        <f>EXP(-LN(2)/2)*AW97+(1-EXP(-LN(2)/2))/(LN(2)/2)*AQ98*AT98*VLOOKUP('Données projet'!$B$10,Paramètres!$A$1:$I$89,3,0)*0.475*44/12</f>
        <v>3.2578758243668054E-5</v>
      </c>
      <c r="AX98" s="21">
        <f t="shared" si="60"/>
        <v>121.64782148039754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2.2737367544323206E-13</v>
      </c>
      <c r="BE98" s="13">
        <f>BD98*VLOOKUP('Données projet'!$B$11,Paramètres!$A$1:$I$89,3,0)*VLOOKUP('Données projet'!$B$11,Paramètres!$A$1:$I$89,5,0)</f>
        <v>1.064108801074326E-13</v>
      </c>
      <c r="BF98" s="13">
        <f t="shared" si="91"/>
        <v>1.5870730813698654E-12</v>
      </c>
      <c r="BG98" s="20">
        <f t="shared" si="61"/>
        <v>2.9494845662396269E-12</v>
      </c>
      <c r="BH98" s="59">
        <f t="shared" si="62"/>
        <v>293.33333333333627</v>
      </c>
      <c r="BI98" s="59">
        <f ca="1">AVERAGE(OFFSET($BH$3,0,0,'Données projet'!$E$11+1,1))-AVERAGE(OFFSET($H$3,0,0,'Données projet'!$E$11+1,1))</f>
        <v>297.07458564121606</v>
      </c>
      <c r="BJ98" s="59">
        <f t="shared" si="92"/>
        <v>514.93897725587567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63.225644948470425</v>
      </c>
      <c r="BQ98" s="21">
        <f>EXP(-LN(2)/25)*BQ97+(1-EXP(-LN(2)/25))/(LN(2)/25)*Calculateur!BL98*Calculateur!BN98*VLOOKUP('Données projet'!$B$11,Paramètres!$A$1:$I$89,3,0)*0.475*44/12</f>
        <v>48.171936529249749</v>
      </c>
      <c r="BR98" s="21">
        <f>EXP(-LN(2)/2)*BR97+(1-EXP(-LN(2)/2))/(LN(2)/2)*BL98*BO98*VLOOKUP('Données projet'!$B$11,Paramètres!$A$1:$I$89,3,0)*0.475*44/12</f>
        <v>9.0679509580777721E-10</v>
      </c>
      <c r="BS98" s="22">
        <f t="shared" si="63"/>
        <v>111.39758147862696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44.928000000000097</v>
      </c>
      <c r="D99" s="11">
        <f t="shared" si="86"/>
        <v>13.295851692351626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449.44727622166243</v>
      </c>
      <c r="H99" s="67">
        <f t="shared" si="56"/>
        <v>394.73987503084589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8.1391025641025667</v>
      </c>
      <c r="N99" s="13">
        <f>IF('Données projet'!$A$36&gt;35,N98+M99-V98,IF(A99&lt;'Données projet'!$A$36,$K$205^A99,IF(A99='Données projet'!$A$36,'Données projet'!$B$36,N98+M99-V98)))</f>
        <v>373.45192307692344</v>
      </c>
      <c r="O99" s="13">
        <f>N99*VLOOKUP('Données projet'!$B$9,Paramètres!$A$1:$I$89,3,0)*VLOOKUP('Données projet'!$B$9,Paramètres!$A$1:$I$89,5,0)</f>
        <v>174.77550000000016</v>
      </c>
      <c r="P99" s="13">
        <f t="shared" si="87"/>
        <v>44.157846118321132</v>
      </c>
      <c r="Q99" s="20">
        <f t="shared" ref="Q99:Q130" si="107">(O99+P99)*0.475*44/12</f>
        <v>381.30891115607625</v>
      </c>
      <c r="R99" s="59">
        <f t="shared" si="55"/>
        <v>674.64224448940956</v>
      </c>
      <c r="S99" s="59">
        <f ca="1">AVERAGE(OFFSET($R$3,0,0,'Données projet'!$E$9+1,1))-AVERAGE(OFFSET($H$3,0,0,'Données projet'!$E$9+1,1))</f>
        <v>157.05226586109279</v>
      </c>
      <c r="T99" s="59">
        <f t="shared" si="88"/>
        <v>76.143582612540229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43.487754825350663</v>
      </c>
      <c r="AA99" s="21">
        <f>EXP(-LN(2)/25)*AA98+(1-EXP(-LN(2)/25))/(LN(2)/25)*Calculateur!V99*Calculateur!X99*VLOOKUP('Données projet'!$B$9,Paramètres!$A$1:$I$89,3,0)*0.475*44/12</f>
        <v>14.377347190193003</v>
      </c>
      <c r="AB99" s="21">
        <f>EXP(-LN(2)/2)*AB98+(1-EXP(-LN(2)/2))/(LN(2)/2)*V99*Y99*VLOOKUP('Données projet'!$B$9,Paramètres!$A$1:$I$89,3,0)*0.475*44/12</f>
        <v>0.26058379029717027</v>
      </c>
      <c r="AC99" s="22">
        <f t="shared" si="57"/>
        <v>58.125685805840838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-6.3550942286383367E-14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279.32192402750189</v>
      </c>
      <c r="AO99" s="59">
        <f t="shared" si="90"/>
        <v>371.43572414443611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100.63154847519814</v>
      </c>
      <c r="AV99" s="21">
        <f>EXP(-LN(2)/25)*AV98+(1-EXP(-LN(2)/25))/(LN(2)/25)*Calculateur!AQ99*Calculateur!AS99*VLOOKUP('Données projet'!$B$10,Paramètres!$A$1:$I$89,3,0)*0.475*44/12</f>
        <v>18.483797227198433</v>
      </c>
      <c r="AW99" s="21">
        <f>EXP(-LN(2)/2)*AW98+(1-EXP(-LN(2)/2))/(LN(2)/2)*AQ99*AT99*VLOOKUP('Données projet'!$B$10,Paramètres!$A$1:$I$89,3,0)*0.475*44/12</f>
        <v>2.3036660876734818E-5</v>
      </c>
      <c r="AX99" s="21">
        <f t="shared" si="60"/>
        <v>119.11536873905746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2.2737367544323206E-13</v>
      </c>
      <c r="BE99" s="13">
        <f>BD99*VLOOKUP('Données projet'!$B$11,Paramètres!$A$1:$I$89,3,0)*VLOOKUP('Données projet'!$B$11,Paramètres!$A$1:$I$89,5,0)</f>
        <v>1.064108801074326E-13</v>
      </c>
      <c r="BF99" s="13">
        <f t="shared" si="91"/>
        <v>1.5870730813698654E-12</v>
      </c>
      <c r="BG99" s="20">
        <f t="shared" si="61"/>
        <v>2.9494845662396269E-12</v>
      </c>
      <c r="BH99" s="59">
        <f t="shared" si="62"/>
        <v>293.33333333333627</v>
      </c>
      <c r="BI99" s="59">
        <f ca="1">AVERAGE(OFFSET($BH$3,0,0,'Données projet'!$E$11+1,1))-AVERAGE(OFFSET($H$3,0,0,'Données projet'!$E$11+1,1))</f>
        <v>297.07458564121606</v>
      </c>
      <c r="BJ99" s="59">
        <f t="shared" si="92"/>
        <v>514.93897725587567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61.985828614866477</v>
      </c>
      <c r="BQ99" s="21">
        <f>EXP(-LN(2)/25)*BQ98+(1-EXP(-LN(2)/25))/(LN(2)/25)*Calculateur!BL99*Calculateur!BN99*VLOOKUP('Données projet'!$B$11,Paramètres!$A$1:$I$89,3,0)*0.475*44/12</f>
        <v>46.854672391605369</v>
      </c>
      <c r="BR99" s="21">
        <f>EXP(-LN(2)/2)*BR98+(1-EXP(-LN(2)/2))/(LN(2)/2)*BL99*BO99*VLOOKUP('Données projet'!$B$11,Paramètres!$A$1:$I$89,3,0)*0.475*44/12</f>
        <v>6.4120096139238439E-10</v>
      </c>
      <c r="BS99" s="22">
        <f t="shared" si="63"/>
        <v>108.84050100711305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45.3960000000001</v>
      </c>
      <c r="D100" s="11">
        <f t="shared" si="86"/>
        <v>13.418155022123713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454.00400367955223</v>
      </c>
      <c r="H100" s="67">
        <f t="shared" si="56"/>
        <v>395.76798666353227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8.1391025641025667</v>
      </c>
      <c r="N100" s="13">
        <f>IF('Données projet'!$A$36&gt;35,N99+M100-V99,IF(A100&lt;'Données projet'!$A$36,$K$205^A100,IF(A100='Données projet'!$A$36,'Données projet'!$B$36,N99+M100-V99)))</f>
        <v>381.59102564102602</v>
      </c>
      <c r="O100" s="13">
        <f>N100*VLOOKUP('Données projet'!$B$9,Paramètres!$A$1:$I$89,3,0)*VLOOKUP('Données projet'!$B$9,Paramètres!$A$1:$I$89,5,0)</f>
        <v>178.58460000000019</v>
      </c>
      <c r="P100" s="13">
        <f t="shared" si="87"/>
        <v>45.007141207375291</v>
      </c>
      <c r="Q100" s="20">
        <f t="shared" si="107"/>
        <v>389.4222826028456</v>
      </c>
      <c r="R100" s="59">
        <f t="shared" si="55"/>
        <v>682.75561593617886</v>
      </c>
      <c r="S100" s="59">
        <f ca="1">AVERAGE(OFFSET($R$3,0,0,'Données projet'!$E$9+1,1))-AVERAGE(OFFSET($H$3,0,0,'Données projet'!$E$9+1,1))</f>
        <v>157.05226586109279</v>
      </c>
      <c r="T100" s="59">
        <f t="shared" si="88"/>
        <v>76.143582612540229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42.634986478136859</v>
      </c>
      <c r="AA100" s="21">
        <f>EXP(-LN(2)/25)*AA99+(1-EXP(-LN(2)/25))/(LN(2)/25)*Calculateur!V100*Calculateur!X100*VLOOKUP('Données projet'!$B$9,Paramètres!$A$1:$I$89,3,0)*0.475*44/12</f>
        <v>13.984197875205346</v>
      </c>
      <c r="AB100" s="21">
        <f>EXP(-LN(2)/2)*AB99+(1-EXP(-LN(2)/2))/(LN(2)/2)*V100*Y100*VLOOKUP('Données projet'!$B$9,Paramètres!$A$1:$I$89,3,0)*0.475*44/12</f>
        <v>0.18426056518642236</v>
      </c>
      <c r="AC100" s="22">
        <f t="shared" si="57"/>
        <v>56.803444918528626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-6.3550942286383367E-14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279.32192402750189</v>
      </c>
      <c r="AO100" s="59">
        <f t="shared" si="90"/>
        <v>371.43572414443611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98.658225188783391</v>
      </c>
      <c r="AV100" s="21">
        <f>EXP(-LN(2)/25)*AV99+(1-EXP(-LN(2)/25))/(LN(2)/25)*Calculateur!AQ100*Calculateur!AS100*VLOOKUP('Données projet'!$B$10,Paramètres!$A$1:$I$89,3,0)*0.475*44/12</f>
        <v>17.978356820000041</v>
      </c>
      <c r="AW100" s="21">
        <f>EXP(-LN(2)/2)*AW99+(1-EXP(-LN(2)/2))/(LN(2)/2)*AQ100*AT100*VLOOKUP('Données projet'!$B$10,Paramètres!$A$1:$I$89,3,0)*0.475*44/12</f>
        <v>1.6289379121834027E-5</v>
      </c>
      <c r="AX100" s="21">
        <f t="shared" si="60"/>
        <v>116.63659829816255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2.2737367544323206E-13</v>
      </c>
      <c r="BE100" s="13">
        <f>BD100*VLOOKUP('Données projet'!$B$11,Paramètres!$A$1:$I$89,3,0)*VLOOKUP('Données projet'!$B$11,Paramètres!$A$1:$I$89,5,0)</f>
        <v>1.064108801074326E-13</v>
      </c>
      <c r="BF100" s="13">
        <f t="shared" si="91"/>
        <v>1.5870730813698654E-12</v>
      </c>
      <c r="BG100" s="20">
        <f t="shared" si="61"/>
        <v>2.9494845662396269E-12</v>
      </c>
      <c r="BH100" s="59">
        <f t="shared" si="62"/>
        <v>293.33333333333627</v>
      </c>
      <c r="BI100" s="59">
        <f ca="1">AVERAGE(OFFSET($BH$3,0,0,'Données projet'!$E$11+1,1))-AVERAGE(OFFSET($H$3,0,0,'Données projet'!$E$11+1,1))</f>
        <v>297.07458564121606</v>
      </c>
      <c r="BJ100" s="59">
        <f t="shared" si="92"/>
        <v>514.93897725587567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60.770324323351211</v>
      </c>
      <c r="BQ100" s="21">
        <f>EXP(-LN(2)/25)*BQ99+(1-EXP(-LN(2)/25))/(LN(2)/25)*Calculateur!BL100*Calculateur!BN100*VLOOKUP('Données projet'!$B$11,Paramètres!$A$1:$I$89,3,0)*0.475*44/12</f>
        <v>45.573428911076789</v>
      </c>
      <c r="BR100" s="21">
        <f>EXP(-LN(2)/2)*BR99+(1-EXP(-LN(2)/2))/(LN(2)/2)*BL100*BO100*VLOOKUP('Données projet'!$B$11,Paramètres!$A$1:$I$89,3,0)*0.475*44/12</f>
        <v>4.5339754790388871E-10</v>
      </c>
      <c r="BS100" s="22">
        <f t="shared" si="63"/>
        <v>106.34375323488139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45.864000000000104</v>
      </c>
      <c r="D101" s="11">
        <f t="shared" si="86"/>
        <v>13.540311673175431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458.55959888065331</v>
      </c>
      <c r="H101" s="67">
        <f t="shared" si="56"/>
        <v>396.79584283078071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8.1391025641025667</v>
      </c>
      <c r="N101" s="13">
        <f>IF('Données projet'!$A$36&gt;35,N100+M101-V100,IF(A101&lt;'Données projet'!$A$36,$K$205^A101,IF(A101='Données projet'!$A$36,'Données projet'!$B$36,N100+M101-V100)))</f>
        <v>389.73012820512861</v>
      </c>
      <c r="O101" s="13">
        <f>N101*VLOOKUP('Données projet'!$B$9,Paramètres!$A$1:$I$89,3,0)*VLOOKUP('Données projet'!$B$9,Paramètres!$A$1:$I$89,5,0)</f>
        <v>182.39370000000019</v>
      </c>
      <c r="P101" s="13">
        <f t="shared" si="87"/>
        <v>45.854330163580819</v>
      </c>
      <c r="Q101" s="20">
        <f t="shared" si="107"/>
        <v>397.53198586823692</v>
      </c>
      <c r="R101" s="59">
        <f t="shared" si="55"/>
        <v>690.86531920157017</v>
      </c>
      <c r="S101" s="59">
        <f ca="1">AVERAGE(OFFSET($R$3,0,0,'Données projet'!$E$9+1,1))-AVERAGE(OFFSET($H$3,0,0,'Données projet'!$E$9+1,1))</f>
        <v>157.05226586109279</v>
      </c>
      <c r="T101" s="59">
        <f t="shared" si="88"/>
        <v>76.143582612540229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41.798940398074592</v>
      </c>
      <c r="AA101" s="21">
        <f>EXP(-LN(2)/25)*AA100+(1-EXP(-LN(2)/25))/(LN(2)/25)*Calculateur!V101*Calculateur!X101*VLOOKUP('Données projet'!$B$9,Paramètres!$A$1:$I$89,3,0)*0.475*44/12</f>
        <v>13.601799248910851</v>
      </c>
      <c r="AB101" s="21">
        <f>EXP(-LN(2)/2)*AB100+(1-EXP(-LN(2)/2))/(LN(2)/2)*V101*Y101*VLOOKUP('Données projet'!$B$9,Paramètres!$A$1:$I$89,3,0)*0.475*44/12</f>
        <v>0.13029189514858514</v>
      </c>
      <c r="AC101" s="22">
        <f t="shared" si="57"/>
        <v>55.531031542134031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-6.3550942286383367E-14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279.32192402750189</v>
      </c>
      <c r="AO101" s="59">
        <f t="shared" si="90"/>
        <v>371.43572414443611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96.723597568406873</v>
      </c>
      <c r="AV101" s="21">
        <f>EXP(-LN(2)/25)*AV100+(1-EXP(-LN(2)/25))/(LN(2)/25)*Calculateur!AQ101*Calculateur!AS101*VLOOKUP('Données projet'!$B$10,Paramètres!$A$1:$I$89,3,0)*0.475*44/12</f>
        <v>17.486737707316443</v>
      </c>
      <c r="AW101" s="21">
        <f>EXP(-LN(2)/2)*AW100+(1-EXP(-LN(2)/2))/(LN(2)/2)*AQ101*AT101*VLOOKUP('Données projet'!$B$10,Paramètres!$A$1:$I$89,3,0)*0.475*44/12</f>
        <v>1.1518330438367409E-5</v>
      </c>
      <c r="AX101" s="21">
        <f t="shared" si="60"/>
        <v>114.21034679405375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2.2737367544323206E-13</v>
      </c>
      <c r="BE101" s="13">
        <f>BD101*VLOOKUP('Données projet'!$B$11,Paramètres!$A$1:$I$89,3,0)*VLOOKUP('Données projet'!$B$11,Paramètres!$A$1:$I$89,5,0)</f>
        <v>1.064108801074326E-13</v>
      </c>
      <c r="BF101" s="13">
        <f t="shared" si="91"/>
        <v>1.5870730813698654E-12</v>
      </c>
      <c r="BG101" s="20">
        <f t="shared" si="61"/>
        <v>2.9494845662396269E-12</v>
      </c>
      <c r="BH101" s="59">
        <f t="shared" si="62"/>
        <v>293.33333333333627</v>
      </c>
      <c r="BI101" s="59">
        <f ca="1">AVERAGE(OFFSET($BH$3,0,0,'Données projet'!$E$11+1,1))-AVERAGE(OFFSET($H$3,0,0,'Données projet'!$E$11+1,1))</f>
        <v>297.07458564121606</v>
      </c>
      <c r="BJ101" s="59">
        <f t="shared" si="92"/>
        <v>514.93897725587567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59.578655329608146</v>
      </c>
      <c r="BQ101" s="21">
        <f>EXP(-LN(2)/25)*BQ100+(1-EXP(-LN(2)/25))/(LN(2)/25)*Calculateur!BL101*Calculateur!BN101*VLOOKUP('Données projet'!$B$11,Paramètres!$A$1:$I$89,3,0)*0.475*44/12</f>
        <v>44.327221100900928</v>
      </c>
      <c r="BR101" s="21">
        <f>EXP(-LN(2)/2)*BR100+(1-EXP(-LN(2)/2))/(LN(2)/2)*BL101*BO101*VLOOKUP('Données projet'!$B$11,Paramètres!$A$1:$I$89,3,0)*0.475*44/12</f>
        <v>3.2060048069619225E-10</v>
      </c>
      <c r="BS101" s="22">
        <f t="shared" si="63"/>
        <v>103.90587643082966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46.332000000000107</v>
      </c>
      <c r="D102" s="11">
        <f t="shared" si="86"/>
        <v>13.662323315513085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463.11407471624216</v>
      </c>
      <c r="H102" s="67">
        <f t="shared" si="56"/>
        <v>397.82344644118547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397.8692307692308</v>
      </c>
      <c r="L102" s="12">
        <f>VLOOKUP(A102,'Données projet'!$A$35:$I$55,9,0)</f>
        <v>8.1391025641025667</v>
      </c>
      <c r="M102" s="12">
        <f t="array" ref="M102">INDEX(L:L,MIN(IF(ISNUMBER(L102:L298),ROW(L102:L298),"")))</f>
        <v>8.1391025641025667</v>
      </c>
      <c r="N102" s="13">
        <f>IF('Données projet'!$A$36&gt;35,N101+M102-V101,IF(A102&lt;'Données projet'!$A$36,$K$205^A102,IF(A102='Données projet'!$A$36,'Données projet'!$B$36,N101+M102-V101)))</f>
        <v>397.86923076923119</v>
      </c>
      <c r="O102" s="13">
        <f>N102*VLOOKUP('Données projet'!$B$9,Paramètres!$A$1:$I$89,3,0)*VLOOKUP('Données projet'!$B$9,Paramètres!$A$1:$I$89,5,0)</f>
        <v>186.2028000000002</v>
      </c>
      <c r="P102" s="13">
        <f t="shared" si="87"/>
        <v>46.699462038644228</v>
      </c>
      <c r="Q102" s="20">
        <f t="shared" si="107"/>
        <v>405.6381063839724</v>
      </c>
      <c r="R102" s="59">
        <f t="shared" si="55"/>
        <v>698.97143971730566</v>
      </c>
      <c r="S102" s="59">
        <f ca="1">AVERAGE(OFFSET($R$3,0,0,'Données projet'!$E$9+1,1))-AVERAGE(OFFSET($H$3,0,0,'Données projet'!$E$9+1,1))</f>
        <v>157.05226586109279</v>
      </c>
      <c r="T102" s="59">
        <f t="shared" si="88"/>
        <v>76.143582612540229</v>
      </c>
      <c r="U102" s="15">
        <f>IF(ISNA(VLOOKUP(A102,'Données projet'!$A$35:$I$55,3,0)),0,VLOOKUP(A102,'Données projet'!$A$35:$I$55,3,0))</f>
        <v>5</v>
      </c>
      <c r="V102" s="15">
        <f>IF(ISNA(VLOOKUP(A102,'Données projet'!$A$35:$I$55,4,0)),0,VLOOKUP(A102,'Données projet'!$A$35:$I$55,4,0))</f>
        <v>198.32307692307691</v>
      </c>
      <c r="W102" s="16">
        <f>IF(ISNA(VLOOKUP(A102,'Données projet'!$A$35:$I$55,5,0)),0%,VLOOKUP(A102,'Données projet'!$A$35:$I$55,5,0)*VLOOKUP('Données projet'!$B$9,Paramètres!$A$1:$I$89,7,0))</f>
        <v>0.38500000000000001</v>
      </c>
      <c r="X102" s="16">
        <f>IF(ISNA(VLOOKUP(A102,'Données projet'!$A$35:$I$55,6,0)),0%,VLOOKUP(A102,'Données projet'!$A$35:$I$55,6,0)*VLOOKUP('Données projet'!$B$9,Paramètres!$A$1:$I$89,7,0))</f>
        <v>9.240000000000001E-2</v>
      </c>
      <c r="Y102" s="16">
        <f>IF(ISNA(VLOOKUP(A102,'Données projet'!$A$35:$I$55,7,0)),0%,VLOOKUP(A102,'Données projet'!$A$35:$I$55,7,0))</f>
        <v>0.13200000000000001</v>
      </c>
      <c r="Z102" s="21">
        <f>EXP(-LN(2)/35)*Z101+(1-EXP(-LN(2)/35))/(LN(2)/35)*V102*W102*VLOOKUP('Données projet'!$B$9,Paramètres!$A$1:$I$89,3,0)*0.475*44/12</f>
        <v>88.382546590841713</v>
      </c>
      <c r="AA102" s="21">
        <f>EXP(-LN(2)/25)*AA101+(1-EXP(-LN(2)/25))/(LN(2)/25)*Calculateur!V102*Calculateur!X102*VLOOKUP('Données projet'!$B$9,Paramètres!$A$1:$I$89,3,0)*0.475*44/12</f>
        <v>24.561844508518369</v>
      </c>
      <c r="AB102" s="21">
        <f>EXP(-LN(2)/2)*AB101+(1-EXP(-LN(2)/2))/(LN(2)/2)*V102*Y102*VLOOKUP('Données projet'!$B$9,Paramètres!$A$1:$I$89,3,0)*0.475*44/12</f>
        <v>13.963794745255166</v>
      </c>
      <c r="AC102" s="22">
        <f t="shared" si="57"/>
        <v>126.90818584461525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-6.3550942286383367E-14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279.32192402750189</v>
      </c>
      <c r="AO102" s="59">
        <f t="shared" si="90"/>
        <v>371.43572414443611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94.826906815659598</v>
      </c>
      <c r="AV102" s="21">
        <f>EXP(-LN(2)/25)*AV101+(1-EXP(-LN(2)/25))/(LN(2)/25)*Calculateur!AQ102*Calculateur!AS102*VLOOKUP('Données projet'!$B$10,Paramètres!$A$1:$I$89,3,0)*0.475*44/12</f>
        <v>17.008561945122306</v>
      </c>
      <c r="AW102" s="21">
        <f>EXP(-LN(2)/2)*AW101+(1-EXP(-LN(2)/2))/(LN(2)/2)*AQ102*AT102*VLOOKUP('Données projet'!$B$10,Paramètres!$A$1:$I$89,3,0)*0.475*44/12</f>
        <v>8.1446895609170135E-6</v>
      </c>
      <c r="AX102" s="21">
        <f t="shared" si="60"/>
        <v>111.83547690547147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2.2737367544323206E-13</v>
      </c>
      <c r="BE102" s="13">
        <f>BD102*VLOOKUP('Données projet'!$B$11,Paramètres!$A$1:$I$89,3,0)*VLOOKUP('Données projet'!$B$11,Paramètres!$A$1:$I$89,5,0)</f>
        <v>1.064108801074326E-13</v>
      </c>
      <c r="BF102" s="13">
        <f t="shared" si="91"/>
        <v>1.5870730813698654E-12</v>
      </c>
      <c r="BG102" s="20">
        <f t="shared" si="61"/>
        <v>2.9494845662396269E-12</v>
      </c>
      <c r="BH102" s="59">
        <f t="shared" si="62"/>
        <v>293.33333333333627</v>
      </c>
      <c r="BI102" s="59">
        <f ca="1">AVERAGE(OFFSET($BH$3,0,0,'Données projet'!$E$11+1,1))-AVERAGE(OFFSET($H$3,0,0,'Données projet'!$E$11+1,1))</f>
        <v>297.07458564121606</v>
      </c>
      <c r="BJ102" s="59">
        <f t="shared" si="92"/>
        <v>514.93897725587567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58.410354237986063</v>
      </c>
      <c r="BQ102" s="21">
        <f>EXP(-LN(2)/25)*BQ101+(1-EXP(-LN(2)/25))/(LN(2)/25)*Calculateur!BL102*Calculateur!BN102*VLOOKUP('Données projet'!$B$11,Paramètres!$A$1:$I$89,3,0)*0.475*44/12</f>
        <v>43.115090908829544</v>
      </c>
      <c r="BR102" s="21">
        <f>EXP(-LN(2)/2)*BR101+(1-EXP(-LN(2)/2))/(LN(2)/2)*BL102*BO102*VLOOKUP('Données projet'!$B$11,Paramètres!$A$1:$I$89,3,0)*0.475*44/12</f>
        <v>2.2669877395194438E-10</v>
      </c>
      <c r="BS102" s="22">
        <f t="shared" si="63"/>
        <v>101.5254451470423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46.800000000000111</v>
      </c>
      <c r="D103" s="11">
        <f t="shared" si="86"/>
        <v>13.784191583461164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467.66744380215727</v>
      </c>
      <c r="H103" s="67">
        <f t="shared" si="56"/>
        <v>398.85080034119505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5.6546153846153828</v>
      </c>
      <c r="N103" s="13">
        <f>IF('Données projet'!$A$36&gt;35,N102+M103-V102,IF(A103&lt;'Données projet'!$A$36,$K$205^A103,IF(A103='Données projet'!$A$36,'Données projet'!$B$36,N102+M103-V102)))</f>
        <v>205.20076923076968</v>
      </c>
      <c r="O103" s="13">
        <f>N103*VLOOKUP('Données projet'!$B$9,Paramètres!$A$1:$I$89,3,0)*VLOOKUP('Données projet'!$B$9,Paramètres!$A$1:$I$89,5,0)</f>
        <v>96.033960000000206</v>
      </c>
      <c r="P103" s="13">
        <f t="shared" si="87"/>
        <v>26.014929381475952</v>
      </c>
      <c r="Q103" s="20">
        <f t="shared" si="107"/>
        <v>212.56848233940431</v>
      </c>
      <c r="R103" s="59">
        <f t="shared" si="55"/>
        <v>505.9018156727376</v>
      </c>
      <c r="S103" s="59">
        <f ca="1">AVERAGE(OFFSET($R$3,0,0,'Données projet'!$E$9+1,1))-AVERAGE(OFFSET($H$3,0,0,'Données projet'!$E$9+1,1))</f>
        <v>157.05226586109279</v>
      </c>
      <c r="T103" s="59">
        <f t="shared" si="88"/>
        <v>76.143582612540229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86.649418760225757</v>
      </c>
      <c r="AA103" s="21">
        <f>EXP(-LN(2)/25)*AA102+(1-EXP(-LN(2)/25))/(LN(2)/25)*Calculateur!V103*Calculateur!X103*VLOOKUP('Données projet'!$B$9,Paramètres!$A$1:$I$89,3,0)*0.475*44/12</f>
        <v>23.890199578781669</v>
      </c>
      <c r="AB103" s="21">
        <f>EXP(-LN(2)/2)*AB102+(1-EXP(-LN(2)/2))/(LN(2)/2)*V103*Y103*VLOOKUP('Données projet'!$B$9,Paramètres!$A$1:$I$89,3,0)*0.475*44/12</f>
        <v>9.8738939554670075</v>
      </c>
      <c r="AC103" s="22">
        <f t="shared" si="57"/>
        <v>120.41351229447444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-6.3550942286383367E-14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279.32192402750189</v>
      </c>
      <c r="AO103" s="59">
        <f t="shared" si="90"/>
        <v>371.43572414443611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92.967409011706579</v>
      </c>
      <c r="AV103" s="21">
        <f>EXP(-LN(2)/25)*AV102+(1-EXP(-LN(2)/25))/(LN(2)/25)*Calculateur!AQ103*Calculateur!AS103*VLOOKUP('Données projet'!$B$10,Paramètres!$A$1:$I$89,3,0)*0.475*44/12</f>
        <v>16.543461924291538</v>
      </c>
      <c r="AW103" s="21">
        <f>EXP(-LN(2)/2)*AW102+(1-EXP(-LN(2)/2))/(LN(2)/2)*AQ103*AT103*VLOOKUP('Données projet'!$B$10,Paramètres!$A$1:$I$89,3,0)*0.475*44/12</f>
        <v>5.7591652191837045E-6</v>
      </c>
      <c r="AX103" s="21">
        <f t="shared" si="60"/>
        <v>109.51087669516333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2.2737367544323206E-13</v>
      </c>
      <c r="BE103" s="13">
        <f>BD103*VLOOKUP('Données projet'!$B$11,Paramètres!$A$1:$I$89,3,0)*VLOOKUP('Données projet'!$B$11,Paramètres!$A$1:$I$89,5,0)</f>
        <v>1.064108801074326E-13</v>
      </c>
      <c r="BF103" s="13">
        <f t="shared" si="91"/>
        <v>1.5870730813698654E-12</v>
      </c>
      <c r="BG103" s="20">
        <f t="shared" si="61"/>
        <v>2.9494845662396269E-12</v>
      </c>
      <c r="BH103" s="59">
        <f t="shared" si="62"/>
        <v>293.33333333333627</v>
      </c>
      <c r="BI103" s="59">
        <f ca="1">AVERAGE(OFFSET($BH$3,0,0,'Données projet'!$E$11+1,1))-AVERAGE(OFFSET($H$3,0,0,'Données projet'!$E$11+1,1))</f>
        <v>297.07458564121606</v>
      </c>
      <c r="BJ103" s="59">
        <f t="shared" si="92"/>
        <v>514.93897725587567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57.264962818177388</v>
      </c>
      <c r="BQ103" s="21">
        <f>EXP(-LN(2)/25)*BQ102+(1-EXP(-LN(2)/25))/(LN(2)/25)*Calculateur!BL103*Calculateur!BN103*VLOOKUP('Données projet'!$B$11,Paramètres!$A$1:$I$89,3,0)*0.475*44/12</f>
        <v>41.936106480603513</v>
      </c>
      <c r="BR103" s="21">
        <f>EXP(-LN(2)/2)*BR102+(1-EXP(-LN(2)/2))/(LN(2)/2)*BL103*BO103*VLOOKUP('Données projet'!$B$11,Paramètres!$A$1:$I$89,3,0)*0.475*44/12</f>
        <v>1.6030024034809615E-10</v>
      </c>
      <c r="BS103" s="22">
        <f t="shared" si="63"/>
        <v>99.201069298941206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47.268000000000114</v>
      </c>
      <c r="D104" s="11">
        <f t="shared" si="86"/>
        <v>13.905918076773704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472.21971848737684</v>
      </c>
      <c r="H104" s="67">
        <f t="shared" si="56"/>
        <v>399.87790731704769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5.6546153846153828</v>
      </c>
      <c r="N104" s="13">
        <f>IF('Données projet'!$A$36&gt;35,N103+M104-V103,IF(A104&lt;'Données projet'!$A$36,$K$205^A104,IF(A104='Données projet'!$A$36,'Données projet'!$B$36,N103+M104-V103)))</f>
        <v>210.85538461538505</v>
      </c>
      <c r="O104" s="13">
        <f>N104*VLOOKUP('Données projet'!$B$9,Paramètres!$A$1:$I$89,3,0)*VLOOKUP('Données projet'!$B$9,Paramètres!$A$1:$I$89,5,0)</f>
        <v>98.680320000000208</v>
      </c>
      <c r="P104" s="13">
        <f t="shared" si="87"/>
        <v>26.647359319385743</v>
      </c>
      <c r="Q104" s="20">
        <f t="shared" si="107"/>
        <v>218.27904148126387</v>
      </c>
      <c r="R104" s="59">
        <f t="shared" si="55"/>
        <v>511.61237481459716</v>
      </c>
      <c r="S104" s="59">
        <f ca="1">AVERAGE(OFFSET($R$3,0,0,'Données projet'!$E$9+1,1))-AVERAGE(OFFSET($H$3,0,0,'Données projet'!$E$9+1,1))</f>
        <v>157.05226586109279</v>
      </c>
      <c r="T104" s="59">
        <f t="shared" si="88"/>
        <v>76.143582612540229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84.950276509264583</v>
      </c>
      <c r="AA104" s="21">
        <f>EXP(-LN(2)/25)*AA103+(1-EXP(-LN(2)/25))/(LN(2)/25)*Calculateur!V104*Calculateur!X104*VLOOKUP('Données projet'!$B$9,Paramètres!$A$1:$I$89,3,0)*0.475*44/12</f>
        <v>23.23692081496889</v>
      </c>
      <c r="AB104" s="21">
        <f>EXP(-LN(2)/2)*AB103+(1-EXP(-LN(2)/2))/(LN(2)/2)*V104*Y104*VLOOKUP('Données projet'!$B$9,Paramètres!$A$1:$I$89,3,0)*0.475*44/12</f>
        <v>6.9818973726275839</v>
      </c>
      <c r="AC104" s="22">
        <f t="shared" si="57"/>
        <v>115.16909469686105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-6.3550942286383367E-14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279.32192402750189</v>
      </c>
      <c r="AO104" s="59">
        <f t="shared" si="90"/>
        <v>371.43572414443611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91.144374825507398</v>
      </c>
      <c r="AV104" s="21">
        <f>EXP(-LN(2)/25)*AV103+(1-EXP(-LN(2)/25))/(LN(2)/25)*Calculateur!AQ104*Calculateur!AS104*VLOOKUP('Données projet'!$B$10,Paramètres!$A$1:$I$89,3,0)*0.475*44/12</f>
        <v>16.091080087988935</v>
      </c>
      <c r="AW104" s="21">
        <f>EXP(-LN(2)/2)*AW103+(1-EXP(-LN(2)/2))/(LN(2)/2)*AQ104*AT104*VLOOKUP('Données projet'!$B$10,Paramètres!$A$1:$I$89,3,0)*0.475*44/12</f>
        <v>4.0723447804585067E-6</v>
      </c>
      <c r="AX104" s="21">
        <f t="shared" si="60"/>
        <v>107.23545898584112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2.2737367544323206E-13</v>
      </c>
      <c r="BE104" s="13">
        <f>BD104*VLOOKUP('Données projet'!$B$11,Paramètres!$A$1:$I$89,3,0)*VLOOKUP('Données projet'!$B$11,Paramètres!$A$1:$I$89,5,0)</f>
        <v>1.064108801074326E-13</v>
      </c>
      <c r="BF104" s="13">
        <f t="shared" si="91"/>
        <v>1.5870730813698654E-12</v>
      </c>
      <c r="BG104" s="20">
        <f t="shared" si="61"/>
        <v>2.9494845662396269E-12</v>
      </c>
      <c r="BH104" s="59">
        <f t="shared" si="62"/>
        <v>293.33333333333627</v>
      </c>
      <c r="BI104" s="59">
        <f ca="1">AVERAGE(OFFSET($BH$3,0,0,'Données projet'!$E$11+1,1))-AVERAGE(OFFSET($H$3,0,0,'Données projet'!$E$11+1,1))</f>
        <v>297.07458564121606</v>
      </c>
      <c r="BJ104" s="59">
        <f t="shared" si="92"/>
        <v>514.93897725587567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56.142031825491379</v>
      </c>
      <c r="BQ104" s="21">
        <f>EXP(-LN(2)/25)*BQ103+(1-EXP(-LN(2)/25))/(LN(2)/25)*Calculateur!BL104*Calculateur!BN104*VLOOKUP('Données projet'!$B$11,Paramètres!$A$1:$I$89,3,0)*0.475*44/12</f>
        <v>40.789361443567415</v>
      </c>
      <c r="BR104" s="21">
        <f>EXP(-LN(2)/2)*BR103+(1-EXP(-LN(2)/2))/(LN(2)/2)*BL104*BO104*VLOOKUP('Données projet'!$B$11,Paramètres!$A$1:$I$89,3,0)*0.475*44/12</f>
        <v>1.133493869759722E-10</v>
      </c>
      <c r="BS104" s="22">
        <f t="shared" si="63"/>
        <v>96.931393269172133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47.736000000000118</v>
      </c>
      <c r="D105" s="11">
        <f t="shared" si="86"/>
        <v>14.027504361700455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476.77091086225005</v>
      </c>
      <c r="H105" s="67">
        <f t="shared" si="56"/>
        <v>400.90477009662845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5.6546153846153828</v>
      </c>
      <c r="N105" s="13">
        <f>IF('Données projet'!$A$36&gt;35,N104+M105-V104,IF(A105&lt;'Données projet'!$A$36,$K$205^A105,IF(A105='Données projet'!$A$36,'Données projet'!$B$36,N104+M105-V104)))</f>
        <v>216.51000000000045</v>
      </c>
      <c r="O105" s="13">
        <f>N105*VLOOKUP('Données projet'!$B$9,Paramètres!$A$1:$I$89,3,0)*VLOOKUP('Données projet'!$B$9,Paramètres!$A$1:$I$89,5,0)</f>
        <v>101.32668000000021</v>
      </c>
      <c r="P105" s="13">
        <f t="shared" si="87"/>
        <v>27.277817919146429</v>
      </c>
      <c r="Q105" s="20">
        <f t="shared" si="107"/>
        <v>223.98616720918039</v>
      </c>
      <c r="R105" s="59">
        <f t="shared" si="55"/>
        <v>517.31950054251365</v>
      </c>
      <c r="S105" s="59">
        <f ca="1">AVERAGE(OFFSET($R$3,0,0,'Données projet'!$E$9+1,1))-AVERAGE(OFFSET($H$3,0,0,'Données projet'!$E$9+1,1))</f>
        <v>157.05226586109279</v>
      </c>
      <c r="T105" s="59">
        <f t="shared" si="88"/>
        <v>76.143582612540229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83.284453401470316</v>
      </c>
      <c r="AA105" s="21">
        <f>EXP(-LN(2)/25)*AA104+(1-EXP(-LN(2)/25))/(LN(2)/25)*Calculateur!V105*Calculateur!X105*VLOOKUP('Données projet'!$B$9,Paramètres!$A$1:$I$89,3,0)*0.475*44/12</f>
        <v>22.601505993307008</v>
      </c>
      <c r="AB105" s="21">
        <f>EXP(-LN(2)/2)*AB104+(1-EXP(-LN(2)/2))/(LN(2)/2)*V105*Y105*VLOOKUP('Données projet'!$B$9,Paramètres!$A$1:$I$89,3,0)*0.475*44/12</f>
        <v>4.9369469777335047</v>
      </c>
      <c r="AC105" s="22">
        <f t="shared" si="57"/>
        <v>110.82290637251083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-6.3550942286383367E-14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279.32192402750189</v>
      </c>
      <c r="AO105" s="59">
        <f t="shared" si="90"/>
        <v>371.43572414443611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89.357089227758536</v>
      </c>
      <c r="AV105" s="21">
        <f>EXP(-LN(2)/25)*AV104+(1-EXP(-LN(2)/25))/(LN(2)/25)*Calculateur!AQ105*Calculateur!AS105*VLOOKUP('Données projet'!$B$10,Paramètres!$A$1:$I$89,3,0)*0.475*44/12</f>
        <v>15.651068656789752</v>
      </c>
      <c r="AW105" s="21">
        <f>EXP(-LN(2)/2)*AW104+(1-EXP(-LN(2)/2))/(LN(2)/2)*AQ105*AT105*VLOOKUP('Données projet'!$B$10,Paramètres!$A$1:$I$89,3,0)*0.475*44/12</f>
        <v>2.8795826095918523E-6</v>
      </c>
      <c r="AX105" s="21">
        <f t="shared" si="60"/>
        <v>105.00816076413089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2.2737367544323206E-13</v>
      </c>
      <c r="BE105" s="13">
        <f>BD105*VLOOKUP('Données projet'!$B$11,Paramètres!$A$1:$I$89,3,0)*VLOOKUP('Données projet'!$B$11,Paramètres!$A$1:$I$89,5,0)</f>
        <v>1.064108801074326E-13</v>
      </c>
      <c r="BF105" s="13">
        <f t="shared" si="91"/>
        <v>1.5870730813698654E-12</v>
      </c>
      <c r="BG105" s="20">
        <f t="shared" si="61"/>
        <v>2.9494845662396269E-12</v>
      </c>
      <c r="BH105" s="59">
        <f t="shared" si="62"/>
        <v>293.33333333333627</v>
      </c>
      <c r="BI105" s="59">
        <f ca="1">AVERAGE(OFFSET($BH$3,0,0,'Données projet'!$E$11+1,1))-AVERAGE(OFFSET($H$3,0,0,'Données projet'!$E$11+1,1))</f>
        <v>297.07458564121606</v>
      </c>
      <c r="BJ105" s="59">
        <f t="shared" si="92"/>
        <v>514.93897725587567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55.041120824651664</v>
      </c>
      <c r="BQ105" s="21">
        <f>EXP(-LN(2)/25)*BQ104+(1-EXP(-LN(2)/25))/(LN(2)/25)*Calculateur!BL105*Calculateur!BN105*VLOOKUP('Données projet'!$B$11,Paramètres!$A$1:$I$89,3,0)*0.475*44/12</f>
        <v>39.673974209873769</v>
      </c>
      <c r="BR105" s="21">
        <f>EXP(-LN(2)/2)*BR104+(1-EXP(-LN(2)/2))/(LN(2)/2)*BL105*BO105*VLOOKUP('Données projet'!$B$11,Paramètres!$A$1:$I$89,3,0)*0.475*44/12</f>
        <v>8.0150120174048088E-11</v>
      </c>
      <c r="BS105" s="22">
        <f t="shared" si="63"/>
        <v>94.715095034605582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48.204000000000121</v>
      </c>
      <c r="D106" s="11">
        <f t="shared" si="86"/>
        <v>14.148951972010016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481.32103276639413</v>
      </c>
      <c r="H106" s="67">
        <f t="shared" si="56"/>
        <v>401.93139135125097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5.6546153846153828</v>
      </c>
      <c r="N106" s="13">
        <f>IF('Données projet'!$A$36&gt;35,N105+M106-V105,IF(A106&lt;'Données projet'!$A$36,$K$205^A106,IF(A106='Données projet'!$A$36,'Données projet'!$B$36,N105+M106-V105)))</f>
        <v>222.16461538461584</v>
      </c>
      <c r="O106" s="13">
        <f>N106*VLOOKUP('Données projet'!$B$9,Paramètres!$A$1:$I$89,3,0)*VLOOKUP('Données projet'!$B$9,Paramètres!$A$1:$I$89,5,0)</f>
        <v>103.97304000000021</v>
      </c>
      <c r="P106" s="13">
        <f t="shared" si="87"/>
        <v>27.906362585271903</v>
      </c>
      <c r="Q106" s="20">
        <f t="shared" si="107"/>
        <v>229.68995950268229</v>
      </c>
      <c r="R106" s="59">
        <f t="shared" si="55"/>
        <v>523.02329283601557</v>
      </c>
      <c r="S106" s="59">
        <f ca="1">AVERAGE(OFFSET($R$3,0,0,'Données projet'!$E$9+1,1))-AVERAGE(OFFSET($H$3,0,0,'Données projet'!$E$9+1,1))</f>
        <v>157.05226586109279</v>
      </c>
      <c r="T106" s="59">
        <f t="shared" si="88"/>
        <v>76.143582612540229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81.651296068768119</v>
      </c>
      <c r="AA106" s="21">
        <f>EXP(-LN(2)/25)*AA105+(1-EXP(-LN(2)/25))/(LN(2)/25)*Calculateur!V106*Calculateur!X106*VLOOKUP('Données projet'!$B$9,Paramètres!$A$1:$I$89,3,0)*0.475*44/12</f>
        <v>21.983466623358485</v>
      </c>
      <c r="AB106" s="21">
        <f>EXP(-LN(2)/2)*AB105+(1-EXP(-LN(2)/2))/(LN(2)/2)*V106*Y106*VLOOKUP('Données projet'!$B$9,Paramètres!$A$1:$I$89,3,0)*0.475*44/12</f>
        <v>3.4909486863137928</v>
      </c>
      <c r="AC106" s="22">
        <f t="shared" si="57"/>
        <v>107.1257113784404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-6.3550942286383367E-14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279.32192402750189</v>
      </c>
      <c r="AO106" s="59">
        <f t="shared" si="90"/>
        <v>371.43572414443611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87.604851210444949</v>
      </c>
      <c r="AV106" s="21">
        <f>EXP(-LN(2)/25)*AV105+(1-EXP(-LN(2)/25))/(LN(2)/25)*Calculateur!AQ106*Calculateur!AS106*VLOOKUP('Données projet'!$B$10,Paramètres!$A$1:$I$89,3,0)*0.475*44/12</f>
        <v>15.223089361315907</v>
      </c>
      <c r="AW106" s="21">
        <f>EXP(-LN(2)/2)*AW105+(1-EXP(-LN(2)/2))/(LN(2)/2)*AQ106*AT106*VLOOKUP('Données projet'!$B$10,Paramètres!$A$1:$I$89,3,0)*0.475*44/12</f>
        <v>2.0361723902292534E-6</v>
      </c>
      <c r="AX106" s="21">
        <f t="shared" si="60"/>
        <v>102.82794260793324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2.2737367544323206E-13</v>
      </c>
      <c r="BE106" s="13">
        <f>BD106*VLOOKUP('Données projet'!$B$11,Paramètres!$A$1:$I$89,3,0)*VLOOKUP('Données projet'!$B$11,Paramètres!$A$1:$I$89,5,0)</f>
        <v>1.064108801074326E-13</v>
      </c>
      <c r="BF106" s="13">
        <f t="shared" si="91"/>
        <v>1.5870730813698654E-12</v>
      </c>
      <c r="BG106" s="20">
        <f t="shared" si="61"/>
        <v>2.9494845662396269E-12</v>
      </c>
      <c r="BH106" s="59">
        <f t="shared" si="62"/>
        <v>293.33333333333627</v>
      </c>
      <c r="BI106" s="59">
        <f ca="1">AVERAGE(OFFSET($BH$3,0,0,'Données projet'!$E$11+1,1))-AVERAGE(OFFSET($H$3,0,0,'Données projet'!$E$11+1,1))</f>
        <v>297.07458564121606</v>
      </c>
      <c r="BJ106" s="59">
        <f t="shared" si="92"/>
        <v>514.93897725587567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53.961798017049013</v>
      </c>
      <c r="BQ106" s="21">
        <f>EXP(-LN(2)/25)*BQ105+(1-EXP(-LN(2)/25))/(LN(2)/25)*Calculateur!BL106*Calculateur!BN106*VLOOKUP('Données projet'!$B$11,Paramètres!$A$1:$I$89,3,0)*0.475*44/12</f>
        <v>38.589087298741141</v>
      </c>
      <c r="BR106" s="21">
        <f>EXP(-LN(2)/2)*BR105+(1-EXP(-LN(2)/2))/(LN(2)/2)*BL106*BO106*VLOOKUP('Données projet'!$B$11,Paramètres!$A$1:$I$89,3,0)*0.475*44/12</f>
        <v>5.6674693487986114E-11</v>
      </c>
      <c r="BS106" s="22">
        <f t="shared" si="63"/>
        <v>92.550885315846827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48.672000000000125</v>
      </c>
      <c r="D107" s="11">
        <f t="shared" si="86"/>
        <v>14.270262409972092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485.87009579627687</v>
      </c>
      <c r="H107" s="67">
        <f t="shared" si="56"/>
        <v>402.95777369736822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5.6546153846153828</v>
      </c>
      <c r="N107" s="13">
        <f>IF('Données projet'!$A$36&gt;35,N106+M107-V106,IF(A107&lt;'Données projet'!$A$36,$K$205^A107,IF(A107='Données projet'!$A$36,'Données projet'!$B$36,N106+M107-V106)))</f>
        <v>227.81923076923124</v>
      </c>
      <c r="O107" s="13">
        <f>N107*VLOOKUP('Données projet'!$B$9,Paramètres!$A$1:$I$89,3,0)*VLOOKUP('Données projet'!$B$9,Paramètres!$A$1:$I$89,5,0)</f>
        <v>106.61940000000021</v>
      </c>
      <c r="P107" s="13">
        <f t="shared" si="87"/>
        <v>28.533047633614832</v>
      </c>
      <c r="Q107" s="20">
        <f t="shared" si="107"/>
        <v>235.39051296187952</v>
      </c>
      <c r="R107" s="59">
        <f t="shared" si="55"/>
        <v>528.72384629521287</v>
      </c>
      <c r="S107" s="59">
        <f ca="1">AVERAGE(OFFSET($R$3,0,0,'Données projet'!$E$9+1,1))-AVERAGE(OFFSET($H$3,0,0,'Données projet'!$E$9+1,1))</f>
        <v>157.05226586109279</v>
      </c>
      <c r="T107" s="59">
        <f t="shared" si="88"/>
        <v>76.143582612540229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80.050163955232605</v>
      </c>
      <c r="AA107" s="21">
        <f>EXP(-LN(2)/25)*AA106+(1-EXP(-LN(2)/25))/(LN(2)/25)*Calculateur!V107*Calculateur!X107*VLOOKUP('Données projet'!$B$9,Paramètres!$A$1:$I$89,3,0)*0.475*44/12</f>
        <v>21.382327572482481</v>
      </c>
      <c r="AB107" s="21">
        <f>EXP(-LN(2)/2)*AB106+(1-EXP(-LN(2)/2))/(LN(2)/2)*V107*Y107*VLOOKUP('Données projet'!$B$9,Paramètres!$A$1:$I$89,3,0)*0.475*44/12</f>
        <v>2.4684734888667528</v>
      </c>
      <c r="AC107" s="22">
        <f t="shared" si="57"/>
        <v>103.90096501658184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-6.3550942286383367E-14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279.32192402750189</v>
      </c>
      <c r="AO107" s="59">
        <f t="shared" si="90"/>
        <v>371.43572414443611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85.886973511891227</v>
      </c>
      <c r="AV107" s="21">
        <f>EXP(-LN(2)/25)*AV106+(1-EXP(-LN(2)/25))/(LN(2)/25)*Calculateur!AQ107*Calculateur!AS107*VLOOKUP('Données projet'!$B$10,Paramètres!$A$1:$I$89,3,0)*0.475*44/12</f>
        <v>14.806813182183246</v>
      </c>
      <c r="AW107" s="21">
        <f>EXP(-LN(2)/2)*AW106+(1-EXP(-LN(2)/2))/(LN(2)/2)*AQ107*AT107*VLOOKUP('Données projet'!$B$10,Paramètres!$A$1:$I$89,3,0)*0.475*44/12</f>
        <v>1.4397913047959261E-6</v>
      </c>
      <c r="AX107" s="21">
        <f t="shared" si="60"/>
        <v>100.69378813386578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2.2737367544323206E-13</v>
      </c>
      <c r="BE107" s="13">
        <f>BD107*VLOOKUP('Données projet'!$B$11,Paramètres!$A$1:$I$89,3,0)*VLOOKUP('Données projet'!$B$11,Paramètres!$A$1:$I$89,5,0)</f>
        <v>1.064108801074326E-13</v>
      </c>
      <c r="BF107" s="13">
        <f t="shared" si="91"/>
        <v>1.5870730813698654E-12</v>
      </c>
      <c r="BG107" s="20">
        <f t="shared" si="61"/>
        <v>2.9494845662396269E-12</v>
      </c>
      <c r="BH107" s="59">
        <f t="shared" si="62"/>
        <v>293.33333333333627</v>
      </c>
      <c r="BI107" s="59">
        <f ca="1">AVERAGE(OFFSET($BH$3,0,0,'Données projet'!$E$11+1,1))-AVERAGE(OFFSET($H$3,0,0,'Données projet'!$E$11+1,1))</f>
        <v>297.07458564121606</v>
      </c>
      <c r="BJ107" s="59">
        <f t="shared" si="92"/>
        <v>514.93897725587567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52.903640071381538</v>
      </c>
      <c r="BQ107" s="21">
        <f>EXP(-LN(2)/25)*BQ106+(1-EXP(-LN(2)/25))/(LN(2)/25)*Calculateur!BL107*Calculateur!BN107*VLOOKUP('Données projet'!$B$11,Paramètres!$A$1:$I$89,3,0)*0.475*44/12</f>
        <v>37.533866677245157</v>
      </c>
      <c r="BR107" s="21">
        <f>EXP(-LN(2)/2)*BR106+(1-EXP(-LN(2)/2))/(LN(2)/2)*BL107*BO107*VLOOKUP('Données projet'!$B$11,Paramètres!$A$1:$I$89,3,0)*0.475*44/12</f>
        <v>4.007506008702405E-11</v>
      </c>
      <c r="BS107" s="22">
        <f t="shared" si="63"/>
        <v>90.437506748666777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49.140000000000128</v>
      </c>
      <c r="D108" s="11">
        <f t="shared" si="86"/>
        <v>14.3914371473009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490.41811131249915</v>
      </c>
      <c r="H108" s="67">
        <f t="shared" si="56"/>
        <v>403.98391969821591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5.6546153846153828</v>
      </c>
      <c r="N108" s="13">
        <f>IF('Données projet'!$A$36&gt;35,N107+M108-V107,IF(A108&lt;'Données projet'!$A$36,$K$205^A108,IF(A108='Données projet'!$A$36,'Données projet'!$B$36,N107+M108-V107)))</f>
        <v>233.47384615384664</v>
      </c>
      <c r="O108" s="13">
        <f>N108*VLOOKUP('Données projet'!$B$9,Paramètres!$A$1:$I$89,3,0)*VLOOKUP('Données projet'!$B$9,Paramètres!$A$1:$I$89,5,0)</f>
        <v>109.26576000000023</v>
      </c>
      <c r="P108" s="13">
        <f t="shared" si="87"/>
        <v>29.15792453003198</v>
      </c>
      <c r="Q108" s="20">
        <f t="shared" si="107"/>
        <v>241.08791722313939</v>
      </c>
      <c r="R108" s="59">
        <f t="shared" si="55"/>
        <v>534.42125055647273</v>
      </c>
      <c r="S108" s="59">
        <f ca="1">AVERAGE(OFFSET($R$3,0,0,'Données projet'!$E$9+1,1))-AVERAGE(OFFSET($H$3,0,0,'Données projet'!$E$9+1,1))</f>
        <v>157.05226586109279</v>
      </c>
      <c r="T108" s="59">
        <f t="shared" si="88"/>
        <v>76.143582612540229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78.480429065849364</v>
      </c>
      <c r="AA108" s="21">
        <f>EXP(-LN(2)/25)*AA107+(1-EXP(-LN(2)/25))/(LN(2)/25)*Calculateur!V108*Calculateur!X108*VLOOKUP('Données projet'!$B$9,Paramètres!$A$1:$I$89,3,0)*0.475*44/12</f>
        <v>20.79762670056521</v>
      </c>
      <c r="AB108" s="21">
        <f>EXP(-LN(2)/2)*AB107+(1-EXP(-LN(2)/2))/(LN(2)/2)*V108*Y108*VLOOKUP('Données projet'!$B$9,Paramètres!$A$1:$I$89,3,0)*0.475*44/12</f>
        <v>1.7454743431568966</v>
      </c>
      <c r="AC108" s="22">
        <f t="shared" si="57"/>
        <v>101.02353010957148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-6.3550942286383367E-14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279.32192402750189</v>
      </c>
      <c r="AO108" s="59">
        <f t="shared" si="90"/>
        <v>371.43572414443611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84.202782347204206</v>
      </c>
      <c r="AV108" s="21">
        <f>EXP(-LN(2)/25)*AV107+(1-EXP(-LN(2)/25))/(LN(2)/25)*Calculateur!AQ108*Calculateur!AS108*VLOOKUP('Données projet'!$B$10,Paramètres!$A$1:$I$89,3,0)*0.475*44/12</f>
        <v>14.401920097059982</v>
      </c>
      <c r="AW108" s="21">
        <f>EXP(-LN(2)/2)*AW107+(1-EXP(-LN(2)/2))/(LN(2)/2)*AQ108*AT108*VLOOKUP('Données projet'!$B$10,Paramètres!$A$1:$I$89,3,0)*0.475*44/12</f>
        <v>1.0180861951146267E-6</v>
      </c>
      <c r="AX108" s="21">
        <f t="shared" si="60"/>
        <v>98.604703462350386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2.2737367544323206E-13</v>
      </c>
      <c r="BE108" s="13">
        <f>BD108*VLOOKUP('Données projet'!$B$11,Paramètres!$A$1:$I$89,3,0)*VLOOKUP('Données projet'!$B$11,Paramètres!$A$1:$I$89,5,0)</f>
        <v>1.064108801074326E-13</v>
      </c>
      <c r="BF108" s="13">
        <f t="shared" si="91"/>
        <v>1.5870730813698654E-12</v>
      </c>
      <c r="BG108" s="20">
        <f t="shared" si="61"/>
        <v>2.9494845662396269E-12</v>
      </c>
      <c r="BH108" s="59">
        <f t="shared" si="62"/>
        <v>293.33333333333627</v>
      </c>
      <c r="BI108" s="59">
        <f ca="1">AVERAGE(OFFSET($BH$3,0,0,'Données projet'!$E$11+1,1))-AVERAGE(OFFSET($H$3,0,0,'Données projet'!$E$11+1,1))</f>
        <v>297.07458564121606</v>
      </c>
      <c r="BJ108" s="59">
        <f t="shared" si="92"/>
        <v>514.93897725587567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51.866231957615987</v>
      </c>
      <c r="BQ108" s="21">
        <f>EXP(-LN(2)/25)*BQ107+(1-EXP(-LN(2)/25))/(LN(2)/25)*Calculateur!BL108*Calculateur!BN108*VLOOKUP('Données projet'!$B$11,Paramètres!$A$1:$I$89,3,0)*0.475*44/12</f>
        <v>36.507501119135625</v>
      </c>
      <c r="BR108" s="21">
        <f>EXP(-LN(2)/2)*BR107+(1-EXP(-LN(2)/2))/(LN(2)/2)*BL108*BO108*VLOOKUP('Données projet'!$B$11,Paramètres!$A$1:$I$89,3,0)*0.475*44/12</f>
        <v>2.833734674399306E-11</v>
      </c>
      <c r="BS108" s="22">
        <f t="shared" si="63"/>
        <v>88.373733076779956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49.608000000000132</v>
      </c>
      <c r="D109" s="11">
        <f t="shared" si="86"/>
        <v>14.512477626061624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494.96509044679243</v>
      </c>
      <c r="H109" s="67">
        <f t="shared" si="56"/>
        <v>405.00983186539088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5.6546153846153828</v>
      </c>
      <c r="N109" s="13">
        <f>IF('Données projet'!$A$36&gt;35,N108+M109-V108,IF(A109&lt;'Données projet'!$A$36,$K$205^A109,IF(A109='Données projet'!$A$36,'Données projet'!$B$36,N108+M109-V108)))</f>
        <v>239.12846153846203</v>
      </c>
      <c r="O109" s="13">
        <f>N109*VLOOKUP('Données projet'!$B$9,Paramètres!$A$1:$I$89,3,0)*VLOOKUP('Données projet'!$B$9,Paramètres!$A$1:$I$89,5,0)</f>
        <v>111.91212000000023</v>
      </c>
      <c r="P109" s="13">
        <f t="shared" si="87"/>
        <v>29.781042105276512</v>
      </c>
      <c r="Q109" s="20">
        <f t="shared" si="107"/>
        <v>246.78225733335694</v>
      </c>
      <c r="R109" s="59">
        <f t="shared" si="55"/>
        <v>540.1155906666902</v>
      </c>
      <c r="S109" s="59">
        <f ca="1">AVERAGE(OFFSET($R$3,0,0,'Données projet'!$E$9+1,1))-AVERAGE(OFFSET($H$3,0,0,'Données projet'!$E$9+1,1))</f>
        <v>157.05226586109279</v>
      </c>
      <c r="T109" s="59">
        <f t="shared" si="88"/>
        <v>76.143582612540229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76.941475720203186</v>
      </c>
      <c r="AA109" s="21">
        <f>EXP(-LN(2)/25)*AA108+(1-EXP(-LN(2)/25))/(LN(2)/25)*Calculateur!V109*Calculateur!X109*VLOOKUP('Données projet'!$B$9,Paramètres!$A$1:$I$89,3,0)*0.475*44/12</f>
        <v>20.228914504738601</v>
      </c>
      <c r="AB109" s="21">
        <f>EXP(-LN(2)/2)*AB108+(1-EXP(-LN(2)/2))/(LN(2)/2)*V109*Y109*VLOOKUP('Données projet'!$B$9,Paramètres!$A$1:$I$89,3,0)*0.475*44/12</f>
        <v>1.2342367444333766</v>
      </c>
      <c r="AC109" s="22">
        <f t="shared" si="57"/>
        <v>98.404626969375158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-6.3550942286383367E-14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279.32192402750189</v>
      </c>
      <c r="AO109" s="59">
        <f t="shared" si="90"/>
        <v>371.43572414443611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82.551617144001526</v>
      </c>
      <c r="AV109" s="21">
        <f>EXP(-LN(2)/25)*AV108+(1-EXP(-LN(2)/25))/(LN(2)/25)*Calculateur!AQ109*Calculateur!AS109*VLOOKUP('Données projet'!$B$10,Paramètres!$A$1:$I$89,3,0)*0.475*44/12</f>
        <v>14.008098834641816</v>
      </c>
      <c r="AW109" s="21">
        <f>EXP(-LN(2)/2)*AW108+(1-EXP(-LN(2)/2))/(LN(2)/2)*AQ109*AT109*VLOOKUP('Données projet'!$B$10,Paramètres!$A$1:$I$89,3,0)*0.475*44/12</f>
        <v>7.1989565239796306E-7</v>
      </c>
      <c r="AX109" s="21">
        <f t="shared" si="60"/>
        <v>96.559716698538992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2.2737367544323206E-13</v>
      </c>
      <c r="BE109" s="13">
        <f>BD109*VLOOKUP('Données projet'!$B$11,Paramètres!$A$1:$I$89,3,0)*VLOOKUP('Données projet'!$B$11,Paramètres!$A$1:$I$89,5,0)</f>
        <v>1.064108801074326E-13</v>
      </c>
      <c r="BF109" s="13">
        <f t="shared" si="91"/>
        <v>1.5870730813698654E-12</v>
      </c>
      <c r="BG109" s="20">
        <f t="shared" si="61"/>
        <v>2.9494845662396269E-12</v>
      </c>
      <c r="BH109" s="59">
        <f t="shared" si="62"/>
        <v>293.33333333333627</v>
      </c>
      <c r="BI109" s="59">
        <f ca="1">AVERAGE(OFFSET($BH$3,0,0,'Données projet'!$E$11+1,1))-AVERAGE(OFFSET($H$3,0,0,'Données projet'!$E$11+1,1))</f>
        <v>297.07458564121606</v>
      </c>
      <c r="BJ109" s="59">
        <f t="shared" si="92"/>
        <v>514.93897725587567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50.849166784204911</v>
      </c>
      <c r="BQ109" s="21">
        <f>EXP(-LN(2)/25)*BQ108+(1-EXP(-LN(2)/25))/(LN(2)/25)*Calculateur!BL109*Calculateur!BN109*VLOOKUP('Données projet'!$B$11,Paramètres!$A$1:$I$89,3,0)*0.475*44/12</f>
        <v>35.509201581186815</v>
      </c>
      <c r="BR109" s="21">
        <f>EXP(-LN(2)/2)*BR108+(1-EXP(-LN(2)/2))/(LN(2)/2)*BL109*BO109*VLOOKUP('Données projet'!$B$11,Paramètres!$A$1:$I$89,3,0)*0.475*44/12</f>
        <v>2.0037530043512028E-11</v>
      </c>
      <c r="BS109" s="22">
        <f t="shared" si="63"/>
        <v>86.358368365411764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50.076000000000136</v>
      </c>
      <c r="D110" s="11">
        <f t="shared" si="86"/>
        <v>14.633385259541638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499.51104410874353</v>
      </c>
      <c r="H110" s="67">
        <f t="shared" si="56"/>
        <v>406.03551266036857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5.6546153846153828</v>
      </c>
      <c r="N110" s="13">
        <f>IF('Données projet'!$A$36&gt;35,N109+M110-V109,IF(A110&lt;'Données projet'!$A$36,$K$205^A110,IF(A110='Données projet'!$A$36,'Données projet'!$B$36,N109+M110-V109)))</f>
        <v>244.78307692307743</v>
      </c>
      <c r="O110" s="13">
        <f>N110*VLOOKUP('Données projet'!$B$9,Paramètres!$A$1:$I$89,3,0)*VLOOKUP('Données projet'!$B$9,Paramètres!$A$1:$I$89,5,0)</f>
        <v>114.55848000000023</v>
      </c>
      <c r="P110" s="13">
        <f t="shared" si="87"/>
        <v>30.402446748991956</v>
      </c>
      <c r="Q110" s="20">
        <f t="shared" si="107"/>
        <v>252.47361408782808</v>
      </c>
      <c r="R110" s="59">
        <f t="shared" si="55"/>
        <v>545.80694742116134</v>
      </c>
      <c r="S110" s="59">
        <f ca="1">AVERAGE(OFFSET($R$3,0,0,'Données projet'!$E$9+1,1))-AVERAGE(OFFSET($H$3,0,0,'Données projet'!$E$9+1,1))</f>
        <v>157.05226586109279</v>
      </c>
      <c r="T110" s="59">
        <f t="shared" si="88"/>
        <v>76.143582612540229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75.432700310996267</v>
      </c>
      <c r="AA110" s="21">
        <f>EXP(-LN(2)/25)*AA109+(1-EXP(-LN(2)/25))/(LN(2)/25)*Calculateur!V110*Calculateur!X110*VLOOKUP('Données projet'!$B$9,Paramètres!$A$1:$I$89,3,0)*0.475*44/12</f>
        <v>19.675753773814144</v>
      </c>
      <c r="AB110" s="21">
        <f>EXP(-LN(2)/2)*AB109+(1-EXP(-LN(2)/2))/(LN(2)/2)*V110*Y110*VLOOKUP('Données projet'!$B$9,Paramètres!$A$1:$I$89,3,0)*0.475*44/12</f>
        <v>0.87273717157844843</v>
      </c>
      <c r="AC110" s="22">
        <f t="shared" si="57"/>
        <v>95.981191256388854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-6.3550942286383367E-14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279.32192402750189</v>
      </c>
      <c r="AO110" s="59">
        <f t="shared" si="90"/>
        <v>371.43572414443611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80.932830283322318</v>
      </c>
      <c r="AV110" s="21">
        <f>EXP(-LN(2)/25)*AV109+(1-EXP(-LN(2)/25))/(LN(2)/25)*Calculateur!AQ110*Calculateur!AS110*VLOOKUP('Données projet'!$B$10,Paramètres!$A$1:$I$89,3,0)*0.475*44/12</f>
        <v>13.625046635354634</v>
      </c>
      <c r="AW110" s="21">
        <f>EXP(-LN(2)/2)*AW109+(1-EXP(-LN(2)/2))/(LN(2)/2)*AQ110*AT110*VLOOKUP('Données projet'!$B$10,Paramètres!$A$1:$I$89,3,0)*0.475*44/12</f>
        <v>5.0904309755731334E-7</v>
      </c>
      <c r="AX110" s="21">
        <f t="shared" si="60"/>
        <v>94.557877427720058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2.2737367544323206E-13</v>
      </c>
      <c r="BE110" s="13">
        <f>BD110*VLOOKUP('Données projet'!$B$11,Paramètres!$A$1:$I$89,3,0)*VLOOKUP('Données projet'!$B$11,Paramètres!$A$1:$I$89,5,0)</f>
        <v>1.064108801074326E-13</v>
      </c>
      <c r="BF110" s="13">
        <f t="shared" si="91"/>
        <v>1.5870730813698654E-12</v>
      </c>
      <c r="BG110" s="20">
        <f t="shared" si="61"/>
        <v>2.9494845662396269E-12</v>
      </c>
      <c r="BH110" s="59">
        <f t="shared" si="62"/>
        <v>293.33333333333627</v>
      </c>
      <c r="BI110" s="59">
        <f ca="1">AVERAGE(OFFSET($BH$3,0,0,'Données projet'!$E$11+1,1))-AVERAGE(OFFSET($H$3,0,0,'Données projet'!$E$11+1,1))</f>
        <v>297.07458564121606</v>
      </c>
      <c r="BJ110" s="59">
        <f t="shared" si="92"/>
        <v>514.93897725587567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49.852045638495923</v>
      </c>
      <c r="BQ110" s="21">
        <f>EXP(-LN(2)/25)*BQ109+(1-EXP(-LN(2)/25))/(LN(2)/25)*Calculateur!BL110*Calculateur!BN110*VLOOKUP('Données projet'!$B$11,Paramètres!$A$1:$I$89,3,0)*0.475*44/12</f>
        <v>34.538200596601506</v>
      </c>
      <c r="BR110" s="21">
        <f>EXP(-LN(2)/2)*BR109+(1-EXP(-LN(2)/2))/(LN(2)/2)*BL110*BO110*VLOOKUP('Données projet'!$B$11,Paramètres!$A$1:$I$89,3,0)*0.475*44/12</f>
        <v>1.4168673371996533E-11</v>
      </c>
      <c r="BS110" s="22">
        <f t="shared" si="63"/>
        <v>84.390246235111604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50.544000000000139</v>
      </c>
      <c r="D111" s="11">
        <f t="shared" si="86"/>
        <v>14.754161433088285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504.05598299226153</v>
      </c>
      <c r="H111" s="67">
        <f t="shared" si="56"/>
        <v>407.06096449596231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5.6546153846153828</v>
      </c>
      <c r="N111" s="13">
        <f>IF('Données projet'!$A$36&gt;35,N110+M111-V110,IF(A111&lt;'Données projet'!$A$36,$K$205^A111,IF(A111='Données projet'!$A$36,'Données projet'!$B$36,N110+M111-V110)))</f>
        <v>250.43769230769283</v>
      </c>
      <c r="O111" s="13">
        <f>N111*VLOOKUP('Données projet'!$B$9,Paramètres!$A$1:$I$89,3,0)*VLOOKUP('Données projet'!$B$9,Paramètres!$A$1:$I$89,5,0)</f>
        <v>117.20484000000023</v>
      </c>
      <c r="P111" s="13">
        <f t="shared" si="87"/>
        <v>31.02218258527553</v>
      </c>
      <c r="Q111" s="20">
        <f t="shared" si="107"/>
        <v>258.16206433602196</v>
      </c>
      <c r="R111" s="59">
        <f t="shared" si="55"/>
        <v>551.49539766935527</v>
      </c>
      <c r="S111" s="59">
        <f ca="1">AVERAGE(OFFSET($R$3,0,0,'Données projet'!$E$9+1,1))-AVERAGE(OFFSET($H$3,0,0,'Données projet'!$E$9+1,1))</f>
        <v>157.05226586109279</v>
      </c>
      <c r="T111" s="59">
        <f t="shared" si="88"/>
        <v>76.143582612540229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73.953511067301775</v>
      </c>
      <c r="AA111" s="21">
        <f>EXP(-LN(2)/25)*AA110+(1-EXP(-LN(2)/25))/(LN(2)/25)*Calculateur!V111*Calculateur!X111*VLOOKUP('Données projet'!$B$9,Paramètres!$A$1:$I$89,3,0)*0.475*44/12</f>
        <v>19.137719252166274</v>
      </c>
      <c r="AB111" s="21">
        <f>EXP(-LN(2)/2)*AB110+(1-EXP(-LN(2)/2))/(LN(2)/2)*V111*Y111*VLOOKUP('Données projet'!$B$9,Paramètres!$A$1:$I$89,3,0)*0.475*44/12</f>
        <v>0.61711837221668842</v>
      </c>
      <c r="AC111" s="22">
        <f t="shared" si="57"/>
        <v>93.708348691684748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-6.3550942286383367E-14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279.32192402750189</v>
      </c>
      <c r="AO111" s="59">
        <f t="shared" si="90"/>
        <v>371.43572414443611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79.345786845618534</v>
      </c>
      <c r="AV111" s="21">
        <f>EXP(-LN(2)/25)*AV110+(1-EXP(-LN(2)/25))/(LN(2)/25)*Calculateur!AQ111*Calculateur!AS111*VLOOKUP('Données projet'!$B$10,Paramètres!$A$1:$I$89,3,0)*0.475*44/12</f>
        <v>13.252469018600799</v>
      </c>
      <c r="AW111" s="21">
        <f>EXP(-LN(2)/2)*AW110+(1-EXP(-LN(2)/2))/(LN(2)/2)*AQ111*AT111*VLOOKUP('Données projet'!$B$10,Paramètres!$A$1:$I$89,3,0)*0.475*44/12</f>
        <v>3.5994782619898153E-7</v>
      </c>
      <c r="AX111" s="21">
        <f t="shared" si="60"/>
        <v>92.598256224167159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2.2737367544323206E-13</v>
      </c>
      <c r="BE111" s="13">
        <f>BD111*VLOOKUP('Données projet'!$B$11,Paramètres!$A$1:$I$89,3,0)*VLOOKUP('Données projet'!$B$11,Paramètres!$A$1:$I$89,5,0)</f>
        <v>1.064108801074326E-13</v>
      </c>
      <c r="BF111" s="13">
        <f t="shared" si="91"/>
        <v>1.5870730813698654E-12</v>
      </c>
      <c r="BG111" s="20">
        <f t="shared" si="61"/>
        <v>2.9494845662396269E-12</v>
      </c>
      <c r="BH111" s="59">
        <f t="shared" si="62"/>
        <v>293.33333333333627</v>
      </c>
      <c r="BI111" s="59">
        <f ca="1">AVERAGE(OFFSET($BH$3,0,0,'Données projet'!$E$11+1,1))-AVERAGE(OFFSET($H$3,0,0,'Données projet'!$E$11+1,1))</f>
        <v>297.07458564121606</v>
      </c>
      <c r="BJ111" s="59">
        <f t="shared" si="92"/>
        <v>514.93897725587567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48.874477430270439</v>
      </c>
      <c r="BQ111" s="21">
        <f>EXP(-LN(2)/25)*BQ110+(1-EXP(-LN(2)/25))/(LN(2)/25)*Calculateur!BL111*Calculateur!BN111*VLOOKUP('Données projet'!$B$11,Paramètres!$A$1:$I$89,3,0)*0.475*44/12</f>
        <v>33.59375168500241</v>
      </c>
      <c r="BR111" s="21">
        <f>EXP(-LN(2)/2)*BR110+(1-EXP(-LN(2)/2))/(LN(2)/2)*BL111*BO111*VLOOKUP('Données projet'!$B$11,Paramètres!$A$1:$I$89,3,0)*0.475*44/12</f>
        <v>1.0018765021756016E-11</v>
      </c>
      <c r="BS111" s="22">
        <f t="shared" si="63"/>
        <v>82.468229115282867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51.012000000000143</v>
      </c>
      <c r="D112" s="11">
        <f t="shared" si="86"/>
        <v>14.874807504914717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508.59991758179893</v>
      </c>
      <c r="H112" s="67">
        <f t="shared" si="56"/>
        <v>408.08618973772667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256.09230769230771</v>
      </c>
      <c r="L112" s="12">
        <f>VLOOKUP(A112,'Données projet'!$A$35:$I$55,9,0)</f>
        <v>5.6546153846153828</v>
      </c>
      <c r="M112" s="12">
        <f t="array" ref="M112">INDEX(L:L,MIN(IF(ISNUMBER(L112:L308),ROW(L112:L308),"")))</f>
        <v>5.6546153846153828</v>
      </c>
      <c r="N112" s="13">
        <f>IF('Données projet'!$A$36&gt;35,N111+M112-V111,IF(A112&lt;'Données projet'!$A$36,$K$205^A112,IF(A112='Données projet'!$A$36,'Données projet'!$B$36,N111+M112-V111)))</f>
        <v>256.09230769230822</v>
      </c>
      <c r="O112" s="13">
        <f>N112*VLOOKUP('Données projet'!$B$9,Paramètres!$A$1:$I$89,3,0)*VLOOKUP('Données projet'!$B$9,Paramètres!$A$1:$I$89,5,0)</f>
        <v>119.85120000000023</v>
      </c>
      <c r="P112" s="13">
        <f t="shared" si="87"/>
        <v>31.640291631938272</v>
      </c>
      <c r="Q112" s="20">
        <f t="shared" si="107"/>
        <v>263.8476812589596</v>
      </c>
      <c r="R112" s="59">
        <f t="shared" si="55"/>
        <v>557.18101459229297</v>
      </c>
      <c r="S112" s="59">
        <f ca="1">AVERAGE(OFFSET($R$3,0,0,'Données projet'!$E$9+1,1))-AVERAGE(OFFSET($H$3,0,0,'Données projet'!$E$9+1,1))</f>
        <v>157.05226586109279</v>
      </c>
      <c r="T112" s="59">
        <f t="shared" si="88"/>
        <v>76.143582612540229</v>
      </c>
      <c r="U112" s="15">
        <f>IF(ISNA(VLOOKUP(A112,'Données projet'!$A$35:$I$55,3,0)),0,VLOOKUP(A112,'Données projet'!$A$35:$I$55,3,0))</f>
        <v>6</v>
      </c>
      <c r="V112" s="15">
        <f>IF(ISNA(VLOOKUP(A112,'Données projet'!$A$35:$I$55,4,0)),0,VLOOKUP(A112,'Données projet'!$A$35:$I$55,4,0))</f>
        <v>256.09230769230771</v>
      </c>
      <c r="W112" s="16">
        <f>IF(ISNA(VLOOKUP(A112,'Données projet'!$A$35:$I$55,5,0)),0%,VLOOKUP(A112,'Données projet'!$A$35:$I$55,5,0)*VLOOKUP('Données projet'!$B$9,Paramètres!$A$1:$I$89,7,0))</f>
        <v>0.38500000000000001</v>
      </c>
      <c r="X112" s="16">
        <f>IF(ISNA(VLOOKUP(A112,'Données projet'!$A$35:$I$55,6,0)),0%,VLOOKUP(A112,'Données projet'!$A$35:$I$55,6,0)*VLOOKUP('Données projet'!$B$9,Paramètres!$A$1:$I$89,7,0))</f>
        <v>9.240000000000001E-2</v>
      </c>
      <c r="Y112" s="16">
        <f>IF(ISNA(VLOOKUP(A112,'Données projet'!$A$35:$I$55,7,0)),0%,VLOOKUP(A112,'Données projet'!$A$35:$I$55,7,0))</f>
        <v>0.13200000000000001</v>
      </c>
      <c r="Z112" s="21">
        <f>EXP(-LN(2)/35)*Z111+(1-EXP(-LN(2)/35))/(LN(2)/35)*V112*W112*VLOOKUP('Données projet'!$B$9,Paramètres!$A$1:$I$89,3,0)*0.475*44/12</f>
        <v>133.7146094392433</v>
      </c>
      <c r="AA112" s="21">
        <f>EXP(-LN(2)/25)*AA111+(1-EXP(-LN(2)/25))/(LN(2)/25)*Calculateur!V112*Calculateur!X112*VLOOKUP('Données projet'!$B$9,Paramètres!$A$1:$I$89,3,0)*0.475*44/12</f>
        <v>33.247261987462423</v>
      </c>
      <c r="AB112" s="21">
        <f>EXP(-LN(2)/2)*AB111+(1-EXP(-LN(2)/2))/(LN(2)/2)*V112*Y112*VLOOKUP('Données projet'!$B$9,Paramètres!$A$1:$I$89,3,0)*0.475*44/12</f>
        <v>18.348689324713348</v>
      </c>
      <c r="AC112" s="22">
        <f t="shared" si="57"/>
        <v>185.31056075141908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-6.3550942286383367E-14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279.32192402750189</v>
      </c>
      <c r="AO112" s="59">
        <f t="shared" si="90"/>
        <v>371.43572414443611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77.789864361727211</v>
      </c>
      <c r="AV112" s="21">
        <f>EXP(-LN(2)/25)*AV111+(1-EXP(-LN(2)/25))/(LN(2)/25)*Calculateur!AQ112*Calculateur!AS112*VLOOKUP('Données projet'!$B$10,Paramètres!$A$1:$I$89,3,0)*0.475*44/12</f>
        <v>12.890079556370104</v>
      </c>
      <c r="AW112" s="21">
        <f>EXP(-LN(2)/2)*AW111+(1-EXP(-LN(2)/2))/(LN(2)/2)*AQ112*AT112*VLOOKUP('Données projet'!$B$10,Paramètres!$A$1:$I$89,3,0)*0.475*44/12</f>
        <v>2.5452154877865667E-7</v>
      </c>
      <c r="AX112" s="21">
        <f t="shared" si="60"/>
        <v>90.67994417261886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2.2737367544323206E-13</v>
      </c>
      <c r="BE112" s="13">
        <f>BD112*VLOOKUP('Données projet'!$B$11,Paramètres!$A$1:$I$89,3,0)*VLOOKUP('Données projet'!$B$11,Paramètres!$A$1:$I$89,5,0)</f>
        <v>1.064108801074326E-13</v>
      </c>
      <c r="BF112" s="13">
        <f t="shared" si="91"/>
        <v>1.5870730813698654E-12</v>
      </c>
      <c r="BG112" s="20">
        <f t="shared" si="61"/>
        <v>2.9494845662396269E-12</v>
      </c>
      <c r="BH112" s="59">
        <f t="shared" si="62"/>
        <v>293.33333333333627</v>
      </c>
      <c r="BI112" s="59">
        <f ca="1">AVERAGE(OFFSET($BH$3,0,0,'Données projet'!$E$11+1,1))-AVERAGE(OFFSET($H$3,0,0,'Données projet'!$E$11+1,1))</f>
        <v>297.07458564121606</v>
      </c>
      <c r="BJ112" s="59">
        <f t="shared" si="92"/>
        <v>514.93897725587567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47.916078738350528</v>
      </c>
      <c r="BQ112" s="21">
        <f>EXP(-LN(2)/25)*BQ111+(1-EXP(-LN(2)/25))/(LN(2)/25)*Calculateur!BL112*Calculateur!BN112*VLOOKUP('Données projet'!$B$11,Paramètres!$A$1:$I$89,3,0)*0.475*44/12</f>
        <v>32.675128778557394</v>
      </c>
      <c r="BR112" s="21">
        <f>EXP(-LN(2)/2)*BR111+(1-EXP(-LN(2)/2))/(LN(2)/2)*BL112*BO112*VLOOKUP('Données projet'!$B$11,Paramètres!$A$1:$I$89,3,0)*0.475*44/12</f>
        <v>7.0843366859982675E-12</v>
      </c>
      <c r="BS112" s="22">
        <f t="shared" si="63"/>
        <v>80.59120751691502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51.480000000000146</v>
      </c>
      <c r="D113" s="11">
        <f t="shared" si="86"/>
        <v>14.995324806875265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513.14285815833648</v>
      </c>
      <c r="H113" s="67">
        <f t="shared" si="56"/>
        <v>409.11119070530799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5.1159076974727213E-13</v>
      </c>
      <c r="O113" s="13">
        <f>N113*VLOOKUP('Données projet'!$B$9,Paramètres!$A$1:$I$89,3,0)*VLOOKUP('Données projet'!$B$9,Paramètres!$A$1:$I$89,5,0)</f>
        <v>2.3942448024172334E-13</v>
      </c>
      <c r="P113" s="13">
        <f t="shared" si="87"/>
        <v>3.2492669905861755E-12</v>
      </c>
      <c r="Q113" s="20">
        <f t="shared" si="107"/>
        <v>6.0761376450252565E-12</v>
      </c>
      <c r="R113" s="59">
        <f t="shared" si="55"/>
        <v>293.3333333333394</v>
      </c>
      <c r="S113" s="59">
        <f ca="1">AVERAGE(OFFSET($R$3,0,0,'Données projet'!$E$9+1,1))-AVERAGE(OFFSET($H$3,0,0,'Données projet'!$E$9+1,1))</f>
        <v>157.05226586109279</v>
      </c>
      <c r="T113" s="59">
        <f t="shared" si="88"/>
        <v>76.143582612540229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131.09254750599834</v>
      </c>
      <c r="AA113" s="21">
        <f>EXP(-LN(2)/25)*AA112+(1-EXP(-LN(2)/25))/(LN(2)/25)*Calculateur!V113*Calculateur!X113*VLOOKUP('Données projet'!$B$9,Paramètres!$A$1:$I$89,3,0)*0.475*44/12</f>
        <v>32.338113860017742</v>
      </c>
      <c r="AB113" s="21">
        <f>EXP(-LN(2)/2)*AB112+(1-EXP(-LN(2)/2))/(LN(2)/2)*V113*Y113*VLOOKUP('Données projet'!$B$9,Paramètres!$A$1:$I$89,3,0)*0.475*44/12</f>
        <v>12.974482647390023</v>
      </c>
      <c r="AC113" s="22">
        <f t="shared" si="57"/>
        <v>176.4051440134061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-6.3550942286383367E-14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279.32192402750189</v>
      </c>
      <c r="AO113" s="59">
        <f t="shared" si="90"/>
        <v>371.43572414443611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76.264452568725986</v>
      </c>
      <c r="AV113" s="21">
        <f>EXP(-LN(2)/25)*AV112+(1-EXP(-LN(2)/25))/(LN(2)/25)*Calculateur!AQ113*Calculateur!AS113*VLOOKUP('Données projet'!$B$10,Paramètres!$A$1:$I$89,3,0)*0.475*44/12</f>
        <v>12.53759965304134</v>
      </c>
      <c r="AW113" s="21">
        <f>EXP(-LN(2)/2)*AW112+(1-EXP(-LN(2)/2))/(LN(2)/2)*AQ113*AT113*VLOOKUP('Données projet'!$B$10,Paramètres!$A$1:$I$89,3,0)*0.475*44/12</f>
        <v>1.7997391309949077E-7</v>
      </c>
      <c r="AX113" s="21">
        <f t="shared" si="60"/>
        <v>88.802052401741236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2.2737367544323206E-13</v>
      </c>
      <c r="BE113" s="13">
        <f>BD113*VLOOKUP('Données projet'!$B$11,Paramètres!$A$1:$I$89,3,0)*VLOOKUP('Données projet'!$B$11,Paramètres!$A$1:$I$89,5,0)</f>
        <v>1.064108801074326E-13</v>
      </c>
      <c r="BF113" s="13">
        <f t="shared" si="91"/>
        <v>1.5870730813698654E-12</v>
      </c>
      <c r="BG113" s="20">
        <f t="shared" si="61"/>
        <v>2.9494845662396269E-12</v>
      </c>
      <c r="BH113" s="59">
        <f t="shared" si="62"/>
        <v>293.33333333333627</v>
      </c>
      <c r="BI113" s="59">
        <f ca="1">AVERAGE(OFFSET($BH$3,0,0,'Données projet'!$E$11+1,1))-AVERAGE(OFFSET($H$3,0,0,'Données projet'!$E$11+1,1))</f>
        <v>297.07458564121606</v>
      </c>
      <c r="BJ113" s="59">
        <f t="shared" si="92"/>
        <v>514.93897725587567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46.976473660213685</v>
      </c>
      <c r="BQ113" s="21">
        <f>EXP(-LN(2)/25)*BQ112+(1-EXP(-LN(2)/25))/(LN(2)/25)*Calculateur!BL113*Calculateur!BN113*VLOOKUP('Données projet'!$B$11,Paramètres!$A$1:$I$89,3,0)*0.475*44/12</f>
        <v>31.781625663797399</v>
      </c>
      <c r="BR113" s="21">
        <f>EXP(-LN(2)/2)*BR112+(1-EXP(-LN(2)/2))/(LN(2)/2)*BL113*BO113*VLOOKUP('Données projet'!$B$11,Paramètres!$A$1:$I$89,3,0)*0.475*44/12</f>
        <v>5.0093825108780087E-12</v>
      </c>
      <c r="BS113" s="22">
        <f t="shared" si="63"/>
        <v>78.758099324016101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51.94800000000015</v>
      </c>
      <c r="D114" s="11">
        <f t="shared" si="86"/>
        <v>15.115714645211932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517.68481480514595</v>
      </c>
      <c r="H114" s="67">
        <f t="shared" si="56"/>
        <v>410.13596967374434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5.1159076974727213E-13</v>
      </c>
      <c r="O114" s="13">
        <f>N114*VLOOKUP('Données projet'!$B$9,Paramètres!$A$1:$I$89,3,0)*VLOOKUP('Données projet'!$B$9,Paramètres!$A$1:$I$89,5,0)</f>
        <v>2.3942448024172334E-13</v>
      </c>
      <c r="P114" s="13">
        <f t="shared" si="87"/>
        <v>3.2492669905861755E-12</v>
      </c>
      <c r="Q114" s="20">
        <f t="shared" si="107"/>
        <v>6.0761376450252565E-12</v>
      </c>
      <c r="R114" s="59">
        <f t="shared" si="55"/>
        <v>293.3333333333394</v>
      </c>
      <c r="S114" s="59">
        <f ca="1">AVERAGE(OFFSET($R$3,0,0,'Données projet'!$E$9+1,1))-AVERAGE(OFFSET($H$3,0,0,'Données projet'!$E$9+1,1))</f>
        <v>157.05226586109279</v>
      </c>
      <c r="T114" s="59">
        <f t="shared" si="88"/>
        <v>76.143582612540229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128.52190260796445</v>
      </c>
      <c r="AA114" s="21">
        <f>EXP(-LN(2)/25)*AA113+(1-EXP(-LN(2)/25))/(LN(2)/25)*Calculateur!V114*Calculateur!X114*VLOOKUP('Données projet'!$B$9,Paramètres!$A$1:$I$89,3,0)*0.475*44/12</f>
        <v>31.453826435928057</v>
      </c>
      <c r="AB114" s="21">
        <f>EXP(-LN(2)/2)*AB113+(1-EXP(-LN(2)/2))/(LN(2)/2)*V114*Y114*VLOOKUP('Données projet'!$B$9,Paramètres!$A$1:$I$89,3,0)*0.475*44/12</f>
        <v>9.1743446623566758</v>
      </c>
      <c r="AC114" s="22">
        <f t="shared" si="57"/>
        <v>169.15007370624917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-6.3550942286383367E-14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279.32192402750189</v>
      </c>
      <c r="AO114" s="59">
        <f t="shared" si="90"/>
        <v>371.43572414443611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74.768953170576196</v>
      </c>
      <c r="AV114" s="21">
        <f>EXP(-LN(2)/25)*AV113+(1-EXP(-LN(2)/25))/(LN(2)/25)*Calculateur!AQ114*Calculateur!AS114*VLOOKUP('Données projet'!$B$10,Paramètres!$A$1:$I$89,3,0)*0.475*44/12</f>
        <v>12.194758331205215</v>
      </c>
      <c r="AW114" s="21">
        <f>EXP(-LN(2)/2)*AW113+(1-EXP(-LN(2)/2))/(LN(2)/2)*AQ114*AT114*VLOOKUP('Données projet'!$B$10,Paramètres!$A$1:$I$89,3,0)*0.475*44/12</f>
        <v>1.2726077438932834E-7</v>
      </c>
      <c r="AX114" s="21">
        <f t="shared" si="60"/>
        <v>86.96371162904218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2.2737367544323206E-13</v>
      </c>
      <c r="BE114" s="13">
        <f>BD114*VLOOKUP('Données projet'!$B$11,Paramètres!$A$1:$I$89,3,0)*VLOOKUP('Données projet'!$B$11,Paramètres!$A$1:$I$89,5,0)</f>
        <v>1.064108801074326E-13</v>
      </c>
      <c r="BF114" s="13">
        <f t="shared" si="91"/>
        <v>1.5870730813698654E-12</v>
      </c>
      <c r="BG114" s="20">
        <f t="shared" si="61"/>
        <v>2.9494845662396269E-12</v>
      </c>
      <c r="BH114" s="59">
        <f t="shared" si="62"/>
        <v>293.33333333333627</v>
      </c>
      <c r="BI114" s="59">
        <f ca="1">AVERAGE(OFFSET($BH$3,0,0,'Données projet'!$E$11+1,1))-AVERAGE(OFFSET($H$3,0,0,'Données projet'!$E$11+1,1))</f>
        <v>297.07458564121606</v>
      </c>
      <c r="BJ114" s="59">
        <f t="shared" si="92"/>
        <v>514.93897725587567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46.055293664556594</v>
      </c>
      <c r="BQ114" s="21">
        <f>EXP(-LN(2)/25)*BQ113+(1-EXP(-LN(2)/25))/(LN(2)/25)*Calculateur!BL114*Calculateur!BN114*VLOOKUP('Données projet'!$B$11,Paramètres!$A$1:$I$89,3,0)*0.475*44/12</f>
        <v>30.912555438697805</v>
      </c>
      <c r="BR114" s="21">
        <f>EXP(-LN(2)/2)*BR113+(1-EXP(-LN(2)/2))/(LN(2)/2)*BL114*BO114*VLOOKUP('Données projet'!$B$11,Paramètres!$A$1:$I$89,3,0)*0.475*44/12</f>
        <v>3.5421683429991346E-12</v>
      </c>
      <c r="BS114" s="22">
        <f t="shared" si="63"/>
        <v>76.967849103257933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52.416000000000153</v>
      </c>
      <c r="D115" s="11">
        <f t="shared" si="86"/>
        <v>15.23597830127307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522.22579741333709</v>
      </c>
      <c r="H115" s="67">
        <f t="shared" si="56"/>
        <v>411.1605288747175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5.1159076974727213E-13</v>
      </c>
      <c r="O115" s="13">
        <f>N115*VLOOKUP('Données projet'!$B$9,Paramètres!$A$1:$I$89,3,0)*VLOOKUP('Données projet'!$B$9,Paramètres!$A$1:$I$89,5,0)</f>
        <v>2.3942448024172334E-13</v>
      </c>
      <c r="P115" s="13">
        <f t="shared" si="87"/>
        <v>3.2492669905861755E-12</v>
      </c>
      <c r="Q115" s="20">
        <f t="shared" si="107"/>
        <v>6.0761376450252565E-12</v>
      </c>
      <c r="R115" s="59">
        <f t="shared" si="55"/>
        <v>293.3333333333394</v>
      </c>
      <c r="S115" s="59">
        <f ca="1">AVERAGE(OFFSET($R$3,0,0,'Données projet'!$E$9+1,1))-AVERAGE(OFFSET($H$3,0,0,'Données projet'!$E$9+1,1))</f>
        <v>157.05226586109279</v>
      </c>
      <c r="T115" s="59">
        <f t="shared" si="88"/>
        <v>76.143582612540229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126.00166648844242</v>
      </c>
      <c r="AA115" s="21">
        <f>EXP(-LN(2)/25)*AA114+(1-EXP(-LN(2)/25))/(LN(2)/25)*Calculateur!V115*Calculateur!X115*VLOOKUP('Données projet'!$B$9,Paramètres!$A$1:$I$89,3,0)*0.475*44/12</f>
        <v>30.593719897952763</v>
      </c>
      <c r="AB115" s="21">
        <f>EXP(-LN(2)/2)*AB114+(1-EXP(-LN(2)/2))/(LN(2)/2)*V115*Y115*VLOOKUP('Données projet'!$B$9,Paramètres!$A$1:$I$89,3,0)*0.475*44/12</f>
        <v>6.4872413236950131</v>
      </c>
      <c r="AC115" s="22">
        <f t="shared" si="57"/>
        <v>163.08262771009018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-6.3550942286383367E-14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279.32192402750189</v>
      </c>
      <c r="AO115" s="59">
        <f t="shared" si="90"/>
        <v>371.43572414443611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73.302779603459555</v>
      </c>
      <c r="AV115" s="21">
        <f>EXP(-LN(2)/25)*AV114+(1-EXP(-LN(2)/25))/(LN(2)/25)*Calculateur!AQ115*Calculateur!AS115*VLOOKUP('Données projet'!$B$10,Paramètres!$A$1:$I$89,3,0)*0.475*44/12</f>
        <v>11.861292023343939</v>
      </c>
      <c r="AW115" s="21">
        <f>EXP(-LN(2)/2)*AW114+(1-EXP(-LN(2)/2))/(LN(2)/2)*AQ115*AT115*VLOOKUP('Données projet'!$B$10,Paramètres!$A$1:$I$89,3,0)*0.475*44/12</f>
        <v>8.9986956549745383E-8</v>
      </c>
      <c r="AX115" s="21">
        <f t="shared" si="60"/>
        <v>85.164071716790446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2.2737367544323206E-13</v>
      </c>
      <c r="BE115" s="13">
        <f>BD115*VLOOKUP('Données projet'!$B$11,Paramètres!$A$1:$I$89,3,0)*VLOOKUP('Données projet'!$B$11,Paramètres!$A$1:$I$89,5,0)</f>
        <v>1.064108801074326E-13</v>
      </c>
      <c r="BF115" s="13">
        <f t="shared" si="91"/>
        <v>1.5870730813698654E-12</v>
      </c>
      <c r="BG115" s="20">
        <f t="shared" si="61"/>
        <v>2.9494845662396269E-12</v>
      </c>
      <c r="BH115" s="59">
        <f t="shared" si="62"/>
        <v>293.33333333333627</v>
      </c>
      <c r="BI115" s="59">
        <f ca="1">AVERAGE(OFFSET($BH$3,0,0,'Données projet'!$E$11+1,1))-AVERAGE(OFFSET($H$3,0,0,'Données projet'!$E$11+1,1))</f>
        <v>297.07458564121606</v>
      </c>
      <c r="BJ115" s="59">
        <f t="shared" si="92"/>
        <v>514.93897725587567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45.152177446750024</v>
      </c>
      <c r="BQ115" s="21">
        <f>EXP(-LN(2)/25)*BQ114+(1-EXP(-LN(2)/25))/(LN(2)/25)*Calculateur!BL115*Calculateur!BN115*VLOOKUP('Données projet'!$B$11,Paramètres!$A$1:$I$89,3,0)*0.475*44/12</f>
        <v>30.067249984605976</v>
      </c>
      <c r="BR115" s="21">
        <f>EXP(-LN(2)/2)*BR114+(1-EXP(-LN(2)/2))/(LN(2)/2)*BL115*BO115*VLOOKUP('Données projet'!$B$11,Paramètres!$A$1:$I$89,3,0)*0.475*44/12</f>
        <v>2.5046912554390048E-12</v>
      </c>
      <c r="BS115" s="22">
        <f t="shared" si="63"/>
        <v>75.219427431358497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52.884000000000157</v>
      </c>
      <c r="D116" s="11">
        <f t="shared" si="86"/>
        <v>15.356117032205747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526.76581568720349</v>
      </c>
      <c r="H116" s="67">
        <f t="shared" si="56"/>
        <v>412.1848704977586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5.1159076974727213E-13</v>
      </c>
      <c r="O116" s="13">
        <f>N116*VLOOKUP('Données projet'!$B$9,Paramètres!$A$1:$I$89,3,0)*VLOOKUP('Données projet'!$B$9,Paramètres!$A$1:$I$89,5,0)</f>
        <v>2.3942448024172334E-13</v>
      </c>
      <c r="P116" s="13">
        <f t="shared" si="87"/>
        <v>3.2492669905861755E-12</v>
      </c>
      <c r="Q116" s="20">
        <f t="shared" si="107"/>
        <v>6.0761376450252565E-12</v>
      </c>
      <c r="R116" s="59">
        <f t="shared" si="55"/>
        <v>293.3333333333394</v>
      </c>
      <c r="S116" s="59">
        <f ca="1">AVERAGE(OFFSET($R$3,0,0,'Données projet'!$E$9+1,1))-AVERAGE(OFFSET($H$3,0,0,'Données projet'!$E$9+1,1))</f>
        <v>157.05226586109279</v>
      </c>
      <c r="T116" s="59">
        <f t="shared" si="88"/>
        <v>76.143582612540229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123.53085066203198</v>
      </c>
      <c r="AA116" s="21">
        <f>EXP(-LN(2)/25)*AA115+(1-EXP(-LN(2)/25))/(LN(2)/25)*Calculateur!V116*Calculateur!X116*VLOOKUP('Données projet'!$B$9,Paramètres!$A$1:$I$89,3,0)*0.475*44/12</f>
        <v>29.757133018489437</v>
      </c>
      <c r="AB116" s="21">
        <f>EXP(-LN(2)/2)*AB115+(1-EXP(-LN(2)/2))/(LN(2)/2)*V116*Y116*VLOOKUP('Données projet'!$B$9,Paramètres!$A$1:$I$89,3,0)*0.475*44/12</f>
        <v>4.5871723311783388</v>
      </c>
      <c r="AC116" s="22">
        <f t="shared" si="57"/>
        <v>157.87515601169977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-6.3550942286383367E-14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279.32192402750189</v>
      </c>
      <c r="AO116" s="59">
        <f t="shared" si="90"/>
        <v>371.43572414443611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71.865356805716502</v>
      </c>
      <c r="AV116" s="21">
        <f>EXP(-LN(2)/25)*AV115+(1-EXP(-LN(2)/25))/(LN(2)/25)*Calculateur!AQ116*Calculateur!AS116*VLOOKUP('Données projet'!$B$10,Paramètres!$A$1:$I$89,3,0)*0.475*44/12</f>
        <v>11.536944369207362</v>
      </c>
      <c r="AW116" s="21">
        <f>EXP(-LN(2)/2)*AW115+(1-EXP(-LN(2)/2))/(LN(2)/2)*AQ116*AT116*VLOOKUP('Données projet'!$B$10,Paramètres!$A$1:$I$89,3,0)*0.475*44/12</f>
        <v>6.3630387194664168E-8</v>
      </c>
      <c r="AX116" s="21">
        <f t="shared" si="60"/>
        <v>83.402301238554244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2.2737367544323206E-13</v>
      </c>
      <c r="BE116" s="13">
        <f>BD116*VLOOKUP('Données projet'!$B$11,Paramètres!$A$1:$I$89,3,0)*VLOOKUP('Données projet'!$B$11,Paramètres!$A$1:$I$89,5,0)</f>
        <v>1.064108801074326E-13</v>
      </c>
      <c r="BF116" s="13">
        <f t="shared" si="91"/>
        <v>1.5870730813698654E-12</v>
      </c>
      <c r="BG116" s="20">
        <f t="shared" si="61"/>
        <v>2.9494845662396269E-12</v>
      </c>
      <c r="BH116" s="59">
        <f t="shared" si="62"/>
        <v>293.33333333333627</v>
      </c>
      <c r="BI116" s="59">
        <f ca="1">AVERAGE(OFFSET($BH$3,0,0,'Données projet'!$E$11+1,1))-AVERAGE(OFFSET($H$3,0,0,'Données projet'!$E$11+1,1))</f>
        <v>297.07458564121606</v>
      </c>
      <c r="BJ116" s="59">
        <f t="shared" si="92"/>
        <v>514.93897725587567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44.266770787128138</v>
      </c>
      <c r="BQ116" s="21">
        <f>EXP(-LN(2)/25)*BQ115+(1-EXP(-LN(2)/25))/(LN(2)/25)*Calculateur!BL116*Calculateur!BN116*VLOOKUP('Données projet'!$B$11,Paramètres!$A$1:$I$89,3,0)*0.475*44/12</f>
        <v>29.245059452608967</v>
      </c>
      <c r="BR116" s="21">
        <f>EXP(-LN(2)/2)*BR115+(1-EXP(-LN(2)/2))/(LN(2)/2)*BL116*BO116*VLOOKUP('Données projet'!$B$11,Paramètres!$A$1:$I$89,3,0)*0.475*44/12</f>
        <v>1.7710841714995675E-12</v>
      </c>
      <c r="BS116" s="22">
        <f t="shared" si="63"/>
        <v>73.511830239738885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53.35200000000016</v>
      </c>
      <c r="D117" s="11">
        <f t="shared" si="86"/>
        <v>15.476132071622883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531.30487914937089</v>
      </c>
      <c r="H117" s="67">
        <f t="shared" si="56"/>
        <v>413.20899669141011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5.1159076974727213E-13</v>
      </c>
      <c r="O117" s="13">
        <f>N117*VLOOKUP('Données projet'!$B$9,Paramètres!$A$1:$I$89,3,0)*VLOOKUP('Données projet'!$B$9,Paramètres!$A$1:$I$89,5,0)</f>
        <v>2.3942448024172334E-13</v>
      </c>
      <c r="P117" s="13">
        <f t="shared" si="87"/>
        <v>3.2492669905861755E-12</v>
      </c>
      <c r="Q117" s="20">
        <f t="shared" si="107"/>
        <v>6.0761376450252565E-12</v>
      </c>
      <c r="R117" s="59">
        <f t="shared" si="55"/>
        <v>293.3333333333394</v>
      </c>
      <c r="S117" s="59">
        <f ca="1">AVERAGE(OFFSET($R$3,0,0,'Données projet'!$E$9+1,1))-AVERAGE(OFFSET($H$3,0,0,'Données projet'!$E$9+1,1))</f>
        <v>157.05226586109279</v>
      </c>
      <c r="T117" s="59">
        <f t="shared" si="88"/>
        <v>76.143582612540229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121.1084860269286</v>
      </c>
      <c r="AA117" s="21">
        <f>EXP(-LN(2)/25)*AA116+(1-EXP(-LN(2)/25))/(LN(2)/25)*Calculateur!V117*Calculateur!X117*VLOOKUP('Données projet'!$B$9,Paramètres!$A$1:$I$89,3,0)*0.475*44/12</f>
        <v>28.943422651239228</v>
      </c>
      <c r="AB117" s="21">
        <f>EXP(-LN(2)/2)*AB116+(1-EXP(-LN(2)/2))/(LN(2)/2)*V117*Y117*VLOOKUP('Données projet'!$B$9,Paramètres!$A$1:$I$89,3,0)*0.475*44/12</f>
        <v>3.243620661847507</v>
      </c>
      <c r="AC117" s="22">
        <f t="shared" si="57"/>
        <v>153.29552934001532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-6.3550942286383367E-14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279.32192402750189</v>
      </c>
      <c r="AO117" s="59">
        <f t="shared" si="90"/>
        <v>371.43572414443611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70.456120992295851</v>
      </c>
      <c r="AV117" s="21">
        <f>EXP(-LN(2)/25)*AV116+(1-EXP(-LN(2)/25))/(LN(2)/25)*Calculateur!AQ117*Calculateur!AS117*VLOOKUP('Données projet'!$B$10,Paramètres!$A$1:$I$89,3,0)*0.475*44/12</f>
        <v>11.221466018729849</v>
      </c>
      <c r="AW117" s="21">
        <f>EXP(-LN(2)/2)*AW116+(1-EXP(-LN(2)/2))/(LN(2)/2)*AQ117*AT117*VLOOKUP('Données projet'!$B$10,Paramètres!$A$1:$I$89,3,0)*0.475*44/12</f>
        <v>4.4993478274872691E-8</v>
      </c>
      <c r="AX117" s="21">
        <f t="shared" si="60"/>
        <v>81.677587056019192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2.2737367544323206E-13</v>
      </c>
      <c r="BE117" s="13">
        <f>BD117*VLOOKUP('Données projet'!$B$11,Paramètres!$A$1:$I$89,3,0)*VLOOKUP('Données projet'!$B$11,Paramètres!$A$1:$I$89,5,0)</f>
        <v>1.064108801074326E-13</v>
      </c>
      <c r="BF117" s="13">
        <f t="shared" si="91"/>
        <v>1.5870730813698654E-12</v>
      </c>
      <c r="BG117" s="20">
        <f t="shared" si="61"/>
        <v>2.9494845662396269E-12</v>
      </c>
      <c r="BH117" s="59">
        <f t="shared" si="62"/>
        <v>293.33333333333627</v>
      </c>
      <c r="BI117" s="59">
        <f ca="1">AVERAGE(OFFSET($BH$3,0,0,'Données projet'!$E$11+1,1))-AVERAGE(OFFSET($H$3,0,0,'Données projet'!$E$11+1,1))</f>
        <v>297.07458564121606</v>
      </c>
      <c r="BJ117" s="59">
        <f t="shared" si="92"/>
        <v>514.93897725587567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43.398726412056703</v>
      </c>
      <c r="BQ117" s="21">
        <f>EXP(-LN(2)/25)*BQ116+(1-EXP(-LN(2)/25))/(LN(2)/25)*Calculateur!BL117*Calculateur!BN117*VLOOKUP('Données projet'!$B$11,Paramètres!$A$1:$I$89,3,0)*0.475*44/12</f>
        <v>28.445351763946537</v>
      </c>
      <c r="BR117" s="21">
        <f>EXP(-LN(2)/2)*BR116+(1-EXP(-LN(2)/2))/(LN(2)/2)*BL117*BO117*VLOOKUP('Données projet'!$B$11,Paramètres!$A$1:$I$89,3,0)*0.475*44/12</f>
        <v>1.2523456277195026E-12</v>
      </c>
      <c r="BS117" s="22">
        <f t="shared" si="63"/>
        <v>71.844078176004487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53.820000000000164</v>
      </c>
      <c r="D118" s="11">
        <f t="shared" si="86"/>
        <v>15.596024630246307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535.84299714576218</v>
      </c>
      <c r="H118" s="67">
        <f t="shared" si="56"/>
        <v>414.2329095643459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5.1159076974727213E-13</v>
      </c>
      <c r="O118" s="13">
        <f>N118*VLOOKUP('Données projet'!$B$9,Paramètres!$A$1:$I$89,3,0)*VLOOKUP('Données projet'!$B$9,Paramètres!$A$1:$I$89,5,0)</f>
        <v>2.3942448024172334E-13</v>
      </c>
      <c r="P118" s="13">
        <f t="shared" si="87"/>
        <v>3.2492669905861755E-12</v>
      </c>
      <c r="Q118" s="20">
        <f t="shared" si="107"/>
        <v>6.0761376450252565E-12</v>
      </c>
      <c r="R118" s="59">
        <f t="shared" si="55"/>
        <v>293.3333333333394</v>
      </c>
      <c r="S118" s="59">
        <f ca="1">AVERAGE(OFFSET($R$3,0,0,'Données projet'!$E$9+1,1))-AVERAGE(OFFSET($H$3,0,0,'Données projet'!$E$9+1,1))</f>
        <v>157.05226586109279</v>
      </c>
      <c r="T118" s="59">
        <f t="shared" si="88"/>
        <v>76.143582612540229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118.73362248482306</v>
      </c>
      <c r="AA118" s="21">
        <f>EXP(-LN(2)/25)*AA117+(1-EXP(-LN(2)/25))/(LN(2)/25)*Calculateur!V118*Calculateur!X118*VLOOKUP('Données projet'!$B$9,Paramètres!$A$1:$I$89,3,0)*0.475*44/12</f>
        <v>28.151963236772644</v>
      </c>
      <c r="AB118" s="21">
        <f>EXP(-LN(2)/2)*AB117+(1-EXP(-LN(2)/2))/(LN(2)/2)*V118*Y118*VLOOKUP('Données projet'!$B$9,Paramètres!$A$1:$I$89,3,0)*0.475*44/12</f>
        <v>2.2935861655891698</v>
      </c>
      <c r="AC118" s="22">
        <f t="shared" si="57"/>
        <v>149.17917188718488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-6.3550942286383367E-14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279.32192402750189</v>
      </c>
      <c r="AO118" s="59">
        <f t="shared" si="90"/>
        <v>371.43572414443611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69.074519433627401</v>
      </c>
      <c r="AV118" s="21">
        <f>EXP(-LN(2)/25)*AV117+(1-EXP(-LN(2)/25))/(LN(2)/25)*Calculateur!AQ118*Calculateur!AS118*VLOOKUP('Données projet'!$B$10,Paramètres!$A$1:$I$89,3,0)*0.475*44/12</f>
        <v>10.914614440336431</v>
      </c>
      <c r="AW118" s="21">
        <f>EXP(-LN(2)/2)*AW117+(1-EXP(-LN(2)/2))/(LN(2)/2)*AQ118*AT118*VLOOKUP('Données projet'!$B$10,Paramètres!$A$1:$I$89,3,0)*0.475*44/12</f>
        <v>3.1815193597332084E-8</v>
      </c>
      <c r="AX118" s="21">
        <f t="shared" si="60"/>
        <v>79.989133905779028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2.2737367544323206E-13</v>
      </c>
      <c r="BE118" s="13">
        <f>BD118*VLOOKUP('Données projet'!$B$11,Paramètres!$A$1:$I$89,3,0)*VLOOKUP('Données projet'!$B$11,Paramètres!$A$1:$I$89,5,0)</f>
        <v>1.064108801074326E-13</v>
      </c>
      <c r="BF118" s="13">
        <f t="shared" si="91"/>
        <v>1.5870730813698654E-12</v>
      </c>
      <c r="BG118" s="20">
        <f t="shared" si="61"/>
        <v>2.9494845662396269E-12</v>
      </c>
      <c r="BH118" s="59">
        <f t="shared" si="62"/>
        <v>293.33333333333627</v>
      </c>
      <c r="BI118" s="59">
        <f ca="1">AVERAGE(OFFSET($BH$3,0,0,'Données projet'!$E$11+1,1))-AVERAGE(OFFSET($H$3,0,0,'Données projet'!$E$11+1,1))</f>
        <v>297.07458564121606</v>
      </c>
      <c r="BJ118" s="59">
        <f t="shared" si="92"/>
        <v>514.93897725587567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42.547703857725629</v>
      </c>
      <c r="BQ118" s="21">
        <f>EXP(-LN(2)/25)*BQ117+(1-EXP(-LN(2)/25))/(LN(2)/25)*Calculateur!BL118*Calculateur!BN118*VLOOKUP('Données projet'!$B$11,Paramètres!$A$1:$I$89,3,0)*0.475*44/12</f>
        <v>27.667512124085381</v>
      </c>
      <c r="BR118" s="21">
        <f>EXP(-LN(2)/2)*BR117+(1-EXP(-LN(2)/2))/(LN(2)/2)*BL118*BO118*VLOOKUP('Données projet'!$B$11,Paramètres!$A$1:$I$89,3,0)*0.475*44/12</f>
        <v>8.8554208574978384E-13</v>
      </c>
      <c r="BS118" s="22">
        <f t="shared" si="63"/>
        <v>70.215215981811895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54.288000000000167</v>
      </c>
      <c r="D119" s="11">
        <f t="shared" si="86"/>
        <v>15.715795896526787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540.38017885038346</v>
      </c>
      <c r="H119" s="67">
        <f t="shared" si="56"/>
        <v>415.2566111864511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5.1159076974727213E-13</v>
      </c>
      <c r="O119" s="13">
        <f>N119*VLOOKUP('Données projet'!$B$9,Paramètres!$A$1:$I$89,3,0)*VLOOKUP('Données projet'!$B$9,Paramètres!$A$1:$I$89,5,0)</f>
        <v>2.3942448024172334E-13</v>
      </c>
      <c r="P119" s="13">
        <f t="shared" si="87"/>
        <v>3.2492669905861755E-12</v>
      </c>
      <c r="Q119" s="20">
        <f t="shared" si="107"/>
        <v>6.0761376450252565E-12</v>
      </c>
      <c r="R119" s="59">
        <f t="shared" si="55"/>
        <v>293.3333333333394</v>
      </c>
      <c r="S119" s="59">
        <f ca="1">AVERAGE(OFFSET($R$3,0,0,'Données projet'!$E$9+1,1))-AVERAGE(OFFSET($H$3,0,0,'Données projet'!$E$9+1,1))</f>
        <v>157.05226586109279</v>
      </c>
      <c r="T119" s="59">
        <f t="shared" si="88"/>
        <v>76.143582612540229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116.40532856825448</v>
      </c>
      <c r="AA119" s="21">
        <f>EXP(-LN(2)/25)*AA118+(1-EXP(-LN(2)/25))/(LN(2)/25)*Calculateur!V119*Calculateur!X119*VLOOKUP('Données projet'!$B$9,Paramètres!$A$1:$I$89,3,0)*0.475*44/12</f>
        <v>27.382146321615693</v>
      </c>
      <c r="AB119" s="21">
        <f>EXP(-LN(2)/2)*AB118+(1-EXP(-LN(2)/2))/(LN(2)/2)*V119*Y119*VLOOKUP('Données projet'!$B$9,Paramètres!$A$1:$I$89,3,0)*0.475*44/12</f>
        <v>1.6218103309237537</v>
      </c>
      <c r="AC119" s="22">
        <f t="shared" si="57"/>
        <v>145.40928522079392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-6.3550942286383367E-14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279.32192402750189</v>
      </c>
      <c r="AO119" s="59">
        <f t="shared" si="90"/>
        <v>371.43572414443611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67.720010238830696</v>
      </c>
      <c r="AV119" s="21">
        <f>EXP(-LN(2)/25)*AV118+(1-EXP(-LN(2)/25))/(LN(2)/25)*Calculateur!AQ119*Calculateur!AS119*VLOOKUP('Données projet'!$B$10,Paramètres!$A$1:$I$89,3,0)*0.475*44/12</f>
        <v>10.616153734490803</v>
      </c>
      <c r="AW119" s="21">
        <f>EXP(-LN(2)/2)*AW118+(1-EXP(-LN(2)/2))/(LN(2)/2)*AQ119*AT119*VLOOKUP('Données projet'!$B$10,Paramètres!$A$1:$I$89,3,0)*0.475*44/12</f>
        <v>2.2496739137436346E-8</v>
      </c>
      <c r="AX119" s="21">
        <f t="shared" si="60"/>
        <v>78.336163995818239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2.2737367544323206E-13</v>
      </c>
      <c r="BE119" s="13">
        <f>BD119*VLOOKUP('Données projet'!$B$11,Paramètres!$A$1:$I$89,3,0)*VLOOKUP('Données projet'!$B$11,Paramètres!$A$1:$I$89,5,0)</f>
        <v>1.064108801074326E-13</v>
      </c>
      <c r="BF119" s="13">
        <f t="shared" si="91"/>
        <v>1.5870730813698654E-12</v>
      </c>
      <c r="BG119" s="20">
        <f t="shared" si="61"/>
        <v>2.9494845662396269E-12</v>
      </c>
      <c r="BH119" s="59">
        <f t="shared" si="62"/>
        <v>293.33333333333627</v>
      </c>
      <c r="BI119" s="59">
        <f ca="1">AVERAGE(OFFSET($BH$3,0,0,'Données projet'!$E$11+1,1))-AVERAGE(OFFSET($H$3,0,0,'Données projet'!$E$11+1,1))</f>
        <v>297.07458564121606</v>
      </c>
      <c r="BJ119" s="59">
        <f t="shared" si="92"/>
        <v>514.93897725587567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41.71336933661248</v>
      </c>
      <c r="BQ119" s="21">
        <f>EXP(-LN(2)/25)*BQ118+(1-EXP(-LN(2)/25))/(LN(2)/25)*Calculateur!BL119*Calculateur!BN119*VLOOKUP('Données projet'!$B$11,Paramètres!$A$1:$I$89,3,0)*0.475*44/12</f>
        <v>26.910942550081039</v>
      </c>
      <c r="BR119" s="21">
        <f>EXP(-LN(2)/2)*BR118+(1-EXP(-LN(2)/2))/(LN(2)/2)*BL119*BO119*VLOOKUP('Données projet'!$B$11,Paramètres!$A$1:$I$89,3,0)*0.475*44/12</f>
        <v>6.2617281385975139E-13</v>
      </c>
      <c r="BS119" s="22">
        <f t="shared" si="63"/>
        <v>68.624311886694144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54.756000000000171</v>
      </c>
      <c r="D120" s="11">
        <f t="shared" si="86"/>
        <v>15.835447037242094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544.91643326994028</v>
      </c>
      <c r="H120" s="67">
        <f t="shared" si="56"/>
        <v>416.28010358986359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5.1159076974727213E-13</v>
      </c>
      <c r="O120" s="13">
        <f>N120*VLOOKUP('Données projet'!$B$9,Paramètres!$A$1:$I$89,3,0)*VLOOKUP('Données projet'!$B$9,Paramètres!$A$1:$I$89,5,0)</f>
        <v>2.3942448024172334E-13</v>
      </c>
      <c r="P120" s="13">
        <f t="shared" si="87"/>
        <v>3.2492669905861755E-12</v>
      </c>
      <c r="Q120" s="20">
        <f t="shared" si="107"/>
        <v>6.0761376450252565E-12</v>
      </c>
      <c r="R120" s="59">
        <f t="shared" si="55"/>
        <v>293.3333333333394</v>
      </c>
      <c r="S120" s="59">
        <f ca="1">AVERAGE(OFFSET($R$3,0,0,'Données projet'!$E$9+1,1))-AVERAGE(OFFSET($H$3,0,0,'Données projet'!$E$9+1,1))</f>
        <v>157.05226586109279</v>
      </c>
      <c r="T120" s="59">
        <f t="shared" si="88"/>
        <v>76.143582612540229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114.12269107527074</v>
      </c>
      <c r="AA120" s="21">
        <f>EXP(-LN(2)/25)*AA119+(1-EXP(-LN(2)/25))/(LN(2)/25)*Calculateur!V120*Calculateur!X120*VLOOKUP('Données projet'!$B$9,Paramètres!$A$1:$I$89,3,0)*0.475*44/12</f>
        <v>26.633380090486618</v>
      </c>
      <c r="AB120" s="21">
        <f>EXP(-LN(2)/2)*AB119+(1-EXP(-LN(2)/2))/(LN(2)/2)*V120*Y120*VLOOKUP('Données projet'!$B$9,Paramètres!$A$1:$I$89,3,0)*0.475*44/12</f>
        <v>1.1467930827945849</v>
      </c>
      <c r="AC120" s="22">
        <f t="shared" si="57"/>
        <v>141.90286424855194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-6.3550942286383367E-14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279.32192402750189</v>
      </c>
      <c r="AO120" s="59">
        <f t="shared" si="90"/>
        <v>371.43572414443611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66.392062143174925</v>
      </c>
      <c r="AV120" s="21">
        <f>EXP(-LN(2)/25)*AV119+(1-EXP(-LN(2)/25))/(LN(2)/25)*Calculateur!AQ120*Calculateur!AS120*VLOOKUP('Données projet'!$B$10,Paramètres!$A$1:$I$89,3,0)*0.475*44/12</f>
        <v>10.32585445234189</v>
      </c>
      <c r="AW120" s="21">
        <f>EXP(-LN(2)/2)*AW119+(1-EXP(-LN(2)/2))/(LN(2)/2)*AQ120*AT120*VLOOKUP('Données projet'!$B$10,Paramètres!$A$1:$I$89,3,0)*0.475*44/12</f>
        <v>1.5907596798666042E-8</v>
      </c>
      <c r="AX120" s="21">
        <f t="shared" si="60"/>
        <v>76.717916611424414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2.2737367544323206E-13</v>
      </c>
      <c r="BE120" s="13">
        <f>BD120*VLOOKUP('Données projet'!$B$11,Paramètres!$A$1:$I$89,3,0)*VLOOKUP('Données projet'!$B$11,Paramètres!$A$1:$I$89,5,0)</f>
        <v>1.064108801074326E-13</v>
      </c>
      <c r="BF120" s="13">
        <f t="shared" si="91"/>
        <v>1.5870730813698654E-12</v>
      </c>
      <c r="BG120" s="20">
        <f t="shared" si="61"/>
        <v>2.9494845662396269E-12</v>
      </c>
      <c r="BH120" s="59">
        <f t="shared" si="62"/>
        <v>293.33333333333627</v>
      </c>
      <c r="BI120" s="59">
        <f ca="1">AVERAGE(OFFSET($BH$3,0,0,'Données projet'!$E$11+1,1))-AVERAGE(OFFSET($H$3,0,0,'Données projet'!$E$11+1,1))</f>
        <v>297.07458564121606</v>
      </c>
      <c r="BJ120" s="59">
        <f t="shared" si="92"/>
        <v>514.93897725587567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40.895395606564556</v>
      </c>
      <c r="BQ120" s="21">
        <f>EXP(-LN(2)/25)*BQ119+(1-EXP(-LN(2)/25))/(LN(2)/25)*Calculateur!BL120*Calculateur!BN120*VLOOKUP('Données projet'!$B$11,Paramètres!$A$1:$I$89,3,0)*0.475*44/12</f>
        <v>26.17506141086411</v>
      </c>
      <c r="BR120" s="21">
        <f>EXP(-LN(2)/2)*BR119+(1-EXP(-LN(2)/2))/(LN(2)/2)*BL120*BO120*VLOOKUP('Données projet'!$B$11,Paramètres!$A$1:$I$89,3,0)*0.475*44/12</f>
        <v>4.4277104287489202E-13</v>
      </c>
      <c r="BS120" s="22">
        <f t="shared" si="63"/>
        <v>67.070457017429106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55.224000000000174</v>
      </c>
      <c r="D121" s="11">
        <f t="shared" si="86"/>
        <v>15.954979198073998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549.45176924829184</v>
      </c>
      <c r="H121" s="67">
        <f t="shared" si="56"/>
        <v>417.30338876997916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5.1159076974727213E-13</v>
      </c>
      <c r="O121" s="13">
        <f>N121*VLOOKUP('Données projet'!$B$9,Paramètres!$A$1:$I$89,3,0)*VLOOKUP('Données projet'!$B$9,Paramètres!$A$1:$I$89,5,0)</f>
        <v>2.3942448024172334E-13</v>
      </c>
      <c r="P121" s="13">
        <f t="shared" si="87"/>
        <v>3.2492669905861755E-12</v>
      </c>
      <c r="Q121" s="20">
        <f t="shared" si="107"/>
        <v>6.0761376450252565E-12</v>
      </c>
      <c r="R121" s="59">
        <f t="shared" si="55"/>
        <v>293.3333333333394</v>
      </c>
      <c r="S121" s="59">
        <f ca="1">AVERAGE(OFFSET($R$3,0,0,'Données projet'!$E$9+1,1))-AVERAGE(OFFSET($H$3,0,0,'Données projet'!$E$9+1,1))</f>
        <v>157.05226586109279</v>
      </c>
      <c r="T121" s="59">
        <f t="shared" si="88"/>
        <v>76.143582612540229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111.88481471125301</v>
      </c>
      <c r="AA121" s="21">
        <f>EXP(-LN(2)/25)*AA120+(1-EXP(-LN(2)/25))/(LN(2)/25)*Calculateur!V121*Calculateur!X121*VLOOKUP('Données projet'!$B$9,Paramètres!$A$1:$I$89,3,0)*0.475*44/12</f>
        <v>25.905088911323674</v>
      </c>
      <c r="AB121" s="21">
        <f>EXP(-LN(2)/2)*AB120+(1-EXP(-LN(2)/2))/(LN(2)/2)*V121*Y121*VLOOKUP('Données projet'!$B$9,Paramètres!$A$1:$I$89,3,0)*0.475*44/12</f>
        <v>0.81090516546187685</v>
      </c>
      <c r="AC121" s="22">
        <f t="shared" si="57"/>
        <v>138.60080878803856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-6.3550942286383367E-14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279.32192402750189</v>
      </c>
      <c r="AO121" s="59">
        <f t="shared" si="90"/>
        <v>371.43572414443611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65.090154299706612</v>
      </c>
      <c r="AV121" s="21">
        <f>EXP(-LN(2)/25)*AV120+(1-EXP(-LN(2)/25))/(LN(2)/25)*Calculateur!AQ121*Calculateur!AS121*VLOOKUP('Données projet'!$B$10,Paramètres!$A$1:$I$89,3,0)*0.475*44/12</f>
        <v>10.043493419329515</v>
      </c>
      <c r="AW121" s="21">
        <f>EXP(-LN(2)/2)*AW120+(1-EXP(-LN(2)/2))/(LN(2)/2)*AQ121*AT121*VLOOKUP('Données projet'!$B$10,Paramètres!$A$1:$I$89,3,0)*0.475*44/12</f>
        <v>1.1248369568718173E-8</v>
      </c>
      <c r="AX121" s="21">
        <f t="shared" si="60"/>
        <v>75.133647730284508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2.2737367544323206E-13</v>
      </c>
      <c r="BE121" s="13">
        <f>BD121*VLOOKUP('Données projet'!$B$11,Paramètres!$A$1:$I$89,3,0)*VLOOKUP('Données projet'!$B$11,Paramètres!$A$1:$I$89,5,0)</f>
        <v>1.064108801074326E-13</v>
      </c>
      <c r="BF121" s="13">
        <f t="shared" si="91"/>
        <v>1.5870730813698654E-12</v>
      </c>
      <c r="BG121" s="20">
        <f t="shared" si="61"/>
        <v>2.9494845662396269E-12</v>
      </c>
      <c r="BH121" s="59">
        <f t="shared" si="62"/>
        <v>293.33333333333627</v>
      </c>
      <c r="BI121" s="59">
        <f ca="1">AVERAGE(OFFSET($BH$3,0,0,'Données projet'!$E$11+1,1))-AVERAGE(OFFSET($H$3,0,0,'Données projet'!$E$11+1,1))</f>
        <v>297.07458564121606</v>
      </c>
      <c r="BJ121" s="59">
        <f t="shared" si="92"/>
        <v>514.93897725587567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40.093461842448157</v>
      </c>
      <c r="BQ121" s="21">
        <f>EXP(-LN(2)/25)*BQ120+(1-EXP(-LN(2)/25))/(LN(2)/25)*Calculateur!BL121*Calculateur!BN121*VLOOKUP('Données projet'!$B$11,Paramètres!$A$1:$I$89,3,0)*0.475*44/12</f>
        <v>25.459302980097377</v>
      </c>
      <c r="BR121" s="21">
        <f>EXP(-LN(2)/2)*BR120+(1-EXP(-LN(2)/2))/(LN(2)/2)*BL121*BO121*VLOOKUP('Données projet'!$B$11,Paramètres!$A$1:$I$89,3,0)*0.475*44/12</f>
        <v>3.1308640692987575E-13</v>
      </c>
      <c r="BS121" s="22">
        <f t="shared" si="63"/>
        <v>65.552764822545839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55.692000000000178</v>
      </c>
      <c r="D122" s="11">
        <f t="shared" si="86"/>
        <v>16.074393504165254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553.98619547075066</v>
      </c>
      <c r="H122" s="67">
        <f t="shared" si="56"/>
        <v>418.32646868642144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5.1159076974727213E-13</v>
      </c>
      <c r="O122" s="13">
        <f>N122*VLOOKUP('Données projet'!$B$9,Paramètres!$A$1:$I$89,3,0)*VLOOKUP('Données projet'!$B$9,Paramètres!$A$1:$I$89,5,0)</f>
        <v>2.3942448024172334E-13</v>
      </c>
      <c r="P122" s="13">
        <f t="shared" si="87"/>
        <v>3.2492669905861755E-12</v>
      </c>
      <c r="Q122" s="20">
        <f t="shared" si="107"/>
        <v>6.0761376450252565E-12</v>
      </c>
      <c r="R122" s="59">
        <f t="shared" si="55"/>
        <v>293.3333333333394</v>
      </c>
      <c r="S122" s="59">
        <f ca="1">AVERAGE(OFFSET($R$3,0,0,'Données projet'!$E$9+1,1))-AVERAGE(OFFSET($H$3,0,0,'Données projet'!$E$9+1,1))</f>
        <v>157.05226586109279</v>
      </c>
      <c r="T122" s="59">
        <f t="shared" si="88"/>
        <v>76.143582612540229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109.69082173776388</v>
      </c>
      <c r="AA122" s="21">
        <f>EXP(-LN(2)/25)*AA121+(1-EXP(-LN(2)/25))/(LN(2)/25)*Calculateur!V122*Calculateur!X122*VLOOKUP('Données projet'!$B$9,Paramètres!$A$1:$I$89,3,0)*0.475*44/12</f>
        <v>25.19671289275411</v>
      </c>
      <c r="AB122" s="21">
        <f>EXP(-LN(2)/2)*AB121+(1-EXP(-LN(2)/2))/(LN(2)/2)*V122*Y122*VLOOKUP('Données projet'!$B$9,Paramètres!$A$1:$I$89,3,0)*0.475*44/12</f>
        <v>0.57339654139729246</v>
      </c>
      <c r="AC122" s="22">
        <f t="shared" si="57"/>
        <v>135.46093117191529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-6.3550942286383367E-14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279.32192402750189</v>
      </c>
      <c r="AO122" s="59">
        <f t="shared" si="90"/>
        <v>371.43572414443611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63.813776074963336</v>
      </c>
      <c r="AV122" s="21">
        <f>EXP(-LN(2)/25)*AV121+(1-EXP(-LN(2)/25))/(LN(2)/25)*Calculateur!AQ122*Calculateur!AS122*VLOOKUP('Données projet'!$B$10,Paramètres!$A$1:$I$89,3,0)*0.475*44/12</f>
        <v>9.7688535636135843</v>
      </c>
      <c r="AW122" s="21">
        <f>EXP(-LN(2)/2)*AW121+(1-EXP(-LN(2)/2))/(LN(2)/2)*AQ122*AT122*VLOOKUP('Données projet'!$B$10,Paramètres!$A$1:$I$89,3,0)*0.475*44/12</f>
        <v>7.953798399333021E-9</v>
      </c>
      <c r="AX122" s="21">
        <f t="shared" si="60"/>
        <v>73.582629646530719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2.2737367544323206E-13</v>
      </c>
      <c r="BE122" s="13">
        <f>BD122*VLOOKUP('Données projet'!$B$11,Paramètres!$A$1:$I$89,3,0)*VLOOKUP('Données projet'!$B$11,Paramètres!$A$1:$I$89,5,0)</f>
        <v>1.064108801074326E-13</v>
      </c>
      <c r="BF122" s="13">
        <f t="shared" si="91"/>
        <v>1.5870730813698654E-12</v>
      </c>
      <c r="BG122" s="20">
        <f t="shared" si="61"/>
        <v>2.9494845662396269E-12</v>
      </c>
      <c r="BH122" s="59">
        <f t="shared" si="62"/>
        <v>293.33333333333627</v>
      </c>
      <c r="BI122" s="59">
        <f ca="1">AVERAGE(OFFSET($BH$3,0,0,'Données projet'!$E$11+1,1))-AVERAGE(OFFSET($H$3,0,0,'Données projet'!$E$11+1,1))</f>
        <v>297.07458564121606</v>
      </c>
      <c r="BJ122" s="59">
        <f t="shared" si="92"/>
        <v>514.93897725587567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39.30725351031478</v>
      </c>
      <c r="BQ122" s="21">
        <f>EXP(-LN(2)/25)*BQ121+(1-EXP(-LN(2)/25))/(LN(2)/25)*Calculateur!BL122*Calculateur!BN122*VLOOKUP('Données projet'!$B$11,Paramètres!$A$1:$I$89,3,0)*0.475*44/12</f>
        <v>24.76311700126006</v>
      </c>
      <c r="BR122" s="21">
        <f>EXP(-LN(2)/2)*BR121+(1-EXP(-LN(2)/2))/(LN(2)/2)*BL122*BO122*VLOOKUP('Données projet'!$B$11,Paramètres!$A$1:$I$89,3,0)*0.475*44/12</f>
        <v>2.2138552143744604E-13</v>
      </c>
      <c r="BS122" s="22">
        <f t="shared" si="63"/>
        <v>64.070370511575064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56.160000000000181</v>
      </c>
      <c r="D123" s="11">
        <f t="shared" si="86"/>
        <v>16.193691060657081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558.51972046823164</v>
      </c>
      <c r="H123" s="67">
        <f t="shared" si="56"/>
        <v>419.34934526397802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5.1159076974727213E-13</v>
      </c>
      <c r="O123" s="13">
        <f>N123*VLOOKUP('Données projet'!$B$9,Paramètres!$A$1:$I$89,3,0)*VLOOKUP('Données projet'!$B$9,Paramètres!$A$1:$I$89,5,0)</f>
        <v>2.3942448024172334E-13</v>
      </c>
      <c r="P123" s="13">
        <f t="shared" si="87"/>
        <v>3.2492669905861755E-12</v>
      </c>
      <c r="Q123" s="20">
        <f t="shared" si="107"/>
        <v>6.0761376450252565E-12</v>
      </c>
      <c r="R123" s="59">
        <f t="shared" si="55"/>
        <v>293.3333333333394</v>
      </c>
      <c r="S123" s="59">
        <f ca="1">AVERAGE(OFFSET($R$3,0,0,'Données projet'!$E$9+1,1))-AVERAGE(OFFSET($H$3,0,0,'Données projet'!$E$9+1,1))</f>
        <v>157.05226586109279</v>
      </c>
      <c r="T123" s="59">
        <f t="shared" si="88"/>
        <v>76.143582612540229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107.5398516282813</v>
      </c>
      <c r="AA123" s="21">
        <f>EXP(-LN(2)/25)*AA122+(1-EXP(-LN(2)/25))/(LN(2)/25)*Calculateur!V123*Calculateur!X123*VLOOKUP('Données projet'!$B$9,Paramètres!$A$1:$I$89,3,0)*0.475*44/12</f>
        <v>24.507707453664207</v>
      </c>
      <c r="AB123" s="21">
        <f>EXP(-LN(2)/2)*AB122+(1-EXP(-LN(2)/2))/(LN(2)/2)*V123*Y123*VLOOKUP('Données projet'!$B$9,Paramètres!$A$1:$I$89,3,0)*0.475*44/12</f>
        <v>0.40545258273093843</v>
      </c>
      <c r="AC123" s="22">
        <f t="shared" si="57"/>
        <v>132.45301166467644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-6.3550942286383367E-14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279.32192402750189</v>
      </c>
      <c r="AO123" s="59">
        <f t="shared" si="90"/>
        <v>371.43572414443611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62.562426848693427</v>
      </c>
      <c r="AV123" s="21">
        <f>EXP(-LN(2)/25)*AV122+(1-EXP(-LN(2)/25))/(LN(2)/25)*Calculateur!AQ123*Calculateur!AS123*VLOOKUP('Données projet'!$B$10,Paramètres!$A$1:$I$89,3,0)*0.475*44/12</f>
        <v>9.5017237491948894</v>
      </c>
      <c r="AW123" s="21">
        <f>EXP(-LN(2)/2)*AW122+(1-EXP(-LN(2)/2))/(LN(2)/2)*AQ123*AT123*VLOOKUP('Données projet'!$B$10,Paramètres!$A$1:$I$89,3,0)*0.475*44/12</f>
        <v>5.6241847843590864E-9</v>
      </c>
      <c r="AX123" s="21">
        <f t="shared" si="60"/>
        <v>72.064150603512502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2.2737367544323206E-13</v>
      </c>
      <c r="BE123" s="13">
        <f>BD123*VLOOKUP('Données projet'!$B$11,Paramètres!$A$1:$I$89,3,0)*VLOOKUP('Données projet'!$B$11,Paramètres!$A$1:$I$89,5,0)</f>
        <v>1.064108801074326E-13</v>
      </c>
      <c r="BF123" s="13">
        <f t="shared" si="91"/>
        <v>1.5870730813698654E-12</v>
      </c>
      <c r="BG123" s="20">
        <f t="shared" si="61"/>
        <v>2.9494845662396269E-12</v>
      </c>
      <c r="BH123" s="59">
        <f t="shared" si="62"/>
        <v>293.33333333333627</v>
      </c>
      <c r="BI123" s="59">
        <f ca="1">AVERAGE(OFFSET($BH$3,0,0,'Données projet'!$E$11+1,1))-AVERAGE(OFFSET($H$3,0,0,'Données projet'!$E$11+1,1))</f>
        <v>297.07458564121606</v>
      </c>
      <c r="BJ123" s="59">
        <f t="shared" si="92"/>
        <v>514.93897725587567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38.536462244034809</v>
      </c>
      <c r="BQ123" s="21">
        <f>EXP(-LN(2)/25)*BQ122+(1-EXP(-LN(2)/25))/(LN(2)/25)*Calculateur!BL123*Calculateur!BN123*VLOOKUP('Données projet'!$B$11,Paramètres!$A$1:$I$89,3,0)*0.475*44/12</f>
        <v>24.085968264624878</v>
      </c>
      <c r="BR123" s="21">
        <f>EXP(-LN(2)/2)*BR122+(1-EXP(-LN(2)/2))/(LN(2)/2)*BL123*BO123*VLOOKUP('Données projet'!$B$11,Paramètres!$A$1:$I$89,3,0)*0.475*44/12</f>
        <v>1.565432034649379E-13</v>
      </c>
      <c r="BS123" s="22">
        <f t="shared" si="63"/>
        <v>62.622430508659846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56.628000000000185</v>
      </c>
      <c r="D124" s="11">
        <f t="shared" si="86"/>
        <v>16.312872953208569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563.05235262126064</v>
      </c>
      <c r="H124" s="67">
        <f t="shared" si="56"/>
        <v>420.37202039350524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5.1159076974727213E-13</v>
      </c>
      <c r="O124" s="13">
        <f>N124*VLOOKUP('Données projet'!$B$9,Paramètres!$A$1:$I$89,3,0)*VLOOKUP('Données projet'!$B$9,Paramètres!$A$1:$I$89,5,0)</f>
        <v>2.3942448024172334E-13</v>
      </c>
      <c r="P124" s="13">
        <f t="shared" si="87"/>
        <v>3.2492669905861755E-12</v>
      </c>
      <c r="Q124" s="20">
        <f t="shared" si="107"/>
        <v>6.0761376450252565E-12</v>
      </c>
      <c r="R124" s="59">
        <f t="shared" si="55"/>
        <v>293.3333333333394</v>
      </c>
      <c r="S124" s="59">
        <f ca="1">AVERAGE(OFFSET($R$3,0,0,'Données projet'!$E$9+1,1))-AVERAGE(OFFSET($H$3,0,0,'Données projet'!$E$9+1,1))</f>
        <v>157.05226586109279</v>
      </c>
      <c r="T124" s="59">
        <f t="shared" si="88"/>
        <v>76.143582612540229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105.43106073068344</v>
      </c>
      <c r="AA124" s="21">
        <f>EXP(-LN(2)/25)*AA123+(1-EXP(-LN(2)/25))/(LN(2)/25)*Calculateur!V124*Calculateur!X124*VLOOKUP('Données projet'!$B$9,Paramètres!$A$1:$I$89,3,0)*0.475*44/12</f>
        <v>23.837542904539436</v>
      </c>
      <c r="AB124" s="21">
        <f>EXP(-LN(2)/2)*AB123+(1-EXP(-LN(2)/2))/(LN(2)/2)*V124*Y124*VLOOKUP('Données projet'!$B$9,Paramètres!$A$1:$I$89,3,0)*0.475*44/12</f>
        <v>0.28669827069864623</v>
      </c>
      <c r="AC124" s="22">
        <f t="shared" si="57"/>
        <v>129.55530190592154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-6.3550942286383367E-14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279.32192402750189</v>
      </c>
      <c r="AO124" s="59">
        <f t="shared" si="90"/>
        <v>371.43572414443611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61.335615817503005</v>
      </c>
      <c r="AV124" s="21">
        <f>EXP(-LN(2)/25)*AV123+(1-EXP(-LN(2)/25))/(LN(2)/25)*Calculateur!AQ124*Calculateur!AS124*VLOOKUP('Données projet'!$B$10,Paramètres!$A$1:$I$89,3,0)*0.475*44/12</f>
        <v>9.2418986135992203</v>
      </c>
      <c r="AW124" s="21">
        <f>EXP(-LN(2)/2)*AW123+(1-EXP(-LN(2)/2))/(LN(2)/2)*AQ124*AT124*VLOOKUP('Données projet'!$B$10,Paramètres!$A$1:$I$89,3,0)*0.475*44/12</f>
        <v>3.9768991996665105E-9</v>
      </c>
      <c r="AX124" s="21">
        <f t="shared" si="60"/>
        <v>70.577514435079124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2.2737367544323206E-13</v>
      </c>
      <c r="BE124" s="13">
        <f>BD124*VLOOKUP('Données projet'!$B$11,Paramètres!$A$1:$I$89,3,0)*VLOOKUP('Données projet'!$B$11,Paramètres!$A$1:$I$89,5,0)</f>
        <v>1.064108801074326E-13</v>
      </c>
      <c r="BF124" s="13">
        <f t="shared" si="91"/>
        <v>1.5870730813698654E-12</v>
      </c>
      <c r="BG124" s="20">
        <f t="shared" si="61"/>
        <v>2.9494845662396269E-12</v>
      </c>
      <c r="BH124" s="59">
        <f t="shared" si="62"/>
        <v>293.33333333333627</v>
      </c>
      <c r="BI124" s="59">
        <f ca="1">AVERAGE(OFFSET($BH$3,0,0,'Données projet'!$E$11+1,1))-AVERAGE(OFFSET($H$3,0,0,'Données projet'!$E$11+1,1))</f>
        <v>297.07458564121606</v>
      </c>
      <c r="BJ124" s="59">
        <f t="shared" si="92"/>
        <v>514.93897725587567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37.780785724350338</v>
      </c>
      <c r="BQ124" s="21">
        <f>EXP(-LN(2)/25)*BQ123+(1-EXP(-LN(2)/25))/(LN(2)/25)*Calculateur!BL124*Calculateur!BN124*VLOOKUP('Données projet'!$B$11,Paramètres!$A$1:$I$89,3,0)*0.475*44/12</f>
        <v>23.427336195802688</v>
      </c>
      <c r="BR124" s="21">
        <f>EXP(-LN(2)/2)*BR123+(1-EXP(-LN(2)/2))/(LN(2)/2)*BL124*BO124*VLOOKUP('Données projet'!$B$11,Paramètres!$A$1:$I$89,3,0)*0.475*44/12</f>
        <v>1.1069276071872304E-13</v>
      </c>
      <c r="BS124" s="22">
        <f t="shared" si="63"/>
        <v>61.20812192015314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57.096000000000188</v>
      </c>
      <c r="D125" s="11">
        <f t="shared" si="86"/>
        <v>16.431940248498069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567.58410016384607</v>
      </c>
      <c r="H125" s="67">
        <f t="shared" si="56"/>
        <v>421.39449593280108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5.1159076974727213E-13</v>
      </c>
      <c r="O125" s="13">
        <f>N125*VLOOKUP('Données projet'!$B$9,Paramètres!$A$1:$I$89,3,0)*VLOOKUP('Données projet'!$B$9,Paramètres!$A$1:$I$89,5,0)</f>
        <v>2.3942448024172334E-13</v>
      </c>
      <c r="P125" s="13">
        <f t="shared" si="87"/>
        <v>3.2492669905861755E-12</v>
      </c>
      <c r="Q125" s="20">
        <f t="shared" si="107"/>
        <v>6.0761376450252565E-12</v>
      </c>
      <c r="R125" s="59">
        <f t="shared" si="55"/>
        <v>293.3333333333394</v>
      </c>
      <c r="S125" s="59">
        <f ca="1">AVERAGE(OFFSET($R$3,0,0,'Données projet'!$E$9+1,1))-AVERAGE(OFFSET($H$3,0,0,'Données projet'!$E$9+1,1))</f>
        <v>157.05226586109279</v>
      </c>
      <c r="T125" s="59">
        <f t="shared" si="88"/>
        <v>76.143582612540229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103.36362193635203</v>
      </c>
      <c r="AA125" s="21">
        <f>EXP(-LN(2)/25)*AA124+(1-EXP(-LN(2)/25))/(LN(2)/25)*Calculateur!V125*Calculateur!X125*VLOOKUP('Données projet'!$B$9,Paramètres!$A$1:$I$89,3,0)*0.475*44/12</f>
        <v>23.185704040252904</v>
      </c>
      <c r="AB125" s="21">
        <f>EXP(-LN(2)/2)*AB124+(1-EXP(-LN(2)/2))/(LN(2)/2)*V125*Y125*VLOOKUP('Données projet'!$B$9,Paramètres!$A$1:$I$89,3,0)*0.475*44/12</f>
        <v>0.20272629136546921</v>
      </c>
      <c r="AC125" s="22">
        <f t="shared" si="57"/>
        <v>126.7520522679704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-6.3550942286383367E-14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279.32192402750189</v>
      </c>
      <c r="AO125" s="59">
        <f t="shared" si="90"/>
        <v>371.43572414443611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60.132861802353389</v>
      </c>
      <c r="AV125" s="21">
        <f>EXP(-LN(2)/25)*AV124+(1-EXP(-LN(2)/25))/(LN(2)/25)*Calculateur!AQ125*Calculateur!AS125*VLOOKUP('Données projet'!$B$10,Paramètres!$A$1:$I$89,3,0)*0.475*44/12</f>
        <v>8.989178410000024</v>
      </c>
      <c r="AW125" s="21">
        <f>EXP(-LN(2)/2)*AW124+(1-EXP(-LN(2)/2))/(LN(2)/2)*AQ125*AT125*VLOOKUP('Données projet'!$B$10,Paramètres!$A$1:$I$89,3,0)*0.475*44/12</f>
        <v>2.8120923921795432E-9</v>
      </c>
      <c r="AX125" s="21">
        <f t="shared" si="60"/>
        <v>69.122040215165498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2.2737367544323206E-13</v>
      </c>
      <c r="BE125" s="13">
        <f>BD125*VLOOKUP('Données projet'!$B$11,Paramètres!$A$1:$I$89,3,0)*VLOOKUP('Données projet'!$B$11,Paramètres!$A$1:$I$89,5,0)</f>
        <v>1.064108801074326E-13</v>
      </c>
      <c r="BF125" s="13">
        <f t="shared" si="91"/>
        <v>1.5870730813698654E-12</v>
      </c>
      <c r="BG125" s="20">
        <f t="shared" si="61"/>
        <v>2.9494845662396269E-12</v>
      </c>
      <c r="BH125" s="59">
        <f t="shared" si="62"/>
        <v>293.33333333333627</v>
      </c>
      <c r="BI125" s="59">
        <f ca="1">AVERAGE(OFFSET($BH$3,0,0,'Données projet'!$E$11+1,1))-AVERAGE(OFFSET($H$3,0,0,'Données projet'!$E$11+1,1))</f>
        <v>297.07458564121606</v>
      </c>
      <c r="BJ125" s="59">
        <f t="shared" si="92"/>
        <v>514.93897725587567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37.039927560299716</v>
      </c>
      <c r="BQ125" s="21">
        <f>EXP(-LN(2)/25)*BQ124+(1-EXP(-LN(2)/25))/(LN(2)/25)*Calculateur!BL125*Calculateur!BN125*VLOOKUP('Données projet'!$B$11,Paramètres!$A$1:$I$89,3,0)*0.475*44/12</f>
        <v>22.786714455538398</v>
      </c>
      <c r="BR125" s="21">
        <f>EXP(-LN(2)/2)*BR124+(1-EXP(-LN(2)/2))/(LN(2)/2)*BL125*BO125*VLOOKUP('Données projet'!$B$11,Paramètres!$A$1:$I$89,3,0)*0.475*44/12</f>
        <v>7.8271601732468962E-14</v>
      </c>
      <c r="BS125" s="22">
        <f t="shared" si="63"/>
        <v>59.826642015838196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57.564000000000192</v>
      </c>
      <c r="D126" s="11">
        <f t="shared" si="86"/>
        <v>16.55089399470792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572.11497118722059</v>
      </c>
      <c r="H126" s="67">
        <f t="shared" si="56"/>
        <v>422.41677370744992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5.1159076974727213E-13</v>
      </c>
      <c r="O126" s="13">
        <f>N126*VLOOKUP('Données projet'!$B$9,Paramètres!$A$1:$I$89,3,0)*VLOOKUP('Données projet'!$B$9,Paramètres!$A$1:$I$89,5,0)</f>
        <v>2.3942448024172334E-13</v>
      </c>
      <c r="P126" s="13">
        <f t="shared" si="87"/>
        <v>3.2492669905861755E-12</v>
      </c>
      <c r="Q126" s="20">
        <f t="shared" si="107"/>
        <v>6.0761376450252565E-12</v>
      </c>
      <c r="R126" s="59">
        <f t="shared" si="55"/>
        <v>293.3333333333394</v>
      </c>
      <c r="S126" s="59">
        <f ca="1">AVERAGE(OFFSET($R$3,0,0,'Données projet'!$E$9+1,1))-AVERAGE(OFFSET($H$3,0,0,'Données projet'!$E$9+1,1))</f>
        <v>157.05226586109279</v>
      </c>
      <c r="T126" s="59">
        <f t="shared" si="88"/>
        <v>76.143582612540229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101.33672435576432</v>
      </c>
      <c r="AA126" s="21">
        <f>EXP(-LN(2)/25)*AA125+(1-EXP(-LN(2)/25))/(LN(2)/25)*Calculateur!V126*Calculateur!X126*VLOOKUP('Données projet'!$B$9,Paramètres!$A$1:$I$89,3,0)*0.475*44/12</f>
        <v>22.551689743989005</v>
      </c>
      <c r="AB126" s="21">
        <f>EXP(-LN(2)/2)*AB125+(1-EXP(-LN(2)/2))/(LN(2)/2)*V126*Y126*VLOOKUP('Données projet'!$B$9,Paramètres!$A$1:$I$89,3,0)*0.475*44/12</f>
        <v>0.14334913534932311</v>
      </c>
      <c r="AC126" s="22">
        <f t="shared" si="57"/>
        <v>124.03176323510264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-6.3550942286383367E-14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279.32192402750189</v>
      </c>
      <c r="AO126" s="59">
        <f t="shared" si="90"/>
        <v>371.43572414443611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58.953693059833341</v>
      </c>
      <c r="AV126" s="21">
        <f>EXP(-LN(2)/25)*AV125+(1-EXP(-LN(2)/25))/(LN(2)/25)*Calculateur!AQ126*Calculateur!AS126*VLOOKUP('Données projet'!$B$10,Paramètres!$A$1:$I$89,3,0)*0.475*44/12</f>
        <v>8.7433688536582252</v>
      </c>
      <c r="AW126" s="21">
        <f>EXP(-LN(2)/2)*AW125+(1-EXP(-LN(2)/2))/(LN(2)/2)*AQ126*AT126*VLOOKUP('Données projet'!$B$10,Paramètres!$A$1:$I$89,3,0)*0.475*44/12</f>
        <v>1.9884495998332552E-9</v>
      </c>
      <c r="AX126" s="21">
        <f t="shared" si="60"/>
        <v>67.69706191548002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2.2737367544323206E-13</v>
      </c>
      <c r="BE126" s="13">
        <f>BD126*VLOOKUP('Données projet'!$B$11,Paramètres!$A$1:$I$89,3,0)*VLOOKUP('Données projet'!$B$11,Paramètres!$A$1:$I$89,5,0)</f>
        <v>1.064108801074326E-13</v>
      </c>
      <c r="BF126" s="13">
        <f t="shared" si="91"/>
        <v>1.5870730813698654E-12</v>
      </c>
      <c r="BG126" s="20">
        <f t="shared" si="61"/>
        <v>2.9494845662396269E-12</v>
      </c>
      <c r="BH126" s="59">
        <f t="shared" si="62"/>
        <v>293.33333333333627</v>
      </c>
      <c r="BI126" s="59">
        <f ca="1">AVERAGE(OFFSET($BH$3,0,0,'Données projet'!$E$11+1,1))-AVERAGE(OFFSET($H$3,0,0,'Données projet'!$E$11+1,1))</f>
        <v>297.07458564121606</v>
      </c>
      <c r="BJ126" s="59">
        <f t="shared" si="92"/>
        <v>514.93897725587567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36.313597172967263</v>
      </c>
      <c r="BQ126" s="21">
        <f>EXP(-LN(2)/25)*BQ125+(1-EXP(-LN(2)/25))/(LN(2)/25)*Calculateur!BL126*Calculateur!BN126*VLOOKUP('Données projet'!$B$11,Paramètres!$A$1:$I$89,3,0)*0.475*44/12</f>
        <v>22.163610550450468</v>
      </c>
      <c r="BR126" s="21">
        <f>EXP(-LN(2)/2)*BR125+(1-EXP(-LN(2)/2))/(LN(2)/2)*BL126*BO126*VLOOKUP('Données projet'!$B$11,Paramètres!$A$1:$I$89,3,0)*0.475*44/12</f>
        <v>5.5346380359361528E-14</v>
      </c>
      <c r="BS126" s="22">
        <f t="shared" si="63"/>
        <v>58.477207723417791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58.032000000000195</v>
      </c>
      <c r="D127" s="11">
        <f t="shared" si="86"/>
        <v>16.669735221992848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576.64497364345516</v>
      </c>
      <c r="H127" s="67">
        <f t="shared" si="56"/>
        <v>423.43885551163788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5.1159076974727213E-13</v>
      </c>
      <c r="O127" s="13">
        <f>N127*VLOOKUP('Données projet'!$B$9,Paramètres!$A$1:$I$89,3,0)*VLOOKUP('Données projet'!$B$9,Paramètres!$A$1:$I$89,5,0)</f>
        <v>2.3942448024172334E-13</v>
      </c>
      <c r="P127" s="13">
        <f t="shared" si="87"/>
        <v>3.2492669905861755E-12</v>
      </c>
      <c r="Q127" s="20">
        <f t="shared" si="107"/>
        <v>6.0761376450252565E-12</v>
      </c>
      <c r="R127" s="59">
        <f t="shared" si="55"/>
        <v>293.3333333333394</v>
      </c>
      <c r="S127" s="59">
        <f ca="1">AVERAGE(OFFSET($R$3,0,0,'Données projet'!$E$9+1,1))-AVERAGE(OFFSET($H$3,0,0,'Données projet'!$E$9+1,1))</f>
        <v>157.05226586109279</v>
      </c>
      <c r="T127" s="59">
        <f t="shared" si="88"/>
        <v>76.143582612540229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99.349573000446469</v>
      </c>
      <c r="AA127" s="21">
        <f>EXP(-LN(2)/25)*AA126+(1-EXP(-LN(2)/25))/(LN(2)/25)*Calculateur!V127*Calculateur!X127*VLOOKUP('Données projet'!$B$9,Paramètres!$A$1:$I$89,3,0)*0.475*44/12</f>
        <v>21.935012601997805</v>
      </c>
      <c r="AB127" s="21">
        <f>EXP(-LN(2)/2)*AB126+(1-EXP(-LN(2)/2))/(LN(2)/2)*V127*Y127*VLOOKUP('Données projet'!$B$9,Paramètres!$A$1:$I$89,3,0)*0.475*44/12</f>
        <v>0.10136314568273461</v>
      </c>
      <c r="AC127" s="22">
        <f t="shared" si="57"/>
        <v>121.38594874812702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-6.3550942286383367E-14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279.32192402750189</v>
      </c>
      <c r="AO127" s="59">
        <f t="shared" si="90"/>
        <v>371.43572414443611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57.797647097132199</v>
      </c>
      <c r="AV127" s="21">
        <f>EXP(-LN(2)/25)*AV126+(1-EXP(-LN(2)/25))/(LN(2)/25)*Calculateur!AQ127*Calculateur!AS127*VLOOKUP('Données projet'!$B$10,Paramètres!$A$1:$I$89,3,0)*0.475*44/12</f>
        <v>8.5042809725611566</v>
      </c>
      <c r="AW127" s="21">
        <f>EXP(-LN(2)/2)*AW126+(1-EXP(-LN(2)/2))/(LN(2)/2)*AQ127*AT127*VLOOKUP('Données projet'!$B$10,Paramètres!$A$1:$I$89,3,0)*0.475*44/12</f>
        <v>1.4060461960897716E-9</v>
      </c>
      <c r="AX127" s="21">
        <f t="shared" si="60"/>
        <v>66.301928071099411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2.2737367544323206E-13</v>
      </c>
      <c r="BE127" s="13">
        <f>BD127*VLOOKUP('Données projet'!$B$11,Paramètres!$A$1:$I$89,3,0)*VLOOKUP('Données projet'!$B$11,Paramètres!$A$1:$I$89,5,0)</f>
        <v>1.064108801074326E-13</v>
      </c>
      <c r="BF127" s="13">
        <f t="shared" si="91"/>
        <v>1.5870730813698654E-12</v>
      </c>
      <c r="BG127" s="20">
        <f t="shared" si="61"/>
        <v>2.9494845662396269E-12</v>
      </c>
      <c r="BH127" s="59">
        <f t="shared" si="62"/>
        <v>293.33333333333627</v>
      </c>
      <c r="BI127" s="59">
        <f ca="1">AVERAGE(OFFSET($BH$3,0,0,'Données projet'!$E$11+1,1))-AVERAGE(OFFSET($H$3,0,0,'Données projet'!$E$11+1,1))</f>
        <v>297.07458564121606</v>
      </c>
      <c r="BJ127" s="59">
        <f t="shared" si="92"/>
        <v>514.93897725587567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35.60150968151261</v>
      </c>
      <c r="BQ127" s="21">
        <f>EXP(-LN(2)/25)*BQ126+(1-EXP(-LN(2)/25))/(LN(2)/25)*Calculateur!BL127*Calculateur!BN127*VLOOKUP('Données projet'!$B$11,Paramètres!$A$1:$I$89,3,0)*0.475*44/12</f>
        <v>21.557545454414775</v>
      </c>
      <c r="BR127" s="21">
        <f>EXP(-LN(2)/2)*BR126+(1-EXP(-LN(2)/2))/(LN(2)/2)*BL127*BO127*VLOOKUP('Données projet'!$B$11,Paramètres!$A$1:$I$89,3,0)*0.475*44/12</f>
        <v>3.9135800866234487E-14</v>
      </c>
      <c r="BS127" s="22">
        <f t="shared" si="63"/>
        <v>57.159055135927431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58.500000000000199</v>
      </c>
      <c r="D128" s="11">
        <f t="shared" si="86"/>
        <v>16.788464942932855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581.17411534895689</v>
      </c>
      <c r="H128" s="67">
        <f t="shared" si="56"/>
        <v>424.4607431089417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5.1159076974727213E-13</v>
      </c>
      <c r="O128" s="13">
        <f>N128*VLOOKUP('Données projet'!$B$9,Paramètres!$A$1:$I$89,3,0)*VLOOKUP('Données projet'!$B$9,Paramètres!$A$1:$I$89,5,0)</f>
        <v>2.3942448024172334E-13</v>
      </c>
      <c r="P128" s="13">
        <f t="shared" si="87"/>
        <v>3.2492669905861755E-12</v>
      </c>
      <c r="Q128" s="20">
        <f t="shared" si="107"/>
        <v>6.0761376450252565E-12</v>
      </c>
      <c r="R128" s="59">
        <f t="shared" si="55"/>
        <v>293.3333333333394</v>
      </c>
      <c r="S128" s="59">
        <f ca="1">AVERAGE(OFFSET($R$3,0,0,'Données projet'!$E$9+1,1))-AVERAGE(OFFSET($H$3,0,0,'Données projet'!$E$9+1,1))</f>
        <v>157.05226586109279</v>
      </c>
      <c r="T128" s="59">
        <f t="shared" si="88"/>
        <v>76.143582612540229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97.401388471163756</v>
      </c>
      <c r="AA128" s="21">
        <f>EXP(-LN(2)/25)*AA127+(1-EXP(-LN(2)/25))/(LN(2)/25)*Calculateur!V128*Calculateur!X128*VLOOKUP('Données projet'!$B$9,Paramètres!$A$1:$I$89,3,0)*0.475*44/12</f>
        <v>21.335198528883996</v>
      </c>
      <c r="AB128" s="21">
        <f>EXP(-LN(2)/2)*AB127+(1-EXP(-LN(2)/2))/(LN(2)/2)*V128*Y128*VLOOKUP('Données projet'!$B$9,Paramètres!$A$1:$I$89,3,0)*0.475*44/12</f>
        <v>7.1674567674661557E-2</v>
      </c>
      <c r="AC128" s="22">
        <f t="shared" si="57"/>
        <v>118.80826156772241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-6.3550942286383367E-14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279.32192402750189</v>
      </c>
      <c r="AO128" s="59">
        <f t="shared" si="90"/>
        <v>371.43572414443611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56.664270490641215</v>
      </c>
      <c r="AV128" s="21">
        <f>EXP(-LN(2)/25)*AV127+(1-EXP(-LN(2)/25))/(LN(2)/25)*Calculateur!AQ128*Calculateur!AS128*VLOOKUP('Données projet'!$B$10,Paramètres!$A$1:$I$89,3,0)*0.475*44/12</f>
        <v>8.2717309621457726</v>
      </c>
      <c r="AW128" s="21">
        <f>EXP(-LN(2)/2)*AW127+(1-EXP(-LN(2)/2))/(LN(2)/2)*AQ128*AT128*VLOOKUP('Données projet'!$B$10,Paramètres!$A$1:$I$89,3,0)*0.475*44/12</f>
        <v>9.9422479991662762E-10</v>
      </c>
      <c r="AX128" s="21">
        <f t="shared" si="60"/>
        <v>64.936001453781202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2.2737367544323206E-13</v>
      </c>
      <c r="BE128" s="13">
        <f>BD128*VLOOKUP('Données projet'!$B$11,Paramètres!$A$1:$I$89,3,0)*VLOOKUP('Données projet'!$B$11,Paramètres!$A$1:$I$89,5,0)</f>
        <v>1.064108801074326E-13</v>
      </c>
      <c r="BF128" s="13">
        <f t="shared" si="91"/>
        <v>1.5870730813698654E-12</v>
      </c>
      <c r="BG128" s="20">
        <f t="shared" si="61"/>
        <v>2.9494845662396269E-12</v>
      </c>
      <c r="BH128" s="59">
        <f t="shared" si="62"/>
        <v>293.33333333333627</v>
      </c>
      <c r="BI128" s="59">
        <f ca="1">AVERAGE(OFFSET($BH$3,0,0,'Données projet'!$E$11+1,1))-AVERAGE(OFFSET($H$3,0,0,'Données projet'!$E$11+1,1))</f>
        <v>297.07458564121606</v>
      </c>
      <c r="BJ128" s="59">
        <f t="shared" si="92"/>
        <v>514.93897725587567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34.9033857914349</v>
      </c>
      <c r="BQ128" s="21">
        <f>EXP(-LN(2)/25)*BQ127+(1-EXP(-LN(2)/25))/(LN(2)/25)*Calculateur!BL128*Calculateur!BN128*VLOOKUP('Données projet'!$B$11,Paramètres!$A$1:$I$89,3,0)*0.475*44/12</f>
        <v>20.968053240301757</v>
      </c>
      <c r="BR128" s="21">
        <f>EXP(-LN(2)/2)*BR127+(1-EXP(-LN(2)/2))/(LN(2)/2)*BL128*BO128*VLOOKUP('Données projet'!$B$11,Paramètres!$A$1:$I$89,3,0)*0.475*44/12</f>
        <v>2.7673190179680767E-14</v>
      </c>
      <c r="BS128" s="22">
        <f t="shared" si="63"/>
        <v>55.871439031736685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58.968000000000202</v>
      </c>
      <c r="D129" s="11">
        <f t="shared" si="86"/>
        <v>16.907084152971169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585.70240398784915</v>
      </c>
      <c r="H129" s="67">
        <f t="shared" si="56"/>
        <v>425.48243823309178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5.1159076974727213E-13</v>
      </c>
      <c r="O129" s="13">
        <f>N129*VLOOKUP('Données projet'!$B$9,Paramètres!$A$1:$I$89,3,0)*VLOOKUP('Données projet'!$B$9,Paramètres!$A$1:$I$89,5,0)</f>
        <v>2.3942448024172334E-13</v>
      </c>
      <c r="P129" s="13">
        <f t="shared" si="87"/>
        <v>3.2492669905861755E-12</v>
      </c>
      <c r="Q129" s="20">
        <f t="shared" si="107"/>
        <v>6.0761376450252565E-12</v>
      </c>
      <c r="R129" s="59">
        <f t="shared" si="55"/>
        <v>293.3333333333394</v>
      </c>
      <c r="S129" s="59">
        <f ca="1">AVERAGE(OFFSET($R$3,0,0,'Données projet'!$E$9+1,1))-AVERAGE(OFFSET($H$3,0,0,'Données projet'!$E$9+1,1))</f>
        <v>157.05226586109279</v>
      </c>
      <c r="T129" s="59">
        <f t="shared" si="88"/>
        <v>76.143582612540229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95.491406652225052</v>
      </c>
      <c r="AA129" s="21">
        <f>EXP(-LN(2)/25)*AA128+(1-EXP(-LN(2)/25))/(LN(2)/25)*Calculateur!V129*Calculateur!X129*VLOOKUP('Données projet'!$B$9,Paramètres!$A$1:$I$89,3,0)*0.475*44/12</f>
        <v>20.751786403142336</v>
      </c>
      <c r="AB129" s="21">
        <f>EXP(-LN(2)/2)*AB128+(1-EXP(-LN(2)/2))/(LN(2)/2)*V129*Y129*VLOOKUP('Données projet'!$B$9,Paramètres!$A$1:$I$89,3,0)*0.475*44/12</f>
        <v>5.0681572841367303E-2</v>
      </c>
      <c r="AC129" s="22">
        <f t="shared" si="57"/>
        <v>116.29387462820875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-6.3550942286383367E-14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279.32192402750189</v>
      </c>
      <c r="AO129" s="59">
        <f t="shared" si="90"/>
        <v>371.43572414443611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55.553118708112045</v>
      </c>
      <c r="AV129" s="21">
        <f>EXP(-LN(2)/25)*AV128+(1-EXP(-LN(2)/25))/(LN(2)/25)*Calculateur!AQ129*Calculateur!AS129*VLOOKUP('Données projet'!$B$10,Paramètres!$A$1:$I$89,3,0)*0.475*44/12</f>
        <v>8.0455400439944711</v>
      </c>
      <c r="AW129" s="21">
        <f>EXP(-LN(2)/2)*AW128+(1-EXP(-LN(2)/2))/(LN(2)/2)*AQ129*AT129*VLOOKUP('Données projet'!$B$10,Paramètres!$A$1:$I$89,3,0)*0.475*44/12</f>
        <v>7.030230980448858E-10</v>
      </c>
      <c r="AX129" s="21">
        <f t="shared" si="60"/>
        <v>63.598658752809541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2.2737367544323206E-13</v>
      </c>
      <c r="BE129" s="13">
        <f>BD129*VLOOKUP('Données projet'!$B$11,Paramètres!$A$1:$I$89,3,0)*VLOOKUP('Données projet'!$B$11,Paramètres!$A$1:$I$89,5,0)</f>
        <v>1.064108801074326E-13</v>
      </c>
      <c r="BF129" s="13">
        <f t="shared" si="91"/>
        <v>1.5870730813698654E-12</v>
      </c>
      <c r="BG129" s="20">
        <f t="shared" si="61"/>
        <v>2.9494845662396269E-12</v>
      </c>
      <c r="BH129" s="59">
        <f t="shared" si="62"/>
        <v>293.33333333333627</v>
      </c>
      <c r="BI129" s="59">
        <f ca="1">AVERAGE(OFFSET($BH$3,0,0,'Données projet'!$E$11+1,1))-AVERAGE(OFFSET($H$3,0,0,'Données projet'!$E$11+1,1))</f>
        <v>297.07458564121606</v>
      </c>
      <c r="BJ129" s="59">
        <f t="shared" si="92"/>
        <v>514.93897725587567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34.218951685028081</v>
      </c>
      <c r="BQ129" s="21">
        <f>EXP(-LN(2)/25)*BQ128+(1-EXP(-LN(2)/25))/(LN(2)/25)*Calculateur!BL129*Calculateur!BN129*VLOOKUP('Données projet'!$B$11,Paramètres!$A$1:$I$89,3,0)*0.475*44/12</f>
        <v>20.394680721783708</v>
      </c>
      <c r="BR129" s="21">
        <f>EXP(-LN(2)/2)*BR128+(1-EXP(-LN(2)/2))/(LN(2)/2)*BL129*BO129*VLOOKUP('Données projet'!$B$11,Paramètres!$A$1:$I$89,3,0)*0.475*44/12</f>
        <v>1.9567900433117247E-14</v>
      </c>
      <c r="BS129" s="22">
        <f t="shared" si="63"/>
        <v>54.61363240681181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59.436000000000206</v>
      </c>
      <c r="D130" s="11">
        <f t="shared" si="86"/>
        <v>17.025593830837963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590.22984711524202</v>
      </c>
      <c r="H130" s="67">
        <f t="shared" si="56"/>
        <v>426.50394258870983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5.1159076974727213E-13</v>
      </c>
      <c r="O130" s="13">
        <f>N130*VLOOKUP('Données projet'!$B$9,Paramètres!$A$1:$I$89,3,0)*VLOOKUP('Données projet'!$B$9,Paramètres!$A$1:$I$89,5,0)</f>
        <v>2.3942448024172334E-13</v>
      </c>
      <c r="P130" s="13">
        <f t="shared" si="87"/>
        <v>3.2492669905861755E-12</v>
      </c>
      <c r="Q130" s="20">
        <f t="shared" si="107"/>
        <v>6.0761376450252565E-12</v>
      </c>
      <c r="R130" s="59">
        <f t="shared" si="55"/>
        <v>293.3333333333394</v>
      </c>
      <c r="S130" s="59">
        <f ca="1">AVERAGE(OFFSET($R$3,0,0,'Données projet'!$E$9+1,1))-AVERAGE(OFFSET($H$3,0,0,'Données projet'!$E$9+1,1))</f>
        <v>157.05226586109279</v>
      </c>
      <c r="T130" s="59">
        <f t="shared" si="88"/>
        <v>76.143582612540229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93.618878411781864</v>
      </c>
      <c r="AA130" s="21">
        <f>EXP(-LN(2)/25)*AA129+(1-EXP(-LN(2)/25))/(LN(2)/25)*Calculateur!V130*Calculateur!X130*VLOOKUP('Données projet'!$B$9,Paramètres!$A$1:$I$89,3,0)*0.475*44/12</f>
        <v>20.184327712659393</v>
      </c>
      <c r="AB130" s="21">
        <f>EXP(-LN(2)/2)*AB129+(1-EXP(-LN(2)/2))/(LN(2)/2)*V130*Y130*VLOOKUP('Données projet'!$B$9,Paramètres!$A$1:$I$89,3,0)*0.475*44/12</f>
        <v>3.5837283837330779E-2</v>
      </c>
      <c r="AC130" s="22">
        <f t="shared" si="57"/>
        <v>113.83904340827858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-6.3550942286383367E-14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279.32192402750189</v>
      </c>
      <c r="AO130" s="59">
        <f t="shared" si="90"/>
        <v>371.43572414443611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54.463755934302604</v>
      </c>
      <c r="AV130" s="21">
        <f>EXP(-LN(2)/25)*AV129+(1-EXP(-LN(2)/25))/(LN(2)/25)*Calculateur!AQ130*Calculateur!AS130*VLOOKUP('Données projet'!$B$10,Paramètres!$A$1:$I$89,3,0)*0.475*44/12</f>
        <v>7.8255343283948795</v>
      </c>
      <c r="AW130" s="21">
        <f>EXP(-LN(2)/2)*AW129+(1-EXP(-LN(2)/2))/(LN(2)/2)*AQ130*AT130*VLOOKUP('Données projet'!$B$10,Paramètres!$A$1:$I$89,3,0)*0.475*44/12</f>
        <v>4.9711239995831381E-10</v>
      </c>
      <c r="AX130" s="21">
        <f t="shared" si="60"/>
        <v>62.289290263194594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2.2737367544323206E-13</v>
      </c>
      <c r="BE130" s="13">
        <f>BD130*VLOOKUP('Données projet'!$B$11,Paramètres!$A$1:$I$89,3,0)*VLOOKUP('Données projet'!$B$11,Paramètres!$A$1:$I$89,5,0)</f>
        <v>1.064108801074326E-13</v>
      </c>
      <c r="BF130" s="13">
        <f t="shared" si="91"/>
        <v>1.5870730813698654E-12</v>
      </c>
      <c r="BG130" s="20">
        <f t="shared" si="61"/>
        <v>2.9494845662396269E-12</v>
      </c>
      <c r="BH130" s="59">
        <f t="shared" si="62"/>
        <v>293.33333333333627</v>
      </c>
      <c r="BI130" s="59">
        <f ca="1">AVERAGE(OFFSET($BH$3,0,0,'Données projet'!$E$11+1,1))-AVERAGE(OFFSET($H$3,0,0,'Données projet'!$E$11+1,1))</f>
        <v>297.07458564121606</v>
      </c>
      <c r="BJ130" s="59">
        <f t="shared" si="92"/>
        <v>514.93897725587567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33.547938913984318</v>
      </c>
      <c r="BQ130" s="21">
        <f>EXP(-LN(2)/25)*BQ129+(1-EXP(-LN(2)/25))/(LN(2)/25)*Calculateur!BL130*Calculateur!BN130*VLOOKUP('Données projet'!$B$11,Paramètres!$A$1:$I$89,3,0)*0.475*44/12</f>
        <v>19.836987104936885</v>
      </c>
      <c r="BR130" s="21">
        <f>EXP(-LN(2)/2)*BR129+(1-EXP(-LN(2)/2))/(LN(2)/2)*BL130*BO130*VLOOKUP('Données projet'!$B$11,Paramètres!$A$1:$I$89,3,0)*0.475*44/12</f>
        <v>1.3836595089840387E-14</v>
      </c>
      <c r="BS130" s="22">
        <f t="shared" si="63"/>
        <v>53.38492601892122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59.90400000000021</v>
      </c>
      <c r="D131" s="11">
        <f t="shared" si="86"/>
        <v>17.143994938960237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594.75645216039641</v>
      </c>
      <c r="H131" s="67">
        <f t="shared" si="56"/>
        <v>427.52525785202272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5.1159076974727213E-13</v>
      </c>
      <c r="O131" s="13">
        <f>N131*VLOOKUP('Données projet'!$B$9,Paramètres!$A$1:$I$89,3,0)*VLOOKUP('Données projet'!$B$9,Paramètres!$A$1:$I$89,5,0)</f>
        <v>2.3942448024172334E-13</v>
      </c>
      <c r="P131" s="13">
        <f t="shared" si="87"/>
        <v>3.2492669905861755E-12</v>
      </c>
      <c r="Q131" s="20">
        <f t="shared" ref="Q131:Q153" si="108">(O131+P131)*0.475*44/12</f>
        <v>6.0761376450252565E-12</v>
      </c>
      <c r="R131" s="59">
        <f t="shared" ref="R131:R194" si="109">Q131+(I131+J131)*44/12</f>
        <v>293.3333333333394</v>
      </c>
      <c r="S131" s="59">
        <f ca="1">AVERAGE(OFFSET($R$3,0,0,'Données projet'!$E$9+1,1))-AVERAGE(OFFSET($H$3,0,0,'Données projet'!$E$9+1,1))</f>
        <v>157.05226586109279</v>
      </c>
      <c r="T131" s="59">
        <f t="shared" si="88"/>
        <v>76.143582612540229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91.783069308004315</v>
      </c>
      <c r="AA131" s="21">
        <f>EXP(-LN(2)/25)*AA130+(1-EXP(-LN(2)/25))/(LN(2)/25)*Calculateur!V131*Calculateur!X131*VLOOKUP('Données projet'!$B$9,Paramètres!$A$1:$I$89,3,0)*0.475*44/12</f>
        <v>19.632386209909058</v>
      </c>
      <c r="AB131" s="21">
        <f>EXP(-LN(2)/2)*AB130+(1-EXP(-LN(2)/2))/(LN(2)/2)*V131*Y131*VLOOKUP('Données projet'!$B$9,Paramètres!$A$1:$I$89,3,0)*0.475*44/12</f>
        <v>2.5340786420683652E-2</v>
      </c>
      <c r="AC131" s="22">
        <f t="shared" si="57"/>
        <v>111.44079630433406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-6.3550942286383367E-14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279.32192402750189</v>
      </c>
      <c r="AO131" s="59">
        <f t="shared" si="90"/>
        <v>371.43572414443611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53.395754900041887</v>
      </c>
      <c r="AV131" s="21">
        <f>EXP(-LN(2)/25)*AV130+(1-EXP(-LN(2)/25))/(LN(2)/25)*Calculateur!AQ131*Calculateur!AS131*VLOOKUP('Données projet'!$B$10,Paramètres!$A$1:$I$89,3,0)*0.475*44/12</f>
        <v>7.611544680657957</v>
      </c>
      <c r="AW131" s="21">
        <f>EXP(-LN(2)/2)*AW130+(1-EXP(-LN(2)/2))/(LN(2)/2)*AQ131*AT131*VLOOKUP('Données projet'!$B$10,Paramètres!$A$1:$I$89,3,0)*0.475*44/12</f>
        <v>3.515115490224429E-10</v>
      </c>
      <c r="AX131" s="21">
        <f t="shared" si="60"/>
        <v>61.007299581051356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2.2737367544323206E-13</v>
      </c>
      <c r="BE131" s="13">
        <f>BD131*VLOOKUP('Données projet'!$B$11,Paramètres!$A$1:$I$89,3,0)*VLOOKUP('Données projet'!$B$11,Paramètres!$A$1:$I$89,5,0)</f>
        <v>1.064108801074326E-13</v>
      </c>
      <c r="BF131" s="13">
        <f t="shared" si="91"/>
        <v>1.5870730813698654E-12</v>
      </c>
      <c r="BG131" s="20">
        <f t="shared" si="61"/>
        <v>2.9494845662396269E-12</v>
      </c>
      <c r="BH131" s="59">
        <f t="shared" si="62"/>
        <v>293.33333333333627</v>
      </c>
      <c r="BI131" s="59">
        <f ca="1">AVERAGE(OFFSET($BH$3,0,0,'Données projet'!$E$11+1,1))-AVERAGE(OFFSET($H$3,0,0,'Données projet'!$E$11+1,1))</f>
        <v>297.07458564121606</v>
      </c>
      <c r="BJ131" s="59">
        <f t="shared" si="92"/>
        <v>514.93897725587567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32.890084294103346</v>
      </c>
      <c r="BQ131" s="21">
        <f>EXP(-LN(2)/25)*BQ130+(1-EXP(-LN(2)/25))/(LN(2)/25)*Calculateur!BL131*Calculateur!BN131*VLOOKUP('Données projet'!$B$11,Paramètres!$A$1:$I$89,3,0)*0.475*44/12</f>
        <v>19.294543649370571</v>
      </c>
      <c r="BR131" s="21">
        <f>EXP(-LN(2)/2)*BR130+(1-EXP(-LN(2)/2))/(LN(2)/2)*BL131*BO131*VLOOKUP('Données projet'!$B$11,Paramètres!$A$1:$I$89,3,0)*0.475*44/12</f>
        <v>9.783950216558625E-15</v>
      </c>
      <c r="BS131" s="22">
        <f t="shared" si="63"/>
        <v>52.18462794347392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60.372000000000213</v>
      </c>
      <c r="D132" s="11">
        <f t="shared" si="86"/>
        <v>17.262288423858621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599.28222642978756</v>
      </c>
      <c r="H132" s="67">
        <f t="shared" ref="H132:H195" si="110">(B132+E132+F132)*44/12+(C132+D132)*0.475*44/12</f>
        <v>428.54638567155416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5.1159076974727213E-13</v>
      </c>
      <c r="O132" s="13">
        <f>N132*VLOOKUP('Données projet'!$B$9,Paramètres!$A$1:$I$89,3,0)*VLOOKUP('Données projet'!$B$9,Paramètres!$A$1:$I$89,5,0)</f>
        <v>2.3942448024172334E-13</v>
      </c>
      <c r="P132" s="13">
        <f t="shared" si="87"/>
        <v>3.2492669905861755E-12</v>
      </c>
      <c r="Q132" s="20">
        <f t="shared" si="108"/>
        <v>6.0761376450252565E-12</v>
      </c>
      <c r="R132" s="59">
        <f t="shared" si="109"/>
        <v>293.3333333333394</v>
      </c>
      <c r="S132" s="59">
        <f ca="1">AVERAGE(OFFSET($R$3,0,0,'Données projet'!$E$9+1,1))-AVERAGE(OFFSET($H$3,0,0,'Données projet'!$E$9+1,1))</f>
        <v>157.05226586109279</v>
      </c>
      <c r="T132" s="59">
        <f t="shared" si="88"/>
        <v>76.143582612540229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89.983259301018848</v>
      </c>
      <c r="AA132" s="21">
        <f>EXP(-LN(2)/25)*AA131+(1-EXP(-LN(2)/25))/(LN(2)/25)*Calculateur!V132*Calculateur!X132*VLOOKUP('Données projet'!$B$9,Paramètres!$A$1:$I$89,3,0)*0.475*44/12</f>
        <v>19.095537576576774</v>
      </c>
      <c r="AB132" s="21">
        <f>EXP(-LN(2)/2)*AB131+(1-EXP(-LN(2)/2))/(LN(2)/2)*V132*Y132*VLOOKUP('Données projet'!$B$9,Paramètres!$A$1:$I$89,3,0)*0.475*44/12</f>
        <v>1.7918641918665389E-2</v>
      </c>
      <c r="AC132" s="22">
        <f t="shared" ref="AC132:AC153" si="111">SUM(Z132:AB132)</f>
        <v>109.09671551951429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-6.3550942286383367E-14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279.32192402750189</v>
      </c>
      <c r="AO132" s="59">
        <f t="shared" si="90"/>
        <v>371.43572414443611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52.348696714646714</v>
      </c>
      <c r="AV132" s="21">
        <f>EXP(-LN(2)/25)*AV131+(1-EXP(-LN(2)/25))/(LN(2)/25)*Calculateur!AQ132*Calculateur!AS132*VLOOKUP('Données projet'!$B$10,Paramètres!$A$1:$I$89,3,0)*0.475*44/12</f>
        <v>7.4034065910916267</v>
      </c>
      <c r="AW132" s="21">
        <f>EXP(-LN(2)/2)*AW131+(1-EXP(-LN(2)/2))/(LN(2)/2)*AQ132*AT132*VLOOKUP('Données projet'!$B$10,Paramètres!$A$1:$I$89,3,0)*0.475*44/12</f>
        <v>2.4855619997915691E-10</v>
      </c>
      <c r="AX132" s="21">
        <f t="shared" ref="AX132:AX153" si="114">SUM(AU132:AW132)</f>
        <v>59.752103305986893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2.2737367544323206E-13</v>
      </c>
      <c r="BE132" s="13">
        <f>BD132*VLOOKUP('Données projet'!$B$11,Paramètres!$A$1:$I$89,3,0)*VLOOKUP('Données projet'!$B$11,Paramètres!$A$1:$I$89,5,0)</f>
        <v>1.064108801074326E-13</v>
      </c>
      <c r="BF132" s="13">
        <f t="shared" si="91"/>
        <v>1.5870730813698654E-12</v>
      </c>
      <c r="BG132" s="20">
        <f t="shared" ref="BG132:BG153" si="115">(BE132+BF132)*0.475*44/12</f>
        <v>2.9494845662396269E-12</v>
      </c>
      <c r="BH132" s="59">
        <f t="shared" ref="BH132:BH195" si="116">BG132+(AY132+AZ132)*44/12</f>
        <v>293.33333333333627</v>
      </c>
      <c r="BI132" s="59">
        <f ca="1">AVERAGE(OFFSET($BH$3,0,0,'Données projet'!$E$11+1,1))-AVERAGE(OFFSET($H$3,0,0,'Données projet'!$E$11+1,1))</f>
        <v>297.07458564121606</v>
      </c>
      <c r="BJ132" s="59">
        <f t="shared" si="92"/>
        <v>514.93897725587567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32.245129802066543</v>
      </c>
      <c r="BQ132" s="21">
        <f>EXP(-LN(2)/25)*BQ131+(1-EXP(-LN(2)/25))/(LN(2)/25)*Calculateur!BL132*Calculateur!BN132*VLOOKUP('Données projet'!$B$11,Paramètres!$A$1:$I$89,3,0)*0.475*44/12</f>
        <v>18.766933338622579</v>
      </c>
      <c r="BR132" s="21">
        <f>EXP(-LN(2)/2)*BR131+(1-EXP(-LN(2)/2))/(LN(2)/2)*BL132*BO132*VLOOKUP('Données projet'!$B$11,Paramètres!$A$1:$I$89,3,0)*0.475*44/12</f>
        <v>6.9182975449201942E-15</v>
      </c>
      <c r="BS132" s="22">
        <f t="shared" ref="BS132:BS153" si="117">SUM(BP132:BR132)</f>
        <v>51.012063140689129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60.840000000000217</v>
      </c>
      <c r="D133" s="11">
        <f t="shared" ref="D133:D196" si="140">IFERROR(EXP(-1.0587+0.8836*LN(C133)+0.284),0)</f>
        <v>17.380475216531508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603.80717711006946</v>
      </c>
      <c r="H133" s="67">
        <f t="shared" si="110"/>
        <v>429.5673276687927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5.1159076974727213E-13</v>
      </c>
      <c r="O133" s="13">
        <f>N133*VLOOKUP('Données projet'!$B$9,Paramètres!$A$1:$I$89,3,0)*VLOOKUP('Données projet'!$B$9,Paramètres!$A$1:$I$89,5,0)</f>
        <v>2.3942448024172334E-13</v>
      </c>
      <c r="P133" s="13">
        <f t="shared" ref="P133:P196" si="141">EXP(-1.0587+0.8836*LN(O133)+0.284)</f>
        <v>3.2492669905861755E-12</v>
      </c>
      <c r="Q133" s="20">
        <f t="shared" si="108"/>
        <v>6.0761376450252565E-12</v>
      </c>
      <c r="R133" s="59">
        <f t="shared" si="109"/>
        <v>293.3333333333394</v>
      </c>
      <c r="S133" s="59">
        <f ca="1">AVERAGE(OFFSET($R$3,0,0,'Données projet'!$E$9+1,1))-AVERAGE(OFFSET($H$3,0,0,'Données projet'!$E$9+1,1))</f>
        <v>157.05226586109279</v>
      </c>
      <c r="T133" s="59">
        <f t="shared" ref="T133:T196" si="142">$T$3</f>
        <v>76.143582612540229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88.218742470494661</v>
      </c>
      <c r="AA133" s="21">
        <f>EXP(-LN(2)/25)*AA132+(1-EXP(-LN(2)/25))/(LN(2)/25)*Calculateur!V133*Calculateur!X133*VLOOKUP('Données projet'!$B$9,Paramètres!$A$1:$I$89,3,0)*0.475*44/12</f>
        <v>18.573369097354604</v>
      </c>
      <c r="AB133" s="21">
        <f>EXP(-LN(2)/2)*AB132+(1-EXP(-LN(2)/2))/(LN(2)/2)*V133*Y133*VLOOKUP('Données projet'!$B$9,Paramètres!$A$1:$I$89,3,0)*0.475*44/12</f>
        <v>1.2670393210341826E-2</v>
      </c>
      <c r="AC133" s="22">
        <f t="shared" si="111"/>
        <v>106.8047819610596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-6.3550942286383367E-14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279.32192402750189</v>
      </c>
      <c r="AO133" s="59">
        <f t="shared" ref="AO133:AO196" si="144">$AO$3</f>
        <v>371.43572414443611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51.322170701624707</v>
      </c>
      <c r="AV133" s="21">
        <f>EXP(-LN(2)/25)*AV132+(1-EXP(-LN(2)/25))/(LN(2)/25)*Calculateur!AQ133*Calculateur!AS133*VLOOKUP('Données projet'!$B$10,Paramètres!$A$1:$I$89,3,0)*0.475*44/12</f>
        <v>7.2009600485299945</v>
      </c>
      <c r="AW133" s="21">
        <f>EXP(-LN(2)/2)*AW132+(1-EXP(-LN(2)/2))/(LN(2)/2)*AQ133*AT133*VLOOKUP('Données projet'!$B$10,Paramètres!$A$1:$I$89,3,0)*0.475*44/12</f>
        <v>1.7575577451122145E-10</v>
      </c>
      <c r="AX133" s="21">
        <f t="shared" si="114"/>
        <v>58.523130750330452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2.2737367544323206E-13</v>
      </c>
      <c r="BE133" s="13">
        <f>BD133*VLOOKUP('Données projet'!$B$11,Paramètres!$A$1:$I$89,3,0)*VLOOKUP('Données projet'!$B$11,Paramètres!$A$1:$I$89,5,0)</f>
        <v>1.064108801074326E-13</v>
      </c>
      <c r="BF133" s="13">
        <f t="shared" ref="BF133:BF153" si="145">EXP(-1.0587+0.8836*LN(BE133)+0.284)</f>
        <v>1.5870730813698654E-12</v>
      </c>
      <c r="BG133" s="20">
        <f t="shared" si="115"/>
        <v>2.9494845662396269E-12</v>
      </c>
      <c r="BH133" s="59">
        <f t="shared" si="116"/>
        <v>293.33333333333627</v>
      </c>
      <c r="BI133" s="59">
        <f ca="1">AVERAGE(OFFSET($BH$3,0,0,'Données projet'!$E$11+1,1))-AVERAGE(OFFSET($H$3,0,0,'Données projet'!$E$11+1,1))</f>
        <v>297.07458564121606</v>
      </c>
      <c r="BJ133" s="59">
        <f t="shared" ref="BJ133:BJ196" si="146">$BJ$3</f>
        <v>514.93897725587567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31.612822474235184</v>
      </c>
      <c r="BQ133" s="21">
        <f>EXP(-LN(2)/25)*BQ132+(1-EXP(-LN(2)/25))/(LN(2)/25)*Calculateur!BL133*Calculateur!BN133*VLOOKUP('Données projet'!$B$11,Paramètres!$A$1:$I$89,3,0)*0.475*44/12</f>
        <v>18.253750559567813</v>
      </c>
      <c r="BR133" s="21">
        <f>EXP(-LN(2)/2)*BR132+(1-EXP(-LN(2)/2))/(LN(2)/2)*BL133*BO133*VLOOKUP('Données projet'!$B$11,Paramètres!$A$1:$I$89,3,0)*0.475*44/12</f>
        <v>4.8919751082793133E-15</v>
      </c>
      <c r="BS133" s="22">
        <f t="shared" si="117"/>
        <v>49.866573033803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61.30800000000022</v>
      </c>
      <c r="D134" s="11">
        <f t="shared" si="140"/>
        <v>17.498556232826935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608.33131127094646</v>
      </c>
      <c r="H134" s="67">
        <f t="shared" si="110"/>
        <v>430.58808543884061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5.1159076974727213E-13</v>
      </c>
      <c r="O134" s="13">
        <f>N134*VLOOKUP('Données projet'!$B$9,Paramètres!$A$1:$I$89,3,0)*VLOOKUP('Données projet'!$B$9,Paramètres!$A$1:$I$89,5,0)</f>
        <v>2.3942448024172334E-13</v>
      </c>
      <c r="P134" s="13">
        <f t="shared" si="141"/>
        <v>3.2492669905861755E-12</v>
      </c>
      <c r="Q134" s="20">
        <f t="shared" si="108"/>
        <v>6.0761376450252565E-12</v>
      </c>
      <c r="R134" s="59">
        <f t="shared" si="109"/>
        <v>293.3333333333394</v>
      </c>
      <c r="S134" s="59">
        <f ca="1">AVERAGE(OFFSET($R$3,0,0,'Données projet'!$E$9+1,1))-AVERAGE(OFFSET($H$3,0,0,'Données projet'!$E$9+1,1))</f>
        <v>157.05226586109279</v>
      </c>
      <c r="T134" s="59">
        <f t="shared" si="142"/>
        <v>76.143582612540229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86.488826738768054</v>
      </c>
      <c r="AA134" s="21">
        <f>EXP(-LN(2)/25)*AA133+(1-EXP(-LN(2)/25))/(LN(2)/25)*Calculateur!V134*Calculateur!X134*VLOOKUP('Données projet'!$B$9,Paramètres!$A$1:$I$89,3,0)*0.475*44/12</f>
        <v>18.06547934265641</v>
      </c>
      <c r="AB134" s="21">
        <f>EXP(-LN(2)/2)*AB133+(1-EXP(-LN(2)/2))/(LN(2)/2)*V134*Y134*VLOOKUP('Données projet'!$B$9,Paramètres!$A$1:$I$89,3,0)*0.475*44/12</f>
        <v>8.9593209593326947E-3</v>
      </c>
      <c r="AC134" s="22">
        <f t="shared" si="111"/>
        <v>104.56326540238381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-6.3550942286383367E-14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279.32192402750189</v>
      </c>
      <c r="AO134" s="59">
        <f t="shared" si="144"/>
        <v>371.43572414443611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50.315774237599015</v>
      </c>
      <c r="AV134" s="21">
        <f>EXP(-LN(2)/25)*AV133+(1-EXP(-LN(2)/25))/(LN(2)/25)*Calculateur!AQ134*Calculateur!AS134*VLOOKUP('Données projet'!$B$10,Paramètres!$A$1:$I$89,3,0)*0.475*44/12</f>
        <v>7.0040494173209105</v>
      </c>
      <c r="AW134" s="21">
        <f>EXP(-LN(2)/2)*AW133+(1-EXP(-LN(2)/2))/(LN(2)/2)*AQ134*AT134*VLOOKUP('Données projet'!$B$10,Paramètres!$A$1:$I$89,3,0)*0.475*44/12</f>
        <v>1.2427809998957845E-10</v>
      </c>
      <c r="AX134" s="21">
        <f t="shared" si="114"/>
        <v>57.31982365504421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2.2737367544323206E-13</v>
      </c>
      <c r="BE134" s="13">
        <f>BD134*VLOOKUP('Données projet'!$B$11,Paramètres!$A$1:$I$89,3,0)*VLOOKUP('Données projet'!$B$11,Paramètres!$A$1:$I$89,5,0)</f>
        <v>1.064108801074326E-13</v>
      </c>
      <c r="BF134" s="13">
        <f t="shared" si="145"/>
        <v>1.5870730813698654E-12</v>
      </c>
      <c r="BG134" s="20">
        <f t="shared" si="115"/>
        <v>2.9494845662396269E-12</v>
      </c>
      <c r="BH134" s="59">
        <f t="shared" si="116"/>
        <v>293.33333333333627</v>
      </c>
      <c r="BI134" s="59">
        <f ca="1">AVERAGE(OFFSET($BH$3,0,0,'Données projet'!$E$11+1,1))-AVERAGE(OFFSET($H$3,0,0,'Données projet'!$E$11+1,1))</f>
        <v>297.07458564121606</v>
      </c>
      <c r="BJ134" s="59">
        <f t="shared" si="146"/>
        <v>514.93897725587567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30.99291430743321</v>
      </c>
      <c r="BQ134" s="21">
        <f>EXP(-LN(2)/25)*BQ133+(1-EXP(-LN(2)/25))/(LN(2)/25)*Calculateur!BL134*Calculateur!BN134*VLOOKUP('Données projet'!$B$11,Paramètres!$A$1:$I$89,3,0)*0.475*44/12</f>
        <v>17.754600790593408</v>
      </c>
      <c r="BR134" s="21">
        <f>EXP(-LN(2)/2)*BR133+(1-EXP(-LN(2)/2))/(LN(2)/2)*BL134*BO134*VLOOKUP('Données projet'!$B$11,Paramètres!$A$1:$I$89,3,0)*0.475*44/12</f>
        <v>3.4591487724600979E-15</v>
      </c>
      <c r="BS134" s="22">
        <f t="shared" si="117"/>
        <v>48.747515098026618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61.776000000000224</v>
      </c>
      <c r="D135" s="11">
        <f t="shared" si="140"/>
        <v>17.616532373802929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612.85463586795424</v>
      </c>
      <c r="H135" s="67">
        <f t="shared" si="110"/>
        <v>431.60866055104043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5.1159076974727213E-13</v>
      </c>
      <c r="O135" s="13">
        <f>N135*VLOOKUP('Données projet'!$B$9,Paramètres!$A$1:$I$89,3,0)*VLOOKUP('Données projet'!$B$9,Paramètres!$A$1:$I$89,5,0)</f>
        <v>2.3942448024172334E-13</v>
      </c>
      <c r="P135" s="13">
        <f t="shared" si="141"/>
        <v>3.2492669905861755E-12</v>
      </c>
      <c r="Q135" s="20">
        <f t="shared" si="108"/>
        <v>6.0761376450252565E-12</v>
      </c>
      <c r="R135" s="59">
        <f t="shared" si="109"/>
        <v>293.3333333333394</v>
      </c>
      <c r="S135" s="59">
        <f ca="1">AVERAGE(OFFSET($R$3,0,0,'Données projet'!$E$9+1,1))-AVERAGE(OFFSET($H$3,0,0,'Données projet'!$E$9+1,1))</f>
        <v>157.05226586109279</v>
      </c>
      <c r="T135" s="59">
        <f t="shared" si="142"/>
        <v>76.143582612540229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84.792833599396204</v>
      </c>
      <c r="AA135" s="21">
        <f>EXP(-LN(2)/25)*AA134+(1-EXP(-LN(2)/25))/(LN(2)/25)*Calculateur!V135*Calculateur!X135*VLOOKUP('Données projet'!$B$9,Paramètres!$A$1:$I$89,3,0)*0.475*44/12</f>
        <v>17.5714778600092</v>
      </c>
      <c r="AB135" s="21">
        <f>EXP(-LN(2)/2)*AB134+(1-EXP(-LN(2)/2))/(LN(2)/2)*V135*Y135*VLOOKUP('Données projet'!$B$9,Paramètres!$A$1:$I$89,3,0)*0.475*44/12</f>
        <v>6.3351966051709129E-3</v>
      </c>
      <c r="AC135" s="22">
        <f t="shared" si="111"/>
        <v>102.37064665601056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-6.3550942286383367E-14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279.32192402750189</v>
      </c>
      <c r="AO135" s="59">
        <f t="shared" si="144"/>
        <v>371.43572414443611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49.329112594391638</v>
      </c>
      <c r="AV135" s="21">
        <f>EXP(-LN(2)/25)*AV134+(1-EXP(-LN(2)/25))/(LN(2)/25)*Calculateur!AQ135*Calculateur!AS135*VLOOKUP('Données projet'!$B$10,Paramètres!$A$1:$I$89,3,0)*0.475*44/12</f>
        <v>6.8125233176773197</v>
      </c>
      <c r="AW135" s="21">
        <f>EXP(-LN(2)/2)*AW134+(1-EXP(-LN(2)/2))/(LN(2)/2)*AQ135*AT135*VLOOKUP('Données projet'!$B$10,Paramètres!$A$1:$I$89,3,0)*0.475*44/12</f>
        <v>8.7877887255610725E-11</v>
      </c>
      <c r="AX135" s="21">
        <f t="shared" si="114"/>
        <v>56.141635912156836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2.2737367544323206E-13</v>
      </c>
      <c r="BE135" s="13">
        <f>BD135*VLOOKUP('Données projet'!$B$11,Paramètres!$A$1:$I$89,3,0)*VLOOKUP('Données projet'!$B$11,Paramètres!$A$1:$I$89,5,0)</f>
        <v>1.064108801074326E-13</v>
      </c>
      <c r="BF135" s="13">
        <f t="shared" si="145"/>
        <v>1.5870730813698654E-12</v>
      </c>
      <c r="BG135" s="20">
        <f t="shared" si="115"/>
        <v>2.9494845662396269E-12</v>
      </c>
      <c r="BH135" s="59">
        <f t="shared" si="116"/>
        <v>293.33333333333627</v>
      </c>
      <c r="BI135" s="59">
        <f ca="1">AVERAGE(OFFSET($BH$3,0,0,'Données projet'!$E$11+1,1))-AVERAGE(OFFSET($H$3,0,0,'Données projet'!$E$11+1,1))</f>
        <v>297.07458564121606</v>
      </c>
      <c r="BJ135" s="59">
        <f t="shared" si="146"/>
        <v>514.93897725587567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30.385162161675577</v>
      </c>
      <c r="BQ135" s="21">
        <f>EXP(-LN(2)/25)*BQ134+(1-EXP(-LN(2)/25))/(LN(2)/25)*Calculateur!BL135*Calculateur!BN135*VLOOKUP('Données projet'!$B$11,Paramètres!$A$1:$I$89,3,0)*0.475*44/12</f>
        <v>17.269100298300753</v>
      </c>
      <c r="BR135" s="21">
        <f>EXP(-LN(2)/2)*BR134+(1-EXP(-LN(2)/2))/(LN(2)/2)*BL135*BO135*VLOOKUP('Données projet'!$B$11,Paramètres!$A$1:$I$89,3,0)*0.475*44/12</f>
        <v>2.445987554139657E-15</v>
      </c>
      <c r="BS135" s="22">
        <f t="shared" si="117"/>
        <v>47.65426245997633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62.244000000000227</v>
      </c>
      <c r="D136" s="11">
        <f t="shared" si="140"/>
        <v>17.734404526076489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617.37715774515357</v>
      </c>
      <c r="H136" s="67">
        <f t="shared" si="110"/>
        <v>432.6290545495836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5.1159076974727213E-13</v>
      </c>
      <c r="O136" s="13">
        <f>N136*VLOOKUP('Données projet'!$B$9,Paramètres!$A$1:$I$89,3,0)*VLOOKUP('Données projet'!$B$9,Paramètres!$A$1:$I$89,5,0)</f>
        <v>2.3942448024172334E-13</v>
      </c>
      <c r="P136" s="13">
        <f t="shared" si="141"/>
        <v>3.2492669905861755E-12</v>
      </c>
      <c r="Q136" s="20">
        <f t="shared" si="108"/>
        <v>6.0761376450252565E-12</v>
      </c>
      <c r="R136" s="59">
        <f t="shared" si="109"/>
        <v>293.3333333333394</v>
      </c>
      <c r="S136" s="59">
        <f ca="1">AVERAGE(OFFSET($R$3,0,0,'Données projet'!$E$9+1,1))-AVERAGE(OFFSET($H$3,0,0,'Données projet'!$E$9+1,1))</f>
        <v>157.05226586109279</v>
      </c>
      <c r="T136" s="59">
        <f t="shared" si="142"/>
        <v>76.143582612540229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83.130097851033753</v>
      </c>
      <c r="AA136" s="21">
        <f>EXP(-LN(2)/25)*AA135+(1-EXP(-LN(2)/25))/(LN(2)/25)*Calculateur!V136*Calculateur!X136*VLOOKUP('Données projet'!$B$9,Paramètres!$A$1:$I$89,3,0)*0.475*44/12</f>
        <v>17.090984873883386</v>
      </c>
      <c r="AB136" s="21">
        <f>EXP(-LN(2)/2)*AB135+(1-EXP(-LN(2)/2))/(LN(2)/2)*V136*Y136*VLOOKUP('Données projet'!$B$9,Paramètres!$A$1:$I$89,3,0)*0.475*44/12</f>
        <v>4.4796604796663473E-3</v>
      </c>
      <c r="AC136" s="22">
        <f t="shared" si="111"/>
        <v>100.2255623853968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-6.3550942286383367E-14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279.32192402750189</v>
      </c>
      <c r="AO136" s="59">
        <f t="shared" si="144"/>
        <v>371.43572414443611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48.36179878420338</v>
      </c>
      <c r="AV136" s="21">
        <f>EXP(-LN(2)/25)*AV135+(1-EXP(-LN(2)/25))/(LN(2)/25)*Calculateur!AQ136*Calculateur!AS136*VLOOKUP('Données projet'!$B$10,Paramètres!$A$1:$I$89,3,0)*0.475*44/12</f>
        <v>6.626234509300402</v>
      </c>
      <c r="AW136" s="21">
        <f>EXP(-LN(2)/2)*AW135+(1-EXP(-LN(2)/2))/(LN(2)/2)*AQ136*AT136*VLOOKUP('Données projet'!$B$10,Paramètres!$A$1:$I$89,3,0)*0.475*44/12</f>
        <v>6.2139049994789226E-11</v>
      </c>
      <c r="AX136" s="21">
        <f t="shared" si="114"/>
        <v>54.98803329356592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2.2737367544323206E-13</v>
      </c>
      <c r="BE136" s="13">
        <f>BD136*VLOOKUP('Données projet'!$B$11,Paramètres!$A$1:$I$89,3,0)*VLOOKUP('Données projet'!$B$11,Paramètres!$A$1:$I$89,5,0)</f>
        <v>1.064108801074326E-13</v>
      </c>
      <c r="BF136" s="13">
        <f t="shared" si="145"/>
        <v>1.5870730813698654E-12</v>
      </c>
      <c r="BG136" s="20">
        <f t="shared" si="115"/>
        <v>2.9494845662396269E-12</v>
      </c>
      <c r="BH136" s="59">
        <f t="shared" si="116"/>
        <v>293.33333333333627</v>
      </c>
      <c r="BI136" s="59">
        <f ca="1">AVERAGE(OFFSET($BH$3,0,0,'Données projet'!$E$11+1,1))-AVERAGE(OFFSET($H$3,0,0,'Données projet'!$E$11+1,1))</f>
        <v>297.07458564121606</v>
      </c>
      <c r="BJ136" s="59">
        <f t="shared" si="146"/>
        <v>514.93897725587567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29.789327664804045</v>
      </c>
      <c r="BQ136" s="21">
        <f>EXP(-LN(2)/25)*BQ135+(1-EXP(-LN(2)/25))/(LN(2)/25)*Calculateur!BL136*Calculateur!BN136*VLOOKUP('Données projet'!$B$11,Paramètres!$A$1:$I$89,3,0)*0.475*44/12</f>
        <v>16.796875842501205</v>
      </c>
      <c r="BR136" s="21">
        <f>EXP(-LN(2)/2)*BR135+(1-EXP(-LN(2)/2))/(LN(2)/2)*BL136*BO136*VLOOKUP('Données projet'!$B$11,Paramètres!$A$1:$I$89,3,0)*0.475*44/12</f>
        <v>1.7295743862300491E-15</v>
      </c>
      <c r="BS136" s="22">
        <f t="shared" si="117"/>
        <v>46.58620350730525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62.712000000000231</v>
      </c>
      <c r="D137" s="11">
        <f t="shared" si="140"/>
        <v>17.852173562161887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621.89888363774276</v>
      </c>
      <c r="H137" s="67">
        <f t="shared" si="110"/>
        <v>433.649268954099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5.1159076974727213E-13</v>
      </c>
      <c r="O137" s="13">
        <f>N137*VLOOKUP('Données projet'!$B$9,Paramètres!$A$1:$I$89,3,0)*VLOOKUP('Données projet'!$B$9,Paramètres!$A$1:$I$89,5,0)</f>
        <v>2.3942448024172334E-13</v>
      </c>
      <c r="P137" s="13">
        <f t="shared" si="141"/>
        <v>3.2492669905861755E-12</v>
      </c>
      <c r="Q137" s="20">
        <f t="shared" si="108"/>
        <v>6.0761376450252565E-12</v>
      </c>
      <c r="R137" s="59">
        <f t="shared" si="109"/>
        <v>293.3333333333394</v>
      </c>
      <c r="S137" s="59">
        <f ca="1">AVERAGE(OFFSET($R$3,0,0,'Données projet'!$E$9+1,1))-AVERAGE(OFFSET($H$3,0,0,'Données projet'!$E$9+1,1))</f>
        <v>157.05226586109279</v>
      </c>
      <c r="T137" s="59">
        <f t="shared" si="142"/>
        <v>76.143582612540229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81.49996733652803</v>
      </c>
      <c r="AA137" s="21">
        <f>EXP(-LN(2)/25)*AA136+(1-EXP(-LN(2)/25))/(LN(2)/25)*Calculateur!V137*Calculateur!X137*VLOOKUP('Données projet'!$B$9,Paramètres!$A$1:$I$89,3,0)*0.475*44/12</f>
        <v>16.623630993731211</v>
      </c>
      <c r="AB137" s="21">
        <f>EXP(-LN(2)/2)*AB136+(1-EXP(-LN(2)/2))/(LN(2)/2)*V137*Y137*VLOOKUP('Données projet'!$B$9,Paramètres!$A$1:$I$89,3,0)*0.475*44/12</f>
        <v>3.1675983025854565E-3</v>
      </c>
      <c r="AC137" s="22">
        <f t="shared" si="111"/>
        <v>98.126765928561824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-6.3550942286383367E-14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279.32192402750189</v>
      </c>
      <c r="AO137" s="59">
        <f t="shared" si="144"/>
        <v>371.43572414443611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47.413453407829749</v>
      </c>
      <c r="AV137" s="21">
        <f>EXP(-LN(2)/25)*AV136+(1-EXP(-LN(2)/25))/(LN(2)/25)*Calculateur!AQ137*Calculateur!AS137*VLOOKUP('Données projet'!$B$10,Paramètres!$A$1:$I$89,3,0)*0.475*44/12</f>
        <v>6.4450397781850546</v>
      </c>
      <c r="AW137" s="21">
        <f>EXP(-LN(2)/2)*AW136+(1-EXP(-LN(2)/2))/(LN(2)/2)*AQ137*AT137*VLOOKUP('Données projet'!$B$10,Paramètres!$A$1:$I$89,3,0)*0.475*44/12</f>
        <v>4.3938943627805363E-11</v>
      </c>
      <c r="AX137" s="21">
        <f t="shared" si="114"/>
        <v>53.858493186058745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2.2737367544323206E-13</v>
      </c>
      <c r="BE137" s="13">
        <f>BD137*VLOOKUP('Données projet'!$B$11,Paramètres!$A$1:$I$89,3,0)*VLOOKUP('Données projet'!$B$11,Paramètres!$A$1:$I$89,5,0)</f>
        <v>1.064108801074326E-13</v>
      </c>
      <c r="BF137" s="13">
        <f t="shared" si="145"/>
        <v>1.5870730813698654E-12</v>
      </c>
      <c r="BG137" s="20">
        <f t="shared" si="115"/>
        <v>2.9494845662396269E-12</v>
      </c>
      <c r="BH137" s="59">
        <f t="shared" si="116"/>
        <v>293.33333333333627</v>
      </c>
      <c r="BI137" s="59">
        <f ca="1">AVERAGE(OFFSET($BH$3,0,0,'Données projet'!$E$11+1,1))-AVERAGE(OFFSET($H$3,0,0,'Données projet'!$E$11+1,1))</f>
        <v>297.07458564121606</v>
      </c>
      <c r="BJ137" s="59">
        <f t="shared" si="146"/>
        <v>514.93897725587567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29.205177118993003</v>
      </c>
      <c r="BQ137" s="21">
        <f>EXP(-LN(2)/25)*BQ136+(1-EXP(-LN(2)/25))/(LN(2)/25)*Calculateur!BL137*Calculateur!BN137*VLOOKUP('Données projet'!$B$11,Paramètres!$A$1:$I$89,3,0)*0.475*44/12</f>
        <v>16.337564389278697</v>
      </c>
      <c r="BR137" s="21">
        <f>EXP(-LN(2)/2)*BR136+(1-EXP(-LN(2)/2))/(LN(2)/2)*BL137*BO137*VLOOKUP('Données projet'!$B$11,Paramètres!$A$1:$I$89,3,0)*0.475*44/12</f>
        <v>1.2229937770698287E-15</v>
      </c>
      <c r="BS137" s="22">
        <f t="shared" si="117"/>
        <v>45.542741508271703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63.180000000000234</v>
      </c>
      <c r="D138" s="11">
        <f t="shared" si="140"/>
        <v>17.969840340798424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626.41982017458622</v>
      </c>
      <c r="H138" s="67">
        <f t="shared" si="110"/>
        <v>434.66930526022429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5.1159076974727213E-13</v>
      </c>
      <c r="O138" s="13">
        <f>N138*VLOOKUP('Données projet'!$B$9,Paramètres!$A$1:$I$89,3,0)*VLOOKUP('Données projet'!$B$9,Paramètres!$A$1:$I$89,5,0)</f>
        <v>2.3942448024172334E-13</v>
      </c>
      <c r="P138" s="13">
        <f t="shared" si="141"/>
        <v>3.2492669905861755E-12</v>
      </c>
      <c r="Q138" s="20">
        <f t="shared" si="108"/>
        <v>6.0761376450252565E-12</v>
      </c>
      <c r="R138" s="59">
        <f t="shared" si="109"/>
        <v>293.3333333333394</v>
      </c>
      <c r="S138" s="59">
        <f ca="1">AVERAGE(OFFSET($R$3,0,0,'Données projet'!$E$9+1,1))-AVERAGE(OFFSET($H$3,0,0,'Données projet'!$E$9+1,1))</f>
        <v>157.05226586109279</v>
      </c>
      <c r="T138" s="59">
        <f t="shared" si="142"/>
        <v>76.143582612540229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79.901802687130328</v>
      </c>
      <c r="AA138" s="21">
        <f>EXP(-LN(2)/25)*AA137+(1-EXP(-LN(2)/25))/(LN(2)/25)*Calculateur!V138*Calculateur!X138*VLOOKUP('Données projet'!$B$9,Paramètres!$A$1:$I$89,3,0)*0.475*44/12</f>
        <v>16.169056930008871</v>
      </c>
      <c r="AB138" s="21">
        <f>EXP(-LN(2)/2)*AB137+(1-EXP(-LN(2)/2))/(LN(2)/2)*V138*Y138*VLOOKUP('Données projet'!$B$9,Paramètres!$A$1:$I$89,3,0)*0.475*44/12</f>
        <v>2.2398302398331737E-3</v>
      </c>
      <c r="AC138" s="22">
        <f t="shared" si="111"/>
        <v>96.073099447379036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-6.3550942286383367E-14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279.32192402750189</v>
      </c>
      <c r="AO138" s="59">
        <f t="shared" si="144"/>
        <v>371.43572414443611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46.48370450585324</v>
      </c>
      <c r="AV138" s="21">
        <f>EXP(-LN(2)/25)*AV137+(1-EXP(-LN(2)/25))/(LN(2)/25)*Calculateur!AQ138*Calculateur!AS138*VLOOKUP('Données projet'!$B$10,Paramètres!$A$1:$I$89,3,0)*0.475*44/12</f>
        <v>6.2687998265206728</v>
      </c>
      <c r="AW138" s="21">
        <f>EXP(-LN(2)/2)*AW137+(1-EXP(-LN(2)/2))/(LN(2)/2)*AQ138*AT138*VLOOKUP('Données projet'!$B$10,Paramètres!$A$1:$I$89,3,0)*0.475*44/12</f>
        <v>3.1069524997394613E-11</v>
      </c>
      <c r="AX138" s="21">
        <f t="shared" si="114"/>
        <v>52.752504332404982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2.2737367544323206E-13</v>
      </c>
      <c r="BE138" s="13">
        <f>BD138*VLOOKUP('Données projet'!$B$11,Paramètres!$A$1:$I$89,3,0)*VLOOKUP('Données projet'!$B$11,Paramètres!$A$1:$I$89,5,0)</f>
        <v>1.064108801074326E-13</v>
      </c>
      <c r="BF138" s="13">
        <f t="shared" si="145"/>
        <v>1.5870730813698654E-12</v>
      </c>
      <c r="BG138" s="20">
        <f t="shared" si="115"/>
        <v>2.9494845662396269E-12</v>
      </c>
      <c r="BH138" s="59">
        <f t="shared" si="116"/>
        <v>293.33333333333627</v>
      </c>
      <c r="BI138" s="59">
        <f ca="1">AVERAGE(OFFSET($BH$3,0,0,'Données projet'!$E$11+1,1))-AVERAGE(OFFSET($H$3,0,0,'Données projet'!$E$11+1,1))</f>
        <v>297.07458564121606</v>
      </c>
      <c r="BJ138" s="59">
        <f t="shared" si="146"/>
        <v>514.93897725587567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28.632481409088665</v>
      </c>
      <c r="BQ138" s="21">
        <f>EXP(-LN(2)/25)*BQ137+(1-EXP(-LN(2)/25))/(LN(2)/25)*Calculateur!BL138*Calculateur!BN138*VLOOKUP('Données projet'!$B$11,Paramètres!$A$1:$I$89,3,0)*0.475*44/12</f>
        <v>15.8908128318987</v>
      </c>
      <c r="BR138" s="21">
        <f>EXP(-LN(2)/2)*BR137+(1-EXP(-LN(2)/2))/(LN(2)/2)*BL138*BO138*VLOOKUP('Données projet'!$B$11,Paramètres!$A$1:$I$89,3,0)*0.475*44/12</f>
        <v>8.6478719311502476E-16</v>
      </c>
      <c r="BS138" s="22">
        <f t="shared" si="117"/>
        <v>44.523294240987369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63.648000000000238</v>
      </c>
      <c r="D139" s="11">
        <f t="shared" si="140"/>
        <v>18.087405707268417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630.93997388067032</v>
      </c>
      <c r="H139" s="67">
        <f t="shared" si="110"/>
        <v>435.68916494015957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5.1159076974727213E-13</v>
      </c>
      <c r="O139" s="13">
        <f>N139*VLOOKUP('Données projet'!$B$9,Paramètres!$A$1:$I$89,3,0)*VLOOKUP('Données projet'!$B$9,Paramètres!$A$1:$I$89,5,0)</f>
        <v>2.3942448024172334E-13</v>
      </c>
      <c r="P139" s="13">
        <f t="shared" si="141"/>
        <v>3.2492669905861755E-12</v>
      </c>
      <c r="Q139" s="20">
        <f t="shared" si="108"/>
        <v>6.0761376450252565E-12</v>
      </c>
      <c r="R139" s="59">
        <f t="shared" si="109"/>
        <v>293.3333333333394</v>
      </c>
      <c r="S139" s="59">
        <f ca="1">AVERAGE(OFFSET($R$3,0,0,'Données projet'!$E$9+1,1))-AVERAGE(OFFSET($H$3,0,0,'Données projet'!$E$9+1,1))</f>
        <v>157.05226586109279</v>
      </c>
      <c r="T139" s="59">
        <f t="shared" si="142"/>
        <v>76.143582612540229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78.334977071723131</v>
      </c>
      <c r="AA139" s="21">
        <f>EXP(-LN(2)/25)*AA138+(1-EXP(-LN(2)/25))/(LN(2)/25)*Calculateur!V139*Calculateur!X139*VLOOKUP('Données projet'!$B$9,Paramètres!$A$1:$I$89,3,0)*0.475*44/12</f>
        <v>15.726913217964029</v>
      </c>
      <c r="AB139" s="21">
        <f>EXP(-LN(2)/2)*AB138+(1-EXP(-LN(2)/2))/(LN(2)/2)*V139*Y139*VLOOKUP('Données projet'!$B$9,Paramètres!$A$1:$I$89,3,0)*0.475*44/12</f>
        <v>1.5837991512927282E-3</v>
      </c>
      <c r="AC139" s="22">
        <f t="shared" si="111"/>
        <v>94.063474088838447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-6.3550942286383367E-14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279.32192402750189</v>
      </c>
      <c r="AO139" s="59">
        <f t="shared" si="144"/>
        <v>371.43572414443611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45.572187412753649</v>
      </c>
      <c r="AV139" s="21">
        <f>EXP(-LN(2)/25)*AV138+(1-EXP(-LN(2)/25))/(LN(2)/25)*Calculateur!AQ139*Calculateur!AS139*VLOOKUP('Données projet'!$B$10,Paramètres!$A$1:$I$89,3,0)*0.475*44/12</f>
        <v>6.09737916560261</v>
      </c>
      <c r="AW139" s="21">
        <f>EXP(-LN(2)/2)*AW138+(1-EXP(-LN(2)/2))/(LN(2)/2)*AQ139*AT139*VLOOKUP('Données projet'!$B$10,Paramètres!$A$1:$I$89,3,0)*0.475*44/12</f>
        <v>2.1969471813902681E-11</v>
      </c>
      <c r="AX139" s="21">
        <f t="shared" si="114"/>
        <v>51.66956657837823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2.2737367544323206E-13</v>
      </c>
      <c r="BE139" s="13">
        <f>BD139*VLOOKUP('Données projet'!$B$11,Paramètres!$A$1:$I$89,3,0)*VLOOKUP('Données projet'!$B$11,Paramètres!$A$1:$I$89,5,0)</f>
        <v>1.064108801074326E-13</v>
      </c>
      <c r="BF139" s="13">
        <f t="shared" si="145"/>
        <v>1.5870730813698654E-12</v>
      </c>
      <c r="BG139" s="20">
        <f t="shared" si="115"/>
        <v>2.9494845662396269E-12</v>
      </c>
      <c r="BH139" s="59">
        <f t="shared" si="116"/>
        <v>293.33333333333627</v>
      </c>
      <c r="BI139" s="59">
        <f ca="1">AVERAGE(OFFSET($BH$3,0,0,'Données projet'!$E$11+1,1))-AVERAGE(OFFSET($H$3,0,0,'Données projet'!$E$11+1,1))</f>
        <v>297.07458564121606</v>
      </c>
      <c r="BJ139" s="59">
        <f t="shared" si="146"/>
        <v>514.93897725587567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28.071015912745661</v>
      </c>
      <c r="BQ139" s="21">
        <f>EXP(-LN(2)/25)*BQ138+(1-EXP(-LN(2)/25))/(LN(2)/25)*Calculateur!BL139*Calculateur!BN139*VLOOKUP('Données projet'!$B$11,Paramètres!$A$1:$I$89,3,0)*0.475*44/12</f>
        <v>15.456277719348902</v>
      </c>
      <c r="BR139" s="21">
        <f>EXP(-LN(2)/2)*BR138+(1-EXP(-LN(2)/2))/(LN(2)/2)*BL139*BO139*VLOOKUP('Données projet'!$B$11,Paramètres!$A$1:$I$89,3,0)*0.475*44/12</f>
        <v>6.1149688853491446E-16</v>
      </c>
      <c r="BS139" s="22">
        <f t="shared" si="117"/>
        <v>43.527293632094562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64.116000000000241</v>
      </c>
      <c r="D140" s="11">
        <f t="shared" si="140"/>
        <v>18.204870493705315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635.45935117948159</v>
      </c>
      <c r="H140" s="67">
        <f t="shared" si="110"/>
        <v>436.7088494432038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5.1159076974727213E-13</v>
      </c>
      <c r="O140" s="13">
        <f>N140*VLOOKUP('Données projet'!$B$9,Paramètres!$A$1:$I$89,3,0)*VLOOKUP('Données projet'!$B$9,Paramètres!$A$1:$I$89,5,0)</f>
        <v>2.3942448024172334E-13</v>
      </c>
      <c r="P140" s="13">
        <f t="shared" si="141"/>
        <v>3.2492669905861755E-12</v>
      </c>
      <c r="Q140" s="20">
        <f t="shared" si="108"/>
        <v>6.0761376450252565E-12</v>
      </c>
      <c r="R140" s="59">
        <f t="shared" si="109"/>
        <v>293.3333333333394</v>
      </c>
      <c r="S140" s="59">
        <f ca="1">AVERAGE(OFFSET($R$3,0,0,'Données projet'!$E$9+1,1))-AVERAGE(OFFSET($H$3,0,0,'Données projet'!$E$9+1,1))</f>
        <v>157.05226586109279</v>
      </c>
      <c r="T140" s="59">
        <f t="shared" si="142"/>
        <v>76.143582612540229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76.798875950964813</v>
      </c>
      <c r="AA140" s="21">
        <f>EXP(-LN(2)/25)*AA139+(1-EXP(-LN(2)/25))/(LN(2)/25)*Calculateur!V140*Calculateur!X140*VLOOKUP('Données projet'!$B$9,Paramètres!$A$1:$I$89,3,0)*0.475*44/12</f>
        <v>15.296859948976381</v>
      </c>
      <c r="AB140" s="21">
        <f>EXP(-LN(2)/2)*AB139+(1-EXP(-LN(2)/2))/(LN(2)/2)*V140*Y140*VLOOKUP('Données projet'!$B$9,Paramètres!$A$1:$I$89,3,0)*0.475*44/12</f>
        <v>1.1199151199165868E-3</v>
      </c>
      <c r="AC140" s="22">
        <f t="shared" si="111"/>
        <v>92.096855815061105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-6.3550942286383367E-14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279.32192402750189</v>
      </c>
      <c r="AO140" s="59">
        <f t="shared" si="144"/>
        <v>371.43572414443611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44.678544613879218</v>
      </c>
      <c r="AV140" s="21">
        <f>EXP(-LN(2)/25)*AV139+(1-EXP(-LN(2)/25))/(LN(2)/25)*Calculateur!AQ140*Calculateur!AS140*VLOOKUP('Données projet'!$B$10,Paramètres!$A$1:$I$89,3,0)*0.475*44/12</f>
        <v>5.9306460116719721</v>
      </c>
      <c r="AW140" s="21">
        <f>EXP(-LN(2)/2)*AW139+(1-EXP(-LN(2)/2))/(LN(2)/2)*AQ140*AT140*VLOOKUP('Données projet'!$B$10,Paramètres!$A$1:$I$89,3,0)*0.475*44/12</f>
        <v>1.5534762498697307E-11</v>
      </c>
      <c r="AX140" s="21">
        <f t="shared" si="114"/>
        <v>50.609190625566725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2.2737367544323206E-13</v>
      </c>
      <c r="BE140" s="13">
        <f>BD140*VLOOKUP('Données projet'!$B$11,Paramètres!$A$1:$I$89,3,0)*VLOOKUP('Données projet'!$B$11,Paramètres!$A$1:$I$89,5,0)</f>
        <v>1.064108801074326E-13</v>
      </c>
      <c r="BF140" s="13">
        <f t="shared" si="145"/>
        <v>1.5870730813698654E-12</v>
      </c>
      <c r="BG140" s="20">
        <f t="shared" si="115"/>
        <v>2.9494845662396269E-12</v>
      </c>
      <c r="BH140" s="59">
        <f t="shared" si="116"/>
        <v>293.33333333333627</v>
      </c>
      <c r="BI140" s="59">
        <f ca="1">AVERAGE(OFFSET($BH$3,0,0,'Données projet'!$E$11+1,1))-AVERAGE(OFFSET($H$3,0,0,'Données projet'!$E$11+1,1))</f>
        <v>297.07458564121606</v>
      </c>
      <c r="BJ140" s="59">
        <f t="shared" si="146"/>
        <v>514.93897725587567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27.520560412325807</v>
      </c>
      <c r="BQ140" s="21">
        <f>EXP(-LN(2)/25)*BQ139+(1-EXP(-LN(2)/25))/(LN(2)/25)*Calculateur!BL140*Calculateur!BN140*VLOOKUP('Données projet'!$B$11,Paramètres!$A$1:$I$89,3,0)*0.475*44/12</f>
        <v>15.033624992302988</v>
      </c>
      <c r="BR140" s="21">
        <f>EXP(-LN(2)/2)*BR139+(1-EXP(-LN(2)/2))/(LN(2)/2)*BL140*BO140*VLOOKUP('Données projet'!$B$11,Paramètres!$A$1:$I$89,3,0)*0.475*44/12</f>
        <v>4.3239359655751243E-16</v>
      </c>
      <c r="BS140" s="22">
        <f t="shared" si="117"/>
        <v>42.554185404628797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64.584000000000245</v>
      </c>
      <c r="D141" s="11">
        <f t="shared" si="140"/>
        <v>18.322235519392791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639.97795839531466</v>
      </c>
      <c r="H141" s="67">
        <f t="shared" si="110"/>
        <v>437.72836019627618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5.1159076974727213E-13</v>
      </c>
      <c r="O141" s="13">
        <f>N141*VLOOKUP('Données projet'!$B$9,Paramètres!$A$1:$I$89,3,0)*VLOOKUP('Données projet'!$B$9,Paramètres!$A$1:$I$89,5,0)</f>
        <v>2.3942448024172334E-13</v>
      </c>
      <c r="P141" s="13">
        <f t="shared" si="141"/>
        <v>3.2492669905861755E-12</v>
      </c>
      <c r="Q141" s="20">
        <f t="shared" si="108"/>
        <v>6.0761376450252565E-12</v>
      </c>
      <c r="R141" s="59">
        <f t="shared" si="109"/>
        <v>293.3333333333394</v>
      </c>
      <c r="S141" s="59">
        <f ca="1">AVERAGE(OFFSET($R$3,0,0,'Données projet'!$E$9+1,1))-AVERAGE(OFFSET($H$3,0,0,'Données projet'!$E$9+1,1))</f>
        <v>157.05226586109279</v>
      </c>
      <c r="T141" s="59">
        <f t="shared" si="142"/>
        <v>76.143582612540229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75.292896836255395</v>
      </c>
      <c r="AA141" s="21">
        <f>EXP(-LN(2)/25)*AA140+(1-EXP(-LN(2)/25))/(LN(2)/25)*Calculateur!V141*Calculateur!X141*VLOOKUP('Données projet'!$B$9,Paramètres!$A$1:$I$89,3,0)*0.475*44/12</f>
        <v>14.878566509244719</v>
      </c>
      <c r="AB141" s="21">
        <f>EXP(-LN(2)/2)*AB140+(1-EXP(-LN(2)/2))/(LN(2)/2)*V141*Y141*VLOOKUP('Données projet'!$B$9,Paramètres!$A$1:$I$89,3,0)*0.475*44/12</f>
        <v>7.9189957564636411E-4</v>
      </c>
      <c r="AC141" s="22">
        <f t="shared" si="111"/>
        <v>90.17225524507576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-6.3550942286383367E-14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279.32192402750189</v>
      </c>
      <c r="AO141" s="59">
        <f t="shared" si="144"/>
        <v>371.43572414443611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43.802425605222425</v>
      </c>
      <c r="AV141" s="21">
        <f>EXP(-LN(2)/25)*AV140+(1-EXP(-LN(2)/25))/(LN(2)/25)*Calculateur!AQ141*Calculateur!AS141*VLOOKUP('Données projet'!$B$10,Paramètres!$A$1:$I$89,3,0)*0.475*44/12</f>
        <v>5.7684721846036826</v>
      </c>
      <c r="AW141" s="21">
        <f>EXP(-LN(2)/2)*AW140+(1-EXP(-LN(2)/2))/(LN(2)/2)*AQ141*AT141*VLOOKUP('Données projet'!$B$10,Paramètres!$A$1:$I$89,3,0)*0.475*44/12</f>
        <v>1.0984735906951341E-11</v>
      </c>
      <c r="AX141" s="21">
        <f t="shared" si="114"/>
        <v>49.57089778983709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2.2737367544323206E-13</v>
      </c>
      <c r="BE141" s="13">
        <f>BD141*VLOOKUP('Données projet'!$B$11,Paramètres!$A$1:$I$89,3,0)*VLOOKUP('Données projet'!$B$11,Paramètres!$A$1:$I$89,5,0)</f>
        <v>1.064108801074326E-13</v>
      </c>
      <c r="BF141" s="13">
        <f t="shared" si="145"/>
        <v>1.5870730813698654E-12</v>
      </c>
      <c r="BG141" s="20">
        <f t="shared" si="115"/>
        <v>2.9494845662396269E-12</v>
      </c>
      <c r="BH141" s="59">
        <f t="shared" si="116"/>
        <v>293.33333333333627</v>
      </c>
      <c r="BI141" s="59">
        <f ca="1">AVERAGE(OFFSET($BH$3,0,0,'Données projet'!$E$11+1,1))-AVERAGE(OFFSET($H$3,0,0,'Données projet'!$E$11+1,1))</f>
        <v>297.07458564121606</v>
      </c>
      <c r="BJ141" s="59">
        <f t="shared" si="146"/>
        <v>514.93897725587567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26.980899008524482</v>
      </c>
      <c r="BQ141" s="21">
        <f>EXP(-LN(2)/25)*BQ140+(1-EXP(-LN(2)/25))/(LN(2)/25)*Calculateur!BL141*Calculateur!BN141*VLOOKUP('Données projet'!$B$11,Paramètres!$A$1:$I$89,3,0)*0.475*44/12</f>
        <v>14.622529726304483</v>
      </c>
      <c r="BR141" s="21">
        <f>EXP(-LN(2)/2)*BR140+(1-EXP(-LN(2)/2))/(LN(2)/2)*BL141*BO141*VLOOKUP('Données projet'!$B$11,Paramètres!$A$1:$I$89,3,0)*0.475*44/12</f>
        <v>3.0574844426745728E-16</v>
      </c>
      <c r="BS141" s="22">
        <f t="shared" si="117"/>
        <v>41.603428734828967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65.052000000000248</v>
      </c>
      <c r="D142" s="11">
        <f t="shared" si="140"/>
        <v>18.439501591054739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644.49580175551216</v>
      </c>
      <c r="H142" s="67">
        <f t="shared" si="110"/>
        <v>438.74769860442075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5.1159076974727213E-13</v>
      </c>
      <c r="O142" s="13">
        <f>N142*VLOOKUP('Données projet'!$B$9,Paramètres!$A$1:$I$89,3,0)*VLOOKUP('Données projet'!$B$9,Paramètres!$A$1:$I$89,5,0)</f>
        <v>2.3942448024172334E-13</v>
      </c>
      <c r="P142" s="13">
        <f t="shared" si="141"/>
        <v>3.2492669905861755E-12</v>
      </c>
      <c r="Q142" s="20">
        <f t="shared" si="108"/>
        <v>6.0761376450252565E-12</v>
      </c>
      <c r="R142" s="59">
        <f t="shared" si="109"/>
        <v>293.3333333333394</v>
      </c>
      <c r="S142" s="59">
        <f ca="1">AVERAGE(OFFSET($R$3,0,0,'Données projet'!$E$9+1,1))-AVERAGE(OFFSET($H$3,0,0,'Données projet'!$E$9+1,1))</f>
        <v>157.05226586109279</v>
      </c>
      <c r="T142" s="59">
        <f t="shared" si="142"/>
        <v>76.143582612540229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73.816449053428869</v>
      </c>
      <c r="AA142" s="21">
        <f>EXP(-LN(2)/25)*AA141+(1-EXP(-LN(2)/25))/(LN(2)/25)*Calculateur!V142*Calculateur!X142*VLOOKUP('Données projet'!$B$9,Paramètres!$A$1:$I$89,3,0)*0.475*44/12</f>
        <v>14.471711325619614</v>
      </c>
      <c r="AB142" s="21">
        <f>EXP(-LN(2)/2)*AB141+(1-EXP(-LN(2)/2))/(LN(2)/2)*V142*Y142*VLOOKUP('Données projet'!$B$9,Paramètres!$A$1:$I$89,3,0)*0.475*44/12</f>
        <v>5.5995755995829342E-4</v>
      </c>
      <c r="AC142" s="22">
        <f t="shared" si="111"/>
        <v>88.288720336608435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-6.3550942286383367E-14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279.32192402750189</v>
      </c>
      <c r="AO142" s="59">
        <f t="shared" si="144"/>
        <v>371.43572414443611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42.943486755945564</v>
      </c>
      <c r="AV142" s="21">
        <f>EXP(-LN(2)/25)*AV141+(1-EXP(-LN(2)/25))/(LN(2)/25)*Calculateur!AQ142*Calculateur!AS142*VLOOKUP('Données projet'!$B$10,Paramètres!$A$1:$I$89,3,0)*0.475*44/12</f>
        <v>5.6107330093649264</v>
      </c>
      <c r="AW142" s="21">
        <f>EXP(-LN(2)/2)*AW141+(1-EXP(-LN(2)/2))/(LN(2)/2)*AQ142*AT142*VLOOKUP('Données projet'!$B$10,Paramètres!$A$1:$I$89,3,0)*0.475*44/12</f>
        <v>7.7673812493486533E-12</v>
      </c>
      <c r="AX142" s="21">
        <f t="shared" si="114"/>
        <v>48.554219765318258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2.2737367544323206E-13</v>
      </c>
      <c r="BE142" s="13">
        <f>BD142*VLOOKUP('Données projet'!$B$11,Paramètres!$A$1:$I$89,3,0)*VLOOKUP('Données projet'!$B$11,Paramètres!$A$1:$I$89,5,0)</f>
        <v>1.064108801074326E-13</v>
      </c>
      <c r="BF142" s="13">
        <f t="shared" si="145"/>
        <v>1.5870730813698654E-12</v>
      </c>
      <c r="BG142" s="20">
        <f t="shared" si="115"/>
        <v>2.9494845662396269E-12</v>
      </c>
      <c r="BH142" s="59">
        <f t="shared" si="116"/>
        <v>293.33333333333627</v>
      </c>
      <c r="BI142" s="59">
        <f ca="1">AVERAGE(OFFSET($BH$3,0,0,'Données projet'!$E$11+1,1))-AVERAGE(OFFSET($H$3,0,0,'Données projet'!$E$11+1,1))</f>
        <v>297.07458564121606</v>
      </c>
      <c r="BJ142" s="59">
        <f t="shared" si="146"/>
        <v>514.93897725587567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26.451820035690744</v>
      </c>
      <c r="BQ142" s="21">
        <f>EXP(-LN(2)/25)*BQ141+(1-EXP(-LN(2)/25))/(LN(2)/25)*Calculateur!BL142*Calculateur!BN142*VLOOKUP('Données projet'!$B$11,Paramètres!$A$1:$I$89,3,0)*0.475*44/12</f>
        <v>14.222675881973268</v>
      </c>
      <c r="BR142" s="21">
        <f>EXP(-LN(2)/2)*BR141+(1-EXP(-LN(2)/2))/(LN(2)/2)*BL142*BO142*VLOOKUP('Données projet'!$B$11,Paramètres!$A$1:$I$89,3,0)*0.475*44/12</f>
        <v>2.1619679827875624E-16</v>
      </c>
      <c r="BS142" s="22">
        <f t="shared" si="117"/>
        <v>40.674495917664011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65.520000000000252</v>
      </c>
      <c r="D143" s="11">
        <f t="shared" si="140"/>
        <v>18.556669503136781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649.01288739263669</v>
      </c>
      <c r="H143" s="67">
        <f t="shared" si="110"/>
        <v>439.76686605129692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5.1159076974727213E-13</v>
      </c>
      <c r="O143" s="13">
        <f>N143*VLOOKUP('Données projet'!$B$9,Paramètres!$A$1:$I$89,3,0)*VLOOKUP('Données projet'!$B$9,Paramètres!$A$1:$I$89,5,0)</f>
        <v>2.3942448024172334E-13</v>
      </c>
      <c r="P143" s="13">
        <f t="shared" si="141"/>
        <v>3.2492669905861755E-12</v>
      </c>
      <c r="Q143" s="20">
        <f t="shared" si="108"/>
        <v>6.0761376450252565E-12</v>
      </c>
      <c r="R143" s="59">
        <f t="shared" si="109"/>
        <v>293.3333333333394</v>
      </c>
      <c r="S143" s="59">
        <f ca="1">AVERAGE(OFFSET($R$3,0,0,'Données projet'!$E$9+1,1))-AVERAGE(OFFSET($H$3,0,0,'Données projet'!$E$9+1,1))</f>
        <v>157.05226586109279</v>
      </c>
      <c r="T143" s="59">
        <f t="shared" si="142"/>
        <v>76.143582612540229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72.36895351107934</v>
      </c>
      <c r="AA143" s="21">
        <f>EXP(-LN(2)/25)*AA142+(1-EXP(-LN(2)/25))/(LN(2)/25)*Calculateur!V143*Calculateur!X143*VLOOKUP('Données projet'!$B$9,Paramètres!$A$1:$I$89,3,0)*0.475*44/12</f>
        <v>14.075981618386322</v>
      </c>
      <c r="AB143" s="21">
        <f>EXP(-LN(2)/2)*AB142+(1-EXP(-LN(2)/2))/(LN(2)/2)*V143*Y143*VLOOKUP('Données projet'!$B$9,Paramètres!$A$1:$I$89,3,0)*0.475*44/12</f>
        <v>3.9594978782318206E-4</v>
      </c>
      <c r="AC143" s="22">
        <f t="shared" si="111"/>
        <v>86.445331079253492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-6.3550942286383367E-14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279.32192402750189</v>
      </c>
      <c r="AO143" s="59">
        <f t="shared" si="144"/>
        <v>371.43572414443611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42.101391173602053</v>
      </c>
      <c r="AV143" s="21">
        <f>EXP(-LN(2)/25)*AV142+(1-EXP(-LN(2)/25))/(LN(2)/25)*Calculateur!AQ143*Calculateur!AS143*VLOOKUP('Données projet'!$B$10,Paramètres!$A$1:$I$89,3,0)*0.475*44/12</f>
        <v>5.4573072201682171</v>
      </c>
      <c r="AW143" s="21">
        <f>EXP(-LN(2)/2)*AW142+(1-EXP(-LN(2)/2))/(LN(2)/2)*AQ143*AT143*VLOOKUP('Données projet'!$B$10,Paramètres!$A$1:$I$89,3,0)*0.475*44/12</f>
        <v>5.4923679534756703E-12</v>
      </c>
      <c r="AX143" s="21">
        <f t="shared" si="114"/>
        <v>47.558698393775764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2.2737367544323206E-13</v>
      </c>
      <c r="BE143" s="13">
        <f>BD143*VLOOKUP('Données projet'!$B$11,Paramètres!$A$1:$I$89,3,0)*VLOOKUP('Données projet'!$B$11,Paramètres!$A$1:$I$89,5,0)</f>
        <v>1.064108801074326E-13</v>
      </c>
      <c r="BF143" s="13">
        <f t="shared" si="145"/>
        <v>1.5870730813698654E-12</v>
      </c>
      <c r="BG143" s="20">
        <f t="shared" si="115"/>
        <v>2.9494845662396269E-12</v>
      </c>
      <c r="BH143" s="59">
        <f t="shared" si="116"/>
        <v>293.33333333333627</v>
      </c>
      <c r="BI143" s="59">
        <f ca="1">AVERAGE(OFFSET($BH$3,0,0,'Données projet'!$E$11+1,1))-AVERAGE(OFFSET($H$3,0,0,'Données projet'!$E$11+1,1))</f>
        <v>297.07458564121606</v>
      </c>
      <c r="BJ143" s="59">
        <f t="shared" si="146"/>
        <v>514.93897725587567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25.933115978807969</v>
      </c>
      <c r="BQ143" s="21">
        <f>EXP(-LN(2)/25)*BQ142+(1-EXP(-LN(2)/25))/(LN(2)/25)*Calculateur!BL143*Calculateur!BN143*VLOOKUP('Données projet'!$B$11,Paramètres!$A$1:$I$89,3,0)*0.475*44/12</f>
        <v>13.83375606204269</v>
      </c>
      <c r="BR143" s="21">
        <f>EXP(-LN(2)/2)*BR142+(1-EXP(-LN(2)/2))/(LN(2)/2)*BL143*BO143*VLOOKUP('Données projet'!$B$11,Paramètres!$A$1:$I$89,3,0)*0.475*44/12</f>
        <v>1.5287422213372866E-16</v>
      </c>
      <c r="BS143" s="22">
        <f t="shared" si="117"/>
        <v>39.766872040850657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65.988000000000255</v>
      </c>
      <c r="D144" s="11">
        <f t="shared" si="140"/>
        <v>18.673740038079515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653.5292213465807</v>
      </c>
      <c r="H144" s="67">
        <f t="shared" si="110"/>
        <v>440.78586389965557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5.1159076974727213E-13</v>
      </c>
      <c r="O144" s="13">
        <f>N144*VLOOKUP('Données projet'!$B$9,Paramètres!$A$1:$I$89,3,0)*VLOOKUP('Données projet'!$B$9,Paramètres!$A$1:$I$89,5,0)</f>
        <v>2.3942448024172334E-13</v>
      </c>
      <c r="P144" s="13">
        <f t="shared" si="141"/>
        <v>3.2492669905861755E-12</v>
      </c>
      <c r="Q144" s="20">
        <f t="shared" si="108"/>
        <v>6.0761376450252565E-12</v>
      </c>
      <c r="R144" s="59">
        <f t="shared" si="109"/>
        <v>293.3333333333394</v>
      </c>
      <c r="S144" s="59">
        <f ca="1">AVERAGE(OFFSET($R$3,0,0,'Données projet'!$E$9+1,1))-AVERAGE(OFFSET($H$3,0,0,'Données projet'!$E$9+1,1))</f>
        <v>157.05226586109279</v>
      </c>
      <c r="T144" s="59">
        <f t="shared" si="142"/>
        <v>76.143582612540229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70.949842473430181</v>
      </c>
      <c r="AA144" s="21">
        <f>EXP(-LN(2)/25)*AA143+(1-EXP(-LN(2)/25))/(LN(2)/25)*Calculateur!V144*Calculateur!X144*VLOOKUP('Données projet'!$B$9,Paramètres!$A$1:$I$89,3,0)*0.475*44/12</f>
        <v>13.691073160807846</v>
      </c>
      <c r="AB144" s="21">
        <f>EXP(-LN(2)/2)*AB143+(1-EXP(-LN(2)/2))/(LN(2)/2)*V144*Y144*VLOOKUP('Données projet'!$B$9,Paramètres!$A$1:$I$89,3,0)*0.475*44/12</f>
        <v>2.7997877997914671E-4</v>
      </c>
      <c r="AC144" s="22">
        <f t="shared" si="111"/>
        <v>84.641195613018013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-6.3550942286383367E-14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279.32192402750189</v>
      </c>
      <c r="AO144" s="59">
        <f t="shared" si="144"/>
        <v>371.43572414443611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41.275808572000713</v>
      </c>
      <c r="AV144" s="21">
        <f>EXP(-LN(2)/25)*AV143+(1-EXP(-LN(2)/25))/(LN(2)/25)*Calculateur!AQ144*Calculateur!AS144*VLOOKUP('Données projet'!$B$10,Paramètres!$A$1:$I$89,3,0)*0.475*44/12</f>
        <v>5.3080768672454033</v>
      </c>
      <c r="AW144" s="21">
        <f>EXP(-LN(2)/2)*AW143+(1-EXP(-LN(2)/2))/(LN(2)/2)*AQ144*AT144*VLOOKUP('Données projet'!$B$10,Paramètres!$A$1:$I$89,3,0)*0.475*44/12</f>
        <v>3.8836906246743267E-12</v>
      </c>
      <c r="AX144" s="21">
        <f t="shared" si="114"/>
        <v>46.583885439250004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2.2737367544323206E-13</v>
      </c>
      <c r="BE144" s="13">
        <f>BD144*VLOOKUP('Données projet'!$B$11,Paramètres!$A$1:$I$89,3,0)*VLOOKUP('Données projet'!$B$11,Paramètres!$A$1:$I$89,5,0)</f>
        <v>1.064108801074326E-13</v>
      </c>
      <c r="BF144" s="13">
        <f t="shared" si="145"/>
        <v>1.5870730813698654E-12</v>
      </c>
      <c r="BG144" s="20">
        <f t="shared" si="115"/>
        <v>2.9494845662396269E-12</v>
      </c>
      <c r="BH144" s="59">
        <f t="shared" si="116"/>
        <v>293.33333333333627</v>
      </c>
      <c r="BI144" s="59">
        <f ca="1">AVERAGE(OFFSET($BH$3,0,0,'Données projet'!$E$11+1,1))-AVERAGE(OFFSET($H$3,0,0,'Données projet'!$E$11+1,1))</f>
        <v>297.07458564121606</v>
      </c>
      <c r="BJ144" s="59">
        <f t="shared" si="146"/>
        <v>514.93897725587567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25.424583392102431</v>
      </c>
      <c r="BQ144" s="21">
        <f>EXP(-LN(2)/25)*BQ143+(1-EXP(-LN(2)/25))/(LN(2)/25)*Calculateur!BL144*Calculateur!BN144*VLOOKUP('Données projet'!$B$11,Paramètres!$A$1:$I$89,3,0)*0.475*44/12</f>
        <v>13.455471275040519</v>
      </c>
      <c r="BR144" s="21">
        <f>EXP(-LN(2)/2)*BR143+(1-EXP(-LN(2)/2))/(LN(2)/2)*BL144*BO144*VLOOKUP('Données projet'!$B$11,Paramètres!$A$1:$I$89,3,0)*0.475*44/12</f>
        <v>1.0809839913937814E-16</v>
      </c>
      <c r="BS144" s="22">
        <f t="shared" si="117"/>
        <v>38.88005466714295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66.456000000000259</v>
      </c>
      <c r="D145" s="11">
        <f t="shared" si="140"/>
        <v>18.790713966583677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658.04480956661291</v>
      </c>
      <c r="H145" s="67">
        <f t="shared" si="110"/>
        <v>441.80469349180032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5.1159076974727213E-13</v>
      </c>
      <c r="O145" s="13">
        <f>N145*VLOOKUP('Données projet'!$B$9,Paramètres!$A$1:$I$89,3,0)*VLOOKUP('Données projet'!$B$9,Paramètres!$A$1:$I$89,5,0)</f>
        <v>2.3942448024172334E-13</v>
      </c>
      <c r="P145" s="13">
        <f t="shared" si="141"/>
        <v>3.2492669905861755E-12</v>
      </c>
      <c r="Q145" s="20">
        <f t="shared" si="108"/>
        <v>6.0761376450252565E-12</v>
      </c>
      <c r="R145" s="59">
        <f t="shared" si="109"/>
        <v>293.3333333333394</v>
      </c>
      <c r="S145" s="59">
        <f ca="1">AVERAGE(OFFSET($R$3,0,0,'Données projet'!$E$9+1,1))-AVERAGE(OFFSET($H$3,0,0,'Données projet'!$E$9+1,1))</f>
        <v>157.05226586109279</v>
      </c>
      <c r="T145" s="59">
        <f t="shared" si="142"/>
        <v>76.143582612540229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69.558559337657059</v>
      </c>
      <c r="AA145" s="21">
        <f>EXP(-LN(2)/25)*AA144+(1-EXP(-LN(2)/25))/(LN(2)/25)*Calculateur!V145*Calculateur!X145*VLOOKUP('Données projet'!$B$9,Paramètres!$A$1:$I$89,3,0)*0.475*44/12</f>
        <v>13.316690045243309</v>
      </c>
      <c r="AB145" s="21">
        <f>EXP(-LN(2)/2)*AB144+(1-EXP(-LN(2)/2))/(LN(2)/2)*V145*Y145*VLOOKUP('Données projet'!$B$9,Paramètres!$A$1:$I$89,3,0)*0.475*44/12</f>
        <v>1.9797489391159103E-4</v>
      </c>
      <c r="AC145" s="22">
        <f t="shared" si="111"/>
        <v>82.875447357794272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-6.3550942286383367E-14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279.32192402750189</v>
      </c>
      <c r="AO145" s="59">
        <f t="shared" si="144"/>
        <v>371.43572414443611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40.466415141661109</v>
      </c>
      <c r="AV145" s="21">
        <f>EXP(-LN(2)/25)*AV144+(1-EXP(-LN(2)/25))/(LN(2)/25)*Calculateur!AQ145*Calculateur!AS145*VLOOKUP('Données projet'!$B$10,Paramètres!$A$1:$I$89,3,0)*0.475*44/12</f>
        <v>5.1629272261709467</v>
      </c>
      <c r="AW145" s="21">
        <f>EXP(-LN(2)/2)*AW144+(1-EXP(-LN(2)/2))/(LN(2)/2)*AQ145*AT145*VLOOKUP('Données projet'!$B$10,Paramètres!$A$1:$I$89,3,0)*0.475*44/12</f>
        <v>2.7461839767378352E-12</v>
      </c>
      <c r="AX145" s="21">
        <f t="shared" si="114"/>
        <v>45.629342367834795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2.2737367544323206E-13</v>
      </c>
      <c r="BE145" s="13">
        <f>BD145*VLOOKUP('Données projet'!$B$11,Paramètres!$A$1:$I$89,3,0)*VLOOKUP('Données projet'!$B$11,Paramètres!$A$1:$I$89,5,0)</f>
        <v>1.064108801074326E-13</v>
      </c>
      <c r="BF145" s="13">
        <f t="shared" si="145"/>
        <v>1.5870730813698654E-12</v>
      </c>
      <c r="BG145" s="20">
        <f t="shared" si="115"/>
        <v>2.9494845662396269E-12</v>
      </c>
      <c r="BH145" s="59">
        <f t="shared" si="116"/>
        <v>293.33333333333627</v>
      </c>
      <c r="BI145" s="59">
        <f ca="1">AVERAGE(OFFSET($BH$3,0,0,'Données projet'!$E$11+1,1))-AVERAGE(OFFSET($H$3,0,0,'Données projet'!$E$11+1,1))</f>
        <v>297.07458564121606</v>
      </c>
      <c r="BJ145" s="59">
        <f t="shared" si="146"/>
        <v>514.93897725587567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24.926022819247937</v>
      </c>
      <c r="BQ145" s="21">
        <f>EXP(-LN(2)/25)*BQ144+(1-EXP(-LN(2)/25))/(LN(2)/25)*Calculateur!BL145*Calculateur!BN145*VLOOKUP('Données projet'!$B$11,Paramètres!$A$1:$I$89,3,0)*0.475*44/12</f>
        <v>13.087530705432055</v>
      </c>
      <c r="BR145" s="21">
        <f>EXP(-LN(2)/2)*BR144+(1-EXP(-LN(2)/2))/(LN(2)/2)*BL145*BO145*VLOOKUP('Données projet'!$B$11,Paramètres!$A$1:$I$89,3,0)*0.475*44/12</f>
        <v>7.6437111066864344E-17</v>
      </c>
      <c r="BS145" s="22">
        <f t="shared" si="117"/>
        <v>38.013553524679992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66.924000000000262</v>
      </c>
      <c r="D146" s="11">
        <f t="shared" si="140"/>
        <v>18.90759204786773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662.559657913367</v>
      </c>
      <c r="H146" s="67">
        <f t="shared" si="110"/>
        <v>442.82335615003672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5.1159076974727213E-13</v>
      </c>
      <c r="O146" s="13">
        <f>N146*VLOOKUP('Données projet'!$B$9,Paramètres!$A$1:$I$89,3,0)*VLOOKUP('Données projet'!$B$9,Paramètres!$A$1:$I$89,5,0)</f>
        <v>2.3942448024172334E-13</v>
      </c>
      <c r="P146" s="13">
        <f t="shared" si="141"/>
        <v>3.2492669905861755E-12</v>
      </c>
      <c r="Q146" s="20">
        <f t="shared" si="108"/>
        <v>6.0761376450252565E-12</v>
      </c>
      <c r="R146" s="59">
        <f t="shared" si="109"/>
        <v>293.3333333333394</v>
      </c>
      <c r="S146" s="59">
        <f ca="1">AVERAGE(OFFSET($R$3,0,0,'Données projet'!$E$9+1,1))-AVERAGE(OFFSET($H$3,0,0,'Données projet'!$E$9+1,1))</f>
        <v>157.05226586109279</v>
      </c>
      <c r="T146" s="59">
        <f t="shared" si="142"/>
        <v>76.143582612540229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68.194558415577532</v>
      </c>
      <c r="AA146" s="21">
        <f>EXP(-LN(2)/25)*AA145+(1-EXP(-LN(2)/25))/(LN(2)/25)*Calculateur!V146*Calculateur!X146*VLOOKUP('Données projet'!$B$9,Paramètres!$A$1:$I$89,3,0)*0.475*44/12</f>
        <v>12.952544455661837</v>
      </c>
      <c r="AB146" s="21">
        <f>EXP(-LN(2)/2)*AB145+(1-EXP(-LN(2)/2))/(LN(2)/2)*V146*Y146*VLOOKUP('Données projet'!$B$9,Paramètres!$A$1:$I$89,3,0)*0.475*44/12</f>
        <v>1.3998938998957335E-4</v>
      </c>
      <c r="AC146" s="22">
        <f t="shared" si="111"/>
        <v>81.147242860629362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-6.3550942286383367E-14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279.32192402750189</v>
      </c>
      <c r="AO146" s="59">
        <f t="shared" si="144"/>
        <v>371.43572414443611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39.672893422809217</v>
      </c>
      <c r="AV146" s="21">
        <f>EXP(-LN(2)/25)*AV145+(1-EXP(-LN(2)/25))/(LN(2)/25)*Calculateur!AQ146*Calculateur!AS146*VLOOKUP('Données projet'!$B$10,Paramètres!$A$1:$I$89,3,0)*0.475*44/12</f>
        <v>5.0217467096647592</v>
      </c>
      <c r="AW146" s="21">
        <f>EXP(-LN(2)/2)*AW145+(1-EXP(-LN(2)/2))/(LN(2)/2)*AQ146*AT146*VLOOKUP('Données projet'!$B$10,Paramètres!$A$1:$I$89,3,0)*0.475*44/12</f>
        <v>1.9418453123371633E-12</v>
      </c>
      <c r="AX146" s="21">
        <f t="shared" si="114"/>
        <v>44.694640132475918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2.2737367544323206E-13</v>
      </c>
      <c r="BE146" s="13">
        <f>BD146*VLOOKUP('Données projet'!$B$11,Paramètres!$A$1:$I$89,3,0)*VLOOKUP('Données projet'!$B$11,Paramètres!$A$1:$I$89,5,0)</f>
        <v>1.064108801074326E-13</v>
      </c>
      <c r="BF146" s="13">
        <f t="shared" si="145"/>
        <v>1.5870730813698654E-12</v>
      </c>
      <c r="BG146" s="20">
        <f t="shared" si="115"/>
        <v>2.9494845662396269E-12</v>
      </c>
      <c r="BH146" s="59">
        <f t="shared" si="116"/>
        <v>293.33333333333627</v>
      </c>
      <c r="BI146" s="59">
        <f ca="1">AVERAGE(OFFSET($BH$3,0,0,'Données projet'!$E$11+1,1))-AVERAGE(OFFSET($H$3,0,0,'Données projet'!$E$11+1,1))</f>
        <v>297.07458564121606</v>
      </c>
      <c r="BJ146" s="59">
        <f t="shared" si="146"/>
        <v>514.93897725587567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24.437238715135194</v>
      </c>
      <c r="BQ146" s="21">
        <f>EXP(-LN(2)/25)*BQ145+(1-EXP(-LN(2)/25))/(LN(2)/25)*Calculateur!BL146*Calculateur!BN146*VLOOKUP('Données projet'!$B$11,Paramètres!$A$1:$I$89,3,0)*0.475*44/12</f>
        <v>12.729651490048688</v>
      </c>
      <c r="BR146" s="21">
        <f>EXP(-LN(2)/2)*BR145+(1-EXP(-LN(2)/2))/(LN(2)/2)*BL146*BO146*VLOOKUP('Données projet'!$B$11,Paramètres!$A$1:$I$89,3,0)*0.475*44/12</f>
        <v>5.4049199569689079E-17</v>
      </c>
      <c r="BS146" s="22">
        <f t="shared" si="117"/>
        <v>37.166890205183883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67.392000000000266</v>
      </c>
      <c r="D147" s="11">
        <f t="shared" si="140"/>
        <v>19.024375029918055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667.07377216077305</v>
      </c>
      <c r="H147" s="67">
        <f t="shared" si="110"/>
        <v>443.84185317710774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5.1159076974727213E-13</v>
      </c>
      <c r="O147" s="13">
        <f>N147*VLOOKUP('Données projet'!$B$9,Paramètres!$A$1:$I$89,3,0)*VLOOKUP('Données projet'!$B$9,Paramètres!$A$1:$I$89,5,0)</f>
        <v>2.3942448024172334E-13</v>
      </c>
      <c r="P147" s="13">
        <f t="shared" si="141"/>
        <v>3.2492669905861755E-12</v>
      </c>
      <c r="Q147" s="20">
        <f t="shared" si="108"/>
        <v>6.0761376450252565E-12</v>
      </c>
      <c r="R147" s="59">
        <f t="shared" si="109"/>
        <v>293.3333333333394</v>
      </c>
      <c r="S147" s="59">
        <f ca="1">AVERAGE(OFFSET($R$3,0,0,'Données projet'!$E$9+1,1))-AVERAGE(OFFSET($H$3,0,0,'Données projet'!$E$9+1,1))</f>
        <v>157.05226586109279</v>
      </c>
      <c r="T147" s="59">
        <f t="shared" si="142"/>
        <v>76.143582612540229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66.857304719621567</v>
      </c>
      <c r="AA147" s="21">
        <f>EXP(-LN(2)/25)*AA146+(1-EXP(-LN(2)/25))/(LN(2)/25)*Calculateur!V147*Calculateur!X147*VLOOKUP('Données projet'!$B$9,Paramètres!$A$1:$I$89,3,0)*0.475*44/12</f>
        <v>12.598356446377055</v>
      </c>
      <c r="AB147" s="21">
        <f>EXP(-LN(2)/2)*AB146+(1-EXP(-LN(2)/2))/(LN(2)/2)*V147*Y147*VLOOKUP('Données projet'!$B$9,Paramètres!$A$1:$I$89,3,0)*0.475*44/12</f>
        <v>9.8987446955795514E-5</v>
      </c>
      <c r="AC147" s="22">
        <f t="shared" si="111"/>
        <v>79.455760153445581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-6.3550942286383367E-14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279.32192402750189</v>
      </c>
      <c r="AO147" s="59">
        <f t="shared" si="144"/>
        <v>371.43572414443611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38.894932180863556</v>
      </c>
      <c r="AV147" s="21">
        <f>EXP(-LN(2)/25)*AV146+(1-EXP(-LN(2)/25))/(LN(2)/25)*Calculateur!AQ147*Calculateur!AS147*VLOOKUP('Données projet'!$B$10,Paramètres!$A$1:$I$89,3,0)*0.475*44/12</f>
        <v>4.8844267818067939</v>
      </c>
      <c r="AW147" s="21">
        <f>EXP(-LN(2)/2)*AW146+(1-EXP(-LN(2)/2))/(LN(2)/2)*AQ147*AT147*VLOOKUP('Données projet'!$B$10,Paramètres!$A$1:$I$89,3,0)*0.475*44/12</f>
        <v>1.3730919883689176E-12</v>
      </c>
      <c r="AX147" s="21">
        <f t="shared" si="114"/>
        <v>43.779358962671722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2.2737367544323206E-13</v>
      </c>
      <c r="BE147" s="13">
        <f>BD147*VLOOKUP('Données projet'!$B$11,Paramètres!$A$1:$I$89,3,0)*VLOOKUP('Données projet'!$B$11,Paramètres!$A$1:$I$89,5,0)</f>
        <v>1.064108801074326E-13</v>
      </c>
      <c r="BF147" s="13">
        <f t="shared" si="145"/>
        <v>1.5870730813698654E-12</v>
      </c>
      <c r="BG147" s="20">
        <f t="shared" si="115"/>
        <v>2.9494845662396269E-12</v>
      </c>
      <c r="BH147" s="59">
        <f t="shared" si="116"/>
        <v>293.33333333333627</v>
      </c>
      <c r="BI147" s="59">
        <f ca="1">AVERAGE(OFFSET($BH$3,0,0,'Données projet'!$E$11+1,1))-AVERAGE(OFFSET($H$3,0,0,'Données projet'!$E$11+1,1))</f>
        <v>297.07458564121606</v>
      </c>
      <c r="BJ147" s="59">
        <f t="shared" si="146"/>
        <v>514.93897725587567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23.958039369175239</v>
      </c>
      <c r="BQ147" s="21">
        <f>EXP(-LN(2)/25)*BQ146+(1-EXP(-LN(2)/25))/(LN(2)/25)*Calculateur!BL147*Calculateur!BN147*VLOOKUP('Données projet'!$B$11,Paramètres!$A$1:$I$89,3,0)*0.475*44/12</f>
        <v>12.38155850063003</v>
      </c>
      <c r="BR147" s="21">
        <f>EXP(-LN(2)/2)*BR146+(1-EXP(-LN(2)/2))/(LN(2)/2)*BL147*BO147*VLOOKUP('Données projet'!$B$11,Paramètres!$A$1:$I$89,3,0)*0.475*44/12</f>
        <v>3.8218555533432178E-17</v>
      </c>
      <c r="BS147" s="22">
        <f t="shared" si="117"/>
        <v>36.339597869805267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67.860000000000269</v>
      </c>
      <c r="D148" s="11">
        <f t="shared" si="140"/>
        <v>19.141063649731827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671.58715799793197</v>
      </c>
      <c r="H148" s="67">
        <f t="shared" si="110"/>
        <v>444.86018585661668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5.1159076974727213E-13</v>
      </c>
      <c r="O148" s="13">
        <f>N148*VLOOKUP('Données projet'!$B$9,Paramètres!$A$1:$I$89,3,0)*VLOOKUP('Données projet'!$B$9,Paramètres!$A$1:$I$89,5,0)</f>
        <v>2.3942448024172334E-13</v>
      </c>
      <c r="P148" s="13">
        <f t="shared" si="141"/>
        <v>3.2492669905861755E-12</v>
      </c>
      <c r="Q148" s="20">
        <f t="shared" si="108"/>
        <v>6.0761376450252565E-12</v>
      </c>
      <c r="R148" s="59">
        <f t="shared" si="109"/>
        <v>293.3333333333394</v>
      </c>
      <c r="S148" s="59">
        <f ca="1">AVERAGE(OFFSET($R$3,0,0,'Données projet'!$E$9+1,1))-AVERAGE(OFFSET($H$3,0,0,'Données projet'!$E$9+1,1))</f>
        <v>157.05226586109279</v>
      </c>
      <c r="T148" s="59">
        <f t="shared" si="142"/>
        <v>76.143582612540229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65.546273752999085</v>
      </c>
      <c r="AA148" s="21">
        <f>EXP(-LN(2)/25)*AA147+(1-EXP(-LN(2)/25))/(LN(2)/25)*Calculateur!V148*Calculateur!X148*VLOOKUP('Données projet'!$B$9,Paramètres!$A$1:$I$89,3,0)*0.475*44/12</f>
        <v>12.253853726832103</v>
      </c>
      <c r="AB148" s="21">
        <f>EXP(-LN(2)/2)*AB147+(1-EXP(-LN(2)/2))/(LN(2)/2)*V148*Y148*VLOOKUP('Données projet'!$B$9,Paramètres!$A$1:$I$89,3,0)*0.475*44/12</f>
        <v>6.9994694994786677E-5</v>
      </c>
      <c r="AC148" s="22">
        <f t="shared" si="111"/>
        <v>77.800197474526186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-6.3550942286383367E-14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279.32192402750189</v>
      </c>
      <c r="AO148" s="59">
        <f t="shared" si="144"/>
        <v>371.43572414443611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38.132226284362943</v>
      </c>
      <c r="AV148" s="21">
        <f>EXP(-LN(2)/25)*AV147+(1-EXP(-LN(2)/25))/(LN(2)/25)*Calculateur!AQ148*Calculateur!AS148*VLOOKUP('Données projet'!$B$10,Paramètres!$A$1:$I$89,3,0)*0.475*44/12</f>
        <v>4.7508618745974465</v>
      </c>
      <c r="AW148" s="21">
        <f>EXP(-LN(2)/2)*AW147+(1-EXP(-LN(2)/2))/(LN(2)/2)*AQ148*AT148*VLOOKUP('Données projet'!$B$10,Paramètres!$A$1:$I$89,3,0)*0.475*44/12</f>
        <v>9.7092265616858166E-13</v>
      </c>
      <c r="AX148" s="21">
        <f t="shared" si="114"/>
        <v>42.883088158961364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2.2737367544323206E-13</v>
      </c>
      <c r="BE148" s="13">
        <f>BD148*VLOOKUP('Données projet'!$B$11,Paramètres!$A$1:$I$89,3,0)*VLOOKUP('Données projet'!$B$11,Paramètres!$A$1:$I$89,5,0)</f>
        <v>1.064108801074326E-13</v>
      </c>
      <c r="BF148" s="13">
        <f t="shared" si="145"/>
        <v>1.5870730813698654E-12</v>
      </c>
      <c r="BG148" s="20">
        <f t="shared" si="115"/>
        <v>2.9494845662396269E-12</v>
      </c>
      <c r="BH148" s="59">
        <f t="shared" si="116"/>
        <v>293.33333333333627</v>
      </c>
      <c r="BI148" s="59">
        <f ca="1">AVERAGE(OFFSET($BH$3,0,0,'Données projet'!$E$11+1,1))-AVERAGE(OFFSET($H$3,0,0,'Données projet'!$E$11+1,1))</f>
        <v>297.07458564121606</v>
      </c>
      <c r="BJ148" s="59">
        <f t="shared" si="146"/>
        <v>514.93897725587567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23.488236830106818</v>
      </c>
      <c r="BQ148" s="21">
        <f>EXP(-LN(2)/25)*BQ147+(1-EXP(-LN(2)/25))/(LN(2)/25)*Calculateur!BL148*Calculateur!BN148*VLOOKUP('Données projet'!$B$11,Paramètres!$A$1:$I$89,3,0)*0.475*44/12</f>
        <v>12.042984132312439</v>
      </c>
      <c r="BR148" s="21">
        <f>EXP(-LN(2)/2)*BR147+(1-EXP(-LN(2)/2))/(LN(2)/2)*BL148*BO148*VLOOKUP('Données projet'!$B$11,Paramètres!$A$1:$I$89,3,0)*0.475*44/12</f>
        <v>2.7024599784844545E-17</v>
      </c>
      <c r="BS148" s="22">
        <f t="shared" si="117"/>
        <v>35.531220962419255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68.328000000000273</v>
      </c>
      <c r="D149" s="11">
        <f t="shared" si="140"/>
        <v>19.257658633553223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676.09982103093932</v>
      </c>
      <c r="H149" s="67">
        <f t="shared" si="110"/>
        <v>445.87835545343899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5.1159076974727213E-13</v>
      </c>
      <c r="O149" s="13">
        <f>N149*VLOOKUP('Données projet'!$B$9,Paramètres!$A$1:$I$89,3,0)*VLOOKUP('Données projet'!$B$9,Paramètres!$A$1:$I$89,5,0)</f>
        <v>2.3942448024172334E-13</v>
      </c>
      <c r="P149" s="13">
        <f t="shared" si="141"/>
        <v>3.2492669905861755E-12</v>
      </c>
      <c r="Q149" s="20">
        <f t="shared" si="108"/>
        <v>6.0761376450252565E-12</v>
      </c>
      <c r="R149" s="59">
        <f t="shared" si="109"/>
        <v>293.3333333333394</v>
      </c>
      <c r="S149" s="59">
        <f ca="1">AVERAGE(OFFSET($R$3,0,0,'Données projet'!$E$9+1,1))-AVERAGE(OFFSET($H$3,0,0,'Données projet'!$E$9+1,1))</f>
        <v>157.05226586109279</v>
      </c>
      <c r="T149" s="59">
        <f t="shared" si="142"/>
        <v>76.143582612540229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64.260951303982139</v>
      </c>
      <c r="AA149" s="21">
        <f>EXP(-LN(2)/25)*AA148+(1-EXP(-LN(2)/25))/(LN(2)/25)*Calculateur!V149*Calculateur!X149*VLOOKUP('Données projet'!$B$9,Paramètres!$A$1:$I$89,3,0)*0.475*44/12</f>
        <v>11.918771452269718</v>
      </c>
      <c r="AB149" s="21">
        <f>EXP(-LN(2)/2)*AB148+(1-EXP(-LN(2)/2))/(LN(2)/2)*V149*Y149*VLOOKUP('Données projet'!$B$9,Paramètres!$A$1:$I$89,3,0)*0.475*44/12</f>
        <v>4.9493723477897757E-5</v>
      </c>
      <c r="AC149" s="22">
        <f t="shared" si="111"/>
        <v>76.179772249975343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-6.3550942286383367E-14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279.32192402750189</v>
      </c>
      <c r="AO149" s="59">
        <f t="shared" si="144"/>
        <v>371.43572414443611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37.384476585288049</v>
      </c>
      <c r="AV149" s="21">
        <f>EXP(-LN(2)/25)*AV148+(1-EXP(-LN(2)/25))/(LN(2)/25)*Calculateur!AQ149*Calculateur!AS149*VLOOKUP('Données projet'!$B$10,Paramètres!$A$1:$I$89,3,0)*0.475*44/12</f>
        <v>4.6209493067996119</v>
      </c>
      <c r="AW149" s="21">
        <f>EXP(-LN(2)/2)*AW148+(1-EXP(-LN(2)/2))/(LN(2)/2)*AQ149*AT149*VLOOKUP('Données projet'!$B$10,Paramètres!$A$1:$I$89,3,0)*0.475*44/12</f>
        <v>6.8654599418445879E-13</v>
      </c>
      <c r="AX149" s="21">
        <f t="shared" si="114"/>
        <v>42.005425892088347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2.2737367544323206E-13</v>
      </c>
      <c r="BE149" s="13">
        <f>BD149*VLOOKUP('Données projet'!$B$11,Paramètres!$A$1:$I$89,3,0)*VLOOKUP('Données projet'!$B$11,Paramètres!$A$1:$I$89,5,0)</f>
        <v>1.064108801074326E-13</v>
      </c>
      <c r="BF149" s="13">
        <f t="shared" si="145"/>
        <v>1.5870730813698654E-12</v>
      </c>
      <c r="BG149" s="20">
        <f t="shared" si="115"/>
        <v>2.9494845662396269E-12</v>
      </c>
      <c r="BH149" s="59">
        <f t="shared" si="116"/>
        <v>293.33333333333627</v>
      </c>
      <c r="BI149" s="59">
        <f ca="1">AVERAGE(OFFSET($BH$3,0,0,'Données projet'!$E$11+1,1))-AVERAGE(OFFSET($H$3,0,0,'Données projet'!$E$11+1,1))</f>
        <v>297.07458564121606</v>
      </c>
      <c r="BJ149" s="59">
        <f t="shared" si="146"/>
        <v>514.93897725587567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23.027646832278275</v>
      </c>
      <c r="BQ149" s="21">
        <f>EXP(-LN(2)/25)*BQ148+(1-EXP(-LN(2)/25))/(LN(2)/25)*Calculateur!BL149*Calculateur!BN149*VLOOKUP('Données projet'!$B$11,Paramètres!$A$1:$I$89,3,0)*0.475*44/12</f>
        <v>11.713668097901344</v>
      </c>
      <c r="BR149" s="21">
        <f>EXP(-LN(2)/2)*BR148+(1-EXP(-LN(2)/2))/(LN(2)/2)*BL149*BO149*VLOOKUP('Données projet'!$B$11,Paramètres!$A$1:$I$89,3,0)*0.475*44/12</f>
        <v>1.9109277766716092E-17</v>
      </c>
      <c r="BS149" s="22">
        <f t="shared" si="117"/>
        <v>34.74131493017962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68.796000000000276</v>
      </c>
      <c r="D150" s="11">
        <f t="shared" si="140"/>
        <v>19.374160697102795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680.61176678465529</v>
      </c>
      <c r="H150" s="67">
        <f t="shared" si="110"/>
        <v>446.89636321412115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5.1159076974727213E-13</v>
      </c>
      <c r="O150" s="13">
        <f>N150*VLOOKUP('Données projet'!$B$9,Paramètres!$A$1:$I$89,3,0)*VLOOKUP('Données projet'!$B$9,Paramètres!$A$1:$I$89,5,0)</f>
        <v>2.3942448024172334E-13</v>
      </c>
      <c r="P150" s="13">
        <f t="shared" si="141"/>
        <v>3.2492669905861755E-12</v>
      </c>
      <c r="Q150" s="20">
        <f t="shared" si="108"/>
        <v>6.0761376450252565E-12</v>
      </c>
      <c r="R150" s="59">
        <f t="shared" si="109"/>
        <v>293.3333333333394</v>
      </c>
      <c r="S150" s="59">
        <f ca="1">AVERAGE(OFFSET($R$3,0,0,'Données projet'!$E$9+1,1))-AVERAGE(OFFSET($H$3,0,0,'Données projet'!$E$9+1,1))</f>
        <v>157.05226586109279</v>
      </c>
      <c r="T150" s="59">
        <f t="shared" si="142"/>
        <v>76.143582612540229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63.000833244221127</v>
      </c>
      <c r="AA150" s="21">
        <f>EXP(-LN(2)/25)*AA149+(1-EXP(-LN(2)/25))/(LN(2)/25)*Calculateur!V150*Calculateur!X150*VLOOKUP('Données projet'!$B$9,Paramètres!$A$1:$I$89,3,0)*0.475*44/12</f>
        <v>11.592852020126452</v>
      </c>
      <c r="AB150" s="21">
        <f>EXP(-LN(2)/2)*AB149+(1-EXP(-LN(2)/2))/(LN(2)/2)*V150*Y150*VLOOKUP('Données projet'!$B$9,Paramètres!$A$1:$I$89,3,0)*0.475*44/12</f>
        <v>3.4997347497393339E-5</v>
      </c>
      <c r="AC150" s="22">
        <f t="shared" si="111"/>
        <v>74.593720261695083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-6.3550942286383367E-14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279.32192402750189</v>
      </c>
      <c r="AO150" s="59">
        <f t="shared" si="144"/>
        <v>371.43572414443611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36.651389801729728</v>
      </c>
      <c r="AV150" s="21">
        <f>EXP(-LN(2)/25)*AV149+(1-EXP(-LN(2)/25))/(LN(2)/25)*Calculateur!AQ150*Calculateur!AS150*VLOOKUP('Données projet'!$B$10,Paramètres!$A$1:$I$89,3,0)*0.475*44/12</f>
        <v>4.4945892050000138</v>
      </c>
      <c r="AW150" s="21">
        <f>EXP(-LN(2)/2)*AW149+(1-EXP(-LN(2)/2))/(LN(2)/2)*AQ150*AT150*VLOOKUP('Données projet'!$B$10,Paramètres!$A$1:$I$89,3,0)*0.475*44/12</f>
        <v>4.8546132808429083E-13</v>
      </c>
      <c r="AX150" s="21">
        <f t="shared" si="114"/>
        <v>41.145979006730222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2.2737367544323206E-13</v>
      </c>
      <c r="BE150" s="13">
        <f>BD150*VLOOKUP('Données projet'!$B$11,Paramètres!$A$1:$I$89,3,0)*VLOOKUP('Données projet'!$B$11,Paramètres!$A$1:$I$89,5,0)</f>
        <v>1.064108801074326E-13</v>
      </c>
      <c r="BF150" s="13">
        <f t="shared" si="145"/>
        <v>1.5870730813698654E-12</v>
      </c>
      <c r="BG150" s="20">
        <f t="shared" si="115"/>
        <v>2.9494845662396269E-12</v>
      </c>
      <c r="BH150" s="59">
        <f t="shared" si="116"/>
        <v>293.33333333333627</v>
      </c>
      <c r="BI150" s="59">
        <f ca="1">AVERAGE(OFFSET($BH$3,0,0,'Données projet'!$E$11+1,1))-AVERAGE(OFFSET($H$3,0,0,'Données projet'!$E$11+1,1))</f>
        <v>297.07458564121606</v>
      </c>
      <c r="BJ150" s="59">
        <f t="shared" si="146"/>
        <v>514.93897725587567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22.576088723374991</v>
      </c>
      <c r="BQ150" s="21">
        <f>EXP(-LN(2)/25)*BQ149+(1-EXP(-LN(2)/25))/(LN(2)/25)*Calculateur!BL150*Calculateur!BN150*VLOOKUP('Données projet'!$B$11,Paramètres!$A$1:$I$89,3,0)*0.475*44/12</f>
        <v>11.393357227769199</v>
      </c>
      <c r="BR150" s="21">
        <f>EXP(-LN(2)/2)*BR149+(1-EXP(-LN(2)/2))/(LN(2)/2)*BL150*BO150*VLOOKUP('Données projet'!$B$11,Paramètres!$A$1:$I$89,3,0)*0.475*44/12</f>
        <v>1.3512299892422274E-17</v>
      </c>
      <c r="BS150" s="22">
        <f t="shared" si="117"/>
        <v>33.969445951144188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69.26400000000028</v>
      </c>
      <c r="D151" s="11">
        <f t="shared" si="140"/>
        <v>19.490570545800512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685.12300070442723</v>
      </c>
      <c r="H151" s="67">
        <f t="shared" si="110"/>
        <v>447.91421036726967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5.1159076974727213E-13</v>
      </c>
      <c r="O151" s="13">
        <f>N151*VLOOKUP('Données projet'!$B$9,Paramètres!$A$1:$I$89,3,0)*VLOOKUP('Données projet'!$B$9,Paramètres!$A$1:$I$89,5,0)</f>
        <v>2.3942448024172334E-13</v>
      </c>
      <c r="P151" s="13">
        <f t="shared" si="141"/>
        <v>3.2492669905861755E-12</v>
      </c>
      <c r="Q151" s="20">
        <f t="shared" si="108"/>
        <v>6.0761376450252565E-12</v>
      </c>
      <c r="R151" s="59">
        <f t="shared" si="109"/>
        <v>293.3333333333394</v>
      </c>
      <c r="S151" s="59">
        <f ca="1">AVERAGE(OFFSET($R$3,0,0,'Données projet'!$E$9+1,1))-AVERAGE(OFFSET($H$3,0,0,'Données projet'!$E$9+1,1))</f>
        <v>157.05226586109279</v>
      </c>
      <c r="T151" s="59">
        <f t="shared" si="142"/>
        <v>76.143582612540229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61.765425331015905</v>
      </c>
      <c r="AA151" s="21">
        <f>EXP(-LN(2)/25)*AA150+(1-EXP(-LN(2)/25))/(LN(2)/25)*Calculateur!V151*Calculateur!X151*VLOOKUP('Données projet'!$B$9,Paramètres!$A$1:$I$89,3,0)*0.475*44/12</f>
        <v>11.275844871994503</v>
      </c>
      <c r="AB151" s="21">
        <f>EXP(-LN(2)/2)*AB150+(1-EXP(-LN(2)/2))/(LN(2)/2)*V151*Y151*VLOOKUP('Données projet'!$B$9,Paramètres!$A$1:$I$89,3,0)*0.475*44/12</f>
        <v>2.4746861738948879E-5</v>
      </c>
      <c r="AC151" s="22">
        <f t="shared" si="111"/>
        <v>73.041294949872153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-6.3550942286383367E-14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279.32192402750189</v>
      </c>
      <c r="AO151" s="59">
        <f t="shared" si="144"/>
        <v>371.43572414443611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35.932678402858201</v>
      </c>
      <c r="AV151" s="21">
        <f>EXP(-LN(2)/25)*AV150+(1-EXP(-LN(2)/25))/(LN(2)/25)*Calculateur!AQ151*Calculateur!AS151*VLOOKUP('Données projet'!$B$10,Paramètres!$A$1:$I$89,3,0)*0.475*44/12</f>
        <v>4.3716844268291144</v>
      </c>
      <c r="AW151" s="21">
        <f>EXP(-LN(2)/2)*AW150+(1-EXP(-LN(2)/2))/(LN(2)/2)*AQ151*AT151*VLOOKUP('Données projet'!$B$10,Paramètres!$A$1:$I$89,3,0)*0.475*44/12</f>
        <v>3.432729970922294E-13</v>
      </c>
      <c r="AX151" s="21">
        <f t="shared" si="114"/>
        <v>40.304362829687655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2.2737367544323206E-13</v>
      </c>
      <c r="BE151" s="13">
        <f>BD151*VLOOKUP('Données projet'!$B$11,Paramètres!$A$1:$I$89,3,0)*VLOOKUP('Données projet'!$B$11,Paramètres!$A$1:$I$89,5,0)</f>
        <v>1.064108801074326E-13</v>
      </c>
      <c r="BF151" s="13">
        <f t="shared" si="145"/>
        <v>1.5870730813698654E-12</v>
      </c>
      <c r="BG151" s="20">
        <f t="shared" si="115"/>
        <v>2.9494845662396269E-12</v>
      </c>
      <c r="BH151" s="59">
        <f t="shared" si="116"/>
        <v>293.33333333333627</v>
      </c>
      <c r="BI151" s="59">
        <f ca="1">AVERAGE(OFFSET($BH$3,0,0,'Données projet'!$E$11+1,1))-AVERAGE(OFFSET($H$3,0,0,'Données projet'!$E$11+1,1))</f>
        <v>297.07458564121606</v>
      </c>
      <c r="BJ151" s="59">
        <f t="shared" si="146"/>
        <v>514.93897725587567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22.133385393564048</v>
      </c>
      <c r="BQ151" s="21">
        <f>EXP(-LN(2)/25)*BQ150+(1-EXP(-LN(2)/25))/(LN(2)/25)*Calculateur!BL151*Calculateur!BN151*VLOOKUP('Données projet'!$B$11,Paramètres!$A$1:$I$89,3,0)*0.475*44/12</f>
        <v>11.081805275225234</v>
      </c>
      <c r="BR151" s="21">
        <f>EXP(-LN(2)/2)*BR150+(1-EXP(-LN(2)/2))/(LN(2)/2)*BL151*BO151*VLOOKUP('Données projet'!$B$11,Paramètres!$A$1:$I$89,3,0)*0.475*44/12</f>
        <v>9.5546388833580476E-18</v>
      </c>
      <c r="BS151" s="22">
        <f t="shared" si="117"/>
        <v>33.215190668789283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69.732000000000284</v>
      </c>
      <c r="D152" s="11">
        <f t="shared" si="140"/>
        <v>19.606888874982584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689.63352815776261</v>
      </c>
      <c r="H152" s="67">
        <f t="shared" si="110"/>
        <v>448.93189812392848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5.1159076974727213E-13</v>
      </c>
      <c r="O152" s="13">
        <f>N152*VLOOKUP('Données projet'!$B$9,Paramètres!$A$1:$I$89,3,0)*VLOOKUP('Données projet'!$B$9,Paramètres!$A$1:$I$89,5,0)</f>
        <v>2.3942448024172334E-13</v>
      </c>
      <c r="P152" s="13">
        <f t="shared" si="141"/>
        <v>3.2492669905861755E-12</v>
      </c>
      <c r="Q152" s="20">
        <f t="shared" si="108"/>
        <v>6.0761376450252565E-12</v>
      </c>
      <c r="R152" s="59">
        <f t="shared" si="109"/>
        <v>293.3333333333394</v>
      </c>
      <c r="S152" s="59">
        <f ca="1">AVERAGE(OFFSET($R$3,0,0,'Données projet'!$E$9+1,1))-AVERAGE(OFFSET($H$3,0,0,'Données projet'!$E$9+1,1))</f>
        <v>157.05226586109279</v>
      </c>
      <c r="T152" s="59">
        <f t="shared" si="142"/>
        <v>76.143582612540229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60.554243013464216</v>
      </c>
      <c r="AA152" s="21">
        <f>EXP(-LN(2)/25)*AA151+(1-EXP(-LN(2)/25))/(LN(2)/25)*Calculateur!V152*Calculateur!X152*VLOOKUP('Données projet'!$B$9,Paramètres!$A$1:$I$89,3,0)*0.475*44/12</f>
        <v>10.967506300998902</v>
      </c>
      <c r="AB152" s="21">
        <f>EXP(-LN(2)/2)*AB151+(1-EXP(-LN(2)/2))/(LN(2)/2)*V152*Y152*VLOOKUP('Données projet'!$B$9,Paramètres!$A$1:$I$89,3,0)*0.475*44/12</f>
        <v>1.7498673748696669E-5</v>
      </c>
      <c r="AC152" s="22">
        <f t="shared" si="111"/>
        <v>71.521766813136864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-6.3550942286383367E-14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279.32192402750189</v>
      </c>
      <c r="AO152" s="59">
        <f t="shared" si="144"/>
        <v>371.43572414443611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35.228060496147876</v>
      </c>
      <c r="AV152" s="21">
        <f>EXP(-LN(2)/25)*AV151+(1-EXP(-LN(2)/25))/(LN(2)/25)*Calculateur!AQ152*Calculateur!AS152*VLOOKUP('Données projet'!$B$10,Paramètres!$A$1:$I$89,3,0)*0.475*44/12</f>
        <v>4.2521404862805801</v>
      </c>
      <c r="AW152" s="21">
        <f>EXP(-LN(2)/2)*AW151+(1-EXP(-LN(2)/2))/(LN(2)/2)*AQ152*AT152*VLOOKUP('Données projet'!$B$10,Paramètres!$A$1:$I$89,3,0)*0.475*44/12</f>
        <v>2.4273066404214542E-13</v>
      </c>
      <c r="AX152" s="21">
        <f t="shared" si="114"/>
        <v>39.480200982428698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2.2737367544323206E-13</v>
      </c>
      <c r="BE152" s="13">
        <f>BD152*VLOOKUP('Données projet'!$B$11,Paramètres!$A$1:$I$89,3,0)*VLOOKUP('Données projet'!$B$11,Paramètres!$A$1:$I$89,5,0)</f>
        <v>1.064108801074326E-13</v>
      </c>
      <c r="BF152" s="13">
        <f t="shared" si="145"/>
        <v>1.5870730813698654E-12</v>
      </c>
      <c r="BG152" s="20">
        <f t="shared" si="115"/>
        <v>2.9494845662396269E-12</v>
      </c>
      <c r="BH152" s="59">
        <f t="shared" si="116"/>
        <v>293.33333333333627</v>
      </c>
      <c r="BI152" s="59">
        <f ca="1">AVERAGE(OFFSET($BH$3,0,0,'Données projet'!$E$11+1,1))-AVERAGE(OFFSET($H$3,0,0,'Données projet'!$E$11+1,1))</f>
        <v>297.07458564121606</v>
      </c>
      <c r="BJ152" s="59">
        <f t="shared" si="146"/>
        <v>514.93897725587567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21.69936320602833</v>
      </c>
      <c r="BQ152" s="21">
        <f>EXP(-LN(2)/25)*BQ151+(1-EXP(-LN(2)/25))/(LN(2)/25)*Calculateur!BL152*Calculateur!BN152*VLOOKUP('Données projet'!$B$11,Paramètres!$A$1:$I$89,3,0)*0.475*44/12</f>
        <v>10.778772727207388</v>
      </c>
      <c r="BR152" s="21">
        <f>EXP(-LN(2)/2)*BR151+(1-EXP(-LN(2)/2))/(LN(2)/2)*BL152*BO152*VLOOKUP('Données projet'!$B$11,Paramètres!$A$1:$I$89,3,0)*0.475*44/12</f>
        <v>6.7561499462111379E-18</v>
      </c>
      <c r="BS152" s="22">
        <f t="shared" si="117"/>
        <v>32.47813593323572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70.200000000000287</v>
      </c>
      <c r="D153" s="11">
        <f t="shared" si="140"/>
        <v>19.723116370112255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694.14335443595644</v>
      </c>
      <c r="H153" s="67">
        <f t="shared" si="110"/>
        <v>449.94942767794601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5.1159076974727213E-13</v>
      </c>
      <c r="O153" s="13">
        <f>N153*VLOOKUP('Données projet'!$B$9,Paramètres!$A$1:$I$89,3,0)*VLOOKUP('Données projet'!$B$9,Paramètres!$A$1:$I$89,5,0)</f>
        <v>2.3942448024172334E-13</v>
      </c>
      <c r="P153" s="13">
        <f t="shared" si="141"/>
        <v>3.2492669905861755E-12</v>
      </c>
      <c r="Q153" s="20">
        <f t="shared" si="108"/>
        <v>6.0761376450252565E-12</v>
      </c>
      <c r="R153" s="59">
        <f t="shared" si="109"/>
        <v>293.3333333333394</v>
      </c>
      <c r="S153" s="59">
        <f ca="1">AVERAGE(OFFSET($R$3,0,0,'Données projet'!$E$9+1,1))-AVERAGE(OFFSET($H$3,0,0,'Données projet'!$E$9+1,1))</f>
        <v>157.05226586109279</v>
      </c>
      <c r="T153" s="59">
        <f t="shared" si="142"/>
        <v>76.143582612540229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59.366811242411451</v>
      </c>
      <c r="AA153" s="21">
        <f>EXP(-LN(2)/25)*AA152+(1-EXP(-LN(2)/25))/(LN(2)/25)*Calculateur!V153*Calculateur!X153*VLOOKUP('Données projet'!$B$9,Paramètres!$A$1:$I$89,3,0)*0.475*44/12</f>
        <v>10.667599264441998</v>
      </c>
      <c r="AB153" s="21">
        <f>EXP(-LN(2)/2)*AB152+(1-EXP(-LN(2)/2))/(LN(2)/2)*V153*Y153*VLOOKUP('Données projet'!$B$9,Paramètres!$A$1:$I$89,3,0)*0.475*44/12</f>
        <v>1.2373430869474439E-5</v>
      </c>
      <c r="AC153" s="22">
        <f t="shared" si="111"/>
        <v>70.034422880284311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-6.3550942286383367E-14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279.32192402750189</v>
      </c>
      <c r="AO153" s="59">
        <f t="shared" si="144"/>
        <v>371.43572414443611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34.537259716813651</v>
      </c>
      <c r="AV153" s="21">
        <f>EXP(-LN(2)/25)*AV152+(1-EXP(-LN(2)/25))/(LN(2)/25)*Calculateur!AQ153*Calculateur!AS153*VLOOKUP('Données projet'!$B$10,Paramètres!$A$1:$I$89,3,0)*0.475*44/12</f>
        <v>4.1358654810728881</v>
      </c>
      <c r="AW153" s="21">
        <f>EXP(-LN(2)/2)*AW152+(1-EXP(-LN(2)/2))/(LN(2)/2)*AQ153*AT153*VLOOKUP('Données projet'!$B$10,Paramètres!$A$1:$I$89,3,0)*0.475*44/12</f>
        <v>1.716364985461147E-13</v>
      </c>
      <c r="AX153" s="21">
        <f t="shared" si="114"/>
        <v>38.673125197886712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2.2737367544323206E-13</v>
      </c>
      <c r="BE153" s="13">
        <f>BD153*VLOOKUP('Données projet'!$B$11,Paramètres!$A$1:$I$89,3,0)*VLOOKUP('Données projet'!$B$11,Paramètres!$A$1:$I$89,5,0)</f>
        <v>1.064108801074326E-13</v>
      </c>
      <c r="BF153" s="13">
        <f t="shared" si="145"/>
        <v>1.5870730813698654E-12</v>
      </c>
      <c r="BG153" s="20">
        <f t="shared" si="115"/>
        <v>2.9494845662396269E-12</v>
      </c>
      <c r="BH153" s="59">
        <f t="shared" si="116"/>
        <v>293.33333333333627</v>
      </c>
      <c r="BI153" s="59">
        <f ca="1">AVERAGE(OFFSET($BH$3,0,0,'Données projet'!$E$11+1,1))-AVERAGE(OFFSET($H$3,0,0,'Données projet'!$E$11+1,1))</f>
        <v>297.07458564121606</v>
      </c>
      <c r="BJ153" s="59">
        <f t="shared" si="146"/>
        <v>514.93897725587567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21.273851928862793</v>
      </c>
      <c r="BQ153" s="21">
        <f>EXP(-LN(2)/25)*BQ152+(1-EXP(-LN(2)/25))/(LN(2)/25)*Calculateur!BL153*Calculateur!BN153*VLOOKUP('Données projet'!$B$11,Paramètres!$A$1:$I$89,3,0)*0.475*44/12</f>
        <v>10.484026620150878</v>
      </c>
      <c r="BR153" s="21">
        <f>EXP(-LN(2)/2)*BR152+(1-EXP(-LN(2)/2))/(LN(2)/2)*BL153*BO153*VLOOKUP('Données projet'!$B$11,Paramètres!$A$1:$I$89,3,0)*0.475*44/12</f>
        <v>4.7773194416790246E-18</v>
      </c>
      <c r="BS153" s="22">
        <f t="shared" si="117"/>
        <v>31.757878549013672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70.668000000000291</v>
      </c>
      <c r="D154" s="11">
        <f t="shared" si="140"/>
        <v>19.839253706984934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698.65248475567535</v>
      </c>
      <c r="H154" s="67">
        <f t="shared" si="110"/>
        <v>450.96680020633255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5.1159076974727213E-13</v>
      </c>
      <c r="O154" s="13">
        <f>N154*VLOOKUP('Données projet'!$B$9,Paramètres!$A$1:$I$89,3,0)*VLOOKUP('Données projet'!$B$9,Paramètres!$A$1:$I$89,5,0)</f>
        <v>2.3942448024172334E-13</v>
      </c>
      <c r="P154" s="13">
        <f t="shared" si="141"/>
        <v>3.2492669905861755E-12</v>
      </c>
      <c r="Q154" s="20">
        <f t="shared" ref="Q154:Q203" si="162">(O154+P154)*0.475*44/12</f>
        <v>6.0761376450252565E-12</v>
      </c>
      <c r="R154" s="59">
        <f t="shared" si="109"/>
        <v>293.3333333333394</v>
      </c>
      <c r="S154" s="59">
        <f ca="1">AVERAGE(OFFSET($R$3,0,0,'Données projet'!$E$9+1,1))-AVERAGE(OFFSET($H$3,0,0,'Données projet'!$E$9+1,1))</f>
        <v>157.05226586109279</v>
      </c>
      <c r="T154" s="59">
        <f t="shared" si="142"/>
        <v>76.143582612540229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58.20266428412716</v>
      </c>
      <c r="AA154" s="21">
        <f>EXP(-LN(2)/25)*AA153+(1-EXP(-LN(2)/25))/(LN(2)/25)*Calculateur!V154*Calculateur!X154*VLOOKUP('Données projet'!$B$9,Paramètres!$A$1:$I$89,3,0)*0.475*44/12</f>
        <v>10.375893201571168</v>
      </c>
      <c r="AB154" s="21">
        <f>EXP(-LN(2)/2)*AB153+(1-EXP(-LN(2)/2))/(LN(2)/2)*V154*Y154*VLOOKUP('Données projet'!$B$9,Paramètres!$A$1:$I$89,3,0)*0.475*44/12</f>
        <v>8.7493368743483346E-6</v>
      </c>
      <c r="AC154" s="22">
        <f t="shared" ref="AC154:AC203" si="163">SUM(Z154:AB154)</f>
        <v>68.578566235035197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-6.3550942286383367E-14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279.32192402750189</v>
      </c>
      <c r="AO154" s="59">
        <f t="shared" si="144"/>
        <v>371.43572414443611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33.860005119415305</v>
      </c>
      <c r="AV154" s="21">
        <f>EXP(-LN(2)/25)*AV153+(1-EXP(-LN(2)/25))/(LN(2)/25)*Calculateur!AQ154*Calculateur!AS154*VLOOKUP('Données projet'!$B$10,Paramètres!$A$1:$I$89,3,0)*0.475*44/12</f>
        <v>4.0227700219972373</v>
      </c>
      <c r="AW154" s="21">
        <f>EXP(-LN(2)/2)*AW153+(1-EXP(-LN(2)/2))/(LN(2)/2)*AQ154*AT154*VLOOKUP('Données projet'!$B$10,Paramètres!$A$1:$I$89,3,0)*0.475*44/12</f>
        <v>1.2136533202107271E-13</v>
      </c>
      <c r="AX154" s="21">
        <f t="shared" ref="AX154:AX203" si="166">SUM(AU154:AW154)</f>
        <v>37.882775141412665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2.2737367544323206E-13</v>
      </c>
      <c r="BE154" s="13">
        <f>BD154*VLOOKUP('Données projet'!$B$11,Paramètres!$A$1:$I$89,3,0)*VLOOKUP('Données projet'!$B$11,Paramètres!$A$1:$I$89,5,0)</f>
        <v>1.064108801074326E-13</v>
      </c>
      <c r="BF154" s="13">
        <f t="shared" ref="BF154:BF203" si="167">EXP(-1.0587+0.8836*LN(BE154)+0.284)</f>
        <v>1.5870730813698654E-12</v>
      </c>
      <c r="BG154" s="20">
        <f t="shared" ref="BG154:BG203" si="168">(BE154+BF154)*0.475*44/12</f>
        <v>2.9494845662396269E-12</v>
      </c>
      <c r="BH154" s="59">
        <f t="shared" si="116"/>
        <v>293.33333333333627</v>
      </c>
      <c r="BI154" s="59">
        <f ca="1">AVERAGE(OFFSET($BH$3,0,0,'Données projet'!$E$11+1,1))-AVERAGE(OFFSET($H$3,0,0,'Données projet'!$E$11+1,1))</f>
        <v>297.07458564121606</v>
      </c>
      <c r="BJ154" s="59">
        <f t="shared" si="146"/>
        <v>514.93897725587567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20.856684668306219</v>
      </c>
      <c r="BQ154" s="21">
        <f>EXP(-LN(2)/25)*BQ153+(1-EXP(-LN(2)/25))/(LN(2)/25)*Calculateur!BL154*Calculateur!BN154*VLOOKUP('Données projet'!$B$11,Paramètres!$A$1:$I$89,3,0)*0.475*44/12</f>
        <v>10.197340360891854</v>
      </c>
      <c r="BR154" s="21">
        <f>EXP(-LN(2)/2)*BR153+(1-EXP(-LN(2)/2))/(LN(2)/2)*BL154*BO154*VLOOKUP('Données projet'!$B$11,Paramètres!$A$1:$I$89,3,0)*0.475*44/12</f>
        <v>3.3780749731055697E-18</v>
      </c>
      <c r="BS154" s="22">
        <f t="shared" ref="BS154:BS203" si="169">SUM(BP154:BR154)</f>
        <v>31.054025029198073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71.136000000000294</v>
      </c>
      <c r="D155" s="11">
        <f t="shared" si="140"/>
        <v>19.955301551927551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703.16092426049556</v>
      </c>
      <c r="H155" s="67">
        <f t="shared" si="110"/>
        <v>451.98401686960767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5.1159076974727213E-13</v>
      </c>
      <c r="O155" s="13">
        <f>N155*VLOOKUP('Données projet'!$B$9,Paramètres!$A$1:$I$89,3,0)*VLOOKUP('Données projet'!$B$9,Paramètres!$A$1:$I$89,5,0)</f>
        <v>2.3942448024172334E-13</v>
      </c>
      <c r="P155" s="13">
        <f t="shared" si="141"/>
        <v>3.2492669905861755E-12</v>
      </c>
      <c r="Q155" s="20">
        <f t="shared" si="162"/>
        <v>6.0761376450252565E-12</v>
      </c>
      <c r="R155" s="59">
        <f t="shared" si="109"/>
        <v>293.3333333333394</v>
      </c>
      <c r="S155" s="59">
        <f ca="1">AVERAGE(OFFSET($R$3,0,0,'Données projet'!$E$9+1,1))-AVERAGE(OFFSET($H$3,0,0,'Données projet'!$E$9+1,1))</f>
        <v>157.05226586109279</v>
      </c>
      <c r="T155" s="59">
        <f t="shared" si="142"/>
        <v>76.143582612540229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57.06134553763529</v>
      </c>
      <c r="AA155" s="21">
        <f>EXP(-LN(2)/25)*AA154+(1-EXP(-LN(2)/25))/(LN(2)/25)*Calculateur!V155*Calculateur!X155*VLOOKUP('Données projet'!$B$9,Paramètres!$A$1:$I$89,3,0)*0.475*44/12</f>
        <v>10.092163856329696</v>
      </c>
      <c r="AB155" s="21">
        <f>EXP(-LN(2)/2)*AB154+(1-EXP(-LN(2)/2))/(LN(2)/2)*V155*Y155*VLOOKUP('Données projet'!$B$9,Paramètres!$A$1:$I$89,3,0)*0.475*44/12</f>
        <v>6.1867154347372196E-6</v>
      </c>
      <c r="AC155" s="22">
        <f t="shared" si="163"/>
        <v>67.15351558068042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-6.3550942286383367E-14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279.32192402750189</v>
      </c>
      <c r="AO155" s="59">
        <f t="shared" si="144"/>
        <v>371.43572414443611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33.19603107158742</v>
      </c>
      <c r="AV155" s="21">
        <f>EXP(-LN(2)/25)*AV154+(1-EXP(-LN(2)/25))/(LN(2)/25)*Calculateur!AQ155*Calculateur!AS155*VLOOKUP('Données projet'!$B$10,Paramètres!$A$1:$I$89,3,0)*0.475*44/12</f>
        <v>3.9127671641974415</v>
      </c>
      <c r="AW155" s="21">
        <f>EXP(-LN(2)/2)*AW154+(1-EXP(-LN(2)/2))/(LN(2)/2)*AQ155*AT155*VLOOKUP('Données projet'!$B$10,Paramètres!$A$1:$I$89,3,0)*0.475*44/12</f>
        <v>8.5818249273057349E-14</v>
      </c>
      <c r="AX155" s="21">
        <f t="shared" si="166"/>
        <v>37.108798235784946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2.2737367544323206E-13</v>
      </c>
      <c r="BE155" s="13">
        <f>BD155*VLOOKUP('Données projet'!$B$11,Paramètres!$A$1:$I$89,3,0)*VLOOKUP('Données projet'!$B$11,Paramètres!$A$1:$I$89,5,0)</f>
        <v>1.064108801074326E-13</v>
      </c>
      <c r="BF155" s="13">
        <f t="shared" si="167"/>
        <v>1.5870730813698654E-12</v>
      </c>
      <c r="BG155" s="20">
        <f t="shared" si="168"/>
        <v>2.9494845662396269E-12</v>
      </c>
      <c r="BH155" s="59">
        <f t="shared" si="116"/>
        <v>293.33333333333627</v>
      </c>
      <c r="BI155" s="59">
        <f ca="1">AVERAGE(OFFSET($BH$3,0,0,'Données projet'!$E$11+1,1))-AVERAGE(OFFSET($H$3,0,0,'Données projet'!$E$11+1,1))</f>
        <v>297.07458564121606</v>
      </c>
      <c r="BJ155" s="59">
        <f t="shared" si="146"/>
        <v>514.93897725587567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20.447697803282257</v>
      </c>
      <c r="BQ155" s="21">
        <f>EXP(-LN(2)/25)*BQ154+(1-EXP(-LN(2)/25))/(LN(2)/25)*Calculateur!BL155*Calculateur!BN155*VLOOKUP('Données projet'!$B$11,Paramètres!$A$1:$I$89,3,0)*0.475*44/12</f>
        <v>9.9184935524684423</v>
      </c>
      <c r="BR155" s="21">
        <f>EXP(-LN(2)/2)*BR154+(1-EXP(-LN(2)/2))/(LN(2)/2)*BL155*BO155*VLOOKUP('Données projet'!$B$11,Paramètres!$A$1:$I$89,3,0)*0.475*44/12</f>
        <v>2.3886597208395127E-18</v>
      </c>
      <c r="BS155" s="22">
        <f t="shared" si="169"/>
        <v>30.366191355750701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71.604000000000298</v>
      </c>
      <c r="D156" s="11">
        <f t="shared" si="140"/>
        <v>20.071260561992666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707.66867802240176</v>
      </c>
      <c r="H156" s="67">
        <f t="shared" si="110"/>
        <v>453.00107881213773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5.1159076974727213E-13</v>
      </c>
      <c r="O156" s="13">
        <f>N156*VLOOKUP('Données projet'!$B$9,Paramètres!$A$1:$I$89,3,0)*VLOOKUP('Données projet'!$B$9,Paramètres!$A$1:$I$89,5,0)</f>
        <v>2.3942448024172334E-13</v>
      </c>
      <c r="P156" s="13">
        <f t="shared" si="141"/>
        <v>3.2492669905861755E-12</v>
      </c>
      <c r="Q156" s="20">
        <f t="shared" si="162"/>
        <v>6.0761376450252565E-12</v>
      </c>
      <c r="R156" s="59">
        <f t="shared" si="109"/>
        <v>293.3333333333394</v>
      </c>
      <c r="S156" s="59">
        <f ca="1">AVERAGE(OFFSET($R$3,0,0,'Données projet'!$E$9+1,1))-AVERAGE(OFFSET($H$3,0,0,'Données projet'!$E$9+1,1))</f>
        <v>157.05226586109279</v>
      </c>
      <c r="T156" s="59">
        <f t="shared" si="142"/>
        <v>76.143582612540229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55.942407355626429</v>
      </c>
      <c r="AA156" s="21">
        <f>EXP(-LN(2)/25)*AA155+(1-EXP(-LN(2)/25))/(LN(2)/25)*Calculateur!V156*Calculateur!X156*VLOOKUP('Données projet'!$B$9,Paramètres!$A$1:$I$89,3,0)*0.475*44/12</f>
        <v>9.8161931049545288</v>
      </c>
      <c r="AB156" s="21">
        <f>EXP(-LN(2)/2)*AB155+(1-EXP(-LN(2)/2))/(LN(2)/2)*V156*Y156*VLOOKUP('Données projet'!$B$9,Paramètres!$A$1:$I$89,3,0)*0.475*44/12</f>
        <v>4.3746684371741673E-6</v>
      </c>
      <c r="AC156" s="22">
        <f t="shared" si="163"/>
        <v>65.7586048352494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-6.3550942286383367E-14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279.32192402750189</v>
      </c>
      <c r="AO156" s="59">
        <f t="shared" si="144"/>
        <v>371.43572414443611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32.545077149853263</v>
      </c>
      <c r="AV156" s="21">
        <f>EXP(-LN(2)/25)*AV155+(1-EXP(-LN(2)/25))/(LN(2)/25)*Calculateur!AQ156*Calculateur!AS156*VLOOKUP('Données projet'!$B$10,Paramètres!$A$1:$I$89,3,0)*0.475*44/12</f>
        <v>3.8057723403289803</v>
      </c>
      <c r="AW156" s="21">
        <f>EXP(-LN(2)/2)*AW155+(1-EXP(-LN(2)/2))/(LN(2)/2)*AQ156*AT156*VLOOKUP('Données projet'!$B$10,Paramètres!$A$1:$I$89,3,0)*0.475*44/12</f>
        <v>6.0682666010536354E-14</v>
      </c>
      <c r="AX156" s="21">
        <f t="shared" si="166"/>
        <v>36.350849490182306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2.2737367544323206E-13</v>
      </c>
      <c r="BE156" s="13">
        <f>BD156*VLOOKUP('Données projet'!$B$11,Paramètres!$A$1:$I$89,3,0)*VLOOKUP('Données projet'!$B$11,Paramètres!$A$1:$I$89,5,0)</f>
        <v>1.064108801074326E-13</v>
      </c>
      <c r="BF156" s="13">
        <f t="shared" si="167"/>
        <v>1.5870730813698654E-12</v>
      </c>
      <c r="BG156" s="20">
        <f t="shared" si="168"/>
        <v>2.9494845662396269E-12</v>
      </c>
      <c r="BH156" s="59">
        <f t="shared" si="116"/>
        <v>293.33333333333627</v>
      </c>
      <c r="BI156" s="59">
        <f ca="1">AVERAGE(OFFSET($BH$3,0,0,'Données projet'!$E$11+1,1))-AVERAGE(OFFSET($H$3,0,0,'Données projet'!$E$11+1,1))</f>
        <v>297.07458564121606</v>
      </c>
      <c r="BJ156" s="59">
        <f t="shared" si="146"/>
        <v>514.93897725587567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20.046730921224057</v>
      </c>
      <c r="BQ156" s="21">
        <f>EXP(-LN(2)/25)*BQ155+(1-EXP(-LN(2)/25))/(LN(2)/25)*Calculateur!BL156*Calculateur!BN156*VLOOKUP('Données projet'!$B$11,Paramètres!$A$1:$I$89,3,0)*0.475*44/12</f>
        <v>9.6472718246852853</v>
      </c>
      <c r="BR156" s="21">
        <f>EXP(-LN(2)/2)*BR155+(1-EXP(-LN(2)/2))/(LN(2)/2)*BL156*BO156*VLOOKUP('Données projet'!$B$11,Paramètres!$A$1:$I$89,3,0)*0.475*44/12</f>
        <v>1.6890374865527851E-18</v>
      </c>
      <c r="BS156" s="22">
        <f t="shared" si="169"/>
        <v>29.694002745909344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72.072000000000301</v>
      </c>
      <c r="D157" s="11">
        <f t="shared" si="140"/>
        <v>20.18713138514735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712.17575104324499</v>
      </c>
      <c r="H157" s="67">
        <f t="shared" si="110"/>
        <v>454.01798716246549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5.1159076974727213E-13</v>
      </c>
      <c r="O157" s="13">
        <f>N157*VLOOKUP('Données projet'!$B$9,Paramètres!$A$1:$I$89,3,0)*VLOOKUP('Données projet'!$B$9,Paramètres!$A$1:$I$89,5,0)</f>
        <v>2.3942448024172334E-13</v>
      </c>
      <c r="P157" s="13">
        <f t="shared" si="141"/>
        <v>3.2492669905861755E-12</v>
      </c>
      <c r="Q157" s="20">
        <f t="shared" si="162"/>
        <v>6.0761376450252565E-12</v>
      </c>
      <c r="R157" s="59">
        <f t="shared" si="109"/>
        <v>293.3333333333394</v>
      </c>
      <c r="S157" s="59">
        <f ca="1">AVERAGE(OFFSET($R$3,0,0,'Données projet'!$E$9+1,1))-AVERAGE(OFFSET($H$3,0,0,'Données projet'!$E$9+1,1))</f>
        <v>157.05226586109279</v>
      </c>
      <c r="T157" s="59">
        <f t="shared" si="142"/>
        <v>76.143582612540229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54.845410868881864</v>
      </c>
      <c r="AA157" s="21">
        <f>EXP(-LN(2)/25)*AA156+(1-EXP(-LN(2)/25))/(LN(2)/25)*Calculateur!V157*Calculateur!X157*VLOOKUP('Données projet'!$B$9,Paramètres!$A$1:$I$89,3,0)*0.475*44/12</f>
        <v>9.547768788288387</v>
      </c>
      <c r="AB157" s="21">
        <f>EXP(-LN(2)/2)*AB156+(1-EXP(-LN(2)/2))/(LN(2)/2)*V157*Y157*VLOOKUP('Données projet'!$B$9,Paramètres!$A$1:$I$89,3,0)*0.475*44/12</f>
        <v>3.0933577173686098E-6</v>
      </c>
      <c r="AC157" s="22">
        <f t="shared" si="163"/>
        <v>64.39318275052797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-6.3550942286383367E-14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279.32192402750189</v>
      </c>
      <c r="AO157" s="59">
        <f t="shared" si="144"/>
        <v>371.43572414443611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31.906888037481625</v>
      </c>
      <c r="AV157" s="21">
        <f>EXP(-LN(2)/25)*AV156+(1-EXP(-LN(2)/25))/(LN(2)/25)*Calculateur!AQ157*Calculateur!AS157*VLOOKUP('Données projet'!$B$10,Paramètres!$A$1:$I$89,3,0)*0.475*44/12</f>
        <v>3.7017032955458151</v>
      </c>
      <c r="AW157" s="21">
        <f>EXP(-LN(2)/2)*AW156+(1-EXP(-LN(2)/2))/(LN(2)/2)*AQ157*AT157*VLOOKUP('Données projet'!$B$10,Paramètres!$A$1:$I$89,3,0)*0.475*44/12</f>
        <v>4.2909124636528675E-14</v>
      </c>
      <c r="AX157" s="21">
        <f t="shared" si="166"/>
        <v>35.608591333027483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2.2737367544323206E-13</v>
      </c>
      <c r="BE157" s="13">
        <f>BD157*VLOOKUP('Données projet'!$B$11,Paramètres!$A$1:$I$89,3,0)*VLOOKUP('Données projet'!$B$11,Paramètres!$A$1:$I$89,5,0)</f>
        <v>1.064108801074326E-13</v>
      </c>
      <c r="BF157" s="13">
        <f t="shared" si="167"/>
        <v>1.5870730813698654E-12</v>
      </c>
      <c r="BG157" s="20">
        <f t="shared" si="168"/>
        <v>2.9494845662396269E-12</v>
      </c>
      <c r="BH157" s="59">
        <f t="shared" si="116"/>
        <v>293.33333333333627</v>
      </c>
      <c r="BI157" s="59">
        <f ca="1">AVERAGE(OFFSET($BH$3,0,0,'Données projet'!$E$11+1,1))-AVERAGE(OFFSET($H$3,0,0,'Données projet'!$E$11+1,1))</f>
        <v>297.07458564121606</v>
      </c>
      <c r="BJ157" s="59">
        <f t="shared" si="146"/>
        <v>514.93897725587567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19.653626755157369</v>
      </c>
      <c r="BQ157" s="21">
        <f>EXP(-LN(2)/25)*BQ156+(1-EXP(-LN(2)/25))/(LN(2)/25)*Calculateur!BL157*Calculateur!BN157*VLOOKUP('Données projet'!$B$11,Paramètres!$A$1:$I$89,3,0)*0.475*44/12</f>
        <v>9.3834666693112894</v>
      </c>
      <c r="BR157" s="21">
        <f>EXP(-LN(2)/2)*BR156+(1-EXP(-LN(2)/2))/(LN(2)/2)*BL157*BO157*VLOOKUP('Données projet'!$B$11,Paramètres!$A$1:$I$89,3,0)*0.475*44/12</f>
        <v>1.1943298604197565E-18</v>
      </c>
      <c r="BS157" s="22">
        <f t="shared" si="169"/>
        <v>29.037093424468658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72.540000000000305</v>
      </c>
      <c r="D158" s="11">
        <f t="shared" si="140"/>
        <v>20.302914660456867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716.68214825616053</v>
      </c>
      <c r="H158" s="67">
        <f t="shared" si="110"/>
        <v>455.03474303362952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5.1159076974727213E-13</v>
      </c>
      <c r="O158" s="13">
        <f>N158*VLOOKUP('Données projet'!$B$9,Paramètres!$A$1:$I$89,3,0)*VLOOKUP('Données projet'!$B$9,Paramètres!$A$1:$I$89,5,0)</f>
        <v>2.3942448024172334E-13</v>
      </c>
      <c r="P158" s="13">
        <f t="shared" si="141"/>
        <v>3.2492669905861755E-12</v>
      </c>
      <c r="Q158" s="20">
        <f t="shared" si="162"/>
        <v>6.0761376450252565E-12</v>
      </c>
      <c r="R158" s="59">
        <f t="shared" si="109"/>
        <v>293.3333333333394</v>
      </c>
      <c r="S158" s="59">
        <f ca="1">AVERAGE(OFFSET($R$3,0,0,'Données projet'!$E$9+1,1))-AVERAGE(OFFSET($H$3,0,0,'Données projet'!$E$9+1,1))</f>
        <v>157.05226586109279</v>
      </c>
      <c r="T158" s="59">
        <f t="shared" si="142"/>
        <v>76.143582612540229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53.769925814140571</v>
      </c>
      <c r="AA158" s="21">
        <f>EXP(-LN(2)/25)*AA157+(1-EXP(-LN(2)/25))/(LN(2)/25)*Calculateur!V158*Calculateur!X158*VLOOKUP('Données projet'!$B$9,Paramètres!$A$1:$I$89,3,0)*0.475*44/12</f>
        <v>9.286684548677302</v>
      </c>
      <c r="AB158" s="21">
        <f>EXP(-LN(2)/2)*AB157+(1-EXP(-LN(2)/2))/(LN(2)/2)*V158*Y158*VLOOKUP('Données projet'!$B$9,Paramètres!$A$1:$I$89,3,0)*0.475*44/12</f>
        <v>2.1873342185870837E-6</v>
      </c>
      <c r="AC158" s="22">
        <f t="shared" si="163"/>
        <v>63.056612550152089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-6.3550942286383367E-14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279.32192402750189</v>
      </c>
      <c r="AO158" s="59">
        <f t="shared" si="144"/>
        <v>371.43572414443611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31.281213424346671</v>
      </c>
      <c r="AV158" s="21">
        <f>EXP(-LN(2)/25)*AV157+(1-EXP(-LN(2)/25))/(LN(2)/25)*Calculateur!AQ158*Calculateur!AS158*VLOOKUP('Données projet'!$B$10,Paramètres!$A$1:$I$89,3,0)*0.475*44/12</f>
        <v>3.600480024264999</v>
      </c>
      <c r="AW158" s="21">
        <f>EXP(-LN(2)/2)*AW157+(1-EXP(-LN(2)/2))/(LN(2)/2)*AQ158*AT158*VLOOKUP('Données projet'!$B$10,Paramètres!$A$1:$I$89,3,0)*0.475*44/12</f>
        <v>3.0341333005268177E-14</v>
      </c>
      <c r="AX158" s="21">
        <f t="shared" si="166"/>
        <v>34.881693448611699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2.2737367544323206E-13</v>
      </c>
      <c r="BE158" s="13">
        <f>BD158*VLOOKUP('Données projet'!$B$11,Paramètres!$A$1:$I$89,3,0)*VLOOKUP('Données projet'!$B$11,Paramètres!$A$1:$I$89,5,0)</f>
        <v>1.064108801074326E-13</v>
      </c>
      <c r="BF158" s="13">
        <f t="shared" si="167"/>
        <v>1.5870730813698654E-12</v>
      </c>
      <c r="BG158" s="20">
        <f t="shared" si="168"/>
        <v>2.9494845662396269E-12</v>
      </c>
      <c r="BH158" s="59">
        <f t="shared" si="116"/>
        <v>293.33333333333627</v>
      </c>
      <c r="BI158" s="59">
        <f ca="1">AVERAGE(OFFSET($BH$3,0,0,'Données projet'!$E$11+1,1))-AVERAGE(OFFSET($H$3,0,0,'Données projet'!$E$11+1,1))</f>
        <v>297.07458564121606</v>
      </c>
      <c r="BJ158" s="59">
        <f t="shared" si="146"/>
        <v>514.93897725587567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19.268231122017383</v>
      </c>
      <c r="BQ158" s="21">
        <f>EXP(-LN(2)/25)*BQ157+(1-EXP(-LN(2)/25))/(LN(2)/25)*Calculateur!BL158*Calculateur!BN158*VLOOKUP('Données projet'!$B$11,Paramètres!$A$1:$I$89,3,0)*0.475*44/12</f>
        <v>9.1268752797839063</v>
      </c>
      <c r="BR158" s="21">
        <f>EXP(-LN(2)/2)*BR157+(1-EXP(-LN(2)/2))/(LN(2)/2)*BL158*BO158*VLOOKUP('Données projet'!$B$11,Paramètres!$A$1:$I$89,3,0)*0.475*44/12</f>
        <v>8.4451874327639272E-19</v>
      </c>
      <c r="BS158" s="22">
        <f t="shared" si="169"/>
        <v>28.395106401801289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73.008000000000308</v>
      </c>
      <c r="D159" s="11">
        <f t="shared" si="140"/>
        <v>20.418611018263718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721.1878745269504</v>
      </c>
      <c r="H159" s="67">
        <f t="shared" si="110"/>
        <v>456.05134752347647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5.1159076974727213E-13</v>
      </c>
      <c r="O159" s="13">
        <f>N159*VLOOKUP('Données projet'!$B$9,Paramètres!$A$1:$I$89,3,0)*VLOOKUP('Données projet'!$B$9,Paramètres!$A$1:$I$89,5,0)</f>
        <v>2.3942448024172334E-13</v>
      </c>
      <c r="P159" s="13">
        <f t="shared" si="141"/>
        <v>3.2492669905861755E-12</v>
      </c>
      <c r="Q159" s="20">
        <f t="shared" si="162"/>
        <v>6.0761376450252565E-12</v>
      </c>
      <c r="R159" s="59">
        <f t="shared" si="109"/>
        <v>293.3333333333394</v>
      </c>
      <c r="S159" s="59">
        <f ca="1">AVERAGE(OFFSET($R$3,0,0,'Données projet'!$E$9+1,1))-AVERAGE(OFFSET($H$3,0,0,'Données projet'!$E$9+1,1))</f>
        <v>157.05226586109279</v>
      </c>
      <c r="T159" s="59">
        <f t="shared" si="142"/>
        <v>76.143582612540229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52.715530365341642</v>
      </c>
      <c r="AA159" s="21">
        <f>EXP(-LN(2)/25)*AA158+(1-EXP(-LN(2)/25))/(LN(2)/25)*Calculateur!V159*Calculateur!X159*VLOOKUP('Données projet'!$B$9,Paramètres!$A$1:$I$89,3,0)*0.475*44/12</f>
        <v>9.0327396713282049</v>
      </c>
      <c r="AB159" s="21">
        <f>EXP(-LN(2)/2)*AB158+(1-EXP(-LN(2)/2))/(LN(2)/2)*V159*Y159*VLOOKUP('Données projet'!$B$9,Paramètres!$A$1:$I$89,3,0)*0.475*44/12</f>
        <v>1.5466788586843049E-6</v>
      </c>
      <c r="AC159" s="22">
        <f t="shared" si="163"/>
        <v>61.748271583348711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-6.3550942286383367E-14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279.32192402750189</v>
      </c>
      <c r="AO159" s="59">
        <f t="shared" si="144"/>
        <v>371.43572414443611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30.667807908751463</v>
      </c>
      <c r="AV159" s="21">
        <f>EXP(-LN(2)/25)*AV158+(1-EXP(-LN(2)/25))/(LN(2)/25)*Calculateur!AQ159*Calculateur!AS159*VLOOKUP('Données projet'!$B$10,Paramètres!$A$1:$I$89,3,0)*0.475*44/12</f>
        <v>3.502024708660457</v>
      </c>
      <c r="AW159" s="21">
        <f>EXP(-LN(2)/2)*AW158+(1-EXP(-LN(2)/2))/(LN(2)/2)*AQ159*AT159*VLOOKUP('Données projet'!$B$10,Paramètres!$A$1:$I$89,3,0)*0.475*44/12</f>
        <v>2.1454562318264337E-14</v>
      </c>
      <c r="AX159" s="21">
        <f t="shared" si="166"/>
        <v>34.169832617411942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2.2737367544323206E-13</v>
      </c>
      <c r="BE159" s="13">
        <f>BD159*VLOOKUP('Données projet'!$B$11,Paramètres!$A$1:$I$89,3,0)*VLOOKUP('Données projet'!$B$11,Paramètres!$A$1:$I$89,5,0)</f>
        <v>1.064108801074326E-13</v>
      </c>
      <c r="BF159" s="13">
        <f t="shared" si="167"/>
        <v>1.5870730813698654E-12</v>
      </c>
      <c r="BG159" s="20">
        <f t="shared" si="168"/>
        <v>2.9494845662396269E-12</v>
      </c>
      <c r="BH159" s="59">
        <f t="shared" si="116"/>
        <v>293.33333333333627</v>
      </c>
      <c r="BI159" s="59">
        <f ca="1">AVERAGE(OFFSET($BH$3,0,0,'Données projet'!$E$11+1,1))-AVERAGE(OFFSET($H$3,0,0,'Données projet'!$E$11+1,1))</f>
        <v>297.07458564121606</v>
      </c>
      <c r="BJ159" s="59">
        <f t="shared" si="146"/>
        <v>514.93897725587567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18.890392862175148</v>
      </c>
      <c r="BQ159" s="21">
        <f>EXP(-LN(2)/25)*BQ158+(1-EXP(-LN(2)/25))/(LN(2)/25)*Calculateur!BL159*Calculateur!BN159*VLOOKUP('Données projet'!$B$11,Paramètres!$A$1:$I$89,3,0)*0.475*44/12</f>
        <v>8.8773003952967038</v>
      </c>
      <c r="BR159" s="21">
        <f>EXP(-LN(2)/2)*BR158+(1-EXP(-LN(2)/2))/(LN(2)/2)*BL159*BO159*VLOOKUP('Données projet'!$B$11,Paramètres!$A$1:$I$89,3,0)*0.475*44/12</f>
        <v>5.9716493020987836E-19</v>
      </c>
      <c r="BS159" s="22">
        <f t="shared" si="169"/>
        <v>27.767693257471851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73.476000000000312</v>
      </c>
      <c r="D160" s="11">
        <f t="shared" si="140"/>
        <v>20.534221080361753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725.69293465542648</v>
      </c>
      <c r="H160" s="67">
        <f t="shared" si="110"/>
        <v>457.06780171496393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5.1159076974727213E-13</v>
      </c>
      <c r="O160" s="13">
        <f>N160*VLOOKUP('Données projet'!$B$9,Paramètres!$A$1:$I$89,3,0)*VLOOKUP('Données projet'!$B$9,Paramètres!$A$1:$I$89,5,0)</f>
        <v>2.3942448024172334E-13</v>
      </c>
      <c r="P160" s="13">
        <f t="shared" si="141"/>
        <v>3.2492669905861755E-12</v>
      </c>
      <c r="Q160" s="20">
        <f t="shared" si="162"/>
        <v>6.0761376450252565E-12</v>
      </c>
      <c r="R160" s="59">
        <f t="shared" si="109"/>
        <v>293.3333333333394</v>
      </c>
      <c r="S160" s="59">
        <f ca="1">AVERAGE(OFFSET($R$3,0,0,'Données projet'!$E$9+1,1))-AVERAGE(OFFSET($H$3,0,0,'Données projet'!$E$9+1,1))</f>
        <v>157.05226586109279</v>
      </c>
      <c r="T160" s="59">
        <f t="shared" si="142"/>
        <v>76.143582612540229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51.681810968175938</v>
      </c>
      <c r="AA160" s="21">
        <f>EXP(-LN(2)/25)*AA159+(1-EXP(-LN(2)/25))/(LN(2)/25)*Calculateur!V160*Calculateur!X160*VLOOKUP('Données projet'!$B$9,Paramètres!$A$1:$I$89,3,0)*0.475*44/12</f>
        <v>8.7857389300045998</v>
      </c>
      <c r="AB160" s="21">
        <f>EXP(-LN(2)/2)*AB159+(1-EXP(-LN(2)/2))/(LN(2)/2)*V160*Y160*VLOOKUP('Données projet'!$B$9,Paramètres!$A$1:$I$89,3,0)*0.475*44/12</f>
        <v>1.0936671092935418E-6</v>
      </c>
      <c r="AC160" s="22">
        <f t="shared" si="163"/>
        <v>60.467550991847645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-6.3550942286383367E-14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279.32192402750189</v>
      </c>
      <c r="AO160" s="59">
        <f t="shared" si="144"/>
        <v>371.43572414443611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30.066430901176656</v>
      </c>
      <c r="AV160" s="21">
        <f>EXP(-LN(2)/25)*AV159+(1-EXP(-LN(2)/25))/(LN(2)/25)*Calculateur!AQ160*Calculateur!AS160*VLOOKUP('Données projet'!$B$10,Paramètres!$A$1:$I$89,3,0)*0.475*44/12</f>
        <v>3.4062616588386612</v>
      </c>
      <c r="AW160" s="21">
        <f>EXP(-LN(2)/2)*AW159+(1-EXP(-LN(2)/2))/(LN(2)/2)*AQ160*AT160*VLOOKUP('Données projet'!$B$10,Paramètres!$A$1:$I$89,3,0)*0.475*44/12</f>
        <v>1.5170666502634088E-14</v>
      </c>
      <c r="AX160" s="21">
        <f t="shared" si="166"/>
        <v>33.472692560015332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2.2737367544323206E-13</v>
      </c>
      <c r="BE160" s="13">
        <f>BD160*VLOOKUP('Données projet'!$B$11,Paramètres!$A$1:$I$89,3,0)*VLOOKUP('Données projet'!$B$11,Paramètres!$A$1:$I$89,5,0)</f>
        <v>1.064108801074326E-13</v>
      </c>
      <c r="BF160" s="13">
        <f t="shared" si="167"/>
        <v>1.5870730813698654E-12</v>
      </c>
      <c r="BG160" s="20">
        <f t="shared" si="168"/>
        <v>2.9494845662396269E-12</v>
      </c>
      <c r="BH160" s="59">
        <f t="shared" si="116"/>
        <v>293.33333333333627</v>
      </c>
      <c r="BI160" s="59">
        <f ca="1">AVERAGE(OFFSET($BH$3,0,0,'Données projet'!$E$11+1,1))-AVERAGE(OFFSET($H$3,0,0,'Données projet'!$E$11+1,1))</f>
        <v>297.07458564121606</v>
      </c>
      <c r="BJ160" s="59">
        <f t="shared" si="146"/>
        <v>514.93897725587567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18.519963780149837</v>
      </c>
      <c r="BQ160" s="21">
        <f>EXP(-LN(2)/25)*BQ159+(1-EXP(-LN(2)/25))/(LN(2)/25)*Calculateur!BL160*Calculateur!BN160*VLOOKUP('Données projet'!$B$11,Paramètres!$A$1:$I$89,3,0)*0.475*44/12</f>
        <v>8.6345501491503764</v>
      </c>
      <c r="BR160" s="21">
        <f>EXP(-LN(2)/2)*BR159+(1-EXP(-LN(2)/2))/(LN(2)/2)*BL160*BO160*VLOOKUP('Données projet'!$B$11,Paramètres!$A$1:$I$89,3,0)*0.475*44/12</f>
        <v>4.2225937163819641E-19</v>
      </c>
      <c r="BS160" s="22">
        <f t="shared" si="169"/>
        <v>27.154513929300215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73.944000000000315</v>
      </c>
      <c r="D161" s="11">
        <f t="shared" si="140"/>
        <v>20.649745460165789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730.19733337672085</v>
      </c>
      <c r="H161" s="67">
        <f t="shared" si="110"/>
        <v>458.08410667645592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5.1159076974727213E-13</v>
      </c>
      <c r="O161" s="13">
        <f>N161*VLOOKUP('Données projet'!$B$9,Paramètres!$A$1:$I$89,3,0)*VLOOKUP('Données projet'!$B$9,Paramètres!$A$1:$I$89,5,0)</f>
        <v>2.3942448024172334E-13</v>
      </c>
      <c r="P161" s="13">
        <f t="shared" si="141"/>
        <v>3.2492669905861755E-12</v>
      </c>
      <c r="Q161" s="20">
        <f t="shared" si="162"/>
        <v>6.0761376450252565E-12</v>
      </c>
      <c r="R161" s="59">
        <f t="shared" si="109"/>
        <v>293.3333333333394</v>
      </c>
      <c r="S161" s="59">
        <f ca="1">AVERAGE(OFFSET($R$3,0,0,'Données projet'!$E$9+1,1))-AVERAGE(OFFSET($H$3,0,0,'Données projet'!$E$9+1,1))</f>
        <v>157.05226586109279</v>
      </c>
      <c r="T161" s="59">
        <f t="shared" si="142"/>
        <v>76.143582612540229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50.668362177882081</v>
      </c>
      <c r="AA161" s="21">
        <f>EXP(-LN(2)/25)*AA160+(1-EXP(-LN(2)/25))/(LN(2)/25)*Calculateur!V161*Calculateur!X161*VLOOKUP('Données projet'!$B$9,Paramètres!$A$1:$I$89,3,0)*0.475*44/12</f>
        <v>8.5454924369416929</v>
      </c>
      <c r="AB161" s="21">
        <f>EXP(-LN(2)/2)*AB160+(1-EXP(-LN(2)/2))/(LN(2)/2)*V161*Y161*VLOOKUP('Données projet'!$B$9,Paramètres!$A$1:$I$89,3,0)*0.475*44/12</f>
        <v>7.7333942934215246E-7</v>
      </c>
      <c r="AC161" s="22">
        <f t="shared" si="163"/>
        <v>59.213855388163203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-6.3550942286383367E-14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279.32192402750189</v>
      </c>
      <c r="AO161" s="59">
        <f t="shared" si="144"/>
        <v>371.43572414443611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29.476846529916635</v>
      </c>
      <c r="AV161" s="21">
        <f>EXP(-LN(2)/25)*AV160+(1-EXP(-LN(2)/25))/(LN(2)/25)*Calculateur!AQ161*Calculateur!AS161*VLOOKUP('Données projet'!$B$10,Paramètres!$A$1:$I$89,3,0)*0.475*44/12</f>
        <v>3.3131172546502023</v>
      </c>
      <c r="AW161" s="21">
        <f>EXP(-LN(2)/2)*AW160+(1-EXP(-LN(2)/2))/(LN(2)/2)*AQ161*AT161*VLOOKUP('Données projet'!$B$10,Paramètres!$A$1:$I$89,3,0)*0.475*44/12</f>
        <v>1.0727281159132169E-14</v>
      </c>
      <c r="AX161" s="21">
        <f t="shared" si="166"/>
        <v>32.789963784566851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2.2737367544323206E-13</v>
      </c>
      <c r="BE161" s="13">
        <f>BD161*VLOOKUP('Données projet'!$B$11,Paramètres!$A$1:$I$89,3,0)*VLOOKUP('Données projet'!$B$11,Paramètres!$A$1:$I$89,5,0)</f>
        <v>1.064108801074326E-13</v>
      </c>
      <c r="BF161" s="13">
        <f t="shared" si="167"/>
        <v>1.5870730813698654E-12</v>
      </c>
      <c r="BG161" s="20">
        <f t="shared" si="168"/>
        <v>2.9494845662396269E-12</v>
      </c>
      <c r="BH161" s="59">
        <f t="shared" si="116"/>
        <v>293.33333333333627</v>
      </c>
      <c r="BI161" s="59">
        <f ca="1">AVERAGE(OFFSET($BH$3,0,0,'Données projet'!$E$11+1,1))-AVERAGE(OFFSET($H$3,0,0,'Données projet'!$E$11+1,1))</f>
        <v>297.07458564121606</v>
      </c>
      <c r="BJ161" s="59">
        <f t="shared" si="146"/>
        <v>514.93897725587567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18.15679858648361</v>
      </c>
      <c r="BQ161" s="21">
        <f>EXP(-LN(2)/25)*BQ160+(1-EXP(-LN(2)/25))/(LN(2)/25)*Calculateur!BL161*Calculateur!BN161*VLOOKUP('Données projet'!$B$11,Paramètres!$A$1:$I$89,3,0)*0.475*44/12</f>
        <v>8.3984379212506024</v>
      </c>
      <c r="BR161" s="21">
        <f>EXP(-LN(2)/2)*BR160+(1-EXP(-LN(2)/2))/(LN(2)/2)*BL161*BO161*VLOOKUP('Données projet'!$B$11,Paramètres!$A$1:$I$89,3,0)*0.475*44/12</f>
        <v>2.9858246510493923E-19</v>
      </c>
      <c r="BS161" s="22">
        <f t="shared" si="169"/>
        <v>26.555236507734215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74.412000000000319</v>
      </c>
      <c r="D162" s="11">
        <f t="shared" si="140"/>
        <v>20.765184762876906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734.70107536256103</v>
      </c>
      <c r="H162" s="67">
        <f t="shared" si="110"/>
        <v>459.10026346201118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5.1159076974727213E-13</v>
      </c>
      <c r="O162" s="13">
        <f>N162*VLOOKUP('Données projet'!$B$9,Paramètres!$A$1:$I$89,3,0)*VLOOKUP('Données projet'!$B$9,Paramètres!$A$1:$I$89,5,0)</f>
        <v>2.3942448024172334E-13</v>
      </c>
      <c r="P162" s="13">
        <f t="shared" si="141"/>
        <v>3.2492669905861755E-12</v>
      </c>
      <c r="Q162" s="20">
        <f t="shared" si="162"/>
        <v>6.0761376450252565E-12</v>
      </c>
      <c r="R162" s="59">
        <f t="shared" si="109"/>
        <v>293.3333333333394</v>
      </c>
      <c r="S162" s="59">
        <f ca="1">AVERAGE(OFFSET($R$3,0,0,'Données projet'!$E$9+1,1))-AVERAGE(OFFSET($H$3,0,0,'Données projet'!$E$9+1,1))</f>
        <v>157.05226586109279</v>
      </c>
      <c r="T162" s="59">
        <f t="shared" si="142"/>
        <v>76.143582612540229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49.674786500223163</v>
      </c>
      <c r="AA162" s="21">
        <f>EXP(-LN(2)/25)*AA161+(1-EXP(-LN(2)/25))/(LN(2)/25)*Calculateur!V162*Calculateur!X162*VLOOKUP('Données projet'!$B$9,Paramètres!$A$1:$I$89,3,0)*0.475*44/12</f>
        <v>8.3118154968656057</v>
      </c>
      <c r="AB162" s="21">
        <f>EXP(-LN(2)/2)*AB161+(1-EXP(-LN(2)/2))/(LN(2)/2)*V162*Y162*VLOOKUP('Données projet'!$B$9,Paramètres!$A$1:$I$89,3,0)*0.475*44/12</f>
        <v>5.4683355464677091E-7</v>
      </c>
      <c r="AC162" s="22">
        <f t="shared" si="163"/>
        <v>57.986602543922324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-6.3550942286383367E-14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279.32192402750189</v>
      </c>
      <c r="AO162" s="59">
        <f t="shared" si="144"/>
        <v>371.43572414443611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28.898823548566064</v>
      </c>
      <c r="AV162" s="21">
        <f>EXP(-LN(2)/25)*AV161+(1-EXP(-LN(2)/25))/(LN(2)/25)*Calculateur!AQ162*Calculateur!AS162*VLOOKUP('Données projet'!$B$10,Paramètres!$A$1:$I$89,3,0)*0.475*44/12</f>
        <v>3.2225198890925282</v>
      </c>
      <c r="AW162" s="21">
        <f>EXP(-LN(2)/2)*AW161+(1-EXP(-LN(2)/2))/(LN(2)/2)*AQ162*AT162*VLOOKUP('Données projet'!$B$10,Paramètres!$A$1:$I$89,3,0)*0.475*44/12</f>
        <v>7.5853332513170442E-15</v>
      </c>
      <c r="AX162" s="21">
        <f t="shared" si="166"/>
        <v>32.121343437658602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2.2737367544323206E-13</v>
      </c>
      <c r="BE162" s="13">
        <f>BD162*VLOOKUP('Données projet'!$B$11,Paramètres!$A$1:$I$89,3,0)*VLOOKUP('Données projet'!$B$11,Paramètres!$A$1:$I$89,5,0)</f>
        <v>1.064108801074326E-13</v>
      </c>
      <c r="BF162" s="13">
        <f t="shared" si="167"/>
        <v>1.5870730813698654E-12</v>
      </c>
      <c r="BG162" s="20">
        <f t="shared" si="168"/>
        <v>2.9494845662396269E-12</v>
      </c>
      <c r="BH162" s="59">
        <f t="shared" si="116"/>
        <v>293.33333333333627</v>
      </c>
      <c r="BI162" s="59">
        <f ca="1">AVERAGE(OFFSET($BH$3,0,0,'Données projet'!$E$11+1,1))-AVERAGE(OFFSET($H$3,0,0,'Données projet'!$E$11+1,1))</f>
        <v>297.07458564121606</v>
      </c>
      <c r="BJ162" s="59">
        <f t="shared" si="146"/>
        <v>514.93897725587567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17.800754840756284</v>
      </c>
      <c r="BQ162" s="21">
        <f>EXP(-LN(2)/25)*BQ161+(1-EXP(-LN(2)/25))/(LN(2)/25)*Calculateur!BL162*Calculateur!BN162*VLOOKUP('Données projet'!$B$11,Paramètres!$A$1:$I$89,3,0)*0.475*44/12</f>
        <v>8.1687821946393484</v>
      </c>
      <c r="BR162" s="21">
        <f>EXP(-LN(2)/2)*BR161+(1-EXP(-LN(2)/2))/(LN(2)/2)*BL162*BO162*VLOOKUP('Données projet'!$B$11,Paramètres!$A$1:$I$89,3,0)*0.475*44/12</f>
        <v>2.1112968581909823E-19</v>
      </c>
      <c r="BS162" s="22">
        <f t="shared" si="169"/>
        <v>25.969537035395632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74.880000000000322</v>
      </c>
      <c r="D163" s="11">
        <f t="shared" si="140"/>
        <v>20.880539585643316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739.20416522251242</v>
      </c>
      <c r="H163" s="67">
        <f t="shared" si="110"/>
        <v>460.11627311166262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5.1159076974727213E-13</v>
      </c>
      <c r="O163" s="13">
        <f>N163*VLOOKUP('Données projet'!$B$9,Paramètres!$A$1:$I$89,3,0)*VLOOKUP('Données projet'!$B$9,Paramètres!$A$1:$I$89,5,0)</f>
        <v>2.3942448024172334E-13</v>
      </c>
      <c r="P163" s="13">
        <f t="shared" si="141"/>
        <v>3.2492669905861755E-12</v>
      </c>
      <c r="Q163" s="20">
        <f t="shared" si="162"/>
        <v>6.0761376450252565E-12</v>
      </c>
      <c r="R163" s="59">
        <f t="shared" si="109"/>
        <v>293.3333333333394</v>
      </c>
      <c r="S163" s="59">
        <f ca="1">AVERAGE(OFFSET($R$3,0,0,'Données projet'!$E$9+1,1))-AVERAGE(OFFSET($H$3,0,0,'Données projet'!$E$9+1,1))</f>
        <v>157.05226586109279</v>
      </c>
      <c r="T163" s="59">
        <f t="shared" si="142"/>
        <v>76.143582612540229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48.700694235581814</v>
      </c>
      <c r="AA163" s="21">
        <f>EXP(-LN(2)/25)*AA162+(1-EXP(-LN(2)/25))/(LN(2)/25)*Calculateur!V163*Calculateur!X163*VLOOKUP('Données projet'!$B$9,Paramètres!$A$1:$I$89,3,0)*0.475*44/12</f>
        <v>8.0845284650044356</v>
      </c>
      <c r="AB163" s="21">
        <f>EXP(-LN(2)/2)*AB162+(1-EXP(-LN(2)/2))/(LN(2)/2)*V163*Y163*VLOOKUP('Données projet'!$B$9,Paramètres!$A$1:$I$89,3,0)*0.475*44/12</f>
        <v>3.8666971467107623E-7</v>
      </c>
      <c r="AC163" s="22">
        <f t="shared" si="163"/>
        <v>56.785223087255957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-6.3550942286383367E-14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279.32192402750189</v>
      </c>
      <c r="AO163" s="59">
        <f t="shared" si="144"/>
        <v>371.43572414443611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28.332135245320572</v>
      </c>
      <c r="AV163" s="21">
        <f>EXP(-LN(2)/25)*AV162+(1-EXP(-LN(2)/25))/(LN(2)/25)*Calculateur!AQ163*Calculateur!AS163*VLOOKUP('Données projet'!$B$10,Paramètres!$A$1:$I$89,3,0)*0.475*44/12</f>
        <v>3.1343999132603373</v>
      </c>
      <c r="AW163" s="21">
        <f>EXP(-LN(2)/2)*AW162+(1-EXP(-LN(2)/2))/(LN(2)/2)*AQ163*AT163*VLOOKUP('Données projet'!$B$10,Paramètres!$A$1:$I$89,3,0)*0.475*44/12</f>
        <v>5.3636405795660843E-15</v>
      </c>
      <c r="AX163" s="21">
        <f t="shared" si="166"/>
        <v>31.466535158580918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2.2737367544323206E-13</v>
      </c>
      <c r="BE163" s="13">
        <f>BD163*VLOOKUP('Données projet'!$B$11,Paramètres!$A$1:$I$89,3,0)*VLOOKUP('Données projet'!$B$11,Paramètres!$A$1:$I$89,5,0)</f>
        <v>1.064108801074326E-13</v>
      </c>
      <c r="BF163" s="13">
        <f t="shared" si="167"/>
        <v>1.5870730813698654E-12</v>
      </c>
      <c r="BG163" s="20">
        <f t="shared" si="168"/>
        <v>2.9494845662396269E-12</v>
      </c>
      <c r="BH163" s="59">
        <f t="shared" si="116"/>
        <v>293.33333333333627</v>
      </c>
      <c r="BI163" s="59">
        <f ca="1">AVERAGE(OFFSET($BH$3,0,0,'Données projet'!$E$11+1,1))-AVERAGE(OFFSET($H$3,0,0,'Données projet'!$E$11+1,1))</f>
        <v>297.07458564121606</v>
      </c>
      <c r="BJ163" s="59">
        <f t="shared" si="146"/>
        <v>514.93897725587567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17.451692895717429</v>
      </c>
      <c r="BQ163" s="21">
        <f>EXP(-LN(2)/25)*BQ162+(1-EXP(-LN(2)/25))/(LN(2)/25)*Calculateur!BL163*Calculateur!BN163*VLOOKUP('Données projet'!$B$11,Paramètres!$A$1:$I$89,3,0)*0.475*44/12</f>
        <v>7.9454064159493498</v>
      </c>
      <c r="BR163" s="21">
        <f>EXP(-LN(2)/2)*BR162+(1-EXP(-LN(2)/2))/(LN(2)/2)*BL163*BO163*VLOOKUP('Données projet'!$B$11,Paramètres!$A$1:$I$89,3,0)*0.475*44/12</f>
        <v>1.4929123255246964E-19</v>
      </c>
      <c r="BS163" s="22">
        <f t="shared" si="169"/>
        <v>25.397099311666778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75.348000000000326</v>
      </c>
      <c r="D164" s="11">
        <f t="shared" si="140"/>
        <v>20.995810517717125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743.70660750518743</v>
      </c>
      <c r="H164" s="67">
        <f t="shared" si="110"/>
        <v>461.13213665169121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5.1159076974727213E-13</v>
      </c>
      <c r="O164" s="13">
        <f>N164*VLOOKUP('Données projet'!$B$9,Paramètres!$A$1:$I$89,3,0)*VLOOKUP('Données projet'!$B$9,Paramètres!$A$1:$I$89,5,0)</f>
        <v>2.3942448024172334E-13</v>
      </c>
      <c r="P164" s="13">
        <f t="shared" si="141"/>
        <v>3.2492669905861755E-12</v>
      </c>
      <c r="Q164" s="20">
        <f t="shared" si="162"/>
        <v>6.0761376450252565E-12</v>
      </c>
      <c r="R164" s="59">
        <f t="shared" si="109"/>
        <v>293.3333333333394</v>
      </c>
      <c r="S164" s="59">
        <f ca="1">AVERAGE(OFFSET($R$3,0,0,'Données projet'!$E$9+1,1))-AVERAGE(OFFSET($H$3,0,0,'Données projet'!$E$9+1,1))</f>
        <v>157.05226586109279</v>
      </c>
      <c r="T164" s="59">
        <f t="shared" si="142"/>
        <v>76.143582612540229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47.745703326112462</v>
      </c>
      <c r="AA164" s="21">
        <f>EXP(-LN(2)/25)*AA163+(1-EXP(-LN(2)/25))/(LN(2)/25)*Calculateur!V164*Calculateur!X164*VLOOKUP('Données projet'!$B$9,Paramètres!$A$1:$I$89,3,0)*0.475*44/12</f>
        <v>7.8634566089820144</v>
      </c>
      <c r="AB164" s="21">
        <f>EXP(-LN(2)/2)*AB163+(1-EXP(-LN(2)/2))/(LN(2)/2)*V164*Y164*VLOOKUP('Données projet'!$B$9,Paramètres!$A$1:$I$89,3,0)*0.475*44/12</f>
        <v>2.7341677732338546E-7</v>
      </c>
      <c r="AC164" s="22">
        <f t="shared" si="163"/>
        <v>55.609160208511256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-6.3550942286383367E-14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279.32192402750189</v>
      </c>
      <c r="AO164" s="59">
        <f t="shared" si="144"/>
        <v>371.43572414443611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27.776559354055987</v>
      </c>
      <c r="AV164" s="21">
        <f>EXP(-LN(2)/25)*AV163+(1-EXP(-LN(2)/25))/(LN(2)/25)*Calculateur!AQ164*Calculateur!AS164*VLOOKUP('Données projet'!$B$10,Paramètres!$A$1:$I$89,3,0)*0.475*44/12</f>
        <v>3.0486895828013059</v>
      </c>
      <c r="AW164" s="21">
        <f>EXP(-LN(2)/2)*AW163+(1-EXP(-LN(2)/2))/(LN(2)/2)*AQ164*AT164*VLOOKUP('Données projet'!$B$10,Paramètres!$A$1:$I$89,3,0)*0.475*44/12</f>
        <v>3.7926666256585221E-15</v>
      </c>
      <c r="AX164" s="21">
        <f t="shared" si="166"/>
        <v>30.825248936857296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2.2737367544323206E-13</v>
      </c>
      <c r="BE164" s="13">
        <f>BD164*VLOOKUP('Données projet'!$B$11,Paramètres!$A$1:$I$89,3,0)*VLOOKUP('Données projet'!$B$11,Paramètres!$A$1:$I$89,5,0)</f>
        <v>1.064108801074326E-13</v>
      </c>
      <c r="BF164" s="13">
        <f t="shared" si="167"/>
        <v>1.5870730813698654E-12</v>
      </c>
      <c r="BG164" s="20">
        <f t="shared" si="168"/>
        <v>2.9494845662396269E-12</v>
      </c>
      <c r="BH164" s="59">
        <f t="shared" si="116"/>
        <v>293.33333333333627</v>
      </c>
      <c r="BI164" s="59">
        <f ca="1">AVERAGE(OFFSET($BH$3,0,0,'Données projet'!$E$11+1,1))-AVERAGE(OFFSET($H$3,0,0,'Données projet'!$E$11+1,1))</f>
        <v>297.07458564121606</v>
      </c>
      <c r="BJ164" s="59">
        <f t="shared" si="146"/>
        <v>514.93897725587567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17.109475842514023</v>
      </c>
      <c r="BQ164" s="21">
        <f>EXP(-LN(2)/25)*BQ163+(1-EXP(-LN(2)/25))/(LN(2)/25)*Calculateur!BL164*Calculateur!BN164*VLOOKUP('Données projet'!$B$11,Paramètres!$A$1:$I$89,3,0)*0.475*44/12</f>
        <v>7.7281388596744511</v>
      </c>
      <c r="BR164" s="21">
        <f>EXP(-LN(2)/2)*BR163+(1-EXP(-LN(2)/2))/(LN(2)/2)*BL164*BO164*VLOOKUP('Données projet'!$B$11,Paramètres!$A$1:$I$89,3,0)*0.475*44/12</f>
        <v>1.0556484290954914E-19</v>
      </c>
      <c r="BS164" s="22">
        <f t="shared" si="169"/>
        <v>24.837614702188475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75.816000000000329</v>
      </c>
      <c r="D165" s="11">
        <f t="shared" si="140"/>
        <v>21.11099814060724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748.20840669942697</v>
      </c>
      <c r="H165" s="67">
        <f t="shared" si="110"/>
        <v>462.1478550948915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5.1159076974727213E-13</v>
      </c>
      <c r="O165" s="13">
        <f>N165*VLOOKUP('Données projet'!$B$9,Paramètres!$A$1:$I$89,3,0)*VLOOKUP('Données projet'!$B$9,Paramètres!$A$1:$I$89,5,0)</f>
        <v>2.3942448024172334E-13</v>
      </c>
      <c r="P165" s="13">
        <f t="shared" si="141"/>
        <v>3.2492669905861755E-12</v>
      </c>
      <c r="Q165" s="20">
        <f t="shared" si="162"/>
        <v>6.0761376450252565E-12</v>
      </c>
      <c r="R165" s="59">
        <f t="shared" si="109"/>
        <v>293.3333333333394</v>
      </c>
      <c r="S165" s="59">
        <f ca="1">AVERAGE(OFFSET($R$3,0,0,'Données projet'!$E$9+1,1))-AVERAGE(OFFSET($H$3,0,0,'Données projet'!$E$9+1,1))</f>
        <v>157.05226586109279</v>
      </c>
      <c r="T165" s="59">
        <f t="shared" si="142"/>
        <v>76.143582612540229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46.809439205890868</v>
      </c>
      <c r="AA165" s="21">
        <f>EXP(-LN(2)/25)*AA164+(1-EXP(-LN(2)/25))/(LN(2)/25)*Calculateur!V165*Calculateur!X165*VLOOKUP('Données projet'!$B$9,Paramètres!$A$1:$I$89,3,0)*0.475*44/12</f>
        <v>7.6484299744881907</v>
      </c>
      <c r="AB165" s="21">
        <f>EXP(-LN(2)/2)*AB164+(1-EXP(-LN(2)/2))/(LN(2)/2)*V165*Y165*VLOOKUP('Données projet'!$B$9,Paramètres!$A$1:$I$89,3,0)*0.475*44/12</f>
        <v>1.9333485733553811E-7</v>
      </c>
      <c r="AC165" s="22">
        <f t="shared" si="163"/>
        <v>54.457869373713912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-6.3550942286383367E-14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279.32192402750189</v>
      </c>
      <c r="AO165" s="59">
        <f t="shared" si="144"/>
        <v>371.43572414443611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27.23187796715127</v>
      </c>
      <c r="AV165" s="21">
        <f>EXP(-LN(2)/25)*AV164+(1-EXP(-LN(2)/25))/(LN(2)/25)*Calculateur!AQ165*Calculateur!AS165*VLOOKUP('Données projet'!$B$10,Paramètres!$A$1:$I$89,3,0)*0.475*44/12</f>
        <v>2.965323005835987</v>
      </c>
      <c r="AW165" s="21">
        <f>EXP(-LN(2)/2)*AW164+(1-EXP(-LN(2)/2))/(LN(2)/2)*AQ165*AT165*VLOOKUP('Données projet'!$B$10,Paramètres!$A$1:$I$89,3,0)*0.475*44/12</f>
        <v>2.6818202897830422E-15</v>
      </c>
      <c r="AX165" s="21">
        <f t="shared" si="166"/>
        <v>30.197200972987261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2.2737367544323206E-13</v>
      </c>
      <c r="BE165" s="13">
        <f>BD165*VLOOKUP('Données projet'!$B$11,Paramètres!$A$1:$I$89,3,0)*VLOOKUP('Données projet'!$B$11,Paramètres!$A$1:$I$89,5,0)</f>
        <v>1.064108801074326E-13</v>
      </c>
      <c r="BF165" s="13">
        <f t="shared" si="167"/>
        <v>1.5870730813698654E-12</v>
      </c>
      <c r="BG165" s="20">
        <f t="shared" si="168"/>
        <v>2.9494845662396269E-12</v>
      </c>
      <c r="BH165" s="59">
        <f t="shared" si="116"/>
        <v>293.33333333333627</v>
      </c>
      <c r="BI165" s="59">
        <f ca="1">AVERAGE(OFFSET($BH$3,0,0,'Données projet'!$E$11+1,1))-AVERAGE(OFFSET($H$3,0,0,'Données projet'!$E$11+1,1))</f>
        <v>297.07458564121606</v>
      </c>
      <c r="BJ165" s="59">
        <f t="shared" si="146"/>
        <v>514.93897725587567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16.773969456992141</v>
      </c>
      <c r="BQ165" s="21">
        <f>EXP(-LN(2)/25)*BQ164+(1-EXP(-LN(2)/25))/(LN(2)/25)*Calculateur!BL165*Calculateur!BN165*VLOOKUP('Données projet'!$B$11,Paramètres!$A$1:$I$89,3,0)*0.475*44/12</f>
        <v>7.5168124961514939</v>
      </c>
      <c r="BR165" s="21">
        <f>EXP(-LN(2)/2)*BR164+(1-EXP(-LN(2)/2))/(LN(2)/2)*BL165*BO165*VLOOKUP('Données projet'!$B$11,Paramètres!$A$1:$I$89,3,0)*0.475*44/12</f>
        <v>7.4645616276234831E-20</v>
      </c>
      <c r="BS165" s="22">
        <f t="shared" si="169"/>
        <v>24.290781953143636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76.284000000000333</v>
      </c>
      <c r="D166" s="11">
        <f t="shared" si="140"/>
        <v>21.226103028228163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752.70956723544816</v>
      </c>
      <c r="H166" s="67">
        <f t="shared" si="110"/>
        <v>463.16342944083124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5.1159076974727213E-13</v>
      </c>
      <c r="O166" s="13">
        <f>N166*VLOOKUP('Données projet'!$B$9,Paramètres!$A$1:$I$89,3,0)*VLOOKUP('Données projet'!$B$9,Paramètres!$A$1:$I$89,5,0)</f>
        <v>2.3942448024172334E-13</v>
      </c>
      <c r="P166" s="13">
        <f t="shared" si="141"/>
        <v>3.2492669905861755E-12</v>
      </c>
      <c r="Q166" s="20">
        <f t="shared" si="162"/>
        <v>6.0761376450252565E-12</v>
      </c>
      <c r="R166" s="59">
        <f t="shared" si="109"/>
        <v>293.3333333333394</v>
      </c>
      <c r="S166" s="59">
        <f ca="1">AVERAGE(OFFSET($R$3,0,0,'Données projet'!$E$9+1,1))-AVERAGE(OFFSET($H$3,0,0,'Données projet'!$E$9+1,1))</f>
        <v>157.05226586109279</v>
      </c>
      <c r="T166" s="59">
        <f t="shared" si="142"/>
        <v>76.143582612540229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45.891534654002093</v>
      </c>
      <c r="AA166" s="21">
        <f>EXP(-LN(2)/25)*AA165+(1-EXP(-LN(2)/25))/(LN(2)/25)*Calculateur!V166*Calculateur!X166*VLOOKUP('Données projet'!$B$9,Paramètres!$A$1:$I$89,3,0)*0.475*44/12</f>
        <v>7.4392832546223593</v>
      </c>
      <c r="AB166" s="21">
        <f>EXP(-LN(2)/2)*AB165+(1-EXP(-LN(2)/2))/(LN(2)/2)*V166*Y166*VLOOKUP('Données projet'!$B$9,Paramètres!$A$1:$I$89,3,0)*0.475*44/12</f>
        <v>1.3670838866169273E-7</v>
      </c>
      <c r="AC166" s="22">
        <f t="shared" si="163"/>
        <v>53.33081804533284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-6.3550942286383367E-14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279.32192402750189</v>
      </c>
      <c r="AO166" s="59">
        <f t="shared" si="144"/>
        <v>371.43572414443611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26.697877450020911</v>
      </c>
      <c r="AV166" s="21">
        <f>EXP(-LN(2)/25)*AV165+(1-EXP(-LN(2)/25))/(LN(2)/25)*Calculateur!AQ166*Calculateur!AS166*VLOOKUP('Données projet'!$B$10,Paramètres!$A$1:$I$89,3,0)*0.475*44/12</f>
        <v>2.8842360923018422</v>
      </c>
      <c r="AW166" s="21">
        <f>EXP(-LN(2)/2)*AW165+(1-EXP(-LN(2)/2))/(LN(2)/2)*AQ166*AT166*VLOOKUP('Données projet'!$B$10,Paramètres!$A$1:$I$89,3,0)*0.475*44/12</f>
        <v>1.8963333128292611E-15</v>
      </c>
      <c r="AX166" s="21">
        <f t="shared" si="166"/>
        <v>29.582113542322755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2.2737367544323206E-13</v>
      </c>
      <c r="BE166" s="13">
        <f>BD166*VLOOKUP('Données projet'!$B$11,Paramètres!$A$1:$I$89,3,0)*VLOOKUP('Données projet'!$B$11,Paramètres!$A$1:$I$89,5,0)</f>
        <v>1.064108801074326E-13</v>
      </c>
      <c r="BF166" s="13">
        <f t="shared" si="167"/>
        <v>1.5870730813698654E-12</v>
      </c>
      <c r="BG166" s="20">
        <f t="shared" si="168"/>
        <v>2.9494845662396269E-12</v>
      </c>
      <c r="BH166" s="59">
        <f t="shared" si="116"/>
        <v>293.33333333333627</v>
      </c>
      <c r="BI166" s="59">
        <f ca="1">AVERAGE(OFFSET($BH$3,0,0,'Données projet'!$E$11+1,1))-AVERAGE(OFFSET($H$3,0,0,'Données projet'!$E$11+1,1))</f>
        <v>297.07458564121606</v>
      </c>
      <c r="BJ166" s="59">
        <f t="shared" si="146"/>
        <v>514.93897725587567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16.445042147051655</v>
      </c>
      <c r="BQ166" s="21">
        <f>EXP(-LN(2)/25)*BQ165+(1-EXP(-LN(2)/25))/(LN(2)/25)*Calculateur!BL166*Calculateur!BN166*VLOOKUP('Données projet'!$B$11,Paramètres!$A$1:$I$89,3,0)*0.475*44/12</f>
        <v>7.3112648631522417</v>
      </c>
      <c r="BR166" s="21">
        <f>EXP(-LN(2)/2)*BR165+(1-EXP(-LN(2)/2))/(LN(2)/2)*BL166*BO166*VLOOKUP('Données projet'!$B$11,Paramètres!$A$1:$I$89,3,0)*0.475*44/12</f>
        <v>5.2782421454774575E-20</v>
      </c>
      <c r="BS166" s="22">
        <f t="shared" si="169"/>
        <v>23.756307010203898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76.752000000000336</v>
      </c>
      <c r="D167" s="11">
        <f t="shared" si="140"/>
        <v>21.341125747045204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757.21009348596579</v>
      </c>
      <c r="H167" s="67">
        <f t="shared" si="110"/>
        <v>464.17886067610431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5.1159076974727213E-13</v>
      </c>
      <c r="O167" s="13">
        <f>N167*VLOOKUP('Données projet'!$B$9,Paramètres!$A$1:$I$89,3,0)*VLOOKUP('Données projet'!$B$9,Paramètres!$A$1:$I$89,5,0)</f>
        <v>2.3942448024172334E-13</v>
      </c>
      <c r="P167" s="13">
        <f t="shared" si="141"/>
        <v>3.2492669905861755E-12</v>
      </c>
      <c r="Q167" s="20">
        <f t="shared" si="162"/>
        <v>6.0761376450252565E-12</v>
      </c>
      <c r="R167" s="59">
        <f t="shared" si="109"/>
        <v>293.3333333333394</v>
      </c>
      <c r="S167" s="59">
        <f ca="1">AVERAGE(OFFSET($R$3,0,0,'Données projet'!$E$9+1,1))-AVERAGE(OFFSET($H$3,0,0,'Données projet'!$E$9+1,1))</f>
        <v>157.05226586109279</v>
      </c>
      <c r="T167" s="59">
        <f t="shared" si="142"/>
        <v>76.143582612540229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44.99162965050936</v>
      </c>
      <c r="AA167" s="21">
        <f>EXP(-LN(2)/25)*AA166+(1-EXP(-LN(2)/25))/(LN(2)/25)*Calculateur!V167*Calculateur!X167*VLOOKUP('Données projet'!$B$9,Paramètres!$A$1:$I$89,3,0)*0.475*44/12</f>
        <v>7.235855662809807</v>
      </c>
      <c r="AB167" s="21">
        <f>EXP(-LN(2)/2)*AB166+(1-EXP(-LN(2)/2))/(LN(2)/2)*V167*Y167*VLOOKUP('Données projet'!$B$9,Paramètres!$A$1:$I$89,3,0)*0.475*44/12</f>
        <v>9.6667428667769057E-8</v>
      </c>
      <c r="AC167" s="22">
        <f t="shared" si="163"/>
        <v>52.227485409986592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-6.3550942286383367E-14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279.32192402750189</v>
      </c>
      <c r="AO167" s="59">
        <f t="shared" si="144"/>
        <v>371.43572414443611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26.174348357323325</v>
      </c>
      <c r="AV167" s="21">
        <f>EXP(-LN(2)/25)*AV166+(1-EXP(-LN(2)/25))/(LN(2)/25)*Calculateur!AQ167*Calculateur!AS167*VLOOKUP('Données projet'!$B$10,Paramètres!$A$1:$I$89,3,0)*0.475*44/12</f>
        <v>2.8053665046824641</v>
      </c>
      <c r="AW167" s="21">
        <f>EXP(-LN(2)/2)*AW166+(1-EXP(-LN(2)/2))/(LN(2)/2)*AQ167*AT167*VLOOKUP('Données projet'!$B$10,Paramètres!$A$1:$I$89,3,0)*0.475*44/12</f>
        <v>1.3409101448915211E-15</v>
      </c>
      <c r="AX167" s="21">
        <f t="shared" si="166"/>
        <v>28.979714862005789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2.2737367544323206E-13</v>
      </c>
      <c r="BE167" s="13">
        <f>BD167*VLOOKUP('Données projet'!$B$11,Paramètres!$A$1:$I$89,3,0)*VLOOKUP('Données projet'!$B$11,Paramètres!$A$1:$I$89,5,0)</f>
        <v>1.064108801074326E-13</v>
      </c>
      <c r="BF167" s="13">
        <f t="shared" si="167"/>
        <v>1.5870730813698654E-12</v>
      </c>
      <c r="BG167" s="20">
        <f t="shared" si="168"/>
        <v>2.9494845662396269E-12</v>
      </c>
      <c r="BH167" s="59">
        <f t="shared" si="116"/>
        <v>293.33333333333627</v>
      </c>
      <c r="BI167" s="59">
        <f ca="1">AVERAGE(OFFSET($BH$3,0,0,'Données projet'!$E$11+1,1))-AVERAGE(OFFSET($H$3,0,0,'Données projet'!$E$11+1,1))</f>
        <v>297.07458564121606</v>
      </c>
      <c r="BJ167" s="59">
        <f t="shared" si="146"/>
        <v>514.93897725587567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16.122564901033254</v>
      </c>
      <c r="BQ167" s="21">
        <f>EXP(-LN(2)/25)*BQ166+(1-EXP(-LN(2)/25))/(LN(2)/25)*Calculateur!BL167*Calculateur!BN167*VLOOKUP('Données projet'!$B$11,Paramètres!$A$1:$I$89,3,0)*0.475*44/12</f>
        <v>7.1113379409866342</v>
      </c>
      <c r="BR167" s="21">
        <f>EXP(-LN(2)/2)*BR166+(1-EXP(-LN(2)/2))/(LN(2)/2)*BL167*BO167*VLOOKUP('Données projet'!$B$11,Paramètres!$A$1:$I$89,3,0)*0.475*44/12</f>
        <v>3.7322808138117422E-20</v>
      </c>
      <c r="BS167" s="22">
        <f t="shared" si="169"/>
        <v>23.233902842019887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77.22000000000034</v>
      </c>
      <c r="D168" s="11">
        <f t="shared" si="140"/>
        <v>21.456066856215958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761.70998976728379</v>
      </c>
      <c r="H168" s="67">
        <f t="shared" si="110"/>
        <v>465.19414977457666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5.1159076974727213E-13</v>
      </c>
      <c r="O168" s="13">
        <f>N168*VLOOKUP('Données projet'!$B$9,Paramètres!$A$1:$I$89,3,0)*VLOOKUP('Données projet'!$B$9,Paramètres!$A$1:$I$89,5,0)</f>
        <v>2.3942448024172334E-13</v>
      </c>
      <c r="P168" s="13">
        <f t="shared" si="141"/>
        <v>3.2492669905861755E-12</v>
      </c>
      <c r="Q168" s="20">
        <f t="shared" si="162"/>
        <v>6.0761376450252565E-12</v>
      </c>
      <c r="R168" s="59">
        <f t="shared" si="109"/>
        <v>293.3333333333394</v>
      </c>
      <c r="S168" s="59">
        <f ca="1">AVERAGE(OFFSET($R$3,0,0,'Données projet'!$E$9+1,1))-AVERAGE(OFFSET($H$3,0,0,'Données projet'!$E$9+1,1))</f>
        <v>157.05226586109279</v>
      </c>
      <c r="T168" s="59">
        <f t="shared" si="142"/>
        <v>76.143582612540229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44.109371235247266</v>
      </c>
      <c r="AA168" s="21">
        <f>EXP(-LN(2)/25)*AA167+(1-EXP(-LN(2)/25))/(LN(2)/25)*Calculateur!V168*Calculateur!X168*VLOOKUP('Données projet'!$B$9,Paramètres!$A$1:$I$89,3,0)*0.475*44/12</f>
        <v>7.0379908091931611</v>
      </c>
      <c r="AB168" s="21">
        <f>EXP(-LN(2)/2)*AB167+(1-EXP(-LN(2)/2))/(LN(2)/2)*V168*Y168*VLOOKUP('Données projet'!$B$9,Paramètres!$A$1:$I$89,3,0)*0.475*44/12</f>
        <v>6.8354194330846364E-8</v>
      </c>
      <c r="AC168" s="22">
        <f t="shared" si="163"/>
        <v>51.147362112794625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-6.3550942286383367E-14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279.32192402750189</v>
      </c>
      <c r="AO168" s="59">
        <f t="shared" si="144"/>
        <v>371.43572414443611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25.661085350812321</v>
      </c>
      <c r="AV168" s="21">
        <f>EXP(-LN(2)/25)*AV167+(1-EXP(-LN(2)/25))/(LN(2)/25)*Calculateur!AQ168*Calculateur!AS168*VLOOKUP('Données projet'!$B$10,Paramètres!$A$1:$I$89,3,0)*0.475*44/12</f>
        <v>2.7286536100841094</v>
      </c>
      <c r="AW168" s="21">
        <f>EXP(-LN(2)/2)*AW167+(1-EXP(-LN(2)/2))/(LN(2)/2)*AQ168*AT168*VLOOKUP('Données projet'!$B$10,Paramètres!$A$1:$I$89,3,0)*0.475*44/12</f>
        <v>9.4816665641463053E-16</v>
      </c>
      <c r="AX168" s="21">
        <f t="shared" si="166"/>
        <v>28.38973896089643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2.2737367544323206E-13</v>
      </c>
      <c r="BE168" s="13">
        <f>BD168*VLOOKUP('Données projet'!$B$11,Paramètres!$A$1:$I$89,3,0)*VLOOKUP('Données projet'!$B$11,Paramètres!$A$1:$I$89,5,0)</f>
        <v>1.064108801074326E-13</v>
      </c>
      <c r="BF168" s="13">
        <f t="shared" si="167"/>
        <v>1.5870730813698654E-12</v>
      </c>
      <c r="BG168" s="20">
        <f t="shared" si="168"/>
        <v>2.9494845662396269E-12</v>
      </c>
      <c r="BH168" s="59">
        <f t="shared" si="116"/>
        <v>293.33333333333627</v>
      </c>
      <c r="BI168" s="59">
        <f ca="1">AVERAGE(OFFSET($BH$3,0,0,'Données projet'!$E$11+1,1))-AVERAGE(OFFSET($H$3,0,0,'Données projet'!$E$11+1,1))</f>
        <v>297.07458564121606</v>
      </c>
      <c r="BJ168" s="59">
        <f t="shared" si="146"/>
        <v>514.93897725587567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15.806411237117574</v>
      </c>
      <c r="BQ168" s="21">
        <f>EXP(-LN(2)/25)*BQ167+(1-EXP(-LN(2)/25))/(LN(2)/25)*Calculateur!BL168*Calculateur!BN168*VLOOKUP('Données projet'!$B$11,Paramètres!$A$1:$I$89,3,0)*0.475*44/12</f>
        <v>6.9168780310213451</v>
      </c>
      <c r="BR168" s="21">
        <f>EXP(-LN(2)/2)*BR167+(1-EXP(-LN(2)/2))/(LN(2)/2)*BL168*BO168*VLOOKUP('Données projet'!$B$11,Paramètres!$A$1:$I$89,3,0)*0.475*44/12</f>
        <v>2.6391210727387294E-20</v>
      </c>
      <c r="BS168" s="22">
        <f t="shared" si="169"/>
        <v>22.72328926813892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77.688000000000343</v>
      </c>
      <c r="D169" s="11">
        <f t="shared" si="140"/>
        <v>21.570926907728293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766.20926034036154</v>
      </c>
      <c r="H169" s="67">
        <f t="shared" si="110"/>
        <v>466.20929769762733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5.1159076974727213E-13</v>
      </c>
      <c r="O169" s="13">
        <f>N169*VLOOKUP('Données projet'!$B$9,Paramètres!$A$1:$I$89,3,0)*VLOOKUP('Données projet'!$B$9,Paramètres!$A$1:$I$89,5,0)</f>
        <v>2.3942448024172334E-13</v>
      </c>
      <c r="P169" s="13">
        <f t="shared" si="141"/>
        <v>3.2492669905861755E-12</v>
      </c>
      <c r="Q169" s="20">
        <f t="shared" si="162"/>
        <v>6.0761376450252565E-12</v>
      </c>
      <c r="R169" s="59">
        <f t="shared" si="109"/>
        <v>293.3333333333394</v>
      </c>
      <c r="S169" s="59">
        <f ca="1">AVERAGE(OFFSET($R$3,0,0,'Données projet'!$E$9+1,1))-AVERAGE(OFFSET($H$3,0,0,'Données projet'!$E$9+1,1))</f>
        <v>157.05226586109279</v>
      </c>
      <c r="T169" s="59">
        <f t="shared" si="142"/>
        <v>76.143582612540229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43.244413369383963</v>
      </c>
      <c r="AA169" s="21">
        <f>EXP(-LN(2)/25)*AA168+(1-EXP(-LN(2)/25))/(LN(2)/25)*Calculateur!V169*Calculateur!X169*VLOOKUP('Données projet'!$B$9,Paramètres!$A$1:$I$89,3,0)*0.475*44/12</f>
        <v>6.8455365804039232</v>
      </c>
      <c r="AB169" s="21">
        <f>EXP(-LN(2)/2)*AB168+(1-EXP(-LN(2)/2))/(LN(2)/2)*V169*Y169*VLOOKUP('Données projet'!$B$9,Paramètres!$A$1:$I$89,3,0)*0.475*44/12</f>
        <v>4.8333714333884528E-8</v>
      </c>
      <c r="AC169" s="22">
        <f t="shared" si="163"/>
        <v>50.089949998121604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-6.3550942286383367E-14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279.32192402750189</v>
      </c>
      <c r="AO169" s="59">
        <f t="shared" si="144"/>
        <v>371.43572414443611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25.157887118799476</v>
      </c>
      <c r="AV169" s="21">
        <f>EXP(-LN(2)/25)*AV168+(1-EXP(-LN(2)/25))/(LN(2)/25)*Calculateur!AQ169*Calculateur!AS169*VLOOKUP('Données projet'!$B$10,Paramètres!$A$1:$I$89,3,0)*0.475*44/12</f>
        <v>2.6540384336227025</v>
      </c>
      <c r="AW169" s="21">
        <f>EXP(-LN(2)/2)*AW168+(1-EXP(-LN(2)/2))/(LN(2)/2)*AQ169*AT169*VLOOKUP('Données projet'!$B$10,Paramètres!$A$1:$I$89,3,0)*0.475*44/12</f>
        <v>6.7045507244576054E-16</v>
      </c>
      <c r="AX169" s="21">
        <f t="shared" si="166"/>
        <v>27.811925552422178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2.2737367544323206E-13</v>
      </c>
      <c r="BE169" s="13">
        <f>BD169*VLOOKUP('Données projet'!$B$11,Paramètres!$A$1:$I$89,3,0)*VLOOKUP('Données projet'!$B$11,Paramètres!$A$1:$I$89,5,0)</f>
        <v>1.064108801074326E-13</v>
      </c>
      <c r="BF169" s="13">
        <f t="shared" si="167"/>
        <v>1.5870730813698654E-12</v>
      </c>
      <c r="BG169" s="20">
        <f t="shared" si="168"/>
        <v>2.9494845662396269E-12</v>
      </c>
      <c r="BH169" s="59">
        <f t="shared" si="116"/>
        <v>293.33333333333627</v>
      </c>
      <c r="BI169" s="59">
        <f ca="1">AVERAGE(OFFSET($BH$3,0,0,'Données projet'!$E$11+1,1))-AVERAGE(OFFSET($H$3,0,0,'Données projet'!$E$11+1,1))</f>
        <v>297.07458564121606</v>
      </c>
      <c r="BJ169" s="59">
        <f t="shared" si="146"/>
        <v>514.93897725587567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15.496457153716587</v>
      </c>
      <c r="BQ169" s="21">
        <f>EXP(-LN(2)/25)*BQ168+(1-EXP(-LN(2)/25))/(LN(2)/25)*Calculateur!BL169*Calculateur!BN169*VLOOKUP('Données projet'!$B$11,Paramètres!$A$1:$I$89,3,0)*0.475*44/12</f>
        <v>6.7277356375202597</v>
      </c>
      <c r="BR169" s="21">
        <f>EXP(-LN(2)/2)*BR168+(1-EXP(-LN(2)/2))/(LN(2)/2)*BL169*BO169*VLOOKUP('Données projet'!$B$11,Paramètres!$A$1:$I$89,3,0)*0.475*44/12</f>
        <v>1.8661404069058714E-20</v>
      </c>
      <c r="BS169" s="22">
        <f t="shared" si="169"/>
        <v>22.224192791236845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78.156000000000347</v>
      </c>
      <c r="D170" s="11">
        <f t="shared" si="140"/>
        <v>21.685706446534894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770.70790941185112</v>
      </c>
      <c r="H170" s="67">
        <f t="shared" si="110"/>
        <v>467.22430539438216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5.1159076974727213E-13</v>
      </c>
      <c r="O170" s="13">
        <f>N170*VLOOKUP('Données projet'!$B$9,Paramètres!$A$1:$I$89,3,0)*VLOOKUP('Données projet'!$B$9,Paramètres!$A$1:$I$89,5,0)</f>
        <v>2.3942448024172334E-13</v>
      </c>
      <c r="P170" s="13">
        <f t="shared" si="141"/>
        <v>3.2492669905861755E-12</v>
      </c>
      <c r="Q170" s="20">
        <f t="shared" si="162"/>
        <v>6.0761376450252565E-12</v>
      </c>
      <c r="R170" s="59">
        <f t="shared" si="109"/>
        <v>293.3333333333394</v>
      </c>
      <c r="S170" s="59">
        <f ca="1">AVERAGE(OFFSET($R$3,0,0,'Données projet'!$E$9+1,1))-AVERAGE(OFFSET($H$3,0,0,'Données projet'!$E$9+1,1))</f>
        <v>157.05226586109279</v>
      </c>
      <c r="T170" s="59">
        <f t="shared" si="142"/>
        <v>76.143582612540229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42.396416799698038</v>
      </c>
      <c r="AA170" s="21">
        <f>EXP(-LN(2)/25)*AA169+(1-EXP(-LN(2)/25))/(LN(2)/25)*Calculateur!V170*Calculateur!X170*VLOOKUP('Données projet'!$B$9,Paramètres!$A$1:$I$89,3,0)*0.475*44/12</f>
        <v>6.6583450226216545</v>
      </c>
      <c r="AB170" s="21">
        <f>EXP(-LN(2)/2)*AB169+(1-EXP(-LN(2)/2))/(LN(2)/2)*V170*Y170*VLOOKUP('Données projet'!$B$9,Paramètres!$A$1:$I$89,3,0)*0.475*44/12</f>
        <v>3.4177097165423182E-8</v>
      </c>
      <c r="AC170" s="22">
        <f t="shared" si="163"/>
        <v>49.054761856496789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-6.3550942286383367E-14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279.32192402750189</v>
      </c>
      <c r="AO170" s="59">
        <f t="shared" si="144"/>
        <v>371.43572414443611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24.664556297195787</v>
      </c>
      <c r="AV170" s="21">
        <f>EXP(-LN(2)/25)*AV169+(1-EXP(-LN(2)/25))/(LN(2)/25)*Calculateur!AQ170*Calculateur!AS170*VLOOKUP('Données projet'!$B$10,Paramètres!$A$1:$I$89,3,0)*0.475*44/12</f>
        <v>2.5814636130854742</v>
      </c>
      <c r="AW170" s="21">
        <f>EXP(-LN(2)/2)*AW169+(1-EXP(-LN(2)/2))/(LN(2)/2)*AQ170*AT170*VLOOKUP('Données projet'!$B$10,Paramètres!$A$1:$I$89,3,0)*0.475*44/12</f>
        <v>4.7408332820731527E-16</v>
      </c>
      <c r="AX170" s="21">
        <f t="shared" si="166"/>
        <v>27.246019910281262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2.2737367544323206E-13</v>
      </c>
      <c r="BE170" s="13">
        <f>BD170*VLOOKUP('Données projet'!$B$11,Paramètres!$A$1:$I$89,3,0)*VLOOKUP('Données projet'!$B$11,Paramètres!$A$1:$I$89,5,0)</f>
        <v>1.064108801074326E-13</v>
      </c>
      <c r="BF170" s="13">
        <f t="shared" si="167"/>
        <v>1.5870730813698654E-12</v>
      </c>
      <c r="BG170" s="20">
        <f t="shared" si="168"/>
        <v>2.9494845662396269E-12</v>
      </c>
      <c r="BH170" s="59">
        <f t="shared" si="116"/>
        <v>293.33333333333627</v>
      </c>
      <c r="BI170" s="59">
        <f ca="1">AVERAGE(OFFSET($BH$3,0,0,'Données projet'!$E$11+1,1))-AVERAGE(OFFSET($H$3,0,0,'Données projet'!$E$11+1,1))</f>
        <v>297.07458564121606</v>
      </c>
      <c r="BJ170" s="59">
        <f t="shared" si="146"/>
        <v>514.93897725587567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15.192581080837771</v>
      </c>
      <c r="BQ170" s="21">
        <f>EXP(-LN(2)/25)*BQ169+(1-EXP(-LN(2)/25))/(LN(2)/25)*Calculateur!BL170*Calculateur!BN170*VLOOKUP('Données projet'!$B$11,Paramètres!$A$1:$I$89,3,0)*0.475*44/12</f>
        <v>6.5437653527160276</v>
      </c>
      <c r="BR170" s="21">
        <f>EXP(-LN(2)/2)*BR169+(1-EXP(-LN(2)/2))/(LN(2)/2)*BL170*BO170*VLOOKUP('Données projet'!$B$11,Paramètres!$A$1:$I$89,3,0)*0.475*44/12</f>
        <v>1.3195605363693648E-20</v>
      </c>
      <c r="BS170" s="22">
        <f t="shared" si="169"/>
        <v>21.736346433553798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78.62400000000035</v>
      </c>
      <c r="D171" s="11">
        <f t="shared" si="140"/>
        <v>21.800406010684551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775.20594113511152</v>
      </c>
      <c r="H171" s="67">
        <f t="shared" si="110"/>
        <v>468.23917380194285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5.1159076974727213E-13</v>
      </c>
      <c r="O171" s="13">
        <f>N171*VLOOKUP('Données projet'!$B$9,Paramètres!$A$1:$I$89,3,0)*VLOOKUP('Données projet'!$B$9,Paramètres!$A$1:$I$89,5,0)</f>
        <v>2.3942448024172334E-13</v>
      </c>
      <c r="P171" s="13">
        <f t="shared" si="141"/>
        <v>3.2492669905861755E-12</v>
      </c>
      <c r="Q171" s="20">
        <f t="shared" si="162"/>
        <v>6.0761376450252565E-12</v>
      </c>
      <c r="R171" s="59">
        <f t="shared" si="109"/>
        <v>293.3333333333394</v>
      </c>
      <c r="S171" s="59">
        <f ca="1">AVERAGE(OFFSET($R$3,0,0,'Données projet'!$E$9+1,1))-AVERAGE(OFFSET($H$3,0,0,'Données projet'!$E$9+1,1))</f>
        <v>157.05226586109279</v>
      </c>
      <c r="T171" s="59">
        <f t="shared" si="142"/>
        <v>76.143582612540229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41.56504892551682</v>
      </c>
      <c r="AA171" s="21">
        <f>EXP(-LN(2)/25)*AA170+(1-EXP(-LN(2)/25))/(LN(2)/25)*Calculateur!V171*Calculateur!X171*VLOOKUP('Données projet'!$B$9,Paramètres!$A$1:$I$89,3,0)*0.475*44/12</f>
        <v>6.4762722278309184</v>
      </c>
      <c r="AB171" s="21">
        <f>EXP(-LN(2)/2)*AB170+(1-EXP(-LN(2)/2))/(LN(2)/2)*V171*Y171*VLOOKUP('Données projet'!$B$9,Paramètres!$A$1:$I$89,3,0)*0.475*44/12</f>
        <v>2.4166857166942264E-8</v>
      </c>
      <c r="AC171" s="22">
        <f t="shared" si="163"/>
        <v>48.041321177514597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-6.3550942286383367E-14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279.32192402750189</v>
      </c>
      <c r="AO171" s="59">
        <f t="shared" si="144"/>
        <v>371.43572414443611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24.180899392101658</v>
      </c>
      <c r="AV171" s="21">
        <f>EXP(-LN(2)/25)*AV170+(1-EXP(-LN(2)/25))/(LN(2)/25)*Calculateur!AQ171*Calculateur!AS171*VLOOKUP('Données projet'!$B$10,Paramètres!$A$1:$I$89,3,0)*0.475*44/12</f>
        <v>2.5108733548323805</v>
      </c>
      <c r="AW171" s="21">
        <f>EXP(-LN(2)/2)*AW170+(1-EXP(-LN(2)/2))/(LN(2)/2)*AQ171*AT171*VLOOKUP('Données projet'!$B$10,Paramètres!$A$1:$I$89,3,0)*0.475*44/12</f>
        <v>3.3522753622288027E-16</v>
      </c>
      <c r="AX171" s="21">
        <f t="shared" si="166"/>
        <v>26.691772746934038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2.2737367544323206E-13</v>
      </c>
      <c r="BE171" s="13">
        <f>BD171*VLOOKUP('Données projet'!$B$11,Paramètres!$A$1:$I$89,3,0)*VLOOKUP('Données projet'!$B$11,Paramètres!$A$1:$I$89,5,0)</f>
        <v>1.064108801074326E-13</v>
      </c>
      <c r="BF171" s="13">
        <f t="shared" si="167"/>
        <v>1.5870730813698654E-12</v>
      </c>
      <c r="BG171" s="20">
        <f t="shared" si="168"/>
        <v>2.9494845662396269E-12</v>
      </c>
      <c r="BH171" s="59">
        <f t="shared" si="116"/>
        <v>293.33333333333627</v>
      </c>
      <c r="BI171" s="59">
        <f ca="1">AVERAGE(OFFSET($BH$3,0,0,'Données projet'!$E$11+1,1))-AVERAGE(OFFSET($H$3,0,0,'Données projet'!$E$11+1,1))</f>
        <v>297.07458564121606</v>
      </c>
      <c r="BJ171" s="59">
        <f t="shared" si="146"/>
        <v>514.93897725587567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14.894663832402005</v>
      </c>
      <c r="BQ171" s="21">
        <f>EXP(-LN(2)/25)*BQ170+(1-EXP(-LN(2)/25))/(LN(2)/25)*Calculateur!BL171*Calculateur!BN171*VLOOKUP('Données projet'!$B$11,Paramètres!$A$1:$I$89,3,0)*0.475*44/12</f>
        <v>6.3648257450243442</v>
      </c>
      <c r="BR171" s="21">
        <f>EXP(-LN(2)/2)*BR170+(1-EXP(-LN(2)/2))/(LN(2)/2)*BL171*BO171*VLOOKUP('Données projet'!$B$11,Paramètres!$A$1:$I$89,3,0)*0.475*44/12</f>
        <v>9.3307020345293584E-21</v>
      </c>
      <c r="BS171" s="22">
        <f t="shared" si="169"/>
        <v>21.259489577426351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79.092000000000354</v>
      </c>
      <c r="D172" s="11">
        <f t="shared" si="140"/>
        <v>21.915026131450077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779.70335961119633</v>
      </c>
      <c r="H172" s="67">
        <f t="shared" si="110"/>
        <v>469.25390384560944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5.1159076974727213E-13</v>
      </c>
      <c r="O172" s="13">
        <f>N172*VLOOKUP('Données projet'!$B$9,Paramètres!$A$1:$I$89,3,0)*VLOOKUP('Données projet'!$B$9,Paramètres!$A$1:$I$89,5,0)</f>
        <v>2.3942448024172334E-13</v>
      </c>
      <c r="P172" s="13">
        <f t="shared" si="141"/>
        <v>3.2492669905861755E-12</v>
      </c>
      <c r="Q172" s="20">
        <f t="shared" si="162"/>
        <v>6.0761376450252565E-12</v>
      </c>
      <c r="R172" s="59">
        <f t="shared" si="109"/>
        <v>293.3333333333394</v>
      </c>
      <c r="S172" s="59">
        <f ca="1">AVERAGE(OFFSET($R$3,0,0,'Données projet'!$E$9+1,1))-AVERAGE(OFFSET($H$3,0,0,'Données projet'!$E$9+1,1))</f>
        <v>157.05226586109279</v>
      </c>
      <c r="T172" s="59">
        <f t="shared" si="142"/>
        <v>76.143582612540229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40.749983668263958</v>
      </c>
      <c r="AA172" s="21">
        <f>EXP(-LN(2)/25)*AA171+(1-EXP(-LN(2)/25))/(LN(2)/25)*Calculateur!V172*Calculateur!X172*VLOOKUP('Données projet'!$B$9,Paramètres!$A$1:$I$89,3,0)*0.475*44/12</f>
        <v>6.2991782231885276</v>
      </c>
      <c r="AB172" s="21">
        <f>EXP(-LN(2)/2)*AB171+(1-EXP(-LN(2)/2))/(LN(2)/2)*V172*Y172*VLOOKUP('Données projet'!$B$9,Paramètres!$A$1:$I$89,3,0)*0.475*44/12</f>
        <v>1.7088548582711591E-8</v>
      </c>
      <c r="AC172" s="22">
        <f t="shared" si="163"/>
        <v>47.049161908541031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-6.3550942286383367E-14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279.32192402750189</v>
      </c>
      <c r="AO172" s="59">
        <f t="shared" si="144"/>
        <v>371.43572414443611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23.706726703914843</v>
      </c>
      <c r="AV172" s="21">
        <f>EXP(-LN(2)/25)*AV171+(1-EXP(-LN(2)/25))/(LN(2)/25)*Calculateur!AQ172*Calculateur!AS172*VLOOKUP('Données projet'!$B$10,Paramètres!$A$1:$I$89,3,0)*0.475*44/12</f>
        <v>2.4422133909033978</v>
      </c>
      <c r="AW172" s="21">
        <f>EXP(-LN(2)/2)*AW171+(1-EXP(-LN(2)/2))/(LN(2)/2)*AQ172*AT172*VLOOKUP('Données projet'!$B$10,Paramètres!$A$1:$I$89,3,0)*0.475*44/12</f>
        <v>2.3704166410365763E-16</v>
      </c>
      <c r="AX172" s="21">
        <f t="shared" si="166"/>
        <v>26.14894009481824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2.2737367544323206E-13</v>
      </c>
      <c r="BE172" s="13">
        <f>BD172*VLOOKUP('Données projet'!$B$11,Paramètres!$A$1:$I$89,3,0)*VLOOKUP('Données projet'!$B$11,Paramètres!$A$1:$I$89,5,0)</f>
        <v>1.064108801074326E-13</v>
      </c>
      <c r="BF172" s="13">
        <f t="shared" si="167"/>
        <v>1.5870730813698654E-12</v>
      </c>
      <c r="BG172" s="20">
        <f t="shared" si="168"/>
        <v>2.9494845662396269E-12</v>
      </c>
      <c r="BH172" s="59">
        <f t="shared" si="116"/>
        <v>293.33333333333627</v>
      </c>
      <c r="BI172" s="59">
        <f ca="1">AVERAGE(OFFSET($BH$3,0,0,'Données projet'!$E$11+1,1))-AVERAGE(OFFSET($H$3,0,0,'Données projet'!$E$11+1,1))</f>
        <v>297.07458564121606</v>
      </c>
      <c r="BJ172" s="59">
        <f t="shared" si="146"/>
        <v>514.93897725587567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14.602588559496485</v>
      </c>
      <c r="BQ172" s="21">
        <f>EXP(-LN(2)/25)*BQ171+(1-EXP(-LN(2)/25))/(LN(2)/25)*Calculateur!BL172*Calculateur!BN172*VLOOKUP('Données projet'!$B$11,Paramètres!$A$1:$I$89,3,0)*0.475*44/12</f>
        <v>6.190779250315015</v>
      </c>
      <c r="BR172" s="21">
        <f>EXP(-LN(2)/2)*BR171+(1-EXP(-LN(2)/2))/(LN(2)/2)*BL172*BO172*VLOOKUP('Données projet'!$B$11,Paramètres!$A$1:$I$89,3,0)*0.475*44/12</f>
        <v>6.5978026818468256E-21</v>
      </c>
      <c r="BS172" s="22">
        <f t="shared" si="169"/>
        <v>20.7933678098115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79.560000000000358</v>
      </c>
      <c r="D173" s="11">
        <f t="shared" si="140"/>
        <v>22.0295673334534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784.20016888981854</v>
      </c>
      <c r="H173" s="67">
        <f t="shared" si="110"/>
        <v>470.26849643909861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5.1159076974727213E-13</v>
      </c>
      <c r="O173" s="13">
        <f>N173*VLOOKUP('Données projet'!$B$9,Paramètres!$A$1:$I$89,3,0)*VLOOKUP('Données projet'!$B$9,Paramètres!$A$1:$I$89,5,0)</f>
        <v>2.3942448024172334E-13</v>
      </c>
      <c r="P173" s="13">
        <f t="shared" si="141"/>
        <v>3.2492669905861755E-12</v>
      </c>
      <c r="Q173" s="20">
        <f t="shared" si="162"/>
        <v>6.0761376450252565E-12</v>
      </c>
      <c r="R173" s="59">
        <f t="shared" si="109"/>
        <v>293.3333333333394</v>
      </c>
      <c r="S173" s="59">
        <f ca="1">AVERAGE(OFFSET($R$3,0,0,'Données projet'!$E$9+1,1))-AVERAGE(OFFSET($H$3,0,0,'Données projet'!$E$9+1,1))</f>
        <v>157.05226586109279</v>
      </c>
      <c r="T173" s="59">
        <f t="shared" si="142"/>
        <v>76.143582612540229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39.950901343565107</v>
      </c>
      <c r="AA173" s="21">
        <f>EXP(-LN(2)/25)*AA172+(1-EXP(-LN(2)/25))/(LN(2)/25)*Calculateur!V173*Calculateur!X173*VLOOKUP('Données projet'!$B$9,Paramètres!$A$1:$I$89,3,0)*0.475*44/12</f>
        <v>6.1269268634160516</v>
      </c>
      <c r="AB173" s="21">
        <f>EXP(-LN(2)/2)*AB172+(1-EXP(-LN(2)/2))/(LN(2)/2)*V173*Y173*VLOOKUP('Données projet'!$B$9,Paramètres!$A$1:$I$89,3,0)*0.475*44/12</f>
        <v>1.2083428583471132E-8</v>
      </c>
      <c r="AC173" s="22">
        <f t="shared" si="163"/>
        <v>46.077828219064585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-6.3550942286383367E-14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279.32192402750189</v>
      </c>
      <c r="AO173" s="59">
        <f t="shared" si="144"/>
        <v>371.43572414443611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23.241852252926588</v>
      </c>
      <c r="AV173" s="21">
        <f>EXP(-LN(2)/25)*AV172+(1-EXP(-LN(2)/25))/(LN(2)/25)*Calculateur!AQ173*Calculateur!AS173*VLOOKUP('Données projet'!$B$10,Paramètres!$A$1:$I$89,3,0)*0.475*44/12</f>
        <v>2.3754309372987241</v>
      </c>
      <c r="AW173" s="21">
        <f>EXP(-LN(2)/2)*AW172+(1-EXP(-LN(2)/2))/(LN(2)/2)*AQ173*AT173*VLOOKUP('Données projet'!$B$10,Paramètres!$A$1:$I$89,3,0)*0.475*44/12</f>
        <v>1.6761376811144013E-16</v>
      </c>
      <c r="AX173" s="21">
        <f t="shared" si="166"/>
        <v>25.617283190225312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2.2737367544323206E-13</v>
      </c>
      <c r="BE173" s="13">
        <f>BD173*VLOOKUP('Données projet'!$B$11,Paramètres!$A$1:$I$89,3,0)*VLOOKUP('Données projet'!$B$11,Paramètres!$A$1:$I$89,5,0)</f>
        <v>1.064108801074326E-13</v>
      </c>
      <c r="BF173" s="13">
        <f t="shared" si="167"/>
        <v>1.5870730813698654E-12</v>
      </c>
      <c r="BG173" s="20">
        <f t="shared" si="168"/>
        <v>2.9494845662396269E-12</v>
      </c>
      <c r="BH173" s="59">
        <f t="shared" si="116"/>
        <v>293.33333333333627</v>
      </c>
      <c r="BI173" s="59">
        <f ca="1">AVERAGE(OFFSET($BH$3,0,0,'Données projet'!$E$11+1,1))-AVERAGE(OFFSET($H$3,0,0,'Données projet'!$E$11+1,1))</f>
        <v>297.07458564121606</v>
      </c>
      <c r="BJ173" s="59">
        <f t="shared" si="146"/>
        <v>514.93897725587567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14.316240704544317</v>
      </c>
      <c r="BQ173" s="21">
        <f>EXP(-LN(2)/25)*BQ172+(1-EXP(-LN(2)/25))/(LN(2)/25)*Calculateur!BL173*Calculateur!BN173*VLOOKUP('Données projet'!$B$11,Paramètres!$A$1:$I$89,3,0)*0.475*44/12</f>
        <v>6.0214920661562195</v>
      </c>
      <c r="BR173" s="21">
        <f>EXP(-LN(2)/2)*BR172+(1-EXP(-LN(2)/2))/(LN(2)/2)*BL173*BO173*VLOOKUP('Données projet'!$B$11,Paramètres!$A$1:$I$89,3,0)*0.475*44/12</f>
        <v>4.66535101726468E-21</v>
      </c>
      <c r="BS173" s="22">
        <f t="shared" si="169"/>
        <v>20.337732770700537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80.028000000000361</v>
      </c>
      <c r="D174" s="11">
        <f t="shared" si="140"/>
        <v>22.144030134787236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788.69637297029021</v>
      </c>
      <c r="H174" s="67">
        <f t="shared" si="110"/>
        <v>471.28295248475501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5.1159076974727213E-13</v>
      </c>
      <c r="O174" s="13">
        <f>N174*VLOOKUP('Données projet'!$B$9,Paramètres!$A$1:$I$89,3,0)*VLOOKUP('Données projet'!$B$9,Paramètres!$A$1:$I$89,5,0)</f>
        <v>2.3942448024172334E-13</v>
      </c>
      <c r="P174" s="13">
        <f t="shared" si="141"/>
        <v>3.2492669905861755E-12</v>
      </c>
      <c r="Q174" s="20">
        <f t="shared" si="162"/>
        <v>6.0761376450252565E-12</v>
      </c>
      <c r="R174" s="59">
        <f t="shared" si="109"/>
        <v>293.3333333333394</v>
      </c>
      <c r="S174" s="59">
        <f ca="1">AVERAGE(OFFSET($R$3,0,0,'Données projet'!$E$9+1,1))-AVERAGE(OFFSET($H$3,0,0,'Données projet'!$E$9+1,1))</f>
        <v>157.05226586109279</v>
      </c>
      <c r="T174" s="59">
        <f t="shared" si="142"/>
        <v>76.143582612540229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39.167488535861509</v>
      </c>
      <c r="AA174" s="21">
        <f>EXP(-LN(2)/25)*AA173+(1-EXP(-LN(2)/25))/(LN(2)/25)*Calculateur!V174*Calculateur!X174*VLOOKUP('Données projet'!$B$9,Paramètres!$A$1:$I$89,3,0)*0.475*44/12</f>
        <v>5.9593857261348591</v>
      </c>
      <c r="AB174" s="21">
        <f>EXP(-LN(2)/2)*AB173+(1-EXP(-LN(2)/2))/(LN(2)/2)*V174*Y174*VLOOKUP('Données projet'!$B$9,Paramètres!$A$1:$I$89,3,0)*0.475*44/12</f>
        <v>8.5442742913557955E-9</v>
      </c>
      <c r="AC174" s="22">
        <f t="shared" si="163"/>
        <v>45.126874270540647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-6.3550942286383367E-14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279.32192402750189</v>
      </c>
      <c r="AO174" s="59">
        <f t="shared" si="144"/>
        <v>371.43572414443611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22.786093706376796</v>
      </c>
      <c r="AV174" s="21">
        <f>EXP(-LN(2)/25)*AV173+(1-EXP(-LN(2)/25))/(LN(2)/25)*Calculateur!AQ174*Calculateur!AS174*VLOOKUP('Données projet'!$B$10,Paramètres!$A$1:$I$89,3,0)*0.475*44/12</f>
        <v>2.3104746533998068</v>
      </c>
      <c r="AW174" s="21">
        <f>EXP(-LN(2)/2)*AW173+(1-EXP(-LN(2)/2))/(LN(2)/2)*AQ174*AT174*VLOOKUP('Données projet'!$B$10,Paramètres!$A$1:$I$89,3,0)*0.475*44/12</f>
        <v>1.1852083205182882E-16</v>
      </c>
      <c r="AX174" s="21">
        <f t="shared" si="166"/>
        <v>25.096568359776604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2.2737367544323206E-13</v>
      </c>
      <c r="BE174" s="13">
        <f>BD174*VLOOKUP('Données projet'!$B$11,Paramètres!$A$1:$I$89,3,0)*VLOOKUP('Données projet'!$B$11,Paramètres!$A$1:$I$89,5,0)</f>
        <v>1.064108801074326E-13</v>
      </c>
      <c r="BF174" s="13">
        <f t="shared" si="167"/>
        <v>1.5870730813698654E-12</v>
      </c>
      <c r="BG174" s="20">
        <f t="shared" si="168"/>
        <v>2.9494845662396269E-12</v>
      </c>
      <c r="BH174" s="59">
        <f t="shared" si="116"/>
        <v>293.33333333333627</v>
      </c>
      <c r="BI174" s="59">
        <f ca="1">AVERAGE(OFFSET($BH$3,0,0,'Données projet'!$E$11+1,1))-AVERAGE(OFFSET($H$3,0,0,'Données projet'!$E$11+1,1))</f>
        <v>297.07458564121606</v>
      </c>
      <c r="BJ174" s="59">
        <f t="shared" si="146"/>
        <v>514.93897725587567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14.035507956372815</v>
      </c>
      <c r="BQ174" s="21">
        <f>EXP(-LN(2)/25)*BQ173+(1-EXP(-LN(2)/25))/(LN(2)/25)*Calculateur!BL174*Calculateur!BN174*VLOOKUP('Données projet'!$B$11,Paramètres!$A$1:$I$89,3,0)*0.475*44/12</f>
        <v>5.8568340489506721</v>
      </c>
      <c r="BR174" s="21">
        <f>EXP(-LN(2)/2)*BR173+(1-EXP(-LN(2)/2))/(LN(2)/2)*BL174*BO174*VLOOKUP('Données projet'!$B$11,Paramètres!$A$1:$I$89,3,0)*0.475*44/12</f>
        <v>3.2989013409234132E-21</v>
      </c>
      <c r="BS174" s="22">
        <f t="shared" si="169"/>
        <v>19.892342005323485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80.496000000000365</v>
      </c>
      <c r="D175" s="11">
        <f t="shared" si="140"/>
        <v>22.258415047134207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793.19197580244236</v>
      </c>
      <c r="H175" s="67">
        <f t="shared" si="110"/>
        <v>472.29727287375937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5.1159076974727213E-13</v>
      </c>
      <c r="O175" s="13">
        <f>N175*VLOOKUP('Données projet'!$B$9,Paramètres!$A$1:$I$89,3,0)*VLOOKUP('Données projet'!$B$9,Paramètres!$A$1:$I$89,5,0)</f>
        <v>2.3942448024172334E-13</v>
      </c>
      <c r="P175" s="13">
        <f t="shared" si="141"/>
        <v>3.2492669905861755E-12</v>
      </c>
      <c r="Q175" s="20">
        <f t="shared" si="162"/>
        <v>6.0761376450252565E-12</v>
      </c>
      <c r="R175" s="59">
        <f t="shared" si="109"/>
        <v>293.3333333333394</v>
      </c>
      <c r="S175" s="59">
        <f ca="1">AVERAGE(OFFSET($R$3,0,0,'Données projet'!$E$9+1,1))-AVERAGE(OFFSET($H$3,0,0,'Données projet'!$E$9+1,1))</f>
        <v>157.05226586109279</v>
      </c>
      <c r="T175" s="59">
        <f t="shared" si="142"/>
        <v>76.143582612540229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38.39943797548235</v>
      </c>
      <c r="AA175" s="21">
        <f>EXP(-LN(2)/25)*AA174+(1-EXP(-LN(2)/25))/(LN(2)/25)*Calculateur!V175*Calculateur!X175*VLOOKUP('Données projet'!$B$9,Paramètres!$A$1:$I$89,3,0)*0.475*44/12</f>
        <v>5.7964260100632261</v>
      </c>
      <c r="AB175" s="21">
        <f>EXP(-LN(2)/2)*AB174+(1-EXP(-LN(2)/2))/(LN(2)/2)*V175*Y175*VLOOKUP('Données projet'!$B$9,Paramètres!$A$1:$I$89,3,0)*0.475*44/12</f>
        <v>6.0417142917355661E-9</v>
      </c>
      <c r="AC175" s="22">
        <f t="shared" si="163"/>
        <v>44.195863991587295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-6.3550942286383367E-14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279.32192402750189</v>
      </c>
      <c r="AO175" s="59">
        <f t="shared" si="144"/>
        <v>371.43572414443611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22.339272306939581</v>
      </c>
      <c r="AV175" s="21">
        <f>EXP(-LN(2)/25)*AV174+(1-EXP(-LN(2)/25))/(LN(2)/25)*Calculateur!AQ175*Calculateur!AS175*VLOOKUP('Données projet'!$B$10,Paramètres!$A$1:$I$89,3,0)*0.475*44/12</f>
        <v>2.2472946025000078</v>
      </c>
      <c r="AW175" s="21">
        <f>EXP(-LN(2)/2)*AW174+(1-EXP(-LN(2)/2))/(LN(2)/2)*AQ175*AT175*VLOOKUP('Données projet'!$B$10,Paramètres!$A$1:$I$89,3,0)*0.475*44/12</f>
        <v>8.3806884055720067E-17</v>
      </c>
      <c r="AX175" s="21">
        <f t="shared" si="166"/>
        <v>24.58656690943959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2.2737367544323206E-13</v>
      </c>
      <c r="BE175" s="13">
        <f>BD175*VLOOKUP('Données projet'!$B$11,Paramètres!$A$1:$I$89,3,0)*VLOOKUP('Données projet'!$B$11,Paramètres!$A$1:$I$89,5,0)</f>
        <v>1.064108801074326E-13</v>
      </c>
      <c r="BF175" s="13">
        <f t="shared" si="167"/>
        <v>1.5870730813698654E-12</v>
      </c>
      <c r="BG175" s="20">
        <f t="shared" si="168"/>
        <v>2.9494845662396269E-12</v>
      </c>
      <c r="BH175" s="59">
        <f t="shared" si="116"/>
        <v>293.33333333333627</v>
      </c>
      <c r="BI175" s="59">
        <f ca="1">AVERAGE(OFFSET($BH$3,0,0,'Données projet'!$E$11+1,1))-AVERAGE(OFFSET($H$3,0,0,'Données projet'!$E$11+1,1))</f>
        <v>297.07458564121606</v>
      </c>
      <c r="BJ175" s="59">
        <f t="shared" si="146"/>
        <v>514.93897725587567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13.760280206162887</v>
      </c>
      <c r="BQ175" s="21">
        <f>EXP(-LN(2)/25)*BQ174+(1-EXP(-LN(2)/25))/(LN(2)/25)*Calculateur!BL175*Calculateur!BN175*VLOOKUP('Données projet'!$B$11,Paramètres!$A$1:$I$89,3,0)*0.475*44/12</f>
        <v>5.6966786138845995</v>
      </c>
      <c r="BR175" s="21">
        <f>EXP(-LN(2)/2)*BR174+(1-EXP(-LN(2)/2))/(LN(2)/2)*BL175*BO175*VLOOKUP('Données projet'!$B$11,Paramètres!$A$1:$I$89,3,0)*0.475*44/12</f>
        <v>2.3326755086323404E-21</v>
      </c>
      <c r="BS175" s="22">
        <f t="shared" si="169"/>
        <v>19.456958820047486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80.964000000000368</v>
      </c>
      <c r="D176" s="11">
        <f t="shared" si="140"/>
        <v>22.372722575882829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797.68698128751942</v>
      </c>
      <c r="H176" s="67">
        <f t="shared" si="110"/>
        <v>473.31145848632991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5.1159076974727213E-13</v>
      </c>
      <c r="O176" s="13">
        <f>N176*VLOOKUP('Données projet'!$B$9,Paramètres!$A$1:$I$89,3,0)*VLOOKUP('Données projet'!$B$9,Paramètres!$A$1:$I$89,5,0)</f>
        <v>2.3942448024172334E-13</v>
      </c>
      <c r="P176" s="13">
        <f t="shared" si="141"/>
        <v>3.2492669905861755E-12</v>
      </c>
      <c r="Q176" s="20">
        <f t="shared" si="162"/>
        <v>6.0761376450252565E-12</v>
      </c>
      <c r="R176" s="59">
        <f t="shared" si="109"/>
        <v>293.3333333333394</v>
      </c>
      <c r="S176" s="59">
        <f ca="1">AVERAGE(OFFSET($R$3,0,0,'Données projet'!$E$9+1,1))-AVERAGE(OFFSET($H$3,0,0,'Données projet'!$E$9+1,1))</f>
        <v>157.05226586109279</v>
      </c>
      <c r="T176" s="59">
        <f t="shared" si="142"/>
        <v>76.143582612540229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37.64644841812764</v>
      </c>
      <c r="AA176" s="21">
        <f>EXP(-LN(2)/25)*AA175+(1-EXP(-LN(2)/25))/(LN(2)/25)*Calculateur!V176*Calculateur!X176*VLOOKUP('Données projet'!$B$9,Paramètres!$A$1:$I$89,3,0)*0.475*44/12</f>
        <v>5.6379224359972513</v>
      </c>
      <c r="AB176" s="21">
        <f>EXP(-LN(2)/2)*AB175+(1-EXP(-LN(2)/2))/(LN(2)/2)*V176*Y176*VLOOKUP('Données projet'!$B$9,Paramètres!$A$1:$I$89,3,0)*0.475*44/12</f>
        <v>4.2721371456778978E-9</v>
      </c>
      <c r="AC176" s="22">
        <f t="shared" si="163"/>
        <v>43.284370858397033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-6.3550942286383367E-14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279.32192402750189</v>
      </c>
      <c r="AO176" s="59">
        <f t="shared" si="144"/>
        <v>371.43572414443611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21.901212802611184</v>
      </c>
      <c r="AV176" s="21">
        <f>EXP(-LN(2)/25)*AV175+(1-EXP(-LN(2)/25))/(LN(2)/25)*Calculateur!AQ176*Calculateur!AS176*VLOOKUP('Données projet'!$B$10,Paramètres!$A$1:$I$89,3,0)*0.475*44/12</f>
        <v>2.1858422134145581</v>
      </c>
      <c r="AW176" s="21">
        <f>EXP(-LN(2)/2)*AW175+(1-EXP(-LN(2)/2))/(LN(2)/2)*AQ176*AT176*VLOOKUP('Données projet'!$B$10,Paramètres!$A$1:$I$89,3,0)*0.475*44/12</f>
        <v>5.9260416025914408E-17</v>
      </c>
      <c r="AX176" s="21">
        <f t="shared" si="166"/>
        <v>24.087055016025744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2.2737367544323206E-13</v>
      </c>
      <c r="BE176" s="13">
        <f>BD176*VLOOKUP('Données projet'!$B$11,Paramètres!$A$1:$I$89,3,0)*VLOOKUP('Données projet'!$B$11,Paramètres!$A$1:$I$89,5,0)</f>
        <v>1.064108801074326E-13</v>
      </c>
      <c r="BF176" s="13">
        <f t="shared" si="167"/>
        <v>1.5870730813698654E-12</v>
      </c>
      <c r="BG176" s="20">
        <f t="shared" si="168"/>
        <v>2.9494845662396269E-12</v>
      </c>
      <c r="BH176" s="59">
        <f t="shared" si="116"/>
        <v>293.33333333333627</v>
      </c>
      <c r="BI176" s="59">
        <f ca="1">AVERAGE(OFFSET($BH$3,0,0,'Données projet'!$E$11+1,1))-AVERAGE(OFFSET($H$3,0,0,'Données projet'!$E$11+1,1))</f>
        <v>297.07458564121606</v>
      </c>
      <c r="BJ176" s="59">
        <f t="shared" si="146"/>
        <v>514.93897725587567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13.490449504262225</v>
      </c>
      <c r="BQ176" s="21">
        <f>EXP(-LN(2)/25)*BQ175+(1-EXP(-LN(2)/25))/(LN(2)/25)*Calculateur!BL176*Calculateur!BN176*VLOOKUP('Données projet'!$B$11,Paramètres!$A$1:$I$89,3,0)*0.475*44/12</f>
        <v>5.5409026376126169</v>
      </c>
      <c r="BR176" s="21">
        <f>EXP(-LN(2)/2)*BR175+(1-EXP(-LN(2)/2))/(LN(2)/2)*BL176*BO176*VLOOKUP('Données projet'!$B$11,Paramètres!$A$1:$I$89,3,0)*0.475*44/12</f>
        <v>1.6494506704617068E-21</v>
      </c>
      <c r="BS176" s="22">
        <f t="shared" si="169"/>
        <v>19.031352141874841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81.432000000000372</v>
      </c>
      <c r="D177" s="11">
        <f t="shared" si="140"/>
        <v>22.486953220240959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802.18139327905601</v>
      </c>
      <c r="H177" s="67">
        <f t="shared" si="110"/>
        <v>474.32551019192033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5.1159076974727213E-13</v>
      </c>
      <c r="O177" s="13">
        <f>N177*VLOOKUP('Données projet'!$B$9,Paramètres!$A$1:$I$89,3,0)*VLOOKUP('Données projet'!$B$9,Paramètres!$A$1:$I$89,5,0)</f>
        <v>2.3942448024172334E-13</v>
      </c>
      <c r="P177" s="13">
        <f t="shared" si="141"/>
        <v>3.2492669905861755E-12</v>
      </c>
      <c r="Q177" s="20">
        <f t="shared" si="162"/>
        <v>6.0761376450252565E-12</v>
      </c>
      <c r="R177" s="59">
        <f t="shared" si="109"/>
        <v>293.3333333333394</v>
      </c>
      <c r="S177" s="59">
        <f ca="1">AVERAGE(OFFSET($R$3,0,0,'Données projet'!$E$9+1,1))-AVERAGE(OFFSET($H$3,0,0,'Données projet'!$E$9+1,1))</f>
        <v>157.05226586109279</v>
      </c>
      <c r="T177" s="59">
        <f t="shared" si="142"/>
        <v>76.143582612540229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36.908224526714378</v>
      </c>
      <c r="AA177" s="21">
        <f>EXP(-LN(2)/25)*AA176+(1-EXP(-LN(2)/25))/(LN(2)/25)*Calculateur!V177*Calculateur!X177*VLOOKUP('Données projet'!$B$9,Paramètres!$A$1:$I$89,3,0)*0.475*44/12</f>
        <v>5.4837531504994512</v>
      </c>
      <c r="AB177" s="21">
        <f>EXP(-LN(2)/2)*AB176+(1-EXP(-LN(2)/2))/(LN(2)/2)*V177*Y177*VLOOKUP('Données projet'!$B$9,Paramètres!$A$1:$I$89,3,0)*0.475*44/12</f>
        <v>3.020857145867783E-9</v>
      </c>
      <c r="AC177" s="22">
        <f t="shared" si="163"/>
        <v>42.391977680234689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-6.3550942286383367E-14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279.32192402750189</v>
      </c>
      <c r="AO177" s="59">
        <f t="shared" si="144"/>
        <v>371.43572414443611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21.471743377972754</v>
      </c>
      <c r="AV177" s="21">
        <f>EXP(-LN(2)/25)*AV176+(1-EXP(-LN(2)/25))/(LN(2)/25)*Calculateur!AQ177*Calculateur!AS177*VLOOKUP('Données projet'!$B$10,Paramètres!$A$1:$I$89,3,0)*0.475*44/12</f>
        <v>2.1260702431402909</v>
      </c>
      <c r="AW177" s="21">
        <f>EXP(-LN(2)/2)*AW176+(1-EXP(-LN(2)/2))/(LN(2)/2)*AQ177*AT177*VLOOKUP('Données projet'!$B$10,Paramètres!$A$1:$I$89,3,0)*0.475*44/12</f>
        <v>4.1903442027860034E-17</v>
      </c>
      <c r="AX177" s="21">
        <f t="shared" si="166"/>
        <v>23.597813621113044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2.2737367544323206E-13</v>
      </c>
      <c r="BE177" s="13">
        <f>BD177*VLOOKUP('Données projet'!$B$11,Paramètres!$A$1:$I$89,3,0)*VLOOKUP('Données projet'!$B$11,Paramètres!$A$1:$I$89,5,0)</f>
        <v>1.064108801074326E-13</v>
      </c>
      <c r="BF177" s="13">
        <f t="shared" si="167"/>
        <v>1.5870730813698654E-12</v>
      </c>
      <c r="BG177" s="20">
        <f t="shared" si="168"/>
        <v>2.9494845662396269E-12</v>
      </c>
      <c r="BH177" s="59">
        <f t="shared" si="116"/>
        <v>293.33333333333627</v>
      </c>
      <c r="BI177" s="59">
        <f ca="1">AVERAGE(OFFSET($BH$3,0,0,'Données projet'!$E$11+1,1))-AVERAGE(OFFSET($H$3,0,0,'Données projet'!$E$11+1,1))</f>
        <v>297.07458564121606</v>
      </c>
      <c r="BJ177" s="59">
        <f t="shared" si="146"/>
        <v>514.93897725587567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13.225910017845356</v>
      </c>
      <c r="BQ177" s="21">
        <f>EXP(-LN(2)/25)*BQ176+(1-EXP(-LN(2)/25))/(LN(2)/25)*Calculateur!BL177*Calculateur!BN177*VLOOKUP('Données projet'!$B$11,Paramètres!$A$1:$I$89,3,0)*0.475*44/12</f>
        <v>5.3893863636036938</v>
      </c>
      <c r="BR177" s="21">
        <f>EXP(-LN(2)/2)*BR176+(1-EXP(-LN(2)/2))/(LN(2)/2)*BL177*BO177*VLOOKUP('Données projet'!$B$11,Paramètres!$A$1:$I$89,3,0)*0.475*44/12</f>
        <v>1.1663377543161704E-21</v>
      </c>
      <c r="BS177" s="22">
        <f t="shared" si="169"/>
        <v>18.615296381449049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81.900000000000375</v>
      </c>
      <c r="D178" s="11">
        <f t="shared" si="140"/>
        <v>22.601107473346421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806.67521558372971</v>
      </c>
      <c r="H178" s="67">
        <f t="shared" si="110"/>
        <v>475.33942884941229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5.1159076974727213E-13</v>
      </c>
      <c r="O178" s="13">
        <f>N178*VLOOKUP('Données projet'!$B$9,Paramètres!$A$1:$I$89,3,0)*VLOOKUP('Données projet'!$B$9,Paramètres!$A$1:$I$89,5,0)</f>
        <v>2.3942448024172334E-13</v>
      </c>
      <c r="P178" s="13">
        <f t="shared" si="141"/>
        <v>3.2492669905861755E-12</v>
      </c>
      <c r="Q178" s="20">
        <f t="shared" si="162"/>
        <v>6.0761376450252565E-12</v>
      </c>
      <c r="R178" s="59">
        <f t="shared" si="109"/>
        <v>293.3333333333394</v>
      </c>
      <c r="S178" s="59">
        <f ca="1">AVERAGE(OFFSET($R$3,0,0,'Données projet'!$E$9+1,1))-AVERAGE(OFFSET($H$3,0,0,'Données projet'!$E$9+1,1))</f>
        <v>157.05226586109279</v>
      </c>
      <c r="T178" s="59">
        <f t="shared" si="142"/>
        <v>76.143582612540229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36.184476755539613</v>
      </c>
      <c r="AA178" s="21">
        <f>EXP(-LN(2)/25)*AA177+(1-EXP(-LN(2)/25))/(LN(2)/25)*Calculateur!V178*Calculateur!X178*VLOOKUP('Données projet'!$B$9,Paramètres!$A$1:$I$89,3,0)*0.475*44/12</f>
        <v>5.3337996322209991</v>
      </c>
      <c r="AB178" s="21">
        <f>EXP(-LN(2)/2)*AB177+(1-EXP(-LN(2)/2))/(LN(2)/2)*V178*Y178*VLOOKUP('Données projet'!$B$9,Paramètres!$A$1:$I$89,3,0)*0.475*44/12</f>
        <v>2.1360685728389489E-9</v>
      </c>
      <c r="AC178" s="22">
        <f t="shared" si="163"/>
        <v>41.518276389896684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-6.3550942286383367E-14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279.32192402750189</v>
      </c>
      <c r="AO178" s="59">
        <f t="shared" si="144"/>
        <v>371.43572414443611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21.050695586800998</v>
      </c>
      <c r="AV178" s="21">
        <f>EXP(-LN(2)/25)*AV177+(1-EXP(-LN(2)/25))/(LN(2)/25)*Calculateur!AQ178*Calculateur!AS178*VLOOKUP('Données projet'!$B$10,Paramètres!$A$1:$I$89,3,0)*0.475*44/12</f>
        <v>2.0679327405364449</v>
      </c>
      <c r="AW178" s="21">
        <f>EXP(-LN(2)/2)*AW177+(1-EXP(-LN(2)/2))/(LN(2)/2)*AQ178*AT178*VLOOKUP('Données projet'!$B$10,Paramètres!$A$1:$I$89,3,0)*0.475*44/12</f>
        <v>2.9630208012957204E-17</v>
      </c>
      <c r="AX178" s="21">
        <f t="shared" si="166"/>
        <v>23.118628327337444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2.2737367544323206E-13</v>
      </c>
      <c r="BE178" s="13">
        <f>BD178*VLOOKUP('Données projet'!$B$11,Paramètres!$A$1:$I$89,3,0)*VLOOKUP('Données projet'!$B$11,Paramètres!$A$1:$I$89,5,0)</f>
        <v>1.064108801074326E-13</v>
      </c>
      <c r="BF178" s="13">
        <f t="shared" si="167"/>
        <v>1.5870730813698654E-12</v>
      </c>
      <c r="BG178" s="20">
        <f t="shared" si="168"/>
        <v>2.9494845662396269E-12</v>
      </c>
      <c r="BH178" s="59">
        <f t="shared" si="116"/>
        <v>293.33333333333627</v>
      </c>
      <c r="BI178" s="59">
        <f ca="1">AVERAGE(OFFSET($BH$3,0,0,'Données projet'!$E$11+1,1))-AVERAGE(OFFSET($H$3,0,0,'Données projet'!$E$11+1,1))</f>
        <v>297.07458564121606</v>
      </c>
      <c r="BJ178" s="59">
        <f t="shared" si="146"/>
        <v>514.93897725587567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12.966557989403968</v>
      </c>
      <c r="BQ178" s="21">
        <f>EXP(-LN(2)/25)*BQ177+(1-EXP(-LN(2)/25))/(LN(2)/25)*Calculateur!BL178*Calculateur!BN178*VLOOKUP('Données projet'!$B$11,Paramètres!$A$1:$I$89,3,0)*0.475*44/12</f>
        <v>5.2420133100754391</v>
      </c>
      <c r="BR178" s="21">
        <f>EXP(-LN(2)/2)*BR177+(1-EXP(-LN(2)/2))/(LN(2)/2)*BL178*BO178*VLOOKUP('Données projet'!$B$11,Paramètres!$A$1:$I$89,3,0)*0.475*44/12</f>
        <v>8.2472533523085358E-22</v>
      </c>
      <c r="BS178" s="22">
        <f t="shared" si="169"/>
        <v>18.208571299479409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82.368000000000379</v>
      </c>
      <c r="D179" s="11">
        <f t="shared" si="140"/>
        <v>22.715185822375016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811.16845196219617</v>
      </c>
      <c r="H179" s="67">
        <f t="shared" si="110"/>
        <v>476.3532153073038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5.1159076974727213E-13</v>
      </c>
      <c r="O179" s="13">
        <f>N179*VLOOKUP('Données projet'!$B$9,Paramètres!$A$1:$I$89,3,0)*VLOOKUP('Données projet'!$B$9,Paramètres!$A$1:$I$89,5,0)</f>
        <v>2.3942448024172334E-13</v>
      </c>
      <c r="P179" s="13">
        <f t="shared" si="141"/>
        <v>3.2492669905861755E-12</v>
      </c>
      <c r="Q179" s="20">
        <f t="shared" si="162"/>
        <v>6.0761376450252565E-12</v>
      </c>
      <c r="R179" s="59">
        <f t="shared" si="109"/>
        <v>293.3333333333394</v>
      </c>
      <c r="S179" s="59">
        <f ca="1">AVERAGE(OFFSET($R$3,0,0,'Données projet'!$E$9+1,1))-AVERAGE(OFFSET($H$3,0,0,'Données projet'!$E$9+1,1))</f>
        <v>157.05226586109279</v>
      </c>
      <c r="T179" s="59">
        <f t="shared" si="142"/>
        <v>76.143582612540229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35.474921236715034</v>
      </c>
      <c r="AA179" s="21">
        <f>EXP(-LN(2)/25)*AA178+(1-EXP(-LN(2)/25))/(LN(2)/25)*Calculateur!V179*Calculateur!X179*VLOOKUP('Données projet'!$B$9,Paramètres!$A$1:$I$89,3,0)*0.475*44/12</f>
        <v>5.1879466007855841</v>
      </c>
      <c r="AB179" s="21">
        <f>EXP(-LN(2)/2)*AB178+(1-EXP(-LN(2)/2))/(LN(2)/2)*V179*Y179*VLOOKUP('Données projet'!$B$9,Paramètres!$A$1:$I$89,3,0)*0.475*44/12</f>
        <v>1.5104285729338915E-9</v>
      </c>
      <c r="AC179" s="22">
        <f t="shared" si="163"/>
        <v>40.662867839011049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-6.3550942286383367E-14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279.32192402750189</v>
      </c>
      <c r="AO179" s="59">
        <f t="shared" si="144"/>
        <v>371.43572414443611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20.637904286000328</v>
      </c>
      <c r="AV179" s="21">
        <f>EXP(-LN(2)/25)*AV178+(1-EXP(-LN(2)/25))/(LN(2)/25)*Calculateur!AQ179*Calculateur!AS179*VLOOKUP('Données projet'!$B$10,Paramètres!$A$1:$I$89,3,0)*0.475*44/12</f>
        <v>2.0113850109986195</v>
      </c>
      <c r="AW179" s="21">
        <f>EXP(-LN(2)/2)*AW178+(1-EXP(-LN(2)/2))/(LN(2)/2)*AQ179*AT179*VLOOKUP('Données projet'!$B$10,Paramètres!$A$1:$I$89,3,0)*0.475*44/12</f>
        <v>2.0951721013930017E-17</v>
      </c>
      <c r="AX179" s="21">
        <f t="shared" si="166"/>
        <v>22.649289296998948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2.2737367544323206E-13</v>
      </c>
      <c r="BE179" s="13">
        <f>BD179*VLOOKUP('Données projet'!$B$11,Paramètres!$A$1:$I$89,3,0)*VLOOKUP('Données projet'!$B$11,Paramètres!$A$1:$I$89,5,0)</f>
        <v>1.064108801074326E-13</v>
      </c>
      <c r="BF179" s="13">
        <f t="shared" si="167"/>
        <v>1.5870730813698654E-12</v>
      </c>
      <c r="BG179" s="20">
        <f t="shared" si="168"/>
        <v>2.9494845662396269E-12</v>
      </c>
      <c r="BH179" s="59">
        <f t="shared" si="116"/>
        <v>293.33333333333627</v>
      </c>
      <c r="BI179" s="59">
        <f ca="1">AVERAGE(OFFSET($BH$3,0,0,'Données projet'!$E$11+1,1))-AVERAGE(OFFSET($H$3,0,0,'Données projet'!$E$11+1,1))</f>
        <v>297.07458564121606</v>
      </c>
      <c r="BJ179" s="59">
        <f t="shared" si="146"/>
        <v>514.93897725587567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12.712291696051199</v>
      </c>
      <c r="BQ179" s="21">
        <f>EXP(-LN(2)/25)*BQ178+(1-EXP(-LN(2)/25))/(LN(2)/25)*Calculateur!BL179*Calculateur!BN179*VLOOKUP('Données projet'!$B$11,Paramètres!$A$1:$I$89,3,0)*0.475*44/12</f>
        <v>5.0986701804459269</v>
      </c>
      <c r="BR179" s="21">
        <f>EXP(-LN(2)/2)*BR178+(1-EXP(-LN(2)/2))/(LN(2)/2)*BL179*BO179*VLOOKUP('Données projet'!$B$11,Paramètres!$A$1:$I$89,3,0)*0.475*44/12</f>
        <v>5.8316887715808528E-22</v>
      </c>
      <c r="BS179" s="22">
        <f t="shared" si="169"/>
        <v>17.810961876497124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82.836000000000382</v>
      </c>
      <c r="D180" s="11">
        <f t="shared" si="140"/>
        <v>22.829188748646111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815.66110612990281</v>
      </c>
      <c r="H180" s="67">
        <f t="shared" si="110"/>
        <v>477.36687040389262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5.1159076974727213E-13</v>
      </c>
      <c r="O180" s="13">
        <f>N180*VLOOKUP('Données projet'!$B$9,Paramètres!$A$1:$I$89,3,0)*VLOOKUP('Données projet'!$B$9,Paramètres!$A$1:$I$89,5,0)</f>
        <v>2.3942448024172334E-13</v>
      </c>
      <c r="P180" s="13">
        <f t="shared" si="141"/>
        <v>3.2492669905861755E-12</v>
      </c>
      <c r="Q180" s="20">
        <f t="shared" si="162"/>
        <v>6.0761376450252565E-12</v>
      </c>
      <c r="R180" s="59">
        <f t="shared" si="109"/>
        <v>293.3333333333394</v>
      </c>
      <c r="S180" s="59">
        <f ca="1">AVERAGE(OFFSET($R$3,0,0,'Données projet'!$E$9+1,1))-AVERAGE(OFFSET($H$3,0,0,'Données projet'!$E$9+1,1))</f>
        <v>157.05226586109279</v>
      </c>
      <c r="T180" s="59">
        <f t="shared" si="142"/>
        <v>76.143582612540229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34.779279668828472</v>
      </c>
      <c r="AA180" s="21">
        <f>EXP(-LN(2)/25)*AA179+(1-EXP(-LN(2)/25))/(LN(2)/25)*Calculateur!V180*Calculateur!X180*VLOOKUP('Données projet'!$B$9,Paramètres!$A$1:$I$89,3,0)*0.475*44/12</f>
        <v>5.0460819281648481</v>
      </c>
      <c r="AB180" s="21">
        <f>EXP(-LN(2)/2)*AB179+(1-EXP(-LN(2)/2))/(LN(2)/2)*V180*Y180*VLOOKUP('Données projet'!$B$9,Paramètres!$A$1:$I$89,3,0)*0.475*44/12</f>
        <v>1.0680342864194744E-9</v>
      </c>
      <c r="AC180" s="22">
        <f t="shared" si="163"/>
        <v>39.825361598061349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-6.3550942286383367E-14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279.32192402750189</v>
      </c>
      <c r="AO180" s="59">
        <f t="shared" si="144"/>
        <v>371.43572414443611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20.233207570830526</v>
      </c>
      <c r="AV180" s="21">
        <f>EXP(-LN(2)/25)*AV179+(1-EXP(-LN(2)/25))/(LN(2)/25)*Calculateur!AQ180*Calculateur!AS180*VLOOKUP('Données projet'!$B$10,Paramètres!$A$1:$I$89,3,0)*0.475*44/12</f>
        <v>1.9563835820987217</v>
      </c>
      <c r="AW180" s="21">
        <f>EXP(-LN(2)/2)*AW179+(1-EXP(-LN(2)/2))/(LN(2)/2)*AQ180*AT180*VLOOKUP('Données projet'!$B$10,Paramètres!$A$1:$I$89,3,0)*0.475*44/12</f>
        <v>1.4815104006478602E-17</v>
      </c>
      <c r="AX180" s="21">
        <f t="shared" si="166"/>
        <v>22.189591152929246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2.2737367544323206E-13</v>
      </c>
      <c r="BE180" s="13">
        <f>BD180*VLOOKUP('Données projet'!$B$11,Paramètres!$A$1:$I$89,3,0)*VLOOKUP('Données projet'!$B$11,Paramètres!$A$1:$I$89,5,0)</f>
        <v>1.064108801074326E-13</v>
      </c>
      <c r="BF180" s="13">
        <f t="shared" si="167"/>
        <v>1.5870730813698654E-12</v>
      </c>
      <c r="BG180" s="20">
        <f t="shared" si="168"/>
        <v>2.9494845662396269E-12</v>
      </c>
      <c r="BH180" s="59">
        <f t="shared" si="116"/>
        <v>293.33333333333627</v>
      </c>
      <c r="BI180" s="59">
        <f ca="1">AVERAGE(OFFSET($BH$3,0,0,'Données projet'!$E$11+1,1))-AVERAGE(OFFSET($H$3,0,0,'Données projet'!$E$11+1,1))</f>
        <v>297.07458564121606</v>
      </c>
      <c r="BJ180" s="59">
        <f t="shared" si="146"/>
        <v>514.93897725587567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12.463011409623952</v>
      </c>
      <c r="BQ180" s="21">
        <f>EXP(-LN(2)/25)*BQ179+(1-EXP(-LN(2)/25))/(LN(2)/25)*Calculateur!BL180*Calculateur!BN180*VLOOKUP('Données projet'!$B$11,Paramètres!$A$1:$I$89,3,0)*0.475*44/12</f>
        <v>4.9592467762342212</v>
      </c>
      <c r="BR180" s="21">
        <f>EXP(-LN(2)/2)*BR179+(1-EXP(-LN(2)/2))/(LN(2)/2)*BL180*BO180*VLOOKUP('Données projet'!$B$11,Paramètres!$A$1:$I$89,3,0)*0.475*44/12</f>
        <v>4.1236266761542684E-22</v>
      </c>
      <c r="BS180" s="22">
        <f t="shared" si="169"/>
        <v>17.422258185858173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83.304000000000386</v>
      </c>
      <c r="D181" s="11">
        <f t="shared" si="140"/>
        <v>22.943116727725723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820.15318175788582</v>
      </c>
      <c r="H181" s="67">
        <f t="shared" si="110"/>
        <v>478.38039496745625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5.1159076974727213E-13</v>
      </c>
      <c r="O181" s="13">
        <f>N181*VLOOKUP('Données projet'!$B$9,Paramètres!$A$1:$I$89,3,0)*VLOOKUP('Données projet'!$B$9,Paramètres!$A$1:$I$89,5,0)</f>
        <v>2.3942448024172334E-13</v>
      </c>
      <c r="P181" s="13">
        <f t="shared" si="141"/>
        <v>3.2492669905861755E-12</v>
      </c>
      <c r="Q181" s="20">
        <f t="shared" si="162"/>
        <v>6.0761376450252565E-12</v>
      </c>
      <c r="R181" s="59">
        <f t="shared" si="109"/>
        <v>293.3333333333394</v>
      </c>
      <c r="S181" s="59">
        <f ca="1">AVERAGE(OFFSET($R$3,0,0,'Données projet'!$E$9+1,1))-AVERAGE(OFFSET($H$3,0,0,'Données projet'!$E$9+1,1))</f>
        <v>157.05226586109279</v>
      </c>
      <c r="T181" s="59">
        <f t="shared" si="142"/>
        <v>76.143582612540229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34.097279207788709</v>
      </c>
      <c r="AA181" s="21">
        <f>EXP(-LN(2)/25)*AA180+(1-EXP(-LN(2)/25))/(LN(2)/25)*Calculateur!V181*Calculateur!X181*VLOOKUP('Données projet'!$B$9,Paramètres!$A$1:$I$89,3,0)*0.475*44/12</f>
        <v>4.9080965524772644</v>
      </c>
      <c r="AB181" s="21">
        <f>EXP(-LN(2)/2)*AB180+(1-EXP(-LN(2)/2))/(LN(2)/2)*V181*Y181*VLOOKUP('Données projet'!$B$9,Paramètres!$A$1:$I$89,3,0)*0.475*44/12</f>
        <v>7.5521428646694576E-10</v>
      </c>
      <c r="AC181" s="22">
        <f t="shared" si="163"/>
        <v>39.005375761021192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-6.3550942286383367E-14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279.32192402750189</v>
      </c>
      <c r="AO181" s="59">
        <f t="shared" si="144"/>
        <v>371.43572414443611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19.83644671140458</v>
      </c>
      <c r="AV181" s="21">
        <f>EXP(-LN(2)/25)*AV180+(1-EXP(-LN(2)/25))/(LN(2)/25)*Calculateur!AQ181*Calculateur!AS181*VLOOKUP('Données projet'!$B$10,Paramètres!$A$1:$I$89,3,0)*0.475*44/12</f>
        <v>1.9028861701644908</v>
      </c>
      <c r="AW181" s="21">
        <f>EXP(-LN(2)/2)*AW180+(1-EXP(-LN(2)/2))/(LN(2)/2)*AQ181*AT181*VLOOKUP('Données projet'!$B$10,Paramètres!$A$1:$I$89,3,0)*0.475*44/12</f>
        <v>1.0475860506965008E-17</v>
      </c>
      <c r="AX181" s="21">
        <f t="shared" si="166"/>
        <v>21.739332881569069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2.2737367544323206E-13</v>
      </c>
      <c r="BE181" s="13">
        <f>BD181*VLOOKUP('Données projet'!$B$11,Paramètres!$A$1:$I$89,3,0)*VLOOKUP('Données projet'!$B$11,Paramètres!$A$1:$I$89,5,0)</f>
        <v>1.064108801074326E-13</v>
      </c>
      <c r="BF181" s="13">
        <f t="shared" si="167"/>
        <v>1.5870730813698654E-12</v>
      </c>
      <c r="BG181" s="20">
        <f t="shared" si="168"/>
        <v>2.9494845662396269E-12</v>
      </c>
      <c r="BH181" s="59">
        <f t="shared" si="116"/>
        <v>293.33333333333627</v>
      </c>
      <c r="BI181" s="59">
        <f ca="1">AVERAGE(OFFSET($BH$3,0,0,'Données projet'!$E$11+1,1))-AVERAGE(OFFSET($H$3,0,0,'Données projet'!$E$11+1,1))</f>
        <v>297.07458564121606</v>
      </c>
      <c r="BJ181" s="59">
        <f t="shared" si="146"/>
        <v>514.93897725587567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12.218619357567583</v>
      </c>
      <c r="BQ181" s="21">
        <f>EXP(-LN(2)/25)*BQ180+(1-EXP(-LN(2)/25))/(LN(2)/25)*Calculateur!BL181*Calculateur!BN181*VLOOKUP('Données projet'!$B$11,Paramètres!$A$1:$I$89,3,0)*0.475*44/12</f>
        <v>4.8236359123426427</v>
      </c>
      <c r="BR181" s="21">
        <f>EXP(-LN(2)/2)*BR180+(1-EXP(-LN(2)/2))/(LN(2)/2)*BL181*BO181*VLOOKUP('Données projet'!$B$11,Paramètres!$A$1:$I$89,3,0)*0.475*44/12</f>
        <v>2.9158443857904269E-22</v>
      </c>
      <c r="BS181" s="22">
        <f t="shared" si="169"/>
        <v>17.042255269910225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83.772000000000389</v>
      </c>
      <c r="D182" s="11">
        <f t="shared" si="140"/>
        <v>23.056970229527188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824.64468247354625</v>
      </c>
      <c r="H182" s="67">
        <f t="shared" si="110"/>
        <v>479.39378981642722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5.1159076974727213E-13</v>
      </c>
      <c r="O182" s="13">
        <f>N182*VLOOKUP('Données projet'!$B$9,Paramètres!$A$1:$I$89,3,0)*VLOOKUP('Données projet'!$B$9,Paramètres!$A$1:$I$89,5,0)</f>
        <v>2.3942448024172334E-13</v>
      </c>
      <c r="P182" s="13">
        <f t="shared" si="141"/>
        <v>3.2492669905861755E-12</v>
      </c>
      <c r="Q182" s="20">
        <f t="shared" si="162"/>
        <v>6.0761376450252565E-12</v>
      </c>
      <c r="R182" s="59">
        <f t="shared" si="109"/>
        <v>293.3333333333394</v>
      </c>
      <c r="S182" s="59">
        <f ca="1">AVERAGE(OFFSET($R$3,0,0,'Données projet'!$E$9+1,1))-AVERAGE(OFFSET($H$3,0,0,'Données projet'!$E$9+1,1))</f>
        <v>157.05226586109279</v>
      </c>
      <c r="T182" s="59">
        <f t="shared" si="142"/>
        <v>76.143582612540229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33.428652359810727</v>
      </c>
      <c r="AA182" s="21">
        <f>EXP(-LN(2)/25)*AA181+(1-EXP(-LN(2)/25))/(LN(2)/25)*Calculateur!V182*Calculateur!X182*VLOOKUP('Données projet'!$B$9,Paramètres!$A$1:$I$89,3,0)*0.475*44/12</f>
        <v>4.7738843941441935</v>
      </c>
      <c r="AB182" s="21">
        <f>EXP(-LN(2)/2)*AB181+(1-EXP(-LN(2)/2))/(LN(2)/2)*V182*Y182*VLOOKUP('Données projet'!$B$9,Paramètres!$A$1:$I$89,3,0)*0.475*44/12</f>
        <v>5.3401714320973722E-10</v>
      </c>
      <c r="AC182" s="22">
        <f t="shared" si="163"/>
        <v>38.202536754488932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-6.3550942286383367E-14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279.32192402750189</v>
      </c>
      <c r="AO182" s="59">
        <f t="shared" si="144"/>
        <v>371.43572414443611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19.44746609043175</v>
      </c>
      <c r="AV182" s="21">
        <f>EXP(-LN(2)/25)*AV181+(1-EXP(-LN(2)/25))/(LN(2)/25)*Calculateur!AQ182*Calculateur!AS182*VLOOKUP('Données projet'!$B$10,Paramètres!$A$1:$I$89,3,0)*0.475*44/12</f>
        <v>1.8508516477729082</v>
      </c>
      <c r="AW182" s="21">
        <f>EXP(-LN(2)/2)*AW181+(1-EXP(-LN(2)/2))/(LN(2)/2)*AQ182*AT182*VLOOKUP('Données projet'!$B$10,Paramètres!$A$1:$I$89,3,0)*0.475*44/12</f>
        <v>7.407552003239301E-18</v>
      </c>
      <c r="AX182" s="21">
        <f t="shared" si="166"/>
        <v>21.298317738204659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2.2737367544323206E-13</v>
      </c>
      <c r="BE182" s="13">
        <f>BD182*VLOOKUP('Données projet'!$B$11,Paramètres!$A$1:$I$89,3,0)*VLOOKUP('Données projet'!$B$11,Paramètres!$A$1:$I$89,5,0)</f>
        <v>1.064108801074326E-13</v>
      </c>
      <c r="BF182" s="13">
        <f t="shared" si="167"/>
        <v>1.5870730813698654E-12</v>
      </c>
      <c r="BG182" s="20">
        <f t="shared" si="168"/>
        <v>2.9494845662396269E-12</v>
      </c>
      <c r="BH182" s="59">
        <f t="shared" si="116"/>
        <v>293.33333333333627</v>
      </c>
      <c r="BI182" s="59">
        <f ca="1">AVERAGE(OFFSET($BH$3,0,0,'Données projet'!$E$11+1,1))-AVERAGE(OFFSET($H$3,0,0,'Données projet'!$E$11+1,1))</f>
        <v>297.07458564121606</v>
      </c>
      <c r="BJ182" s="59">
        <f t="shared" si="146"/>
        <v>514.93897725587567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11.979019684587605</v>
      </c>
      <c r="BQ182" s="21">
        <f>EXP(-LN(2)/25)*BQ181+(1-EXP(-LN(2)/25))/(LN(2)/25)*Calculateur!BL182*Calculateur!BN182*VLOOKUP('Données projet'!$B$11,Paramètres!$A$1:$I$89,3,0)*0.475*44/12</f>
        <v>4.6917333346556447</v>
      </c>
      <c r="BR182" s="21">
        <f>EXP(-LN(2)/2)*BR181+(1-EXP(-LN(2)/2))/(LN(2)/2)*BL182*BO182*VLOOKUP('Données projet'!$B$11,Paramètres!$A$1:$I$89,3,0)*0.475*44/12</f>
        <v>2.0618133380771347E-22</v>
      </c>
      <c r="BS182" s="22">
        <f t="shared" si="169"/>
        <v>16.67075301924325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84.240000000000393</v>
      </c>
      <c r="D183" s="11">
        <f t="shared" si="140"/>
        <v>23.170749718409571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829.13561186141033</v>
      </c>
      <c r="H183" s="67">
        <f t="shared" si="110"/>
        <v>480.40705575956395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5.1159076974727213E-13</v>
      </c>
      <c r="O183" s="13">
        <f>N183*VLOOKUP('Données projet'!$B$9,Paramètres!$A$1:$I$89,3,0)*VLOOKUP('Données projet'!$B$9,Paramètres!$A$1:$I$89,5,0)</f>
        <v>2.3942448024172334E-13</v>
      </c>
      <c r="P183" s="13">
        <f t="shared" si="141"/>
        <v>3.2492669905861755E-12</v>
      </c>
      <c r="Q183" s="20">
        <f t="shared" si="162"/>
        <v>6.0761376450252565E-12</v>
      </c>
      <c r="R183" s="59">
        <f t="shared" si="109"/>
        <v>293.3333333333394</v>
      </c>
      <c r="S183" s="59">
        <f ca="1">AVERAGE(OFFSET($R$3,0,0,'Données projet'!$E$9+1,1))-AVERAGE(OFFSET($H$3,0,0,'Données projet'!$E$9+1,1))</f>
        <v>157.05226586109279</v>
      </c>
      <c r="T183" s="59">
        <f t="shared" si="142"/>
        <v>76.143582612540229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32.773136876499485</v>
      </c>
      <c r="AA183" s="21">
        <f>EXP(-LN(2)/25)*AA182+(1-EXP(-LN(2)/25))/(LN(2)/25)*Calculateur!V183*Calculateur!X183*VLOOKUP('Données projet'!$B$9,Paramètres!$A$1:$I$89,3,0)*0.475*44/12</f>
        <v>4.643342274338651</v>
      </c>
      <c r="AB183" s="21">
        <f>EXP(-LN(2)/2)*AB182+(1-EXP(-LN(2)/2))/(LN(2)/2)*V183*Y183*VLOOKUP('Données projet'!$B$9,Paramètres!$A$1:$I$89,3,0)*0.475*44/12</f>
        <v>3.7760714323347288E-10</v>
      </c>
      <c r="AC183" s="22">
        <f t="shared" si="163"/>
        <v>37.416479151215739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-6.3550942286383367E-14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279.32192402750189</v>
      </c>
      <c r="AO183" s="59">
        <f t="shared" si="144"/>
        <v>371.43572414443611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19.066113142181443</v>
      </c>
      <c r="AV183" s="21">
        <f>EXP(-LN(2)/25)*AV182+(1-EXP(-LN(2)/25))/(LN(2)/25)*Calculateur!AQ183*Calculateur!AS183*VLOOKUP('Données projet'!$B$10,Paramètres!$A$1:$I$89,3,0)*0.475*44/12</f>
        <v>1.8002400121325002</v>
      </c>
      <c r="AW183" s="21">
        <f>EXP(-LN(2)/2)*AW182+(1-EXP(-LN(2)/2))/(LN(2)/2)*AQ183*AT183*VLOOKUP('Données projet'!$B$10,Paramètres!$A$1:$I$89,3,0)*0.475*44/12</f>
        <v>5.2379302534825042E-18</v>
      </c>
      <c r="AX183" s="21">
        <f t="shared" si="166"/>
        <v>20.866353154313945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2.2737367544323206E-13</v>
      </c>
      <c r="BE183" s="13">
        <f>BD183*VLOOKUP('Données projet'!$B$11,Paramètres!$A$1:$I$89,3,0)*VLOOKUP('Données projet'!$B$11,Paramètres!$A$1:$I$89,5,0)</f>
        <v>1.064108801074326E-13</v>
      </c>
      <c r="BF183" s="13">
        <f t="shared" si="167"/>
        <v>1.5870730813698654E-12</v>
      </c>
      <c r="BG183" s="20">
        <f t="shared" si="168"/>
        <v>2.9494845662396269E-12</v>
      </c>
      <c r="BH183" s="59">
        <f t="shared" si="116"/>
        <v>293.33333333333627</v>
      </c>
      <c r="BI183" s="59">
        <f ca="1">AVERAGE(OFFSET($BH$3,0,0,'Données projet'!$E$11+1,1))-AVERAGE(OFFSET($H$3,0,0,'Données projet'!$E$11+1,1))</f>
        <v>297.07458564121606</v>
      </c>
      <c r="BJ183" s="59">
        <f t="shared" si="146"/>
        <v>514.93897725587567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11.744118415053395</v>
      </c>
      <c r="BQ183" s="21">
        <f>EXP(-LN(2)/25)*BQ182+(1-EXP(-LN(2)/25))/(LN(2)/25)*Calculateur!BL183*Calculateur!BN183*VLOOKUP('Données projet'!$B$11,Paramètres!$A$1:$I$89,3,0)*0.475*44/12</f>
        <v>4.5634376398919532</v>
      </c>
      <c r="BR183" s="21">
        <f>EXP(-LN(2)/2)*BR182+(1-EXP(-LN(2)/2))/(LN(2)/2)*BL183*BO183*VLOOKUP('Données projet'!$B$11,Paramètres!$A$1:$I$89,3,0)*0.475*44/12</f>
        <v>1.4579221928952137E-22</v>
      </c>
      <c r="BS183" s="22">
        <f t="shared" si="169"/>
        <v>16.307556054945348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84.708000000000396</v>
      </c>
      <c r="D184" s="11">
        <f t="shared" si="140"/>
        <v>23.284455653273778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833.62597346387076</v>
      </c>
      <c r="H184" s="67">
        <f t="shared" si="110"/>
        <v>481.42019359611913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5.1159076974727213E-13</v>
      </c>
      <c r="O184" s="13">
        <f>N184*VLOOKUP('Données projet'!$B$9,Paramètres!$A$1:$I$89,3,0)*VLOOKUP('Données projet'!$B$9,Paramètres!$A$1:$I$89,5,0)</f>
        <v>2.3942448024172334E-13</v>
      </c>
      <c r="P184" s="13">
        <f t="shared" si="141"/>
        <v>3.2492669905861755E-12</v>
      </c>
      <c r="Q184" s="20">
        <f t="shared" si="162"/>
        <v>6.0761376450252565E-12</v>
      </c>
      <c r="R184" s="59">
        <f t="shared" si="109"/>
        <v>293.3333333333394</v>
      </c>
      <c r="S184" s="59">
        <f ca="1">AVERAGE(OFFSET($R$3,0,0,'Données projet'!$E$9+1,1))-AVERAGE(OFFSET($H$3,0,0,'Données projet'!$E$9+1,1))</f>
        <v>157.05226586109279</v>
      </c>
      <c r="T184" s="59">
        <f t="shared" si="142"/>
        <v>76.143582612540229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32.130475651991013</v>
      </c>
      <c r="AA184" s="21">
        <f>EXP(-LN(2)/25)*AA183+(1-EXP(-LN(2)/25))/(LN(2)/25)*Calculateur!V184*Calculateur!X184*VLOOKUP('Données projet'!$B$9,Paramètres!$A$1:$I$89,3,0)*0.475*44/12</f>
        <v>4.5163698356641024</v>
      </c>
      <c r="AB184" s="21">
        <f>EXP(-LN(2)/2)*AB183+(1-EXP(-LN(2)/2))/(LN(2)/2)*V184*Y184*VLOOKUP('Données projet'!$B$9,Paramètres!$A$1:$I$89,3,0)*0.475*44/12</f>
        <v>2.6700857160486861E-10</v>
      </c>
      <c r="AC184" s="22">
        <f t="shared" si="163"/>
        <v>36.646845487922121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-6.3550942286383367E-14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279.32192402750189</v>
      </c>
      <c r="AO184" s="59">
        <f t="shared" si="144"/>
        <v>371.43572414443611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18.692238292643996</v>
      </c>
      <c r="AV184" s="21">
        <f>EXP(-LN(2)/25)*AV183+(1-EXP(-LN(2)/25))/(LN(2)/25)*Calculateur!AQ184*Calculateur!AS184*VLOOKUP('Données projet'!$B$10,Paramètres!$A$1:$I$89,3,0)*0.475*44/12</f>
        <v>1.7510123543302292</v>
      </c>
      <c r="AW184" s="21">
        <f>EXP(-LN(2)/2)*AW183+(1-EXP(-LN(2)/2))/(LN(2)/2)*AQ184*AT184*VLOOKUP('Données projet'!$B$10,Paramètres!$A$1:$I$89,3,0)*0.475*44/12</f>
        <v>3.7037760016196505E-18</v>
      </c>
      <c r="AX184" s="21">
        <f t="shared" si="166"/>
        <v>20.443250646974224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2.2737367544323206E-13</v>
      </c>
      <c r="BE184" s="13">
        <f>BD184*VLOOKUP('Données projet'!$B$11,Paramètres!$A$1:$I$89,3,0)*VLOOKUP('Données projet'!$B$11,Paramètres!$A$1:$I$89,5,0)</f>
        <v>1.064108801074326E-13</v>
      </c>
      <c r="BF184" s="13">
        <f t="shared" si="167"/>
        <v>1.5870730813698654E-12</v>
      </c>
      <c r="BG184" s="20">
        <f t="shared" si="168"/>
        <v>2.9494845662396269E-12</v>
      </c>
      <c r="BH184" s="59">
        <f t="shared" si="116"/>
        <v>293.33333333333627</v>
      </c>
      <c r="BI184" s="59">
        <f ca="1">AVERAGE(OFFSET($BH$3,0,0,'Données projet'!$E$11+1,1))-AVERAGE(OFFSET($H$3,0,0,'Données projet'!$E$11+1,1))</f>
        <v>297.07458564121606</v>
      </c>
      <c r="BJ184" s="59">
        <f t="shared" si="146"/>
        <v>514.93897725587567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11.513823416139124</v>
      </c>
      <c r="BQ184" s="21">
        <f>EXP(-LN(2)/25)*BQ183+(1-EXP(-LN(2)/25))/(LN(2)/25)*Calculateur!BL184*Calculateur!BN184*VLOOKUP('Données projet'!$B$11,Paramètres!$A$1:$I$89,3,0)*0.475*44/12</f>
        <v>4.4386501976483519</v>
      </c>
      <c r="BR184" s="21">
        <f>EXP(-LN(2)/2)*BR183+(1-EXP(-LN(2)/2))/(LN(2)/2)*BL184*BO184*VLOOKUP('Données projet'!$B$11,Paramètres!$A$1:$I$89,3,0)*0.475*44/12</f>
        <v>1.0309066690385674E-22</v>
      </c>
      <c r="BS184" s="22">
        <f t="shared" si="169"/>
        <v>15.952473613787475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85.1760000000004</v>
      </c>
      <c r="D185" s="11">
        <f t="shared" si="140"/>
        <v>23.398088487656537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838.11577078191328</v>
      </c>
      <c r="H185" s="67">
        <f t="shared" si="110"/>
        <v>482.43320411600246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5.1159076974727213E-13</v>
      </c>
      <c r="O185" s="13">
        <f>N185*VLOOKUP('Données projet'!$B$9,Paramètres!$A$1:$I$89,3,0)*VLOOKUP('Données projet'!$B$9,Paramètres!$A$1:$I$89,5,0)</f>
        <v>2.3942448024172334E-13</v>
      </c>
      <c r="P185" s="13">
        <f t="shared" si="141"/>
        <v>3.2492669905861755E-12</v>
      </c>
      <c r="Q185" s="20">
        <f t="shared" si="162"/>
        <v>6.0761376450252565E-12</v>
      </c>
      <c r="R185" s="59">
        <f t="shared" si="109"/>
        <v>293.3333333333394</v>
      </c>
      <c r="S185" s="59">
        <f ca="1">AVERAGE(OFFSET($R$3,0,0,'Données projet'!$E$9+1,1))-AVERAGE(OFFSET($H$3,0,0,'Données projet'!$E$9+1,1))</f>
        <v>157.05226586109279</v>
      </c>
      <c r="T185" s="59">
        <f t="shared" si="142"/>
        <v>76.143582612540229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31.50041662211051</v>
      </c>
      <c r="AA185" s="21">
        <f>EXP(-LN(2)/25)*AA184+(1-EXP(-LN(2)/25))/(LN(2)/25)*Calculateur!V185*Calculateur!X185*VLOOKUP('Données projet'!$B$9,Paramètres!$A$1:$I$89,3,0)*0.475*44/12</f>
        <v>4.3928694650022999</v>
      </c>
      <c r="AB185" s="21">
        <f>EXP(-LN(2)/2)*AB184+(1-EXP(-LN(2)/2))/(LN(2)/2)*V185*Y185*VLOOKUP('Données projet'!$B$9,Paramètres!$A$1:$I$89,3,0)*0.475*44/12</f>
        <v>1.8880357161673644E-10</v>
      </c>
      <c r="AC185" s="22">
        <f t="shared" si="163"/>
        <v>35.893286087301618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-6.3550942286383367E-14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279.32192402750189</v>
      </c>
      <c r="AO185" s="59">
        <f t="shared" si="144"/>
        <v>371.43572414443611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18.325694900864836</v>
      </c>
      <c r="AV185" s="21">
        <f>EXP(-LN(2)/25)*AV184+(1-EXP(-LN(2)/25))/(LN(2)/25)*Calculateur!AQ185*Calculateur!AS185*VLOOKUP('Données projet'!$B$10,Paramètres!$A$1:$I$89,3,0)*0.475*44/12</f>
        <v>1.7031308294193312</v>
      </c>
      <c r="AW185" s="21">
        <f>EXP(-LN(2)/2)*AW184+(1-EXP(-LN(2)/2))/(LN(2)/2)*AQ185*AT185*VLOOKUP('Données projet'!$B$10,Paramètres!$A$1:$I$89,3,0)*0.475*44/12</f>
        <v>2.6189651267412521E-18</v>
      </c>
      <c r="AX185" s="21">
        <f t="shared" si="166"/>
        <v>20.028825730284169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2.2737367544323206E-13</v>
      </c>
      <c r="BE185" s="13">
        <f>BD185*VLOOKUP('Données projet'!$B$11,Paramètres!$A$1:$I$89,3,0)*VLOOKUP('Données projet'!$B$11,Paramètres!$A$1:$I$89,5,0)</f>
        <v>1.064108801074326E-13</v>
      </c>
      <c r="BF185" s="13">
        <f t="shared" si="167"/>
        <v>1.5870730813698654E-12</v>
      </c>
      <c r="BG185" s="20">
        <f t="shared" si="168"/>
        <v>2.9494845662396269E-12</v>
      </c>
      <c r="BH185" s="59">
        <f t="shared" si="116"/>
        <v>293.33333333333627</v>
      </c>
      <c r="BI185" s="59">
        <f ca="1">AVERAGE(OFFSET($BH$3,0,0,'Données projet'!$E$11+1,1))-AVERAGE(OFFSET($H$3,0,0,'Données projet'!$E$11+1,1))</f>
        <v>297.07458564121606</v>
      </c>
      <c r="BJ185" s="59">
        <f t="shared" si="146"/>
        <v>514.93897725587567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11.288044361687481</v>
      </c>
      <c r="BQ185" s="21">
        <f>EXP(-LN(2)/25)*BQ184+(1-EXP(-LN(2)/25))/(LN(2)/25)*Calculateur!BL185*Calculateur!BN185*VLOOKUP('Données projet'!$B$11,Paramètres!$A$1:$I$89,3,0)*0.475*44/12</f>
        <v>4.3172750745751882</v>
      </c>
      <c r="BR185" s="21">
        <f>EXP(-LN(2)/2)*BR184+(1-EXP(-LN(2)/2))/(LN(2)/2)*BL185*BO185*VLOOKUP('Données projet'!$B$11,Paramètres!$A$1:$I$89,3,0)*0.475*44/12</f>
        <v>7.2896109644760695E-23</v>
      </c>
      <c r="BS185" s="22">
        <f t="shared" si="169"/>
        <v>15.605319436262668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85.644000000000403</v>
      </c>
      <c r="D186" s="11">
        <f t="shared" si="140"/>
        <v>23.511648669822165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842.60500727582337</v>
      </c>
      <c r="H186" s="67">
        <f t="shared" si="110"/>
        <v>483.44608809994094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5.1159076974727213E-13</v>
      </c>
      <c r="O186" s="13">
        <f>N186*VLOOKUP('Données projet'!$B$9,Paramètres!$A$1:$I$89,3,0)*VLOOKUP('Données projet'!$B$9,Paramètres!$A$1:$I$89,5,0)</f>
        <v>2.3942448024172334E-13</v>
      </c>
      <c r="P186" s="13">
        <f t="shared" si="141"/>
        <v>3.2492669905861755E-12</v>
      </c>
      <c r="Q186" s="20">
        <f t="shared" si="162"/>
        <v>6.0761376450252565E-12</v>
      </c>
      <c r="R186" s="59">
        <f t="shared" si="109"/>
        <v>293.3333333333394</v>
      </c>
      <c r="S186" s="59">
        <f ca="1">AVERAGE(OFFSET($R$3,0,0,'Données projet'!$E$9+1,1))-AVERAGE(OFFSET($H$3,0,0,'Données projet'!$E$9+1,1))</f>
        <v>157.05226586109279</v>
      </c>
      <c r="T186" s="59">
        <f t="shared" si="142"/>
        <v>76.143582612540229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30.882712665507903</v>
      </c>
      <c r="AA186" s="21">
        <f>EXP(-LN(2)/25)*AA185+(1-EXP(-LN(2)/25))/(LN(2)/25)*Calculateur!V186*Calculateur!X186*VLOOKUP('Données projet'!$B$9,Paramètres!$A$1:$I$89,3,0)*0.475*44/12</f>
        <v>4.2727462184708465</v>
      </c>
      <c r="AB186" s="21">
        <f>EXP(-LN(2)/2)*AB185+(1-EXP(-LN(2)/2))/(LN(2)/2)*V186*Y186*VLOOKUP('Données projet'!$B$9,Paramètres!$A$1:$I$89,3,0)*0.475*44/12</f>
        <v>1.3350428580243431E-10</v>
      </c>
      <c r="AC186" s="22">
        <f t="shared" si="163"/>
        <v>35.155458884112257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-6.3550942286383367E-14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279.32192402750189</v>
      </c>
      <c r="AO186" s="59">
        <f t="shared" si="144"/>
        <v>371.43572414443611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17.966339201429072</v>
      </c>
      <c r="AV186" s="21">
        <f>EXP(-LN(2)/25)*AV185+(1-EXP(-LN(2)/25))/(LN(2)/25)*Calculateur!AQ186*Calculateur!AS186*VLOOKUP('Données projet'!$B$10,Paramètres!$A$1:$I$89,3,0)*0.475*44/12</f>
        <v>1.6565586273251018</v>
      </c>
      <c r="AW186" s="21">
        <f>EXP(-LN(2)/2)*AW185+(1-EXP(-LN(2)/2))/(LN(2)/2)*AQ186*AT186*VLOOKUP('Données projet'!$B$10,Paramètres!$A$1:$I$89,3,0)*0.475*44/12</f>
        <v>1.8518880008098253E-18</v>
      </c>
      <c r="AX186" s="21">
        <f t="shared" si="166"/>
        <v>19.622897828754173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2.2737367544323206E-13</v>
      </c>
      <c r="BE186" s="13">
        <f>BD186*VLOOKUP('Données projet'!$B$11,Paramètres!$A$1:$I$89,3,0)*VLOOKUP('Données projet'!$B$11,Paramètres!$A$1:$I$89,5,0)</f>
        <v>1.064108801074326E-13</v>
      </c>
      <c r="BF186" s="13">
        <f t="shared" si="167"/>
        <v>1.5870730813698654E-12</v>
      </c>
      <c r="BG186" s="20">
        <f t="shared" si="168"/>
        <v>2.9494845662396269E-12</v>
      </c>
      <c r="BH186" s="59">
        <f t="shared" si="116"/>
        <v>293.33333333333627</v>
      </c>
      <c r="BI186" s="59">
        <f ca="1">AVERAGE(OFFSET($BH$3,0,0,'Données projet'!$E$11+1,1))-AVERAGE(OFFSET($H$3,0,0,'Données projet'!$E$11+1,1))</f>
        <v>297.07458564121606</v>
      </c>
      <c r="BJ186" s="59">
        <f t="shared" si="146"/>
        <v>514.93897725587567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11.06669269678201</v>
      </c>
      <c r="BQ186" s="21">
        <f>EXP(-LN(2)/25)*BQ185+(1-EXP(-LN(2)/25))/(LN(2)/25)*Calculateur!BL186*Calculateur!BN186*VLOOKUP('Données projet'!$B$11,Paramètres!$A$1:$I$89,3,0)*0.475*44/12</f>
        <v>4.1992189606253012</v>
      </c>
      <c r="BR186" s="21">
        <f>EXP(-LN(2)/2)*BR185+(1-EXP(-LN(2)/2))/(LN(2)/2)*BL186*BO186*VLOOKUP('Données projet'!$B$11,Paramètres!$A$1:$I$89,3,0)*0.475*44/12</f>
        <v>5.1545333451928378E-23</v>
      </c>
      <c r="BS186" s="22">
        <f t="shared" si="169"/>
        <v>15.265911657407312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86.112000000000407</v>
      </c>
      <c r="D187" s="11">
        <f t="shared" si="140"/>
        <v>23.625136642852389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847.09368636588124</v>
      </c>
      <c r="H187" s="67">
        <f t="shared" si="110"/>
        <v>484.4588463196352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5.1159076974727213E-13</v>
      </c>
      <c r="O187" s="13">
        <f>N187*VLOOKUP('Données projet'!$B$9,Paramètres!$A$1:$I$89,3,0)*VLOOKUP('Données projet'!$B$9,Paramètres!$A$1:$I$89,5,0)</f>
        <v>2.3942448024172334E-13</v>
      </c>
      <c r="P187" s="13">
        <f t="shared" si="141"/>
        <v>3.2492669905861755E-12</v>
      </c>
      <c r="Q187" s="20">
        <f t="shared" si="162"/>
        <v>6.0761376450252565E-12</v>
      </c>
      <c r="R187" s="59">
        <f t="shared" si="109"/>
        <v>293.3333333333394</v>
      </c>
      <c r="S187" s="59">
        <f ca="1">AVERAGE(OFFSET($R$3,0,0,'Données projet'!$E$9+1,1))-AVERAGE(OFFSET($H$3,0,0,'Données projet'!$E$9+1,1))</f>
        <v>157.05226586109279</v>
      </c>
      <c r="T187" s="59">
        <f t="shared" si="142"/>
        <v>76.143582612540229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30.277121506732058</v>
      </c>
      <c r="AA187" s="21">
        <f>EXP(-LN(2)/25)*AA186+(1-EXP(-LN(2)/25))/(LN(2)/25)*Calculateur!V187*Calculateur!X187*VLOOKUP('Données projet'!$B$9,Paramètres!$A$1:$I$89,3,0)*0.475*44/12</f>
        <v>4.1559077484328029</v>
      </c>
      <c r="AB187" s="21">
        <f>EXP(-LN(2)/2)*AB186+(1-EXP(-LN(2)/2))/(LN(2)/2)*V187*Y187*VLOOKUP('Données projet'!$B$9,Paramètres!$A$1:$I$89,3,0)*0.475*44/12</f>
        <v>9.440178580836822E-11</v>
      </c>
      <c r="AC187" s="22">
        <f t="shared" si="163"/>
        <v>34.433029255259264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-6.3550942286383367E-14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279.32192402750189</v>
      </c>
      <c r="AO187" s="59">
        <f t="shared" si="144"/>
        <v>371.43572414443611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17.614030248073909</v>
      </c>
      <c r="AV187" s="21">
        <f>EXP(-LN(2)/25)*AV186+(1-EXP(-LN(2)/25))/(LN(2)/25)*Calculateur!AQ187*Calculateur!AS187*VLOOKUP('Données projet'!$B$10,Paramètres!$A$1:$I$89,3,0)*0.475*44/12</f>
        <v>1.6112599445462648</v>
      </c>
      <c r="AW187" s="21">
        <f>EXP(-LN(2)/2)*AW186+(1-EXP(-LN(2)/2))/(LN(2)/2)*AQ187*AT187*VLOOKUP('Données projet'!$B$10,Paramètres!$A$1:$I$89,3,0)*0.475*44/12</f>
        <v>1.3094825633706261E-18</v>
      </c>
      <c r="AX187" s="21">
        <f t="shared" si="166"/>
        <v>19.225290192620175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2.2737367544323206E-13</v>
      </c>
      <c r="BE187" s="13">
        <f>BD187*VLOOKUP('Données projet'!$B$11,Paramètres!$A$1:$I$89,3,0)*VLOOKUP('Données projet'!$B$11,Paramètres!$A$1:$I$89,5,0)</f>
        <v>1.064108801074326E-13</v>
      </c>
      <c r="BF187" s="13">
        <f t="shared" si="167"/>
        <v>1.5870730813698654E-12</v>
      </c>
      <c r="BG187" s="20">
        <f t="shared" si="168"/>
        <v>2.9494845662396269E-12</v>
      </c>
      <c r="BH187" s="59">
        <f t="shared" si="116"/>
        <v>293.33333333333627</v>
      </c>
      <c r="BI187" s="59">
        <f ca="1">AVERAGE(OFFSET($BH$3,0,0,'Données projet'!$E$11+1,1))-AVERAGE(OFFSET($H$3,0,0,'Données projet'!$E$11+1,1))</f>
        <v>297.07458564121606</v>
      </c>
      <c r="BJ187" s="59">
        <f t="shared" si="146"/>
        <v>514.93897725587567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10.849681603014151</v>
      </c>
      <c r="BQ187" s="21">
        <f>EXP(-LN(2)/25)*BQ186+(1-EXP(-LN(2)/25))/(LN(2)/25)*Calculateur!BL187*Calculateur!BN187*VLOOKUP('Données projet'!$B$11,Paramètres!$A$1:$I$89,3,0)*0.475*44/12</f>
        <v>4.0843910973196742</v>
      </c>
      <c r="BR187" s="21">
        <f>EXP(-LN(2)/2)*BR186+(1-EXP(-LN(2)/2))/(LN(2)/2)*BL187*BO187*VLOOKUP('Données projet'!$B$11,Paramètres!$A$1:$I$89,3,0)*0.475*44/12</f>
        <v>3.6448054822380353E-23</v>
      </c>
      <c r="BS187" s="22">
        <f t="shared" si="169"/>
        <v>14.934072700333825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86.58000000000041</v>
      </c>
      <c r="D188" s="11">
        <f t="shared" si="140"/>
        <v>23.73855284473407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851.58181143303818</v>
      </c>
      <c r="H188" s="67">
        <f t="shared" si="110"/>
        <v>485.4714795379125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5.1159076974727213E-13</v>
      </c>
      <c r="O188" s="13">
        <f>N188*VLOOKUP('Données projet'!$B$9,Paramètres!$A$1:$I$89,3,0)*VLOOKUP('Données projet'!$B$9,Paramètres!$A$1:$I$89,5,0)</f>
        <v>2.3942448024172334E-13</v>
      </c>
      <c r="P188" s="13">
        <f t="shared" si="141"/>
        <v>3.2492669905861755E-12</v>
      </c>
      <c r="Q188" s="20">
        <f t="shared" si="162"/>
        <v>6.0761376450252565E-12</v>
      </c>
      <c r="R188" s="59">
        <f t="shared" si="109"/>
        <v>293.3333333333394</v>
      </c>
      <c r="S188" s="59">
        <f ca="1">AVERAGE(OFFSET($R$3,0,0,'Données projet'!$E$9+1,1))-AVERAGE(OFFSET($H$3,0,0,'Données projet'!$E$9+1,1))</f>
        <v>157.05226586109279</v>
      </c>
      <c r="T188" s="59">
        <f t="shared" si="142"/>
        <v>76.143582612540229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29.683405621205676</v>
      </c>
      <c r="AA188" s="21">
        <f>EXP(-LN(2)/25)*AA187+(1-EXP(-LN(2)/25))/(LN(2)/25)*Calculateur!V188*Calculateur!X188*VLOOKUP('Données projet'!$B$9,Paramètres!$A$1:$I$89,3,0)*0.475*44/12</f>
        <v>4.0422642325022178</v>
      </c>
      <c r="AB188" s="21">
        <f>EXP(-LN(2)/2)*AB187+(1-EXP(-LN(2)/2))/(LN(2)/2)*V188*Y188*VLOOKUP('Données projet'!$B$9,Paramètres!$A$1:$I$89,3,0)*0.475*44/12</f>
        <v>6.6752142901217153E-11</v>
      </c>
      <c r="AC188" s="22">
        <f t="shared" si="163"/>
        <v>33.725669853774647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-6.3550942286383367E-14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279.32192402750189</v>
      </c>
      <c r="AO188" s="59">
        <f t="shared" si="144"/>
        <v>371.43572414443611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17.268629858406801</v>
      </c>
      <c r="AV188" s="21">
        <f>EXP(-LN(2)/25)*AV187+(1-EXP(-LN(2)/25))/(LN(2)/25)*Calculateur!AQ188*Calculateur!AS188*VLOOKUP('Données projet'!$B$10,Paramètres!$A$1:$I$89,3,0)*0.475*44/12</f>
        <v>1.5671999566301693</v>
      </c>
      <c r="AW188" s="21">
        <f>EXP(-LN(2)/2)*AW187+(1-EXP(-LN(2)/2))/(LN(2)/2)*AQ188*AT188*VLOOKUP('Données projet'!$B$10,Paramètres!$A$1:$I$89,3,0)*0.475*44/12</f>
        <v>9.2594400040491263E-19</v>
      </c>
      <c r="AX188" s="21">
        <f t="shared" si="166"/>
        <v>18.83582981503697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2.2737367544323206E-13</v>
      </c>
      <c r="BE188" s="13">
        <f>BD188*VLOOKUP('Données projet'!$B$11,Paramètres!$A$1:$I$89,3,0)*VLOOKUP('Données projet'!$B$11,Paramètres!$A$1:$I$89,5,0)</f>
        <v>1.064108801074326E-13</v>
      </c>
      <c r="BF188" s="13">
        <f t="shared" si="167"/>
        <v>1.5870730813698654E-12</v>
      </c>
      <c r="BG188" s="20">
        <f t="shared" si="168"/>
        <v>2.9494845662396269E-12</v>
      </c>
      <c r="BH188" s="59">
        <f t="shared" si="116"/>
        <v>293.33333333333627</v>
      </c>
      <c r="BI188" s="59">
        <f ca="1">AVERAGE(OFFSET($BH$3,0,0,'Données projet'!$E$11+1,1))-AVERAGE(OFFSET($H$3,0,0,'Données projet'!$E$11+1,1))</f>
        <v>297.07458564121606</v>
      </c>
      <c r="BJ188" s="59">
        <f t="shared" si="146"/>
        <v>514.93897725587567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10.636925964431382</v>
      </c>
      <c r="BQ188" s="21">
        <f>EXP(-LN(2)/25)*BQ187+(1-EXP(-LN(2)/25))/(LN(2)/25)*Calculateur!BL188*Calculateur!BN188*VLOOKUP('Données projet'!$B$11,Paramètres!$A$1:$I$89,3,0)*0.475*44/12</f>
        <v>3.9727032079746749</v>
      </c>
      <c r="BR188" s="21">
        <f>EXP(-LN(2)/2)*BR187+(1-EXP(-LN(2)/2))/(LN(2)/2)*BL188*BO188*VLOOKUP('Données projet'!$B$11,Paramètres!$A$1:$I$89,3,0)*0.475*44/12</f>
        <v>2.5772666725964195E-23</v>
      </c>
      <c r="BS188" s="22">
        <f t="shared" si="169"/>
        <v>14.609629172406057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87.048000000000414</v>
      </c>
      <c r="D189" s="11">
        <f t="shared" si="140"/>
        <v>23.851897708444977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856.06938581957854</v>
      </c>
      <c r="H189" s="67">
        <f t="shared" si="110"/>
        <v>486.48398850887571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5.1159076974727213E-13</v>
      </c>
      <c r="O189" s="13">
        <f>N189*VLOOKUP('Données projet'!$B$9,Paramètres!$A$1:$I$89,3,0)*VLOOKUP('Données projet'!$B$9,Paramètres!$A$1:$I$89,5,0)</f>
        <v>2.3942448024172334E-13</v>
      </c>
      <c r="P189" s="13">
        <f t="shared" si="141"/>
        <v>3.2492669905861755E-12</v>
      </c>
      <c r="Q189" s="20">
        <f t="shared" si="162"/>
        <v>6.0761376450252565E-12</v>
      </c>
      <c r="R189" s="59">
        <f t="shared" si="109"/>
        <v>293.3333333333394</v>
      </c>
      <c r="S189" s="59">
        <f ca="1">AVERAGE(OFFSET($R$3,0,0,'Données projet'!$E$9+1,1))-AVERAGE(OFFSET($H$3,0,0,'Données projet'!$E$9+1,1))</f>
        <v>157.05226586109279</v>
      </c>
      <c r="T189" s="59">
        <f t="shared" si="142"/>
        <v>76.143582612540229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29.101332142063534</v>
      </c>
      <c r="AA189" s="21">
        <f>EXP(-LN(2)/25)*AA188+(1-EXP(-LN(2)/25))/(LN(2)/25)*Calculateur!V189*Calculateur!X189*VLOOKUP('Données projet'!$B$9,Paramètres!$A$1:$I$89,3,0)*0.475*44/12</f>
        <v>3.9317283044910072</v>
      </c>
      <c r="AB189" s="21">
        <f>EXP(-LN(2)/2)*AB188+(1-EXP(-LN(2)/2))/(LN(2)/2)*V189*Y189*VLOOKUP('Données projet'!$B$9,Paramètres!$A$1:$I$89,3,0)*0.475*44/12</f>
        <v>4.720089290418411E-11</v>
      </c>
      <c r="AC189" s="22">
        <f t="shared" si="163"/>
        <v>33.033060446601745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-6.3550942286383367E-14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279.32192402750189</v>
      </c>
      <c r="AO189" s="59">
        <f t="shared" si="144"/>
        <v>371.43572414443611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16.930002559707628</v>
      </c>
      <c r="AV189" s="21">
        <f>EXP(-LN(2)/25)*AV188+(1-EXP(-LN(2)/25))/(LN(2)/25)*Calculateur!AQ189*Calculateur!AS189*VLOOKUP('Données projet'!$B$10,Paramètres!$A$1:$I$89,3,0)*0.475*44/12</f>
        <v>1.5243447914006536</v>
      </c>
      <c r="AW189" s="21">
        <f>EXP(-LN(2)/2)*AW188+(1-EXP(-LN(2)/2))/(LN(2)/2)*AQ189*AT189*VLOOKUP('Données projet'!$B$10,Paramètres!$A$1:$I$89,3,0)*0.475*44/12</f>
        <v>6.5474128168531303E-19</v>
      </c>
      <c r="AX189" s="21">
        <f t="shared" si="166"/>
        <v>18.454347351108282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2.2737367544323206E-13</v>
      </c>
      <c r="BE189" s="13">
        <f>BD189*VLOOKUP('Données projet'!$B$11,Paramètres!$A$1:$I$89,3,0)*VLOOKUP('Données projet'!$B$11,Paramètres!$A$1:$I$89,5,0)</f>
        <v>1.064108801074326E-13</v>
      </c>
      <c r="BF189" s="13">
        <f t="shared" si="167"/>
        <v>1.5870730813698654E-12</v>
      </c>
      <c r="BG189" s="20">
        <f t="shared" si="168"/>
        <v>2.9494845662396269E-12</v>
      </c>
      <c r="BH189" s="59">
        <f t="shared" si="116"/>
        <v>293.33333333333627</v>
      </c>
      <c r="BI189" s="59">
        <f ca="1">AVERAGE(OFFSET($BH$3,0,0,'Données projet'!$E$11+1,1))-AVERAGE(OFFSET($H$3,0,0,'Données projet'!$E$11+1,1))</f>
        <v>297.07458564121606</v>
      </c>
      <c r="BJ189" s="59">
        <f t="shared" si="146"/>
        <v>514.93897725587567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10.428342334153095</v>
      </c>
      <c r="BQ189" s="21">
        <f>EXP(-LN(2)/25)*BQ188+(1-EXP(-LN(2)/25))/(LN(2)/25)*Calculateur!BL189*Calculateur!BN189*VLOOKUP('Données projet'!$B$11,Paramètres!$A$1:$I$89,3,0)*0.475*44/12</f>
        <v>3.8640694298372256</v>
      </c>
      <c r="BR189" s="21">
        <f>EXP(-LN(2)/2)*BR188+(1-EXP(-LN(2)/2))/(LN(2)/2)*BL189*BO189*VLOOKUP('Données projet'!$B$11,Paramètres!$A$1:$I$89,3,0)*0.475*44/12</f>
        <v>1.822402741119018E-23</v>
      </c>
      <c r="BS189" s="22">
        <f t="shared" si="169"/>
        <v>14.292411763990321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87.516000000000417</v>
      </c>
      <c r="D190" s="11">
        <f t="shared" si="140"/>
        <v>23.96517166203774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860.55641282976819</v>
      </c>
      <c r="H190" s="67">
        <f t="shared" si="110"/>
        <v>487.49637397804975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5.1159076974727213E-13</v>
      </c>
      <c r="O190" s="13">
        <f>N190*VLOOKUP('Données projet'!$B$9,Paramètres!$A$1:$I$89,3,0)*VLOOKUP('Données projet'!$B$9,Paramètres!$A$1:$I$89,5,0)</f>
        <v>2.3942448024172334E-13</v>
      </c>
      <c r="P190" s="13">
        <f t="shared" si="141"/>
        <v>3.2492669905861755E-12</v>
      </c>
      <c r="Q190" s="20">
        <f t="shared" si="162"/>
        <v>6.0761376450252565E-12</v>
      </c>
      <c r="R190" s="59">
        <f t="shared" si="109"/>
        <v>293.3333333333394</v>
      </c>
      <c r="S190" s="59">
        <f ca="1">AVERAGE(OFFSET($R$3,0,0,'Données projet'!$E$9+1,1))-AVERAGE(OFFSET($H$3,0,0,'Données projet'!$E$9+1,1))</f>
        <v>157.05226586109279</v>
      </c>
      <c r="T190" s="59">
        <f t="shared" si="142"/>
        <v>76.143582612540229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28.530672768817603</v>
      </c>
      <c r="AA190" s="21">
        <f>EXP(-LN(2)/25)*AA189+(1-EXP(-LN(2)/25))/(LN(2)/25)*Calculateur!V190*Calculateur!X190*VLOOKUP('Données projet'!$B$9,Paramètres!$A$1:$I$89,3,0)*0.475*44/12</f>
        <v>3.8242149872440954</v>
      </c>
      <c r="AB190" s="21">
        <f>EXP(-LN(2)/2)*AB189+(1-EXP(-LN(2)/2))/(LN(2)/2)*V190*Y190*VLOOKUP('Données projet'!$B$9,Paramètres!$A$1:$I$89,3,0)*0.475*44/12</f>
        <v>3.3376071450608576E-11</v>
      </c>
      <c r="AC190" s="22">
        <f t="shared" si="163"/>
        <v>32.354887756095074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-6.3550942286383367E-14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279.32192402750189</v>
      </c>
      <c r="AO190" s="59">
        <f t="shared" si="144"/>
        <v>371.43572414443611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16.598015535793689</v>
      </c>
      <c r="AV190" s="21">
        <f>EXP(-LN(2)/25)*AV189+(1-EXP(-LN(2)/25))/(LN(2)/25)*Calculateur!AQ190*Calculateur!AS190*VLOOKUP('Données projet'!$B$10,Paramètres!$A$1:$I$89,3,0)*0.475*44/12</f>
        <v>1.4826615029179941</v>
      </c>
      <c r="AW190" s="21">
        <f>EXP(-LN(2)/2)*AW189+(1-EXP(-LN(2)/2))/(LN(2)/2)*AQ190*AT190*VLOOKUP('Données projet'!$B$10,Paramètres!$A$1:$I$89,3,0)*0.475*44/12</f>
        <v>4.6297200020245631E-19</v>
      </c>
      <c r="AX190" s="21">
        <f t="shared" si="166"/>
        <v>18.080677038711684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2.2737367544323206E-13</v>
      </c>
      <c r="BE190" s="13">
        <f>BD190*VLOOKUP('Données projet'!$B$11,Paramètres!$A$1:$I$89,3,0)*VLOOKUP('Données projet'!$B$11,Paramètres!$A$1:$I$89,5,0)</f>
        <v>1.064108801074326E-13</v>
      </c>
      <c r="BF190" s="13">
        <f t="shared" si="167"/>
        <v>1.5870730813698654E-12</v>
      </c>
      <c r="BG190" s="20">
        <f t="shared" si="168"/>
        <v>2.9494845662396269E-12</v>
      </c>
      <c r="BH190" s="59">
        <f t="shared" si="116"/>
        <v>293.33333333333627</v>
      </c>
      <c r="BI190" s="59">
        <f ca="1">AVERAGE(OFFSET($BH$3,0,0,'Données projet'!$E$11+1,1))-AVERAGE(OFFSET($H$3,0,0,'Données projet'!$E$11+1,1))</f>
        <v>297.07458564121606</v>
      </c>
      <c r="BJ190" s="59">
        <f t="shared" si="146"/>
        <v>514.93897725587567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10.223848901641114</v>
      </c>
      <c r="BQ190" s="21">
        <f>EXP(-LN(2)/25)*BQ189+(1-EXP(-LN(2)/25))/(LN(2)/25)*Calculateur!BL190*Calculateur!BN190*VLOOKUP('Données projet'!$B$11,Paramètres!$A$1:$I$89,3,0)*0.475*44/12</f>
        <v>3.758406248075747</v>
      </c>
      <c r="BR190" s="21">
        <f>EXP(-LN(2)/2)*BR189+(1-EXP(-LN(2)/2))/(LN(2)/2)*BL190*BO190*VLOOKUP('Données projet'!$B$11,Paramètres!$A$1:$I$89,3,0)*0.475*44/12</f>
        <v>1.2886333362982099E-23</v>
      </c>
      <c r="BS190" s="22">
        <f t="shared" si="169"/>
        <v>13.982255149716861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87.984000000000421</v>
      </c>
      <c r="D191" s="11">
        <f t="shared" si="140"/>
        <v>24.078375128721891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865.042895730488</v>
      </c>
      <c r="H191" s="67">
        <f t="shared" si="110"/>
        <v>488.50863668252464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5.1159076974727213E-13</v>
      </c>
      <c r="O191" s="13">
        <f>N191*VLOOKUP('Données projet'!$B$9,Paramètres!$A$1:$I$89,3,0)*VLOOKUP('Données projet'!$B$9,Paramètres!$A$1:$I$89,5,0)</f>
        <v>2.3942448024172334E-13</v>
      </c>
      <c r="P191" s="13">
        <f t="shared" si="141"/>
        <v>3.2492669905861755E-12</v>
      </c>
      <c r="Q191" s="20">
        <f t="shared" si="162"/>
        <v>6.0761376450252565E-12</v>
      </c>
      <c r="R191" s="59">
        <f t="shared" si="109"/>
        <v>293.3333333333394</v>
      </c>
      <c r="S191" s="59">
        <f ca="1">AVERAGE(OFFSET($R$3,0,0,'Données projet'!$E$9+1,1))-AVERAGE(OFFSET($H$3,0,0,'Données projet'!$E$9+1,1))</f>
        <v>157.05226586109279</v>
      </c>
      <c r="T191" s="59">
        <f t="shared" si="142"/>
        <v>76.143582612540229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27.971203677813175</v>
      </c>
      <c r="AA191" s="21">
        <f>EXP(-LN(2)/25)*AA190+(1-EXP(-LN(2)/25))/(LN(2)/25)*Calculateur!V191*Calculateur!X191*VLOOKUP('Données projet'!$B$9,Paramètres!$A$1:$I$89,3,0)*0.475*44/12</f>
        <v>3.7196416273111796</v>
      </c>
      <c r="AB191" s="21">
        <f>EXP(-LN(2)/2)*AB190+(1-EXP(-LN(2)/2))/(LN(2)/2)*V191*Y191*VLOOKUP('Données projet'!$B$9,Paramètres!$A$1:$I$89,3,0)*0.475*44/12</f>
        <v>2.3600446452092055E-11</v>
      </c>
      <c r="AC191" s="22">
        <f t="shared" si="163"/>
        <v>31.690845305147956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-6.3550942286383367E-14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279.32192402750189</v>
      </c>
      <c r="AO191" s="59">
        <f t="shared" si="144"/>
        <v>371.43572414443611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16.27253857492661</v>
      </c>
      <c r="AV191" s="21">
        <f>EXP(-LN(2)/25)*AV190+(1-EXP(-LN(2)/25))/(LN(2)/25)*Calculateur!AQ191*Calculateur!AS191*VLOOKUP('Données projet'!$B$10,Paramètres!$A$1:$I$89,3,0)*0.475*44/12</f>
        <v>1.4421180461509218</v>
      </c>
      <c r="AW191" s="21">
        <f>EXP(-LN(2)/2)*AW190+(1-EXP(-LN(2)/2))/(LN(2)/2)*AQ191*AT191*VLOOKUP('Données projet'!$B$10,Paramètres!$A$1:$I$89,3,0)*0.475*44/12</f>
        <v>3.2737064084265651E-19</v>
      </c>
      <c r="AX191" s="21">
        <f t="shared" si="166"/>
        <v>17.71465662107753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2.2737367544323206E-13</v>
      </c>
      <c r="BE191" s="13">
        <f>BD191*VLOOKUP('Données projet'!$B$11,Paramètres!$A$1:$I$89,3,0)*VLOOKUP('Données projet'!$B$11,Paramètres!$A$1:$I$89,5,0)</f>
        <v>1.064108801074326E-13</v>
      </c>
      <c r="BF191" s="13">
        <f t="shared" si="167"/>
        <v>1.5870730813698654E-12</v>
      </c>
      <c r="BG191" s="20">
        <f t="shared" si="168"/>
        <v>2.9494845662396269E-12</v>
      </c>
      <c r="BH191" s="59">
        <f t="shared" si="116"/>
        <v>293.33333333333627</v>
      </c>
      <c r="BI191" s="59">
        <f ca="1">AVERAGE(OFFSET($BH$3,0,0,'Données projet'!$E$11+1,1))-AVERAGE(OFFSET($H$3,0,0,'Données projet'!$E$11+1,1))</f>
        <v>297.07458564121606</v>
      </c>
      <c r="BJ191" s="59">
        <f t="shared" si="146"/>
        <v>514.93897725587567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10.023365460612014</v>
      </c>
      <c r="BQ191" s="21">
        <f>EXP(-LN(2)/25)*BQ190+(1-EXP(-LN(2)/25))/(LN(2)/25)*Calculateur!BL191*Calculateur!BN191*VLOOKUP('Données projet'!$B$11,Paramètres!$A$1:$I$89,3,0)*0.475*44/12</f>
        <v>3.6556324315761208</v>
      </c>
      <c r="BR191" s="21">
        <f>EXP(-LN(2)/2)*BR190+(1-EXP(-LN(2)/2))/(LN(2)/2)*BL191*BO191*VLOOKUP('Données projet'!$B$11,Paramètres!$A$1:$I$89,3,0)*0.475*44/12</f>
        <v>9.1120137055950913E-24</v>
      </c>
      <c r="BS191" s="22">
        <f t="shared" si="169"/>
        <v>13.678997892188136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88.452000000000425</v>
      </c>
      <c r="D192" s="11">
        <f t="shared" si="140"/>
        <v>24.191508526944062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869.52883775185228</v>
      </c>
      <c r="H192" s="67">
        <f t="shared" si="110"/>
        <v>489.52077735109492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5.1159076974727213E-13</v>
      </c>
      <c r="O192" s="13">
        <f>N192*VLOOKUP('Données projet'!$B$9,Paramètres!$A$1:$I$89,3,0)*VLOOKUP('Données projet'!$B$9,Paramètres!$A$1:$I$89,5,0)</f>
        <v>2.3942448024172334E-13</v>
      </c>
      <c r="P192" s="13">
        <f t="shared" si="141"/>
        <v>3.2492669905861755E-12</v>
      </c>
      <c r="Q192" s="20">
        <f t="shared" si="162"/>
        <v>6.0761376450252565E-12</v>
      </c>
      <c r="R192" s="59">
        <f t="shared" si="109"/>
        <v>293.3333333333394</v>
      </c>
      <c r="S192" s="59">
        <f ca="1">AVERAGE(OFFSET($R$3,0,0,'Données projet'!$E$9+1,1))-AVERAGE(OFFSET($H$3,0,0,'Données projet'!$E$9+1,1))</f>
        <v>157.05226586109279</v>
      </c>
      <c r="T192" s="59">
        <f t="shared" si="142"/>
        <v>76.143582612540229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27.422705434440893</v>
      </c>
      <c r="AA192" s="21">
        <f>EXP(-LN(2)/25)*AA191+(1-EXP(-LN(2)/25))/(LN(2)/25)*Calculateur!V192*Calculateur!X192*VLOOKUP('Données projet'!$B$9,Paramètres!$A$1:$I$89,3,0)*0.475*44/12</f>
        <v>3.6179278314049035</v>
      </c>
      <c r="AB192" s="21">
        <f>EXP(-LN(2)/2)*AB191+(1-EXP(-LN(2)/2))/(LN(2)/2)*V192*Y192*VLOOKUP('Données projet'!$B$9,Paramètres!$A$1:$I$89,3,0)*0.475*44/12</f>
        <v>1.6688035725304288E-11</v>
      </c>
      <c r="AC192" s="22">
        <f t="shared" si="163"/>
        <v>31.040633265862482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-6.3550942286383367E-14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279.32192402750189</v>
      </c>
      <c r="AO192" s="59">
        <f t="shared" si="144"/>
        <v>371.43572414443611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15.953444018740791</v>
      </c>
      <c r="AV192" s="21">
        <f>EXP(-LN(2)/25)*AV191+(1-EXP(-LN(2)/25))/(LN(2)/25)*Calculateur!AQ192*Calculateur!AS192*VLOOKUP('Données projet'!$B$10,Paramètres!$A$1:$I$89,3,0)*0.475*44/12</f>
        <v>1.4026832523412327</v>
      </c>
      <c r="AW192" s="21">
        <f>EXP(-LN(2)/2)*AW191+(1-EXP(-LN(2)/2))/(LN(2)/2)*AQ192*AT192*VLOOKUP('Données projet'!$B$10,Paramètres!$A$1:$I$89,3,0)*0.475*44/12</f>
        <v>2.3148600010122816E-19</v>
      </c>
      <c r="AX192" s="21">
        <f t="shared" si="166"/>
        <v>17.356127271082023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2.2737367544323206E-13</v>
      </c>
      <c r="BE192" s="13">
        <f>BD192*VLOOKUP('Données projet'!$B$11,Paramètres!$A$1:$I$89,3,0)*VLOOKUP('Données projet'!$B$11,Paramètres!$A$1:$I$89,5,0)</f>
        <v>1.064108801074326E-13</v>
      </c>
      <c r="BF192" s="13">
        <f t="shared" si="167"/>
        <v>1.5870730813698654E-12</v>
      </c>
      <c r="BG192" s="20">
        <f t="shared" si="168"/>
        <v>2.9494845662396269E-12</v>
      </c>
      <c r="BH192" s="59">
        <f t="shared" si="116"/>
        <v>293.33333333333627</v>
      </c>
      <c r="BI192" s="59">
        <f ca="1">AVERAGE(OFFSET($BH$3,0,0,'Données projet'!$E$11+1,1))-AVERAGE(OFFSET($H$3,0,0,'Données projet'!$E$11+1,1))</f>
        <v>297.07458564121606</v>
      </c>
      <c r="BJ192" s="59">
        <f t="shared" si="146"/>
        <v>514.93897725587567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9.8268133775786719</v>
      </c>
      <c r="BQ192" s="21">
        <f>EXP(-LN(2)/25)*BQ191+(1-EXP(-LN(2)/25))/(LN(2)/25)*Calculateur!BL192*Calculateur!BN192*VLOOKUP('Données projet'!$B$11,Paramètres!$A$1:$I$89,3,0)*0.475*44/12</f>
        <v>3.5556689704933171</v>
      </c>
      <c r="BR192" s="21">
        <f>EXP(-LN(2)/2)*BR191+(1-EXP(-LN(2)/2))/(LN(2)/2)*BL192*BO192*VLOOKUP('Données projet'!$B$11,Paramètres!$A$1:$I$89,3,0)*0.475*44/12</f>
        <v>6.443166681491051E-24</v>
      </c>
      <c r="BS192" s="22">
        <f t="shared" si="169"/>
        <v>13.382482348071989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88.920000000000428</v>
      </c>
      <c r="D193" s="11">
        <f t="shared" si="140"/>
        <v>24.304572270466586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874.01424208781555</v>
      </c>
      <c r="H193" s="67">
        <f t="shared" si="110"/>
        <v>490.53279670439667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5.1159076974727213E-13</v>
      </c>
      <c r="O193" s="13">
        <f>N193*VLOOKUP('Données projet'!$B$9,Paramètres!$A$1:$I$89,3,0)*VLOOKUP('Données projet'!$B$9,Paramètres!$A$1:$I$89,5,0)</f>
        <v>2.3942448024172334E-13</v>
      </c>
      <c r="P193" s="13">
        <f t="shared" si="141"/>
        <v>3.2492669905861755E-12</v>
      </c>
      <c r="Q193" s="20">
        <f t="shared" si="162"/>
        <v>6.0761376450252565E-12</v>
      </c>
      <c r="R193" s="59">
        <f t="shared" si="109"/>
        <v>293.3333333333394</v>
      </c>
      <c r="S193" s="59">
        <f ca="1">AVERAGE(OFFSET($R$3,0,0,'Données projet'!$E$9+1,1))-AVERAGE(OFFSET($H$3,0,0,'Données projet'!$E$9+1,1))</f>
        <v>157.05226586109279</v>
      </c>
      <c r="T193" s="59">
        <f t="shared" si="142"/>
        <v>76.143582612540229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26.884962907070246</v>
      </c>
      <c r="AA193" s="21">
        <f>EXP(-LN(2)/25)*AA192+(1-EXP(-LN(2)/25))/(LN(2)/25)*Calculateur!V193*Calculateur!X193*VLOOKUP('Données projet'!$B$9,Paramètres!$A$1:$I$89,3,0)*0.475*44/12</f>
        <v>3.5189954045965806</v>
      </c>
      <c r="AB193" s="21">
        <f>EXP(-LN(2)/2)*AB192+(1-EXP(-LN(2)/2))/(LN(2)/2)*V193*Y193*VLOOKUP('Données projet'!$B$9,Paramètres!$A$1:$I$89,3,0)*0.475*44/12</f>
        <v>1.1800223226046027E-11</v>
      </c>
      <c r="AC193" s="22">
        <f t="shared" si="163"/>
        <v>30.403958311678625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-6.3550942286383367E-14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279.32192402750189</v>
      </c>
      <c r="AO193" s="59">
        <f t="shared" si="144"/>
        <v>371.43572414443611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15.640606712173314</v>
      </c>
      <c r="AV193" s="21">
        <f>EXP(-LN(2)/25)*AV192+(1-EXP(-LN(2)/25))/(LN(2)/25)*Calculateur!AQ193*Calculateur!AS193*VLOOKUP('Données projet'!$B$10,Paramètres!$A$1:$I$89,3,0)*0.475*44/12</f>
        <v>1.3643268050420554</v>
      </c>
      <c r="AW193" s="21">
        <f>EXP(-LN(2)/2)*AW192+(1-EXP(-LN(2)/2))/(LN(2)/2)*AQ193*AT193*VLOOKUP('Données projet'!$B$10,Paramètres!$A$1:$I$89,3,0)*0.475*44/12</f>
        <v>1.6368532042132826E-19</v>
      </c>
      <c r="AX193" s="21">
        <f t="shared" si="166"/>
        <v>17.00493351721537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2.2737367544323206E-13</v>
      </c>
      <c r="BE193" s="13">
        <f>BD193*VLOOKUP('Données projet'!$B$11,Paramètres!$A$1:$I$89,3,0)*VLOOKUP('Données projet'!$B$11,Paramètres!$A$1:$I$89,5,0)</f>
        <v>1.064108801074326E-13</v>
      </c>
      <c r="BF193" s="13">
        <f t="shared" si="167"/>
        <v>1.5870730813698654E-12</v>
      </c>
      <c r="BG193" s="20">
        <f t="shared" si="168"/>
        <v>2.9494845662396269E-12</v>
      </c>
      <c r="BH193" s="59">
        <f t="shared" si="116"/>
        <v>293.33333333333627</v>
      </c>
      <c r="BI193" s="59">
        <f ca="1">AVERAGE(OFFSET($BH$3,0,0,'Données projet'!$E$11+1,1))-AVERAGE(OFFSET($H$3,0,0,'Données projet'!$E$11+1,1))</f>
        <v>297.07458564121606</v>
      </c>
      <c r="BJ193" s="59">
        <f t="shared" si="146"/>
        <v>514.93897725587567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9.6341155610086791</v>
      </c>
      <c r="BQ193" s="21">
        <f>EXP(-LN(2)/25)*BQ192+(1-EXP(-LN(2)/25))/(LN(2)/25)*Calculateur!BL193*Calculateur!BN193*VLOOKUP('Données projet'!$B$11,Paramètres!$A$1:$I$89,3,0)*0.475*44/12</f>
        <v>3.4584390155106726</v>
      </c>
      <c r="BR193" s="21">
        <f>EXP(-LN(2)/2)*BR192+(1-EXP(-LN(2)/2))/(LN(2)/2)*BL193*BO193*VLOOKUP('Données projet'!$B$11,Paramètres!$A$1:$I$89,3,0)*0.475*44/12</f>
        <v>4.5560068527975464E-24</v>
      </c>
      <c r="BS193" s="22">
        <f t="shared" si="169"/>
        <v>13.092554576519351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89.388000000000432</v>
      </c>
      <c r="D194" s="11">
        <f t="shared" si="140"/>
        <v>24.417566768444267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878.49911189676607</v>
      </c>
      <c r="H194" s="67">
        <f t="shared" si="110"/>
        <v>491.54469545504116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5.1159076974727213E-13</v>
      </c>
      <c r="O194" s="13">
        <f>N194*VLOOKUP('Données projet'!$B$9,Paramètres!$A$1:$I$89,3,0)*VLOOKUP('Données projet'!$B$9,Paramètres!$A$1:$I$89,5,0)</f>
        <v>2.3942448024172334E-13</v>
      </c>
      <c r="P194" s="13">
        <f t="shared" si="141"/>
        <v>3.2492669905861755E-12</v>
      </c>
      <c r="Q194" s="20">
        <f t="shared" si="162"/>
        <v>6.0761376450252565E-12</v>
      </c>
      <c r="R194" s="59">
        <f t="shared" si="109"/>
        <v>293.3333333333394</v>
      </c>
      <c r="S194" s="59">
        <f ca="1">AVERAGE(OFFSET($R$3,0,0,'Données projet'!$E$9+1,1))-AVERAGE(OFFSET($H$3,0,0,'Données projet'!$E$9+1,1))</f>
        <v>157.05226586109279</v>
      </c>
      <c r="T194" s="59">
        <f t="shared" si="142"/>
        <v>76.143582612540229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26.357765182670782</v>
      </c>
      <c r="AA194" s="21">
        <f>EXP(-LN(2)/25)*AA193+(1-EXP(-LN(2)/25))/(LN(2)/25)*Calculateur!V194*Calculateur!X194*VLOOKUP('Données projet'!$B$9,Paramètres!$A$1:$I$89,3,0)*0.475*44/12</f>
        <v>3.4227682902019616</v>
      </c>
      <c r="AB194" s="21">
        <f>EXP(-LN(2)/2)*AB193+(1-EXP(-LN(2)/2))/(LN(2)/2)*V194*Y194*VLOOKUP('Données projet'!$B$9,Paramètres!$A$1:$I$89,3,0)*0.475*44/12</f>
        <v>8.3440178626521441E-12</v>
      </c>
      <c r="AC194" s="22">
        <f t="shared" si="163"/>
        <v>29.780533472881089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-6.3550942286383367E-14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279.32192402750189</v>
      </c>
      <c r="AO194" s="59">
        <f t="shared" si="144"/>
        <v>371.43572414443611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15.33390395437571</v>
      </c>
      <c r="AV194" s="21">
        <f>EXP(-LN(2)/25)*AV193+(1-EXP(-LN(2)/25))/(LN(2)/25)*Calculateur!AQ194*Calculateur!AS194*VLOOKUP('Données projet'!$B$10,Paramètres!$A$1:$I$89,3,0)*0.475*44/12</f>
        <v>1.3270192168113519</v>
      </c>
      <c r="AW194" s="21">
        <f>EXP(-LN(2)/2)*AW193+(1-EXP(-LN(2)/2))/(LN(2)/2)*AQ194*AT194*VLOOKUP('Données projet'!$B$10,Paramètres!$A$1:$I$89,3,0)*0.475*44/12</f>
        <v>1.1574300005061408E-19</v>
      </c>
      <c r="AX194" s="21">
        <f t="shared" si="166"/>
        <v>16.660923171187061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2.2737367544323206E-13</v>
      </c>
      <c r="BE194" s="13">
        <f>BD194*VLOOKUP('Données projet'!$B$11,Paramètres!$A$1:$I$89,3,0)*VLOOKUP('Données projet'!$B$11,Paramètres!$A$1:$I$89,5,0)</f>
        <v>1.064108801074326E-13</v>
      </c>
      <c r="BF194" s="13">
        <f t="shared" si="167"/>
        <v>1.5870730813698654E-12</v>
      </c>
      <c r="BG194" s="20">
        <f t="shared" si="168"/>
        <v>2.9494845662396269E-12</v>
      </c>
      <c r="BH194" s="59">
        <f t="shared" si="116"/>
        <v>293.33333333333627</v>
      </c>
      <c r="BI194" s="59">
        <f ca="1">AVERAGE(OFFSET($BH$3,0,0,'Données projet'!$E$11+1,1))-AVERAGE(OFFSET($H$3,0,0,'Données projet'!$E$11+1,1))</f>
        <v>297.07458564121606</v>
      </c>
      <c r="BJ194" s="59">
        <f t="shared" si="146"/>
        <v>514.93897725587567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9.4451964310875614</v>
      </c>
      <c r="BQ194" s="21">
        <f>EXP(-LN(2)/25)*BQ193+(1-EXP(-LN(2)/25))/(LN(2)/25)*Calculateur!BL194*Calculateur!BN194*VLOOKUP('Données projet'!$B$11,Paramètres!$A$1:$I$89,3,0)*0.475*44/12</f>
        <v>3.3638678187601299</v>
      </c>
      <c r="BR194" s="21">
        <f>EXP(-LN(2)/2)*BR193+(1-EXP(-LN(2)/2))/(LN(2)/2)*BL194*BO194*VLOOKUP('Données projet'!$B$11,Paramètres!$A$1:$I$89,3,0)*0.475*44/12</f>
        <v>3.2215833407455258E-24</v>
      </c>
      <c r="BS194" s="22">
        <f t="shared" si="169"/>
        <v>12.80906424984769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89.856000000000435</v>
      </c>
      <c r="D195" s="11">
        <f t="shared" si="140"/>
        <v>24.530492425499521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882.98345030210487</v>
      </c>
      <c r="H195" s="67">
        <f t="shared" si="110"/>
        <v>492.5564743077457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5.1159076974727213E-13</v>
      </c>
      <c r="O195" s="13">
        <f>N195*VLOOKUP('Données projet'!$B$9,Paramètres!$A$1:$I$89,3,0)*VLOOKUP('Données projet'!$B$9,Paramètres!$A$1:$I$89,5,0)</f>
        <v>2.3942448024172334E-13</v>
      </c>
      <c r="P195" s="13">
        <f t="shared" si="141"/>
        <v>3.2492669905861755E-12</v>
      </c>
      <c r="Q195" s="20">
        <f t="shared" si="162"/>
        <v>6.0761376450252565E-12</v>
      </c>
      <c r="R195" s="59">
        <f t="shared" ref="R195:R203" si="191">Q195+(I195+J195)*44/12</f>
        <v>293.3333333333394</v>
      </c>
      <c r="S195" s="59">
        <f ca="1">AVERAGE(OFFSET($R$3,0,0,'Données projet'!$E$9+1,1))-AVERAGE(OFFSET($H$3,0,0,'Données projet'!$E$9+1,1))</f>
        <v>157.05226586109279</v>
      </c>
      <c r="T195" s="59">
        <f t="shared" si="142"/>
        <v>76.143582612540229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25.840905484087934</v>
      </c>
      <c r="AA195" s="21">
        <f>EXP(-LN(2)/25)*AA194+(1-EXP(-LN(2)/25))/(LN(2)/25)*Calculateur!V195*Calculateur!X195*VLOOKUP('Données projet'!$B$9,Paramètres!$A$1:$I$89,3,0)*0.475*44/12</f>
        <v>3.3291725113108273</v>
      </c>
      <c r="AB195" s="21">
        <f>EXP(-LN(2)/2)*AB194+(1-EXP(-LN(2)/2))/(LN(2)/2)*V195*Y195*VLOOKUP('Données projet'!$B$9,Paramètres!$A$1:$I$89,3,0)*0.475*44/12</f>
        <v>5.9001116130230137E-12</v>
      </c>
      <c r="AC195" s="22">
        <f t="shared" si="163"/>
        <v>29.170077995404661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-6.3550942286383367E-14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279.32192402750189</v>
      </c>
      <c r="AO195" s="59">
        <f t="shared" si="144"/>
        <v>371.43572414443611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15.033215450588306</v>
      </c>
      <c r="AV195" s="21">
        <f>EXP(-LN(2)/25)*AV194+(1-EXP(-LN(2)/25))/(LN(2)/25)*Calculateur!AQ195*Calculateur!AS195*VLOOKUP('Données projet'!$B$10,Paramètres!$A$1:$I$89,3,0)*0.475*44/12</f>
        <v>1.2907318065427378</v>
      </c>
      <c r="AW195" s="21">
        <f>EXP(-LN(2)/2)*AW194+(1-EXP(-LN(2)/2))/(LN(2)/2)*AQ195*AT195*VLOOKUP('Données projet'!$B$10,Paramètres!$A$1:$I$89,3,0)*0.475*44/12</f>
        <v>8.1842660210664128E-20</v>
      </c>
      <c r="AX195" s="21">
        <f t="shared" si="166"/>
        <v>16.323947257131046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2.2737367544323206E-13</v>
      </c>
      <c r="BE195" s="13">
        <f>BD195*VLOOKUP('Données projet'!$B$11,Paramètres!$A$1:$I$89,3,0)*VLOOKUP('Données projet'!$B$11,Paramètres!$A$1:$I$89,5,0)</f>
        <v>1.064108801074326E-13</v>
      </c>
      <c r="BF195" s="13">
        <f t="shared" si="167"/>
        <v>1.5870730813698654E-12</v>
      </c>
      <c r="BG195" s="20">
        <f t="shared" si="168"/>
        <v>2.9494845662396269E-12</v>
      </c>
      <c r="BH195" s="59">
        <f t="shared" si="116"/>
        <v>293.33333333333627</v>
      </c>
      <c r="BI195" s="59">
        <f ca="1">AVERAGE(OFFSET($BH$3,0,0,'Données projet'!$E$11+1,1))-AVERAGE(OFFSET($H$3,0,0,'Données projet'!$E$11+1,1))</f>
        <v>297.07458564121606</v>
      </c>
      <c r="BJ195" s="59">
        <f t="shared" si="146"/>
        <v>514.93897725587567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9.259981890074906</v>
      </c>
      <c r="BQ195" s="21">
        <f>EXP(-LN(2)/25)*BQ194+(1-EXP(-LN(2)/25))/(LN(2)/25)*Calculateur!BL195*Calculateur!BN195*VLOOKUP('Données projet'!$B$11,Paramètres!$A$1:$I$89,3,0)*0.475*44/12</f>
        <v>3.2718826763580138</v>
      </c>
      <c r="BR195" s="21">
        <f>EXP(-LN(2)/2)*BR194+(1-EXP(-LN(2)/2))/(LN(2)/2)*BL195*BO195*VLOOKUP('Données projet'!$B$11,Paramètres!$A$1:$I$89,3,0)*0.475*44/12</f>
        <v>2.2780034263987736E-24</v>
      </c>
      <c r="BS195" s="22">
        <f t="shared" si="169"/>
        <v>12.531864566432919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90.324000000000439</v>
      </c>
      <c r="D196" s="11">
        <f t="shared" si="140"/>
        <v>24.643349641795954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887.4672603928143</v>
      </c>
      <c r="H196" s="67">
        <f t="shared" ref="H196:H203" si="192">(B196+E196+F196)*44/12+(C196+D196)*0.475*44/12</f>
        <v>493.56813395946199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5.1159076974727213E-13</v>
      </c>
      <c r="O196" s="13">
        <f>N196*VLOOKUP('Données projet'!$B$9,Paramètres!$A$1:$I$89,3,0)*VLOOKUP('Données projet'!$B$9,Paramètres!$A$1:$I$89,5,0)</f>
        <v>2.3942448024172334E-13</v>
      </c>
      <c r="P196" s="13">
        <f t="shared" si="141"/>
        <v>3.2492669905861755E-12</v>
      </c>
      <c r="Q196" s="20">
        <f t="shared" si="162"/>
        <v>6.0761376450252565E-12</v>
      </c>
      <c r="R196" s="59">
        <f t="shared" si="191"/>
        <v>293.3333333333394</v>
      </c>
      <c r="S196" s="59">
        <f ca="1">AVERAGE(OFFSET($R$3,0,0,'Données projet'!$E$9+1,1))-AVERAGE(OFFSET($H$3,0,0,'Données projet'!$E$9+1,1))</f>
        <v>157.05226586109279</v>
      </c>
      <c r="T196" s="59">
        <f t="shared" si="142"/>
        <v>76.143582612540229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25.334181088941005</v>
      </c>
      <c r="AA196" s="21">
        <f>EXP(-LN(2)/25)*AA195+(1-EXP(-LN(2)/25))/(LN(2)/25)*Calculateur!V196*Calculateur!X196*VLOOKUP('Données projet'!$B$9,Paramètres!$A$1:$I$89,3,0)*0.475*44/12</f>
        <v>3.2381361139154592</v>
      </c>
      <c r="AB196" s="21">
        <f>EXP(-LN(2)/2)*AB195+(1-EXP(-LN(2)/2))/(LN(2)/2)*V196*Y196*VLOOKUP('Données projet'!$B$9,Paramètres!$A$1:$I$89,3,0)*0.475*44/12</f>
        <v>4.172008931326072E-12</v>
      </c>
      <c r="AC196" s="22">
        <f t="shared" si="163"/>
        <v>28.572317202860635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-6.3550942286383367E-14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279.32192402750189</v>
      </c>
      <c r="AO196" s="59">
        <f t="shared" si="144"/>
        <v>371.43572414443611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14.738423264958296</v>
      </c>
      <c r="AV196" s="21">
        <f>EXP(-LN(2)/25)*AV195+(1-EXP(-LN(2)/25))/(LN(2)/25)*Calculateur!AQ196*Calculateur!AS196*VLOOKUP('Données projet'!$B$10,Paramètres!$A$1:$I$89,3,0)*0.475*44/12</f>
        <v>1.2554366774161909</v>
      </c>
      <c r="AW196" s="21">
        <f>EXP(-LN(2)/2)*AW195+(1-EXP(-LN(2)/2))/(LN(2)/2)*AQ196*AT196*VLOOKUP('Données projet'!$B$10,Paramètres!$A$1:$I$89,3,0)*0.475*44/12</f>
        <v>5.7871500025307039E-20</v>
      </c>
      <c r="AX196" s="21">
        <f t="shared" si="166"/>
        <v>15.993859942374486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2.2737367544323206E-13</v>
      </c>
      <c r="BE196" s="13">
        <f>BD196*VLOOKUP('Données projet'!$B$11,Paramètres!$A$1:$I$89,3,0)*VLOOKUP('Données projet'!$B$11,Paramètres!$A$1:$I$89,5,0)</f>
        <v>1.064108801074326E-13</v>
      </c>
      <c r="BF196" s="13">
        <f t="shared" si="167"/>
        <v>1.5870730813698654E-12</v>
      </c>
      <c r="BG196" s="20">
        <f t="shared" si="168"/>
        <v>2.9494845662396269E-12</v>
      </c>
      <c r="BH196" s="59">
        <f t="shared" ref="BH196:BH203" si="194">BG196+(AY196+AZ196)*44/12</f>
        <v>293.33333333333627</v>
      </c>
      <c r="BI196" s="59">
        <f ca="1">AVERAGE(OFFSET($BH$3,0,0,'Données projet'!$E$11+1,1))-AVERAGE(OFFSET($H$3,0,0,'Données projet'!$E$11+1,1))</f>
        <v>297.07458564121606</v>
      </c>
      <c r="BJ196" s="59">
        <f t="shared" si="146"/>
        <v>514.93897725587567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9.0783992932417927</v>
      </c>
      <c r="BQ196" s="21">
        <f>EXP(-LN(2)/25)*BQ195+(1-EXP(-LN(2)/25))/(LN(2)/25)*Calculateur!BL196*Calculateur!BN196*VLOOKUP('Données projet'!$B$11,Paramètres!$A$1:$I$89,3,0)*0.475*44/12</f>
        <v>3.1824128725121721</v>
      </c>
      <c r="BR196" s="21">
        <f>EXP(-LN(2)/2)*BR195+(1-EXP(-LN(2)/2))/(LN(2)/2)*BL196*BO196*VLOOKUP('Données projet'!$B$11,Paramètres!$A$1:$I$89,3,0)*0.475*44/12</f>
        <v>1.6107916703727633E-24</v>
      </c>
      <c r="BS196" s="22">
        <f t="shared" si="169"/>
        <v>12.260812165753965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90.792000000000442</v>
      </c>
      <c r="D197" s="11">
        <f t="shared" ref="D197:D203" si="202">IFERROR(EXP(-1.0587+0.8836*LN(C197)+0.284),0)</f>
        <v>24.756138813110294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891.95054522401279</v>
      </c>
      <c r="H197" s="67">
        <f t="shared" si="192"/>
        <v>494.57967509950117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5.1159076974727213E-13</v>
      </c>
      <c r="O197" s="13">
        <f>N197*VLOOKUP('Données projet'!$B$9,Paramètres!$A$1:$I$89,3,0)*VLOOKUP('Données projet'!$B$9,Paramètres!$A$1:$I$89,5,0)</f>
        <v>2.3942448024172334E-13</v>
      </c>
      <c r="P197" s="13">
        <f t="shared" ref="P197:P203" si="203">EXP(-1.0587+0.8836*LN(O197)+0.284)</f>
        <v>3.2492669905861755E-12</v>
      </c>
      <c r="Q197" s="20">
        <f t="shared" si="162"/>
        <v>6.0761376450252565E-12</v>
      </c>
      <c r="R197" s="59">
        <f t="shared" si="191"/>
        <v>293.3333333333394</v>
      </c>
      <c r="S197" s="59">
        <f ca="1">AVERAGE(OFFSET($R$3,0,0,'Données projet'!$E$9+1,1))-AVERAGE(OFFSET($H$3,0,0,'Données projet'!$E$9+1,1))</f>
        <v>157.05226586109279</v>
      </c>
      <c r="T197" s="59">
        <f t="shared" ref="T197:T203" si="204">$T$3</f>
        <v>76.143582612540229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24.837393250111546</v>
      </c>
      <c r="AA197" s="21">
        <f>EXP(-LN(2)/25)*AA196+(1-EXP(-LN(2)/25))/(LN(2)/25)*Calculateur!V197*Calculateur!X197*VLOOKUP('Données projet'!$B$9,Paramètres!$A$1:$I$89,3,0)*0.475*44/12</f>
        <v>3.1495891115942638</v>
      </c>
      <c r="AB197" s="21">
        <f>EXP(-LN(2)/2)*AB196+(1-EXP(-LN(2)/2))/(LN(2)/2)*V197*Y197*VLOOKUP('Données projet'!$B$9,Paramètres!$A$1:$I$89,3,0)*0.475*44/12</f>
        <v>2.9500558065115069E-12</v>
      </c>
      <c r="AC197" s="22">
        <f t="shared" si="163"/>
        <v>27.986982361708758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-6.3550942286383367E-14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279.32192402750189</v>
      </c>
      <c r="AO197" s="59">
        <f t="shared" ref="AO197:AO203" si="205">$AO$3</f>
        <v>371.43572414443611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14.449411774283011</v>
      </c>
      <c r="AV197" s="21">
        <f>EXP(-LN(2)/25)*AV196+(1-EXP(-LN(2)/25))/(LN(2)/25)*Calculateur!AQ197*Calculateur!AS197*VLOOKUP('Données projet'!$B$10,Paramètres!$A$1:$I$89,3,0)*0.475*44/12</f>
        <v>1.2211066954516996</v>
      </c>
      <c r="AW197" s="21">
        <f>EXP(-LN(2)/2)*AW196+(1-EXP(-LN(2)/2))/(LN(2)/2)*AQ197*AT197*VLOOKUP('Données projet'!$B$10,Paramètres!$A$1:$I$89,3,0)*0.475*44/12</f>
        <v>4.0921330105332064E-20</v>
      </c>
      <c r="AX197" s="21">
        <f t="shared" si="166"/>
        <v>15.670518469734709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2.2737367544323206E-13</v>
      </c>
      <c r="BE197" s="13">
        <f>BD197*VLOOKUP('Données projet'!$B$11,Paramètres!$A$1:$I$89,3,0)*VLOOKUP('Données projet'!$B$11,Paramètres!$A$1:$I$89,5,0)</f>
        <v>1.064108801074326E-13</v>
      </c>
      <c r="BF197" s="13">
        <f t="shared" si="167"/>
        <v>1.5870730813698654E-12</v>
      </c>
      <c r="BG197" s="20">
        <f t="shared" si="168"/>
        <v>2.9494845662396269E-12</v>
      </c>
      <c r="BH197" s="59">
        <f t="shared" si="194"/>
        <v>293.33333333333627</v>
      </c>
      <c r="BI197" s="59">
        <f ca="1">AVERAGE(OFFSET($BH$3,0,0,'Données projet'!$E$11+1,1))-AVERAGE(OFFSET($H$3,0,0,'Données projet'!$E$11+1,1))</f>
        <v>297.07458564121606</v>
      </c>
      <c r="BJ197" s="59">
        <f t="shared" ref="BJ197:BJ203" si="206">$BJ$3</f>
        <v>514.93897725587567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8.9003774203781294</v>
      </c>
      <c r="BQ197" s="21">
        <f>EXP(-LN(2)/25)*BQ196+(1-EXP(-LN(2)/25))/(LN(2)/25)*Calculateur!BL197*Calculateur!BN197*VLOOKUP('Données projet'!$B$11,Paramètres!$A$1:$I$89,3,0)*0.475*44/12</f>
        <v>3.0953896251575075</v>
      </c>
      <c r="BR197" s="21">
        <f>EXP(-LN(2)/2)*BR196+(1-EXP(-LN(2)/2))/(LN(2)/2)*BL197*BO197*VLOOKUP('Données projet'!$B$11,Paramètres!$A$1:$I$89,3,0)*0.475*44/12</f>
        <v>1.139001713199387E-24</v>
      </c>
      <c r="BS197" s="22">
        <f t="shared" si="169"/>
        <v>11.995767045535636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91.260000000000446</v>
      </c>
      <c r="D198" s="11">
        <f t="shared" si="202"/>
        <v>24.868860330902901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896.43330781749955</v>
      </c>
      <c r="H198" s="67">
        <f t="shared" si="192"/>
        <v>495.59109840965664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5.1159076974727213E-13</v>
      </c>
      <c r="O198" s="13">
        <f>N198*VLOOKUP('Données projet'!$B$9,Paramètres!$A$1:$I$89,3,0)*VLOOKUP('Données projet'!$B$9,Paramètres!$A$1:$I$89,5,0)</f>
        <v>2.3942448024172334E-13</v>
      </c>
      <c r="P198" s="13">
        <f t="shared" si="203"/>
        <v>3.2492669905861755E-12</v>
      </c>
      <c r="Q198" s="20">
        <f t="shared" si="162"/>
        <v>6.0761376450252565E-12</v>
      </c>
      <c r="R198" s="59">
        <f t="shared" si="191"/>
        <v>293.3333333333394</v>
      </c>
      <c r="S198" s="59">
        <f ca="1">AVERAGE(OFFSET($R$3,0,0,'Données projet'!$E$9+1,1))-AVERAGE(OFFSET($H$3,0,0,'Données projet'!$E$9+1,1))</f>
        <v>157.05226586109279</v>
      </c>
      <c r="T198" s="59">
        <f t="shared" si="204"/>
        <v>76.143582612540229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24.350347117790871</v>
      </c>
      <c r="AA198" s="21">
        <f>EXP(-LN(2)/25)*AA197+(1-EXP(-LN(2)/25))/(LN(2)/25)*Calculateur!V198*Calculateur!X198*VLOOKUP('Données projet'!$B$9,Paramètres!$A$1:$I$89,3,0)*0.475*44/12</f>
        <v>3.0634634317080258</v>
      </c>
      <c r="AB198" s="21">
        <f>EXP(-LN(2)/2)*AB197+(1-EXP(-LN(2)/2))/(LN(2)/2)*V198*Y198*VLOOKUP('Données projet'!$B$9,Paramètres!$A$1:$I$89,3,0)*0.475*44/12</f>
        <v>2.086004465663036E-12</v>
      </c>
      <c r="AC198" s="22">
        <f t="shared" si="163"/>
        <v>27.413810549500983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-6.3550942286383367E-14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279.32192402750189</v>
      </c>
      <c r="AO198" s="59">
        <f t="shared" si="205"/>
        <v>371.43572414443611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14.166067622660265</v>
      </c>
      <c r="AV198" s="21">
        <f>EXP(-LN(2)/25)*AV197+(1-EXP(-LN(2)/25))/(LN(2)/25)*Calculateur!AQ198*Calculateur!AS198*VLOOKUP('Données projet'!$B$10,Paramètres!$A$1:$I$89,3,0)*0.475*44/12</f>
        <v>1.1877154686493627</v>
      </c>
      <c r="AW198" s="21">
        <f>EXP(-LN(2)/2)*AW197+(1-EXP(-LN(2)/2))/(LN(2)/2)*AQ198*AT198*VLOOKUP('Données projet'!$B$10,Paramètres!$A$1:$I$89,3,0)*0.475*44/12</f>
        <v>2.893575001265352E-20</v>
      </c>
      <c r="AX198" s="21">
        <f t="shared" si="166"/>
        <v>15.353783091309626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2.2737367544323206E-13</v>
      </c>
      <c r="BE198" s="13">
        <f>BD198*VLOOKUP('Données projet'!$B$11,Paramètres!$A$1:$I$89,3,0)*VLOOKUP('Données projet'!$B$11,Paramètres!$A$1:$I$89,5,0)</f>
        <v>1.064108801074326E-13</v>
      </c>
      <c r="BF198" s="13">
        <f t="shared" si="167"/>
        <v>1.5870730813698654E-12</v>
      </c>
      <c r="BG198" s="20">
        <f t="shared" si="168"/>
        <v>2.9494845662396269E-12</v>
      </c>
      <c r="BH198" s="59">
        <f t="shared" si="194"/>
        <v>293.33333333333627</v>
      </c>
      <c r="BI198" s="59">
        <f ca="1">AVERAGE(OFFSET($BH$3,0,0,'Données projet'!$E$11+1,1))-AVERAGE(OFFSET($H$3,0,0,'Données projet'!$E$11+1,1))</f>
        <v>297.07458564121606</v>
      </c>
      <c r="BJ198" s="59">
        <f t="shared" si="206"/>
        <v>514.93897725587567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8.7258464478587019</v>
      </c>
      <c r="BQ198" s="21">
        <f>EXP(-LN(2)/25)*BQ197+(1-EXP(-LN(2)/25))/(LN(2)/25)*Calculateur!BL198*Calculateur!BN198*VLOOKUP('Données projet'!$B$11,Paramètres!$A$1:$I$89,3,0)*0.475*44/12</f>
        <v>3.0107460330781097</v>
      </c>
      <c r="BR198" s="21">
        <f>EXP(-LN(2)/2)*BR197+(1-EXP(-LN(2)/2))/(LN(2)/2)*BL198*BO198*VLOOKUP('Données projet'!$B$11,Paramètres!$A$1:$I$89,3,0)*0.475*44/12</f>
        <v>8.0539583518638174E-25</v>
      </c>
      <c r="BS198" s="22">
        <f t="shared" si="169"/>
        <v>11.736592480936812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91.728000000000449</v>
      </c>
      <c r="D199" s="11">
        <f t="shared" si="202"/>
        <v>24.981514582386662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900.91555116228653</v>
      </c>
      <c r="H199" s="67">
        <f t="shared" si="192"/>
        <v>496.60240456432416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5.1159076974727213E-13</v>
      </c>
      <c r="O199" s="13">
        <f>N199*VLOOKUP('Données projet'!$B$9,Paramètres!$A$1:$I$89,3,0)*VLOOKUP('Données projet'!$B$9,Paramètres!$A$1:$I$89,5,0)</f>
        <v>2.3942448024172334E-13</v>
      </c>
      <c r="P199" s="13">
        <f t="shared" si="203"/>
        <v>3.2492669905861755E-12</v>
      </c>
      <c r="Q199" s="20">
        <f t="shared" si="162"/>
        <v>6.0761376450252565E-12</v>
      </c>
      <c r="R199" s="59">
        <f t="shared" si="191"/>
        <v>293.3333333333394</v>
      </c>
      <c r="S199" s="59">
        <f ca="1">AVERAGE(OFFSET($R$3,0,0,'Données projet'!$E$9+1,1))-AVERAGE(OFFSET($H$3,0,0,'Données projet'!$E$9+1,1))</f>
        <v>157.05226586109279</v>
      </c>
      <c r="T199" s="59">
        <f t="shared" si="204"/>
        <v>76.143582612540229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23.872851663056196</v>
      </c>
      <c r="AA199" s="21">
        <f>EXP(-LN(2)/25)*AA198+(1-EXP(-LN(2)/25))/(LN(2)/25)*Calculateur!V199*Calculateur!X199*VLOOKUP('Données projet'!$B$9,Paramètres!$A$1:$I$89,3,0)*0.475*44/12</f>
        <v>2.9796928630674295</v>
      </c>
      <c r="AB199" s="21">
        <f>EXP(-LN(2)/2)*AB198+(1-EXP(-LN(2)/2))/(LN(2)/2)*V199*Y199*VLOOKUP('Données projet'!$B$9,Paramètres!$A$1:$I$89,3,0)*0.475*44/12</f>
        <v>1.4750279032557534E-12</v>
      </c>
      <c r="AC199" s="22">
        <f t="shared" si="163"/>
        <v>26.852544526125101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-6.3550942286383367E-14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279.32192402750189</v>
      </c>
      <c r="AO199" s="59">
        <f t="shared" si="205"/>
        <v>371.43572414443611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13.888279677027974</v>
      </c>
      <c r="AV199" s="21">
        <f>EXP(-LN(2)/25)*AV198+(1-EXP(-LN(2)/25))/(LN(2)/25)*Calculateur!AQ199*Calculateur!AS199*VLOOKUP('Données projet'!$B$10,Paramètres!$A$1:$I$89,3,0)*0.475*44/12</f>
        <v>1.1552373266999039</v>
      </c>
      <c r="AW199" s="21">
        <f>EXP(-LN(2)/2)*AW198+(1-EXP(-LN(2)/2))/(LN(2)/2)*AQ199*AT199*VLOOKUP('Données projet'!$B$10,Paramètres!$A$1:$I$89,3,0)*0.475*44/12</f>
        <v>2.0460665052666032E-20</v>
      </c>
      <c r="AX199" s="21">
        <f t="shared" si="166"/>
        <v>15.043517003727878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2.2737367544323206E-13</v>
      </c>
      <c r="BE199" s="13">
        <f>BD199*VLOOKUP('Données projet'!$B$11,Paramètres!$A$1:$I$89,3,0)*VLOOKUP('Données projet'!$B$11,Paramètres!$A$1:$I$89,5,0)</f>
        <v>1.064108801074326E-13</v>
      </c>
      <c r="BF199" s="13">
        <f t="shared" si="167"/>
        <v>1.5870730813698654E-12</v>
      </c>
      <c r="BG199" s="20">
        <f t="shared" si="168"/>
        <v>2.9494845662396269E-12</v>
      </c>
      <c r="BH199" s="59">
        <f t="shared" si="194"/>
        <v>293.33333333333627</v>
      </c>
      <c r="BI199" s="59">
        <f ca="1">AVERAGE(OFFSET($BH$3,0,0,'Données projet'!$E$11+1,1))-AVERAGE(OFFSET($H$3,0,0,'Données projet'!$E$11+1,1))</f>
        <v>297.07458564121606</v>
      </c>
      <c r="BJ199" s="59">
        <f t="shared" si="206"/>
        <v>514.93897725587567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8.5547379212569989</v>
      </c>
      <c r="BQ199" s="21">
        <f>EXP(-LN(2)/25)*BQ198+(1-EXP(-LN(2)/25))/(LN(2)/25)*Calculateur!BL199*Calculateur!BN199*VLOOKUP('Données projet'!$B$11,Paramètres!$A$1:$I$89,3,0)*0.475*44/12</f>
        <v>2.928417024475336</v>
      </c>
      <c r="BR199" s="21">
        <f>EXP(-LN(2)/2)*BR198+(1-EXP(-LN(2)/2))/(LN(2)/2)*BL199*BO199*VLOOKUP('Données projet'!$B$11,Paramètres!$A$1:$I$89,3,0)*0.475*44/12</f>
        <v>5.6950085659969357E-25</v>
      </c>
      <c r="BS199" s="22">
        <f t="shared" si="169"/>
        <v>11.483154945732334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92.196000000000453</v>
      </c>
      <c r="D200" s="11">
        <f t="shared" si="202"/>
        <v>25.094101950594609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905.39727821511985</v>
      </c>
      <c r="H200" s="67">
        <f t="shared" si="192"/>
        <v>497.6135942306197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5.1159076974727213E-13</v>
      </c>
      <c r="O200" s="13">
        <f>N200*VLOOKUP('Données projet'!$B$9,Paramètres!$A$1:$I$89,3,0)*VLOOKUP('Données projet'!$B$9,Paramètres!$A$1:$I$89,5,0)</f>
        <v>2.3942448024172334E-13</v>
      </c>
      <c r="P200" s="13">
        <f t="shared" si="203"/>
        <v>3.2492669905861755E-12</v>
      </c>
      <c r="Q200" s="20">
        <f t="shared" si="162"/>
        <v>6.0761376450252565E-12</v>
      </c>
      <c r="R200" s="59">
        <f t="shared" si="191"/>
        <v>293.3333333333394</v>
      </c>
      <c r="S200" s="59">
        <f ca="1">AVERAGE(OFFSET($R$3,0,0,'Données projet'!$E$9+1,1))-AVERAGE(OFFSET($H$3,0,0,'Données projet'!$E$9+1,1))</f>
        <v>157.05226586109279</v>
      </c>
      <c r="T200" s="59">
        <f t="shared" si="204"/>
        <v>76.143582612540229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23.404719602945399</v>
      </c>
      <c r="AA200" s="21">
        <f>EXP(-LN(2)/25)*AA199+(1-EXP(-LN(2)/25))/(LN(2)/25)*Calculateur!V200*Calculateur!X200*VLOOKUP('Données projet'!$B$9,Paramètres!$A$1:$I$89,3,0)*0.475*44/12</f>
        <v>2.8982130050316131</v>
      </c>
      <c r="AB200" s="21">
        <f>EXP(-LN(2)/2)*AB199+(1-EXP(-LN(2)/2))/(LN(2)/2)*V200*Y200*VLOOKUP('Données projet'!$B$9,Paramètres!$A$1:$I$89,3,0)*0.475*44/12</f>
        <v>1.043002232831518E-12</v>
      </c>
      <c r="AC200" s="22">
        <f t="shared" si="163"/>
        <v>26.302932607978057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-6.3550942286383367E-14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279.32192402750189</v>
      </c>
      <c r="AO200" s="59">
        <f t="shared" si="205"/>
        <v>371.43572414443611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13.615938983575615</v>
      </c>
      <c r="AV200" s="21">
        <f>EXP(-LN(2)/25)*AV199+(1-EXP(-LN(2)/25))/(LN(2)/25)*Calculateur!AQ200*Calculateur!AS200*VLOOKUP('Données projet'!$B$10,Paramètres!$A$1:$I$89,3,0)*0.475*44/12</f>
        <v>1.1236473012500043</v>
      </c>
      <c r="AW200" s="21">
        <f>EXP(-LN(2)/2)*AW199+(1-EXP(-LN(2)/2))/(LN(2)/2)*AQ200*AT200*VLOOKUP('Données projet'!$B$10,Paramètres!$A$1:$I$89,3,0)*0.475*44/12</f>
        <v>1.446787500632676E-20</v>
      </c>
      <c r="AX200" s="21">
        <f t="shared" si="166"/>
        <v>14.73958628482562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2.2737367544323206E-13</v>
      </c>
      <c r="BE200" s="13">
        <f>BD200*VLOOKUP('Données projet'!$B$11,Paramètres!$A$1:$I$89,3,0)*VLOOKUP('Données projet'!$B$11,Paramètres!$A$1:$I$89,5,0)</f>
        <v>1.064108801074326E-13</v>
      </c>
      <c r="BF200" s="13">
        <f t="shared" si="167"/>
        <v>1.5870730813698654E-12</v>
      </c>
      <c r="BG200" s="20">
        <f t="shared" si="168"/>
        <v>2.9494845662396269E-12</v>
      </c>
      <c r="BH200" s="59">
        <f t="shared" si="194"/>
        <v>293.33333333333627</v>
      </c>
      <c r="BI200" s="59">
        <f ca="1">AVERAGE(OFFSET($BH$3,0,0,'Données projet'!$E$11+1,1))-AVERAGE(OFFSET($H$3,0,0,'Données projet'!$E$11+1,1))</f>
        <v>297.07458564121606</v>
      </c>
      <c r="BJ200" s="59">
        <f t="shared" si="206"/>
        <v>514.93897725587567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8.3869847284960581</v>
      </c>
      <c r="BQ200" s="21">
        <f>EXP(-LN(2)/25)*BQ199+(1-EXP(-LN(2)/25))/(LN(2)/25)*Calculateur!BL200*Calculateur!BN200*VLOOKUP('Données projet'!$B$11,Paramètres!$A$1:$I$89,3,0)*0.475*44/12</f>
        <v>2.8483393069422998</v>
      </c>
      <c r="BR200" s="21">
        <f>EXP(-LN(2)/2)*BR199+(1-EXP(-LN(2)/2))/(LN(2)/2)*BL200*BO200*VLOOKUP('Données projet'!$B$11,Paramètres!$A$1:$I$89,3,0)*0.475*44/12</f>
        <v>4.0269791759319091E-25</v>
      </c>
      <c r="BS200" s="22">
        <f t="shared" si="169"/>
        <v>11.235324035438358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92.664000000000456</v>
      </c>
      <c r="D201" s="11">
        <f t="shared" si="202"/>
        <v>25.206622814445883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909.87849190098939</v>
      </c>
      <c r="H201" s="67">
        <f t="shared" si="192"/>
        <v>498.62466806849403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5.1159076974727213E-13</v>
      </c>
      <c r="O201" s="13">
        <f>N201*VLOOKUP('Données projet'!$B$9,Paramètres!$A$1:$I$89,3,0)*VLOOKUP('Données projet'!$B$9,Paramètres!$A$1:$I$89,5,0)</f>
        <v>2.3942448024172334E-13</v>
      </c>
      <c r="P201" s="13">
        <f t="shared" si="203"/>
        <v>3.2492669905861755E-12</v>
      </c>
      <c r="Q201" s="20">
        <f t="shared" si="162"/>
        <v>6.0761376450252565E-12</v>
      </c>
      <c r="R201" s="59">
        <f t="shared" si="191"/>
        <v>293.3333333333394</v>
      </c>
      <c r="S201" s="59">
        <f ca="1">AVERAGE(OFFSET($R$3,0,0,'Données projet'!$E$9+1,1))-AVERAGE(OFFSET($H$3,0,0,'Données projet'!$E$9+1,1))</f>
        <v>157.05226586109279</v>
      </c>
      <c r="T201" s="59">
        <f t="shared" si="204"/>
        <v>76.143582612540229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22.945767327001011</v>
      </c>
      <c r="AA201" s="21">
        <f>EXP(-LN(2)/25)*AA200+(1-EXP(-LN(2)/25))/(LN(2)/25)*Calculateur!V201*Calculateur!X201*VLOOKUP('Données projet'!$B$9,Paramètres!$A$1:$I$89,3,0)*0.475*44/12</f>
        <v>2.8189612179986256</v>
      </c>
      <c r="AB201" s="21">
        <f>EXP(-LN(2)/2)*AB200+(1-EXP(-LN(2)/2))/(LN(2)/2)*V201*Y201*VLOOKUP('Données projet'!$B$9,Paramètres!$A$1:$I$89,3,0)*0.475*44/12</f>
        <v>7.3751395162787672E-13</v>
      </c>
      <c r="AC201" s="22">
        <f t="shared" si="163"/>
        <v>25.764728545000377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-6.3550942286383367E-14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279.32192402750189</v>
      </c>
      <c r="AO201" s="59">
        <f t="shared" si="205"/>
        <v>371.43572414443611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13.348938725010436</v>
      </c>
      <c r="AV201" s="21">
        <f>EXP(-LN(2)/25)*AV200+(1-EXP(-LN(2)/25))/(LN(2)/25)*Calculateur!AQ201*Calculateur!AS201*VLOOKUP('Données projet'!$B$10,Paramètres!$A$1:$I$89,3,0)*0.475*44/12</f>
        <v>1.0929211067072795</v>
      </c>
      <c r="AW201" s="21">
        <f>EXP(-LN(2)/2)*AW200+(1-EXP(-LN(2)/2))/(LN(2)/2)*AQ201*AT201*VLOOKUP('Données projet'!$B$10,Paramètres!$A$1:$I$89,3,0)*0.475*44/12</f>
        <v>1.0230332526333016E-20</v>
      </c>
      <c r="AX201" s="21">
        <f t="shared" si="166"/>
        <v>14.441859831717716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2.2737367544323206E-13</v>
      </c>
      <c r="BE201" s="13">
        <f>BD201*VLOOKUP('Données projet'!$B$11,Paramètres!$A$1:$I$89,3,0)*VLOOKUP('Données projet'!$B$11,Paramètres!$A$1:$I$89,5,0)</f>
        <v>1.064108801074326E-13</v>
      </c>
      <c r="BF201" s="13">
        <f t="shared" si="167"/>
        <v>1.5870730813698654E-12</v>
      </c>
      <c r="BG201" s="20">
        <f t="shared" si="168"/>
        <v>2.9494845662396269E-12</v>
      </c>
      <c r="BH201" s="59">
        <f t="shared" si="194"/>
        <v>293.33333333333627</v>
      </c>
      <c r="BI201" s="59">
        <f ca="1">AVERAGE(OFFSET($BH$3,0,0,'Données projet'!$E$11+1,1))-AVERAGE(OFFSET($H$3,0,0,'Données projet'!$E$11+1,1))</f>
        <v>297.07458564121606</v>
      </c>
      <c r="BJ201" s="59">
        <f t="shared" si="206"/>
        <v>514.93897725587567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8.2225210735258152</v>
      </c>
      <c r="BQ201" s="21">
        <f>EXP(-LN(2)/25)*BQ200+(1-EXP(-LN(2)/25))/(LN(2)/25)*Calculateur!BL201*Calculateur!BN201*VLOOKUP('Données projet'!$B$11,Paramètres!$A$1:$I$89,3,0)*0.475*44/12</f>
        <v>2.7704513188063085</v>
      </c>
      <c r="BR201" s="21">
        <f>EXP(-LN(2)/2)*BR200+(1-EXP(-LN(2)/2))/(LN(2)/2)*BL201*BO201*VLOOKUP('Données projet'!$B$11,Paramètres!$A$1:$I$89,3,0)*0.475*44/12</f>
        <v>2.8475042829984683E-25</v>
      </c>
      <c r="BS201" s="22">
        <f t="shared" si="169"/>
        <v>10.992972392332124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93.13200000000046</v>
      </c>
      <c r="D202" s="11">
        <f t="shared" si="202"/>
        <v>25.319077548810565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914.35919511362908</v>
      </c>
      <c r="H202" s="67">
        <f t="shared" si="192"/>
        <v>499.63562673084584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5.1159076974727213E-13</v>
      </c>
      <c r="O202" s="13">
        <f>N202*VLOOKUP('Données projet'!$B$9,Paramètres!$A$1:$I$89,3,0)*VLOOKUP('Données projet'!$B$9,Paramètres!$A$1:$I$89,5,0)</f>
        <v>2.3942448024172334E-13</v>
      </c>
      <c r="P202" s="13">
        <f t="shared" si="203"/>
        <v>3.2492669905861755E-12</v>
      </c>
      <c r="Q202" s="20">
        <f t="shared" si="162"/>
        <v>6.0761376450252565E-12</v>
      </c>
      <c r="R202" s="59">
        <f t="shared" si="191"/>
        <v>293.3333333333394</v>
      </c>
      <c r="S202" s="59">
        <f ca="1">AVERAGE(OFFSET($R$3,0,0,'Données projet'!$E$9+1,1))-AVERAGE(OFFSET($H$3,0,0,'Données projet'!$E$9+1,1))</f>
        <v>157.05226586109279</v>
      </c>
      <c r="T202" s="59">
        <f t="shared" si="204"/>
        <v>76.143582612540229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22.495814825254648</v>
      </c>
      <c r="AA202" s="21">
        <f>EXP(-LN(2)/25)*AA201+(1-EXP(-LN(2)/25))/(LN(2)/25)*Calculateur!V202*Calculateur!X202*VLOOKUP('Données projet'!$B$9,Paramètres!$A$1:$I$89,3,0)*0.475*44/12</f>
        <v>2.7418765752497256</v>
      </c>
      <c r="AB202" s="21">
        <f>EXP(-LN(2)/2)*AB201+(1-EXP(-LN(2)/2))/(LN(2)/2)*V202*Y202*VLOOKUP('Données projet'!$B$9,Paramètres!$A$1:$I$89,3,0)*0.475*44/12</f>
        <v>5.2150111641575901E-13</v>
      </c>
      <c r="AC202" s="22">
        <f t="shared" si="163"/>
        <v>25.237691400504897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-6.3550942286383367E-14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279.32192402750189</v>
      </c>
      <c r="AO202" s="59">
        <f t="shared" si="205"/>
        <v>371.43572414443611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13.087174178661643</v>
      </c>
      <c r="AV202" s="21">
        <f>EXP(-LN(2)/25)*AV201+(1-EXP(-LN(2)/25))/(LN(2)/25)*Calculateur!AQ202*Calculateur!AS202*VLOOKUP('Données projet'!$B$10,Paramètres!$A$1:$I$89,3,0)*0.475*44/12</f>
        <v>1.0630351215701459</v>
      </c>
      <c r="AW202" s="21">
        <f>EXP(-LN(2)/2)*AW201+(1-EXP(-LN(2)/2))/(LN(2)/2)*AQ202*AT202*VLOOKUP('Données projet'!$B$10,Paramètres!$A$1:$I$89,3,0)*0.475*44/12</f>
        <v>7.2339375031633799E-21</v>
      </c>
      <c r="AX202" s="21">
        <f t="shared" si="166"/>
        <v>14.150209300231788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2.2737367544323206E-13</v>
      </c>
      <c r="BE202" s="13">
        <f>BD202*VLOOKUP('Données projet'!$B$11,Paramètres!$A$1:$I$89,3,0)*VLOOKUP('Données projet'!$B$11,Paramètres!$A$1:$I$89,5,0)</f>
        <v>1.064108801074326E-13</v>
      </c>
      <c r="BF202" s="13">
        <f t="shared" si="167"/>
        <v>1.5870730813698654E-12</v>
      </c>
      <c r="BG202" s="20">
        <f t="shared" si="168"/>
        <v>2.9494845662396269E-12</v>
      </c>
      <c r="BH202" s="59">
        <f t="shared" si="194"/>
        <v>293.33333333333627</v>
      </c>
      <c r="BI202" s="59">
        <f ca="1">AVERAGE(OFFSET($BH$3,0,0,'Données projet'!$E$11+1,1))-AVERAGE(OFFSET($H$3,0,0,'Données projet'!$E$11+1,1))</f>
        <v>297.07458564121606</v>
      </c>
      <c r="BJ202" s="59">
        <f t="shared" si="206"/>
        <v>514.93897725587567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8.0612824505166145</v>
      </c>
      <c r="BQ202" s="21">
        <f>EXP(-LN(2)/25)*BQ201+(1-EXP(-LN(2)/25))/(LN(2)/25)*Calculateur!BL202*Calculateur!BN202*VLOOKUP('Données projet'!$B$11,Paramètres!$A$1:$I$89,3,0)*0.475*44/12</f>
        <v>2.6946931818018469</v>
      </c>
      <c r="BR202" s="21">
        <f>EXP(-LN(2)/2)*BR201+(1-EXP(-LN(2)/2))/(LN(2)/2)*BL202*BO202*VLOOKUP('Données projet'!$B$11,Paramètres!$A$1:$I$89,3,0)*0.475*44/12</f>
        <v>2.013489587965955E-25</v>
      </c>
      <c r="BS202" s="22">
        <f t="shared" si="169"/>
        <v>10.755975632318462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93.600000000000463</v>
      </c>
      <c r="D203" s="11">
        <f t="shared" si="202"/>
        <v>25.43146652457305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918.83939071600616</v>
      </c>
      <c r="H203" s="67">
        <f t="shared" si="192"/>
        <v>500.6464708636322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5.1159076974727213E-13</v>
      </c>
      <c r="O203" s="13">
        <f>N203*VLOOKUP('Données projet'!$B$9,Paramètres!$A$1:$I$89,3,0)*VLOOKUP('Données projet'!$B$9,Paramètres!$A$1:$I$89,5,0)</f>
        <v>2.3942448024172334E-13</v>
      </c>
      <c r="P203" s="13">
        <f t="shared" si="203"/>
        <v>3.2492669905861755E-12</v>
      </c>
      <c r="Q203" s="20">
        <f t="shared" si="162"/>
        <v>6.0761376450252565E-12</v>
      </c>
      <c r="R203" s="59">
        <f t="shared" si="191"/>
        <v>293.3333333333394</v>
      </c>
      <c r="S203" s="59">
        <f ca="1">AVERAGE(OFFSET($R$3,0,0,'Données projet'!$E$9+1,1))-AVERAGE(OFFSET($H$3,0,0,'Données projet'!$E$9+1,1))</f>
        <v>157.05226586109279</v>
      </c>
      <c r="T203" s="59">
        <f t="shared" si="204"/>
        <v>76.143582612540229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22.054685617623601</v>
      </c>
      <c r="AA203" s="21">
        <f>EXP(-LN(2)/25)*AA202+(1-EXP(-LN(2)/25))/(LN(2)/25)*Calculateur!V203*Calculateur!X203*VLOOKUP('Données projet'!$B$9,Paramètres!$A$1:$I$89,3,0)*0.475*44/12</f>
        <v>2.6668998161104995</v>
      </c>
      <c r="AB203" s="21">
        <f>EXP(-LN(2)/2)*AB202+(1-EXP(-LN(2)/2))/(LN(2)/2)*V203*Y203*VLOOKUP('Données projet'!$B$9,Paramètres!$A$1:$I$89,3,0)*0.475*44/12</f>
        <v>3.6875697581393836E-13</v>
      </c>
      <c r="AC203" s="22">
        <f t="shared" si="163"/>
        <v>24.721585433734472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-6.3550942286383367E-14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279.32192402750189</v>
      </c>
      <c r="AO203" s="59">
        <f t="shared" si="205"/>
        <v>371.43572414443611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12.830542675406141</v>
      </c>
      <c r="AV203" s="21">
        <f>EXP(-LN(2)/25)*AV202+(1-EXP(-LN(2)/25))/(LN(2)/25)*Calculateur!AQ203*Calculateur!AS203*VLOOKUP('Données projet'!$B$10,Paramètres!$A$1:$I$89,3,0)*0.475*44/12</f>
        <v>1.0339663702682229</v>
      </c>
      <c r="AW203" s="21">
        <f>EXP(-LN(2)/2)*AW202+(1-EXP(-LN(2)/2))/(LN(2)/2)*AQ203*AT203*VLOOKUP('Données projet'!$B$10,Paramètres!$A$1:$I$89,3,0)*0.475*44/12</f>
        <v>5.115166263166508E-21</v>
      </c>
      <c r="AX203" s="21">
        <f t="shared" si="166"/>
        <v>13.864509045674364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2.2737367544323206E-13</v>
      </c>
      <c r="BE203" s="13">
        <f>BD203*VLOOKUP('Données projet'!$B$11,Paramètres!$A$1:$I$89,3,0)*VLOOKUP('Données projet'!$B$11,Paramètres!$A$1:$I$89,5,0)</f>
        <v>1.064108801074326E-13</v>
      </c>
      <c r="BF203" s="13">
        <f t="shared" si="167"/>
        <v>1.5870730813698654E-12</v>
      </c>
      <c r="BG203" s="20">
        <f t="shared" si="168"/>
        <v>2.9494845662396269E-12</v>
      </c>
      <c r="BH203" s="59">
        <f t="shared" si="194"/>
        <v>293.33333333333627</v>
      </c>
      <c r="BI203" s="59">
        <f ca="1">AVERAGE(OFFSET($BH$3,0,0,'Données projet'!$E$11+1,1))-AVERAGE(OFFSET($H$3,0,0,'Données projet'!$E$11+1,1))</f>
        <v>297.07458564121606</v>
      </c>
      <c r="BJ203" s="59">
        <f t="shared" si="206"/>
        <v>514.93897725587567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7.9032056185587756</v>
      </c>
      <c r="BQ203" s="21">
        <f>EXP(-LN(2)/25)*BQ202+(1-EXP(-LN(2)/25))/(LN(2)/25)*Calculateur!BL203*Calculateur!BN203*VLOOKUP('Données projet'!$B$11,Paramètres!$A$1:$I$89,3,0)*0.475*44/12</f>
        <v>2.6210066550377196</v>
      </c>
      <c r="BR203" s="21">
        <f>EXP(-LN(2)/2)*BR202+(1-EXP(-LN(2)/2))/(LN(2)/2)*BL203*BO203*VLOOKUP('Données projet'!$B$11,Paramètres!$A$1:$I$89,3,0)*0.475*44/12</f>
        <v>1.4237521414992344E-25</v>
      </c>
      <c r="BS203" s="22">
        <f t="shared" si="169"/>
        <v>10.524212273596495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97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97</v>
      </c>
      <c r="BA204" s="81" t="s">
        <v>97</v>
      </c>
      <c r="BV204" s="81" t="s">
        <v>97</v>
      </c>
      <c r="CQ204" s="81" t="s">
        <v>97</v>
      </c>
      <c r="DL204" s="81" t="s">
        <v>97</v>
      </c>
      <c r="EG204" s="81" t="s">
        <v>97</v>
      </c>
      <c r="FB204" s="81" t="s">
        <v>97</v>
      </c>
      <c r="FW204" s="81" t="s">
        <v>97</v>
      </c>
      <c r="GR204" s="81" t="s">
        <v>97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1.1671681906248585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1.3356034260773062</v>
      </c>
      <c r="BA205" s="82">
        <f>EXP(LN('Données projet'!B88)/'Données projet'!A88)</f>
        <v>1.3540969839753978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98</v>
      </c>
      <c r="B1" s="112" t="s">
        <v>99</v>
      </c>
      <c r="C1" s="113" t="s">
        <v>100</v>
      </c>
      <c r="D1" s="112" t="s">
        <v>101</v>
      </c>
      <c r="E1" s="113" t="s">
        <v>102</v>
      </c>
      <c r="F1" s="113" t="s">
        <v>101</v>
      </c>
      <c r="G1" s="113" t="s">
        <v>103</v>
      </c>
      <c r="H1" s="113" t="s">
        <v>101</v>
      </c>
      <c r="I1" s="114" t="s">
        <v>104</v>
      </c>
      <c r="J1" s="78"/>
      <c r="K1" s="78"/>
      <c r="L1" s="78"/>
      <c r="M1" s="78"/>
      <c r="N1" s="78"/>
    </row>
    <row r="2" spans="1:16" x14ac:dyDescent="0.25">
      <c r="A2" s="115" t="s">
        <v>105</v>
      </c>
      <c r="B2" s="116" t="s">
        <v>106</v>
      </c>
      <c r="C2" s="117">
        <v>0.62</v>
      </c>
      <c r="D2" s="117" t="s">
        <v>107</v>
      </c>
      <c r="E2" s="117">
        <v>1.56</v>
      </c>
      <c r="F2" s="117" t="s">
        <v>108</v>
      </c>
      <c r="G2" s="118">
        <v>0.43</v>
      </c>
      <c r="H2" s="119" t="s">
        <v>109</v>
      </c>
      <c r="I2" s="120">
        <v>0.25</v>
      </c>
      <c r="J2" s="78"/>
      <c r="K2" s="78"/>
      <c r="L2" s="78"/>
      <c r="M2" s="78"/>
      <c r="N2" s="78"/>
      <c r="O2" s="281" t="s">
        <v>110</v>
      </c>
      <c r="P2" s="121">
        <v>0</v>
      </c>
    </row>
    <row r="3" spans="1:16" ht="15.75" thickBot="1" x14ac:dyDescent="0.3">
      <c r="A3" s="122" t="s">
        <v>111</v>
      </c>
      <c r="B3" s="123" t="s">
        <v>112</v>
      </c>
      <c r="C3" s="124">
        <v>0.64</v>
      </c>
      <c r="D3" s="124" t="s">
        <v>107</v>
      </c>
      <c r="E3" s="124">
        <v>1.56</v>
      </c>
      <c r="F3" s="125" t="s">
        <v>108</v>
      </c>
      <c r="G3" s="126">
        <v>0.43</v>
      </c>
      <c r="H3" s="124" t="s">
        <v>109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113</v>
      </c>
      <c r="B4" s="123" t="s">
        <v>114</v>
      </c>
      <c r="C4" s="124">
        <v>0.42</v>
      </c>
      <c r="D4" s="124" t="s">
        <v>107</v>
      </c>
      <c r="E4" s="124">
        <v>1.56</v>
      </c>
      <c r="F4" s="125" t="s">
        <v>108</v>
      </c>
      <c r="G4" s="126">
        <v>0.43</v>
      </c>
      <c r="H4" s="124" t="s">
        <v>109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115</v>
      </c>
      <c r="B5" s="123" t="s">
        <v>116</v>
      </c>
      <c r="C5" s="124">
        <v>0.42</v>
      </c>
      <c r="D5" s="124" t="s">
        <v>107</v>
      </c>
      <c r="E5" s="124">
        <v>1.56</v>
      </c>
      <c r="F5" s="125" t="s">
        <v>108</v>
      </c>
      <c r="G5" s="126">
        <v>0.43</v>
      </c>
      <c r="H5" s="124" t="s">
        <v>109</v>
      </c>
      <c r="I5" s="127">
        <v>0.25</v>
      </c>
      <c r="J5" s="78"/>
      <c r="K5" s="78"/>
      <c r="L5" s="78"/>
      <c r="M5" s="78"/>
      <c r="N5" s="78"/>
      <c r="O5" s="281" t="s">
        <v>117</v>
      </c>
      <c r="P5" s="121">
        <v>0</v>
      </c>
    </row>
    <row r="6" spans="1:16" x14ac:dyDescent="0.25">
      <c r="A6" s="122" t="s">
        <v>118</v>
      </c>
      <c r="B6" s="123" t="s">
        <v>119</v>
      </c>
      <c r="C6" s="124">
        <v>0.42</v>
      </c>
      <c r="D6" s="124" t="s">
        <v>107</v>
      </c>
      <c r="E6" s="124">
        <v>1.56</v>
      </c>
      <c r="F6" s="125" t="s">
        <v>108</v>
      </c>
      <c r="G6" s="126">
        <v>0.43</v>
      </c>
      <c r="H6" s="124" t="s">
        <v>109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120</v>
      </c>
      <c r="B7" s="123" t="s">
        <v>121</v>
      </c>
      <c r="C7" s="124">
        <v>0.52</v>
      </c>
      <c r="D7" s="124" t="s">
        <v>107</v>
      </c>
      <c r="E7" s="124">
        <v>1.56</v>
      </c>
      <c r="F7" s="125" t="s">
        <v>108</v>
      </c>
      <c r="G7" s="126">
        <v>0.43</v>
      </c>
      <c r="H7" s="124" t="s">
        <v>109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122</v>
      </c>
      <c r="B8" s="123" t="s">
        <v>123</v>
      </c>
      <c r="C8" s="124">
        <v>0.36</v>
      </c>
      <c r="D8" s="124" t="s">
        <v>107</v>
      </c>
      <c r="E8" s="124">
        <v>1.3</v>
      </c>
      <c r="F8" s="125" t="s">
        <v>108</v>
      </c>
      <c r="G8" s="126">
        <v>0.55000000000000004</v>
      </c>
      <c r="H8" s="124" t="s">
        <v>124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125</v>
      </c>
      <c r="B9" s="123" t="s">
        <v>126</v>
      </c>
      <c r="C9" s="124">
        <v>0.61</v>
      </c>
      <c r="D9" s="124" t="s">
        <v>107</v>
      </c>
      <c r="E9" s="124">
        <v>1.56</v>
      </c>
      <c r="F9" s="125" t="s">
        <v>108</v>
      </c>
      <c r="G9" s="126">
        <v>0.43</v>
      </c>
      <c r="H9" s="124" t="s">
        <v>109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127</v>
      </c>
      <c r="B10" s="123" t="s">
        <v>128</v>
      </c>
      <c r="C10" s="124">
        <v>0.66</v>
      </c>
      <c r="D10" s="124" t="s">
        <v>107</v>
      </c>
      <c r="E10" s="124">
        <v>1.56</v>
      </c>
      <c r="F10" s="125" t="s">
        <v>108</v>
      </c>
      <c r="G10" s="126">
        <v>0.43</v>
      </c>
      <c r="H10" s="124" t="s">
        <v>109</v>
      </c>
      <c r="I10" s="127">
        <v>0.25</v>
      </c>
      <c r="J10" s="78"/>
      <c r="K10" s="78"/>
      <c r="L10" s="78"/>
      <c r="M10" s="78"/>
      <c r="N10" s="78"/>
      <c r="O10" s="281" t="s">
        <v>129</v>
      </c>
      <c r="P10" s="121">
        <v>0</v>
      </c>
    </row>
    <row r="11" spans="1:16" ht="15.75" thickBot="1" x14ac:dyDescent="0.3">
      <c r="A11" s="122" t="s">
        <v>130</v>
      </c>
      <c r="B11" s="123" t="s">
        <v>131</v>
      </c>
      <c r="C11" s="124">
        <v>0.47</v>
      </c>
      <c r="D11" s="124" t="s">
        <v>107</v>
      </c>
      <c r="E11" s="124">
        <v>1.56</v>
      </c>
      <c r="F11" s="125" t="s">
        <v>108</v>
      </c>
      <c r="G11" s="126">
        <v>0.43</v>
      </c>
      <c r="H11" s="124" t="s">
        <v>109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132</v>
      </c>
      <c r="B12" s="123" t="s">
        <v>133</v>
      </c>
      <c r="C12" s="124">
        <v>0.67</v>
      </c>
      <c r="D12" s="124" t="s">
        <v>107</v>
      </c>
      <c r="E12" s="124">
        <v>1.56</v>
      </c>
      <c r="F12" s="125" t="s">
        <v>108</v>
      </c>
      <c r="G12" s="126">
        <v>0.43</v>
      </c>
      <c r="H12" s="124" t="s">
        <v>134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135</v>
      </c>
      <c r="B13" s="123" t="s">
        <v>136</v>
      </c>
      <c r="C13" s="124">
        <v>0.7</v>
      </c>
      <c r="D13" s="124" t="s">
        <v>107</v>
      </c>
      <c r="E13" s="124">
        <v>1.56</v>
      </c>
      <c r="F13" s="125" t="s">
        <v>108</v>
      </c>
      <c r="G13" s="126">
        <v>0.43</v>
      </c>
      <c r="H13" s="124" t="s">
        <v>134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137</v>
      </c>
      <c r="B14" s="123" t="s">
        <v>138</v>
      </c>
      <c r="C14" s="124">
        <v>0.54</v>
      </c>
      <c r="D14" s="124" t="s">
        <v>107</v>
      </c>
      <c r="E14" s="124">
        <v>1.56</v>
      </c>
      <c r="F14" s="125" t="s">
        <v>108</v>
      </c>
      <c r="G14" s="126">
        <v>0.43</v>
      </c>
      <c r="H14" s="124" t="s">
        <v>134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139</v>
      </c>
      <c r="B15" s="123" t="s">
        <v>140</v>
      </c>
      <c r="C15" s="124">
        <v>0.65</v>
      </c>
      <c r="D15" s="124" t="s">
        <v>107</v>
      </c>
      <c r="E15" s="124">
        <v>1.56</v>
      </c>
      <c r="F15" s="125" t="s">
        <v>108</v>
      </c>
      <c r="G15" s="126">
        <v>0.43</v>
      </c>
      <c r="H15" s="124" t="s">
        <v>134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141</v>
      </c>
      <c r="B16" s="123" t="s">
        <v>142</v>
      </c>
      <c r="C16" s="124">
        <v>0.56000000000000005</v>
      </c>
      <c r="D16" s="124" t="s">
        <v>107</v>
      </c>
      <c r="E16" s="124">
        <v>1.56</v>
      </c>
      <c r="F16" s="125" t="s">
        <v>108</v>
      </c>
      <c r="G16" s="126">
        <v>0.43</v>
      </c>
      <c r="H16" s="124" t="s">
        <v>134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143</v>
      </c>
      <c r="B17" s="123" t="s">
        <v>144</v>
      </c>
      <c r="C17" s="124">
        <v>0.57999999999999996</v>
      </c>
      <c r="D17" s="124" t="s">
        <v>107</v>
      </c>
      <c r="E17" s="124">
        <v>1.56</v>
      </c>
      <c r="F17" s="125" t="s">
        <v>108</v>
      </c>
      <c r="G17" s="126">
        <v>0.43</v>
      </c>
      <c r="H17" s="124" t="s">
        <v>134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145</v>
      </c>
      <c r="B18" s="123" t="s">
        <v>146</v>
      </c>
      <c r="C18" s="124">
        <v>0.64</v>
      </c>
      <c r="D18" s="124" t="s">
        <v>107</v>
      </c>
      <c r="E18" s="124">
        <v>1.56</v>
      </c>
      <c r="F18" s="125" t="s">
        <v>108</v>
      </c>
      <c r="G18" s="126">
        <v>0.43</v>
      </c>
      <c r="H18" s="124" t="s">
        <v>134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147</v>
      </c>
      <c r="B19" s="123" t="s">
        <v>148</v>
      </c>
      <c r="C19" s="124">
        <v>0.73</v>
      </c>
      <c r="D19" s="124" t="s">
        <v>107</v>
      </c>
      <c r="E19" s="124">
        <v>1.56</v>
      </c>
      <c r="F19" s="125" t="s">
        <v>108</v>
      </c>
      <c r="G19" s="126">
        <v>0.43</v>
      </c>
      <c r="H19" s="124" t="s">
        <v>134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149</v>
      </c>
      <c r="B20" s="123" t="s">
        <v>150</v>
      </c>
      <c r="C20" s="124">
        <v>0.69</v>
      </c>
      <c r="D20" s="124" t="s">
        <v>151</v>
      </c>
      <c r="E20" s="124">
        <v>1.56</v>
      </c>
      <c r="F20" s="125" t="s">
        <v>108</v>
      </c>
      <c r="G20" s="126">
        <v>0.43</v>
      </c>
      <c r="H20" s="124" t="s">
        <v>152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153</v>
      </c>
      <c r="B21" s="123" t="s">
        <v>154</v>
      </c>
      <c r="C21" s="124">
        <v>0.36</v>
      </c>
      <c r="D21" s="124" t="s">
        <v>107</v>
      </c>
      <c r="E21" s="124">
        <v>1.3</v>
      </c>
      <c r="F21" s="125" t="s">
        <v>108</v>
      </c>
      <c r="G21" s="126">
        <v>0.55000000000000004</v>
      </c>
      <c r="H21" s="124" t="s">
        <v>124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155</v>
      </c>
      <c r="B22" s="123" t="s">
        <v>156</v>
      </c>
      <c r="C22" s="124">
        <v>0.4</v>
      </c>
      <c r="D22" s="124" t="s">
        <v>107</v>
      </c>
      <c r="E22" s="124">
        <v>1.3</v>
      </c>
      <c r="F22" s="125" t="s">
        <v>108</v>
      </c>
      <c r="G22" s="126">
        <v>0.55000000000000004</v>
      </c>
      <c r="H22" s="124" t="s">
        <v>124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157</v>
      </c>
      <c r="B23" s="123" t="s">
        <v>158</v>
      </c>
      <c r="C23" s="124">
        <v>0.43</v>
      </c>
      <c r="D23" s="124" t="s">
        <v>107</v>
      </c>
      <c r="E23" s="124">
        <v>1.3</v>
      </c>
      <c r="F23" s="125" t="s">
        <v>108</v>
      </c>
      <c r="G23" s="126">
        <v>0.55000000000000004</v>
      </c>
      <c r="H23" s="124" t="s">
        <v>124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159</v>
      </c>
      <c r="B24" s="123" t="s">
        <v>160</v>
      </c>
      <c r="C24" s="124">
        <v>0.37</v>
      </c>
      <c r="D24" s="124" t="s">
        <v>107</v>
      </c>
      <c r="E24" s="124">
        <v>1.3</v>
      </c>
      <c r="F24" s="125" t="s">
        <v>108</v>
      </c>
      <c r="G24" s="126">
        <v>0.55000000000000004</v>
      </c>
      <c r="H24" s="124" t="s">
        <v>134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161</v>
      </c>
      <c r="B25" s="123" t="s">
        <v>162</v>
      </c>
      <c r="C25" s="124">
        <v>0.36</v>
      </c>
      <c r="D25" s="124" t="s">
        <v>107</v>
      </c>
      <c r="E25" s="124">
        <v>1.3</v>
      </c>
      <c r="F25" s="125" t="s">
        <v>108</v>
      </c>
      <c r="G25" s="126">
        <v>0.55000000000000004</v>
      </c>
      <c r="H25" s="124" t="s">
        <v>134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163</v>
      </c>
      <c r="B26" s="123" t="s">
        <v>164</v>
      </c>
      <c r="C26" s="124">
        <v>0.56000000000000005</v>
      </c>
      <c r="D26" s="124" t="s">
        <v>107</v>
      </c>
      <c r="E26" s="124">
        <v>1.56</v>
      </c>
      <c r="F26" s="125" t="s">
        <v>108</v>
      </c>
      <c r="G26" s="126">
        <v>0.53</v>
      </c>
      <c r="H26" s="124" t="s">
        <v>165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166</v>
      </c>
      <c r="B27" s="123" t="s">
        <v>167</v>
      </c>
      <c r="C27" s="124">
        <v>0.51</v>
      </c>
      <c r="D27" s="124" t="s">
        <v>107</v>
      </c>
      <c r="E27" s="124">
        <v>1.56</v>
      </c>
      <c r="F27" s="125" t="s">
        <v>108</v>
      </c>
      <c r="G27" s="126">
        <v>0.53</v>
      </c>
      <c r="H27" s="124" t="s">
        <v>165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168</v>
      </c>
      <c r="B28" s="123" t="s">
        <v>169</v>
      </c>
      <c r="C28" s="124">
        <v>0.51</v>
      </c>
      <c r="D28" s="124" t="s">
        <v>107</v>
      </c>
      <c r="E28" s="124">
        <v>1.56</v>
      </c>
      <c r="F28" s="125" t="s">
        <v>108</v>
      </c>
      <c r="G28" s="126">
        <v>0.53</v>
      </c>
      <c r="H28" s="124" t="s">
        <v>165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170</v>
      </c>
      <c r="B29" s="123" t="s">
        <v>170</v>
      </c>
      <c r="C29" s="124">
        <v>0.56000000000000005</v>
      </c>
      <c r="D29" s="124" t="s">
        <v>107</v>
      </c>
      <c r="E29" s="124">
        <v>1.56</v>
      </c>
      <c r="F29" s="125" t="s">
        <v>108</v>
      </c>
      <c r="G29" s="126">
        <v>0.53</v>
      </c>
      <c r="H29" s="124" t="s">
        <v>165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171</v>
      </c>
      <c r="B30" s="123" t="s">
        <v>172</v>
      </c>
      <c r="C30" s="124">
        <v>0.55000000000000004</v>
      </c>
      <c r="D30" s="124" t="s">
        <v>107</v>
      </c>
      <c r="E30" s="124">
        <v>1.56</v>
      </c>
      <c r="F30" s="125" t="s">
        <v>108</v>
      </c>
      <c r="G30" s="126">
        <v>0.53</v>
      </c>
      <c r="H30" s="124" t="s">
        <v>134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173</v>
      </c>
      <c r="B31" s="123" t="s">
        <v>174</v>
      </c>
      <c r="C31" s="124">
        <v>0.56000000000000005</v>
      </c>
      <c r="D31" s="124" t="s">
        <v>107</v>
      </c>
      <c r="E31" s="124">
        <v>1.56</v>
      </c>
      <c r="F31" s="125" t="s">
        <v>108</v>
      </c>
      <c r="G31" s="126">
        <v>0.43</v>
      </c>
      <c r="H31" s="124" t="s">
        <v>109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175</v>
      </c>
      <c r="B32" s="123" t="s">
        <v>176</v>
      </c>
      <c r="C32" s="124">
        <v>0.48</v>
      </c>
      <c r="D32" s="124" t="s">
        <v>107</v>
      </c>
      <c r="E32" s="124">
        <v>1.3</v>
      </c>
      <c r="F32" s="125" t="s">
        <v>108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178</v>
      </c>
      <c r="B33" s="123" t="s">
        <v>179</v>
      </c>
      <c r="C33" s="124">
        <v>0.42</v>
      </c>
      <c r="D33" s="124" t="s">
        <v>107</v>
      </c>
      <c r="E33" s="124">
        <v>1.3</v>
      </c>
      <c r="F33" s="125" t="s">
        <v>108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108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184</v>
      </c>
      <c r="B35" s="123" t="s">
        <v>185</v>
      </c>
      <c r="C35" s="124">
        <v>0.5</v>
      </c>
      <c r="D35" s="124" t="s">
        <v>107</v>
      </c>
      <c r="E35" s="124">
        <v>1.56</v>
      </c>
      <c r="F35" s="125" t="s">
        <v>108</v>
      </c>
      <c r="G35" s="126">
        <v>0.43</v>
      </c>
      <c r="H35" s="124" t="s">
        <v>109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186</v>
      </c>
      <c r="B36" s="123" t="s">
        <v>187</v>
      </c>
      <c r="C36" s="124">
        <v>0.55000000000000004</v>
      </c>
      <c r="D36" s="124" t="s">
        <v>107</v>
      </c>
      <c r="E36" s="124">
        <v>1.56</v>
      </c>
      <c r="F36" s="125" t="s">
        <v>108</v>
      </c>
      <c r="G36" s="126">
        <v>0.53</v>
      </c>
      <c r="H36" s="124" t="s">
        <v>165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188</v>
      </c>
      <c r="B37" s="123" t="s">
        <v>189</v>
      </c>
      <c r="C37" s="124">
        <v>0.52</v>
      </c>
      <c r="D37" s="124" t="s">
        <v>107</v>
      </c>
      <c r="E37" s="124">
        <v>1.56</v>
      </c>
      <c r="F37" s="125" t="s">
        <v>108</v>
      </c>
      <c r="G37" s="126">
        <v>0.53</v>
      </c>
      <c r="H37" s="124" t="s">
        <v>165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190</v>
      </c>
      <c r="B38" s="123" t="s">
        <v>191</v>
      </c>
      <c r="C38" s="124">
        <v>0.52</v>
      </c>
      <c r="D38" s="124" t="s">
        <v>107</v>
      </c>
      <c r="E38" s="124">
        <v>1.56</v>
      </c>
      <c r="F38" s="125" t="s">
        <v>108</v>
      </c>
      <c r="G38" s="126">
        <v>0.43</v>
      </c>
      <c r="H38" s="124" t="s">
        <v>109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108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108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108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108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108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108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108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108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108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108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108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108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108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108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108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108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108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108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108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108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108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108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108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218</v>
      </c>
      <c r="B62" s="123" t="s">
        <v>219</v>
      </c>
      <c r="C62" s="124">
        <v>0.37</v>
      </c>
      <c r="D62" s="124" t="s">
        <v>107</v>
      </c>
      <c r="E62" s="124">
        <v>1.56</v>
      </c>
      <c r="F62" s="125" t="s">
        <v>108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220</v>
      </c>
      <c r="B63" s="123" t="s">
        <v>221</v>
      </c>
      <c r="C63" s="124">
        <v>0.45</v>
      </c>
      <c r="D63" s="124" t="s">
        <v>107</v>
      </c>
      <c r="E63" s="124">
        <v>1.3</v>
      </c>
      <c r="F63" s="125" t="s">
        <v>108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223</v>
      </c>
      <c r="B64" s="123" t="s">
        <v>224</v>
      </c>
      <c r="C64" s="124">
        <v>0.39</v>
      </c>
      <c r="D64" s="124" t="s">
        <v>107</v>
      </c>
      <c r="E64" s="124">
        <v>1.3</v>
      </c>
      <c r="F64" s="125" t="s">
        <v>108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225</v>
      </c>
      <c r="B65" s="123" t="s">
        <v>226</v>
      </c>
      <c r="C65" s="124">
        <v>0.44</v>
      </c>
      <c r="D65" s="124" t="s">
        <v>107</v>
      </c>
      <c r="E65" s="124">
        <v>1.3</v>
      </c>
      <c r="F65" s="125" t="s">
        <v>108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227</v>
      </c>
      <c r="B66" s="123" t="s">
        <v>228</v>
      </c>
      <c r="C66" s="124">
        <v>0.46</v>
      </c>
      <c r="D66" s="124" t="s">
        <v>107</v>
      </c>
      <c r="E66" s="124">
        <v>1.3</v>
      </c>
      <c r="F66" s="125" t="s">
        <v>108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229</v>
      </c>
      <c r="B67" s="123" t="s">
        <v>230</v>
      </c>
      <c r="C67" s="124">
        <v>0.46</v>
      </c>
      <c r="D67" s="124" t="s">
        <v>107</v>
      </c>
      <c r="E67" s="124">
        <v>1.3</v>
      </c>
      <c r="F67" s="125" t="s">
        <v>108</v>
      </c>
      <c r="G67" s="126">
        <v>0.45</v>
      </c>
      <c r="H67" s="124" t="s">
        <v>134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231</v>
      </c>
      <c r="B68" s="123" t="s">
        <v>232</v>
      </c>
      <c r="C68" s="124">
        <v>0.44</v>
      </c>
      <c r="D68" s="124" t="s">
        <v>107</v>
      </c>
      <c r="E68" s="124">
        <v>1.3</v>
      </c>
      <c r="F68" s="125" t="s">
        <v>108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233</v>
      </c>
      <c r="B69" s="123" t="s">
        <v>234</v>
      </c>
      <c r="C69" s="124">
        <v>0.46</v>
      </c>
      <c r="D69" s="124" t="s">
        <v>107</v>
      </c>
      <c r="E69" s="124">
        <v>1.3</v>
      </c>
      <c r="F69" s="125" t="s">
        <v>108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235</v>
      </c>
      <c r="B70" s="123" t="s">
        <v>236</v>
      </c>
      <c r="C70" s="124">
        <v>0.48</v>
      </c>
      <c r="D70" s="124" t="s">
        <v>107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108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241</v>
      </c>
      <c r="B72" s="123" t="s">
        <v>242</v>
      </c>
      <c r="C72" s="124">
        <v>0.44</v>
      </c>
      <c r="D72" s="124" t="s">
        <v>107</v>
      </c>
      <c r="E72" s="124">
        <v>1.3</v>
      </c>
      <c r="F72" s="125" t="s">
        <v>108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108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246</v>
      </c>
      <c r="B74" s="123" t="s">
        <v>247</v>
      </c>
      <c r="C74" s="124">
        <v>0.34</v>
      </c>
      <c r="D74" s="124" t="s">
        <v>107</v>
      </c>
      <c r="E74" s="124">
        <v>1.3</v>
      </c>
      <c r="F74" s="125" t="s">
        <v>108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248</v>
      </c>
      <c r="B75" s="123" t="s">
        <v>249</v>
      </c>
      <c r="C75" s="124">
        <v>0.5</v>
      </c>
      <c r="D75" s="124" t="s">
        <v>107</v>
      </c>
      <c r="E75" s="124">
        <v>1.56</v>
      </c>
      <c r="F75" s="125" t="s">
        <v>108</v>
      </c>
      <c r="G75" s="126">
        <v>0.53</v>
      </c>
      <c r="H75" s="124" t="s">
        <v>165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250</v>
      </c>
      <c r="B76" s="123" t="s">
        <v>251</v>
      </c>
      <c r="C76" s="124">
        <v>0.57999999999999996</v>
      </c>
      <c r="D76" s="124" t="s">
        <v>107</v>
      </c>
      <c r="E76" s="124">
        <v>1.56</v>
      </c>
      <c r="F76" s="125" t="s">
        <v>108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253</v>
      </c>
      <c r="B77" s="123" t="s">
        <v>254</v>
      </c>
      <c r="C77" s="124">
        <v>0.37</v>
      </c>
      <c r="D77" s="124" t="s">
        <v>107</v>
      </c>
      <c r="E77" s="124">
        <v>1.3</v>
      </c>
      <c r="F77" s="125" t="s">
        <v>108</v>
      </c>
      <c r="G77" s="126">
        <v>0.55000000000000004</v>
      </c>
      <c r="H77" s="124" t="s">
        <v>134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255</v>
      </c>
      <c r="B78" s="123" t="s">
        <v>256</v>
      </c>
      <c r="C78" s="124">
        <v>0.37</v>
      </c>
      <c r="D78" s="124" t="s">
        <v>107</v>
      </c>
      <c r="E78" s="124">
        <v>1.3</v>
      </c>
      <c r="F78" s="125" t="s">
        <v>108</v>
      </c>
      <c r="G78" s="126">
        <v>0.55000000000000004</v>
      </c>
      <c r="H78" s="124" t="s">
        <v>134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257</v>
      </c>
      <c r="B79" s="123" t="s">
        <v>258</v>
      </c>
      <c r="C79" s="124">
        <v>0.38</v>
      </c>
      <c r="D79" s="124" t="s">
        <v>107</v>
      </c>
      <c r="E79" s="124">
        <v>1.3</v>
      </c>
      <c r="F79" s="125" t="s">
        <v>108</v>
      </c>
      <c r="G79" s="126">
        <v>0.55000000000000004</v>
      </c>
      <c r="H79" s="124" t="s">
        <v>124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259</v>
      </c>
      <c r="B80" s="123" t="s">
        <v>260</v>
      </c>
      <c r="C80" s="124">
        <v>0.36</v>
      </c>
      <c r="D80" s="124" t="s">
        <v>107</v>
      </c>
      <c r="E80" s="124">
        <v>1.3</v>
      </c>
      <c r="F80" s="125" t="s">
        <v>108</v>
      </c>
      <c r="G80" s="126">
        <v>0.55000000000000004</v>
      </c>
      <c r="H80" s="124" t="s">
        <v>124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261</v>
      </c>
      <c r="B81" s="123" t="s">
        <v>262</v>
      </c>
      <c r="C81" s="124">
        <v>0.37</v>
      </c>
      <c r="D81" s="124" t="s">
        <v>107</v>
      </c>
      <c r="E81" s="124">
        <v>1.56</v>
      </c>
      <c r="F81" s="125" t="s">
        <v>108</v>
      </c>
      <c r="G81" s="126">
        <v>0.43</v>
      </c>
      <c r="H81" s="124" t="s">
        <v>109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108</v>
      </c>
      <c r="G82" s="126">
        <v>0.55000000000000004</v>
      </c>
      <c r="H82" s="124" t="s">
        <v>124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266</v>
      </c>
      <c r="B83" s="123" t="s">
        <v>267</v>
      </c>
      <c r="C83" s="124">
        <v>0.34</v>
      </c>
      <c r="D83" s="124" t="s">
        <v>107</v>
      </c>
      <c r="E83" s="124">
        <v>1.3</v>
      </c>
      <c r="F83" s="125" t="s">
        <v>108</v>
      </c>
      <c r="G83" s="126">
        <v>0.55000000000000004</v>
      </c>
      <c r="H83" s="124" t="s">
        <v>124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268</v>
      </c>
      <c r="B84" s="123" t="s">
        <v>269</v>
      </c>
      <c r="C84" s="124">
        <v>0.31</v>
      </c>
      <c r="D84" s="124" t="s">
        <v>107</v>
      </c>
      <c r="E84" s="124">
        <v>1.3</v>
      </c>
      <c r="F84" s="125" t="s">
        <v>108</v>
      </c>
      <c r="G84" s="126">
        <v>0.55000000000000004</v>
      </c>
      <c r="H84" s="124" t="s">
        <v>124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270</v>
      </c>
      <c r="B85" s="123" t="s">
        <v>271</v>
      </c>
      <c r="C85" s="124">
        <v>0.43</v>
      </c>
      <c r="D85" s="124" t="s">
        <v>107</v>
      </c>
      <c r="E85" s="124">
        <v>1.56</v>
      </c>
      <c r="F85" s="125" t="s">
        <v>108</v>
      </c>
      <c r="G85" s="126">
        <v>0.53</v>
      </c>
      <c r="H85" s="124" t="s">
        <v>165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272</v>
      </c>
      <c r="B86" s="123" t="s">
        <v>273</v>
      </c>
      <c r="C86" s="124">
        <v>0.38</v>
      </c>
      <c r="D86" s="124" t="s">
        <v>107</v>
      </c>
      <c r="E86" s="124">
        <v>1.56</v>
      </c>
      <c r="F86" s="125" t="s">
        <v>108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108</v>
      </c>
      <c r="G87" s="255">
        <v>0.43</v>
      </c>
      <c r="H87" s="253" t="s">
        <v>109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67</v>
      </c>
      <c r="B88" s="130"/>
      <c r="C88" s="124">
        <v>0.42</v>
      </c>
      <c r="D88" s="124" t="s">
        <v>107</v>
      </c>
      <c r="E88" s="124">
        <v>1.3</v>
      </c>
      <c r="F88" s="125" t="s">
        <v>108</v>
      </c>
      <c r="G88" s="131"/>
      <c r="H88" s="130"/>
      <c r="I88" s="132"/>
    </row>
    <row r="89" spans="1:14" ht="15.75" thickBot="1" x14ac:dyDescent="0.3">
      <c r="A89" s="133" t="s">
        <v>278</v>
      </c>
      <c r="B89" s="134"/>
      <c r="C89" s="135">
        <v>0.56999999999999995</v>
      </c>
      <c r="D89" s="136" t="s">
        <v>107</v>
      </c>
      <c r="E89" s="135">
        <v>1.56</v>
      </c>
      <c r="F89" s="135" t="s">
        <v>108</v>
      </c>
      <c r="G89" s="134"/>
      <c r="H89" s="134"/>
      <c r="I89" s="137"/>
    </row>
    <row r="93" spans="1:14" x14ac:dyDescent="0.25">
      <c r="A93" s="122" t="s">
        <v>68</v>
      </c>
    </row>
    <row r="94" spans="1:14" x14ac:dyDescent="0.25">
      <c r="A94" s="122" t="s">
        <v>69</v>
      </c>
    </row>
    <row r="95" spans="1:14" x14ac:dyDescent="0.25">
      <c r="A95" s="122" t="s">
        <v>70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Cèdre de l'Atlas</v>
      </c>
      <c r="B6" s="146">
        <f>'Données projet'!D9</f>
        <v>1.032</v>
      </c>
      <c r="C6" s="147">
        <f ca="1">IF(OR('Données projet'!B9="",'Données projet'!C9="",'Données projet'!C9=0%),0,Calculateur!S3)</f>
        <v>157.05226586109279</v>
      </c>
      <c r="D6" s="147">
        <f>IF(OR('Données projet'!B9="",'Données projet'!C9="",'Données projet'!C9=0%),0,Calculateur!T3)</f>
        <v>76.143582612540229</v>
      </c>
      <c r="E6" s="147">
        <f ca="1">MIN(C6,D6)</f>
        <v>76.143582612540229</v>
      </c>
      <c r="F6" s="147">
        <f ca="1">E6*B6</f>
        <v>78.580177256141525</v>
      </c>
      <c r="G6" s="147">
        <f ca="1">F6*(100%-'Données projet'!$C$24)*(100%-'Données projet'!$C$25)*(100%-'Données projet'!$C$26)*(100%-'Données projet'!$C$27)</f>
        <v>67.186051554001011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67.186051554001011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Douglas</v>
      </c>
      <c r="B7" s="154">
        <f>'Données projet'!D10</f>
        <v>4.0419999999999998</v>
      </c>
      <c r="C7" s="147">
        <f ca="1">IF(OR('Données projet'!B10="",'Données projet'!C10="",'Données projet'!C10=0%),0,Calculateur!AN3)</f>
        <v>279.32192402750189</v>
      </c>
      <c r="D7" s="147">
        <f>IF(OR('Données projet'!B10="",'Données projet'!C10="",'Données projet'!C10=0%),0,Calculateur!AO3)</f>
        <v>371.43572414443611</v>
      </c>
      <c r="E7" s="147">
        <f t="shared" ref="E7:E15" ca="1" si="0">MIN(C7,D7)</f>
        <v>279.32192402750189</v>
      </c>
      <c r="F7" s="147">
        <f t="shared" ref="F7:F15" ca="1" si="1">E7*B7</f>
        <v>1129.0192169191625</v>
      </c>
      <c r="G7" s="147">
        <f ca="1">F7*(100%-'Données projet'!$C$24)*(100%-'Données projet'!$C$25)*(100%-'Données projet'!$C$26)*(100%-'Données projet'!$C$27)</f>
        <v>965.31143046588397</v>
      </c>
      <c r="H7" s="155">
        <f>IF(OR('Données projet'!B10="",'Données projet'!C10="",'Données projet'!C10=0%),0,AVERAGE(Calculateur!$AX$3:$AX$33)*B7)</f>
        <v>49.36250940784327</v>
      </c>
      <c r="I7" s="149">
        <f>H7*(100%-'Données projet'!$C$24)*(100%-'Données projet'!$C$25)*(100%-'Données projet'!$C$26)*(100%-'Données projet'!$C$27)</f>
        <v>42.204945543705996</v>
      </c>
      <c r="J7" s="150">
        <f>IF(OR('Données projet'!B10="",'Données projet'!C10="",'Données projet'!C10=0%),0,SUM(Calculateur!$AQ$3:$AQ$33)*VLOOKUP('Données projet'!$B$10,Paramètres!$A$1:$I$89,9,0)*B7)</f>
        <v>308.70619538461528</v>
      </c>
      <c r="K7" s="151">
        <f>J7*(100%-'Données projet'!$C$24)*(100%-'Données projet'!$C$25)*(100%-'Données projet'!$C$26)*(100%-'Données projet'!$C$27)</f>
        <v>263.94379705384603</v>
      </c>
      <c r="L7" s="152">
        <f t="shared" ref="L7:L15" ca="1" si="2">G7+I7+K7</f>
        <v>1271.4601730634361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Epicéa de Sitka</v>
      </c>
      <c r="B8" s="154">
        <f>'Données projet'!D11</f>
        <v>3.5259999999999998</v>
      </c>
      <c r="C8" s="147">
        <f ca="1">IF(OR('Données projet'!B11="",'Données projet'!C11="",'Données projet'!C11=0%),0,Calculateur!BI3)</f>
        <v>297.07458564121606</v>
      </c>
      <c r="D8" s="147">
        <f>IF(OR('Données projet'!B11="",'Données projet'!C11="",'Données projet'!C11=0%),0,Calculateur!BJ3)</f>
        <v>514.93897725587567</v>
      </c>
      <c r="E8" s="147">
        <f t="shared" ca="1" si="0"/>
        <v>297.07458564121606</v>
      </c>
      <c r="F8" s="147">
        <f t="shared" ca="1" si="1"/>
        <v>1047.4849889709278</v>
      </c>
      <c r="G8" s="147">
        <f ca="1">F8*(100%-'Données projet'!$C$24)*(100%-'Données projet'!$C$25)*(100%-'Données projet'!$C$26)*(100%-'Données projet'!$C$27)</f>
        <v>895.59966557014332</v>
      </c>
      <c r="H8" s="155">
        <f>IF(OR('Données projet'!B11="",'Données projet'!C11="",'Données projet'!C11=0%),0,AVERAGE(Calculateur!$BS$3:$BS$33)*B8)</f>
        <v>75.988590141817014</v>
      </c>
      <c r="I8" s="149">
        <f>H8*(100%-'Données projet'!$C$24)*(100%-'Données projet'!$C$25)*(100%-'Données projet'!$C$26)*(100%-'Données projet'!$C$27)</f>
        <v>64.970244571253545</v>
      </c>
      <c r="J8" s="150">
        <f>IF(OR('Données projet'!B11="",'Données projet'!C11="",'Données projet'!C11=0%),0,SUM(Calculateur!$BL$3:$BL$33)*VLOOKUP('Données projet'!$B$11,Paramètres!$A$1:$I$89,9,0)*B8)</f>
        <v>486.69378</v>
      </c>
      <c r="K8" s="151">
        <f>J8*(100%-'Données projet'!$C$24)*(100%-'Données projet'!$C$25)*(100%-'Données projet'!$C$26)*(100%-'Données projet'!$C$27)</f>
        <v>416.12318189999996</v>
      </c>
      <c r="L8" s="152">
        <f t="shared" ca="1" si="2"/>
        <v>1376.6930920413968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2255.0843831462316</v>
      </c>
      <c r="G16" s="166">
        <f t="shared" ca="1" si="3"/>
        <v>1928.0971475900283</v>
      </c>
      <c r="H16" s="167">
        <f t="shared" si="3"/>
        <v>125.35109954966029</v>
      </c>
      <c r="I16" s="167">
        <f t="shared" si="3"/>
        <v>107.17519011495955</v>
      </c>
      <c r="J16" s="168">
        <f t="shared" si="3"/>
        <v>795.39997538461535</v>
      </c>
      <c r="K16" s="168">
        <f t="shared" si="3"/>
        <v>680.06697895384605</v>
      </c>
      <c r="L16" s="169">
        <f t="shared" ca="1" si="3"/>
        <v>2715.3393166588339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Douglas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Epicéa de Sitka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B1" zoomScale="80" zoomScaleNormal="80" workbookViewId="0">
      <selection activeCell="F93" sqref="F9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292</v>
      </c>
      <c r="I4" s="262"/>
      <c r="K4" s="286" t="s">
        <v>293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53</v>
      </c>
      <c r="O7" s="247"/>
      <c r="P7" s="248"/>
      <c r="Q7" s="249"/>
      <c r="R7" s="296" t="s">
        <v>294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331.09054454422636</v>
      </c>
      <c r="U10" s="178">
        <f>'Données projet'!D9</f>
        <v>1.032</v>
      </c>
      <c r="V10" s="177">
        <f>U10*T10</f>
        <v>341.6854419696416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Douglas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1176.7160098426875</v>
      </c>
      <c r="U11" s="178">
        <f>'Données projet'!D10</f>
        <v>4.0419999999999998</v>
      </c>
      <c r="V11" s="177">
        <f t="shared" ref="V11" si="0">U11*T11</f>
        <v>4756.286111784143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Epicéa de Sitka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41.6201548802959</v>
      </c>
      <c r="U12" s="178">
        <f>'Données projet'!D11</f>
        <v>3.5259999999999998</v>
      </c>
      <c r="V12" s="177">
        <f t="shared" ref="V12:V19" si="1">U12*T12</f>
        <v>146.75266610792335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72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44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289"/>
      <c r="H16" s="190"/>
      <c r="I16" s="191"/>
      <c r="J16" s="202"/>
      <c r="K16" s="208"/>
      <c r="L16" s="286" t="s">
        <v>311</v>
      </c>
      <c r="M16" s="287"/>
      <c r="N16" s="2">
        <v>20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193</v>
      </c>
      <c r="C17" s="198" t="s">
        <v>193</v>
      </c>
      <c r="D17" s="197" t="s">
        <v>193</v>
      </c>
      <c r="E17" s="193"/>
      <c r="F17" s="230"/>
      <c r="G17" s="289"/>
      <c r="J17" s="202"/>
      <c r="K17" s="208"/>
      <c r="L17" s="259" t="s">
        <v>312</v>
      </c>
      <c r="M17" s="261"/>
      <c r="N17" s="175">
        <f>VLOOKUP(N16,Calculateur!$A$2:$H$153,3,0)/VLOOKUP('Scénario référence'!$G$15,Paramètres!A1:I89,3,0)/VLOOKUP('Scénario référence'!$G$15,Paramètres!A1:I89,5,0)</f>
        <v>20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289"/>
      <c r="J18" s="202"/>
      <c r="K18" s="208"/>
      <c r="L18" s="259" t="s">
        <v>308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289"/>
      <c r="H19" s="212" t="s">
        <v>72</v>
      </c>
      <c r="I19" s="212" t="s">
        <v>313</v>
      </c>
      <c r="J19" s="93"/>
      <c r="K19" s="173"/>
      <c r="L19" s="286" t="s">
        <v>314</v>
      </c>
      <c r="M19" s="287"/>
      <c r="N19" s="179">
        <f>N17*N18</f>
        <v>600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289"/>
      <c r="H20" s="190">
        <v>1</v>
      </c>
      <c r="I20" s="191">
        <v>11875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30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8" t="s">
        <v>315</v>
      </c>
      <c r="M23" s="288"/>
      <c r="N23" s="288"/>
      <c r="O23" s="23"/>
      <c r="P23" s="23"/>
      <c r="Q23" s="234"/>
      <c r="R23" s="23"/>
      <c r="S23" s="36" t="s">
        <v>316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-92482.548507411018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51</v>
      </c>
      <c r="B24" s="181">
        <f>'Données projet'!D37</f>
        <v>100.30769230769231</v>
      </c>
      <c r="C24" s="193">
        <v>17.8</v>
      </c>
      <c r="D24" s="182">
        <f t="shared" ref="D24:D42" si="2">B24*C24</f>
        <v>1785.4769230769232</v>
      </c>
      <c r="E24" s="193">
        <v>2371.1999999999998</v>
      </c>
      <c r="F24" s="233"/>
      <c r="H24" s="190"/>
      <c r="I24" s="191"/>
      <c r="K24" s="208"/>
      <c r="O24" s="23"/>
      <c r="P24" s="23"/>
      <c r="Q24" s="234"/>
      <c r="R24" s="23"/>
      <c r="S24" s="36" t="s">
        <v>317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2139.5571559724563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63</v>
      </c>
      <c r="B25" s="181">
        <f>'Données projet'!D38</f>
        <v>108.08461538461538</v>
      </c>
      <c r="C25" s="193">
        <v>47.339999999999996</v>
      </c>
      <c r="D25" s="182">
        <f t="shared" si="2"/>
        <v>5116.7256923076911</v>
      </c>
      <c r="E25" s="193">
        <v>2428.8000000000002</v>
      </c>
      <c r="F25" s="233"/>
      <c r="H25" s="190"/>
      <c r="I25" s="191"/>
      <c r="K25" s="208"/>
      <c r="L25" s="130" t="s">
        <v>318</v>
      </c>
      <c r="M25" s="130"/>
      <c r="N25" s="130"/>
      <c r="O25" s="130"/>
      <c r="P25" s="192"/>
      <c r="Q25" s="234"/>
      <c r="R25" s="23"/>
      <c r="S25" s="186" t="s">
        <v>319</v>
      </c>
      <c r="T25" s="303">
        <f ca="1">T23-T24</f>
        <v>-94622.105663383481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75</v>
      </c>
      <c r="B26" s="181">
        <f>'Données projet'!D39</f>
        <v>85.361538461538458</v>
      </c>
      <c r="C26" s="193">
        <v>47.339999999999989</v>
      </c>
      <c r="D26" s="182">
        <f t="shared" si="2"/>
        <v>4041.0152307692297</v>
      </c>
      <c r="E26" s="193">
        <v>2016</v>
      </c>
      <c r="F26" s="233"/>
      <c r="G26" s="229"/>
      <c r="H26" s="190"/>
      <c r="I26" s="191"/>
      <c r="K26" s="208"/>
      <c r="L26" s="290" t="s">
        <v>320</v>
      </c>
      <c r="M26" s="291"/>
      <c r="N26" s="291"/>
      <c r="O26" s="291"/>
      <c r="P26" s="292"/>
      <c r="Q26" s="234"/>
      <c r="R26" s="23"/>
      <c r="S26" s="186" t="s">
        <v>321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87</v>
      </c>
      <c r="B27" s="181">
        <f>'Données projet'!D40</f>
        <v>82.938461538461524</v>
      </c>
      <c r="C27" s="193">
        <v>47.339999999999989</v>
      </c>
      <c r="D27" s="182">
        <f t="shared" si="2"/>
        <v>3926.3067692307677</v>
      </c>
      <c r="E27" s="193">
        <v>1894.4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322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99</v>
      </c>
      <c r="B28" s="181">
        <f>'Données projet'!D41</f>
        <v>198.32307692307691</v>
      </c>
      <c r="C28" s="193">
        <v>47.34</v>
      </c>
      <c r="D28" s="182">
        <f t="shared" si="2"/>
        <v>9388.6144615384619</v>
      </c>
      <c r="E28" s="193">
        <v>5084.8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109</v>
      </c>
      <c r="B29" s="181">
        <f>'Données projet'!D42</f>
        <v>256.09230769230771</v>
      </c>
      <c r="C29" s="193">
        <v>47.34</v>
      </c>
      <c r="D29" s="182">
        <f t="shared" si="2"/>
        <v>12123.409846153849</v>
      </c>
      <c r="E29" s="193">
        <v>5894.4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72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17</v>
      </c>
      <c r="B45" s="174" t="str">
        <f>IF('Données projet'!$B$10="","",'Données projet'!$B$10)</f>
        <v>Douglas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44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193</v>
      </c>
      <c r="C48" s="198" t="s">
        <v>193</v>
      </c>
      <c r="D48" s="197" t="s">
        <v>193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18</v>
      </c>
      <c r="B54" s="181">
        <f>'Données projet'!D62</f>
        <v>69.284615384615378</v>
      </c>
      <c r="C54" s="191">
        <v>17.8</v>
      </c>
      <c r="D54" s="179">
        <f>B54*C54</f>
        <v>1233.2661538461539</v>
      </c>
      <c r="E54" s="193">
        <v>2217.1076923076921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24</v>
      </c>
      <c r="B55" s="181">
        <f>'Données projet'!D63</f>
        <v>42.661538461538463</v>
      </c>
      <c r="C55" s="191">
        <v>47.339999999999996</v>
      </c>
      <c r="D55" s="179">
        <f t="shared" ref="D55:D73" si="4">B55*C55</f>
        <v>2019.5972307692307</v>
      </c>
      <c r="E55" s="193">
        <v>1365.1692307692308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65.669230769230765</v>
      </c>
      <c r="C56" s="191">
        <v>47.34</v>
      </c>
      <c r="D56" s="179">
        <f t="shared" si="4"/>
        <v>3108.7813846153845</v>
      </c>
      <c r="E56" s="193">
        <v>2101.4153846153845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36</v>
      </c>
      <c r="B57" s="181">
        <f>'Données projet'!D65</f>
        <v>69.3</v>
      </c>
      <c r="C57" s="191">
        <v>47.339999999999996</v>
      </c>
      <c r="D57" s="179">
        <f t="shared" si="4"/>
        <v>3280.6619999999998</v>
      </c>
      <c r="E57" s="193">
        <v>2217.6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42</v>
      </c>
      <c r="B58" s="181">
        <f>'Données projet'!D66</f>
        <v>73.392307692307682</v>
      </c>
      <c r="C58" s="191">
        <v>47.339999999999996</v>
      </c>
      <c r="D58" s="179">
        <f t="shared" si="4"/>
        <v>3474.3918461538456</v>
      </c>
      <c r="E58" s="193">
        <v>2348.5538461538458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48</v>
      </c>
      <c r="B59" s="181">
        <f>'Données projet'!D67</f>
        <v>81.330769230769235</v>
      </c>
      <c r="C59" s="191">
        <v>47.339999999999996</v>
      </c>
      <c r="D59" s="179">
        <f t="shared" si="4"/>
        <v>3850.1986153846151</v>
      </c>
      <c r="E59" s="193">
        <v>2602.5846153846155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54</v>
      </c>
      <c r="B60" s="181">
        <f>'Données projet'!D68</f>
        <v>566.79999999999995</v>
      </c>
      <c r="C60" s="191">
        <v>47.339999999999996</v>
      </c>
      <c r="D60" s="179">
        <f t="shared" si="4"/>
        <v>26832.311999999994</v>
      </c>
      <c r="E60" s="193">
        <v>18137.599999999999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18</v>
      </c>
      <c r="B76" s="174" t="str">
        <f>IF('Données projet'!B11="","",'Données projet'!B11)</f>
        <v>Epicéa de Sitka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str">
        <f>IF(O76+1&lt;=MIN('Données projet'!$E$9:$E$18),O76+1,"STOP")</f>
        <v>STOP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44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17</v>
      </c>
      <c r="B85" s="181">
        <f>'Données projet'!D88</f>
        <v>58</v>
      </c>
      <c r="C85" s="191">
        <v>19.413793103448281</v>
      </c>
      <c r="D85" s="179">
        <f>B85*C85</f>
        <v>1126.0000000000002</v>
      </c>
      <c r="E85" s="193">
        <v>1856</v>
      </c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20</v>
      </c>
      <c r="B86" s="181">
        <f>'Données projet'!D89</f>
        <v>66</v>
      </c>
      <c r="C86" s="191">
        <v>17.295454545454547</v>
      </c>
      <c r="D86" s="179">
        <f t="shared" ref="D86:D104" si="6">B86*C86</f>
        <v>1141.5</v>
      </c>
      <c r="E86" s="193">
        <v>2112</v>
      </c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23</v>
      </c>
      <c r="B87" s="181">
        <f>'Données projet'!D90</f>
        <v>57</v>
      </c>
      <c r="C87" s="191">
        <v>30.431578947368418</v>
      </c>
      <c r="D87" s="179">
        <f t="shared" si="6"/>
        <v>1734.6</v>
      </c>
      <c r="E87" s="193">
        <v>1824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26</v>
      </c>
      <c r="B88" s="181">
        <f>'Données projet'!D91</f>
        <v>62</v>
      </c>
      <c r="C88" s="191">
        <v>30.687096774193545</v>
      </c>
      <c r="D88" s="179">
        <f t="shared" si="6"/>
        <v>1902.6</v>
      </c>
      <c r="E88" s="193">
        <v>1984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30</v>
      </c>
      <c r="B89" s="181">
        <f>'Données projet'!D92</f>
        <v>78</v>
      </c>
      <c r="C89" s="191">
        <v>28.799999999999994</v>
      </c>
      <c r="D89" s="179">
        <f t="shared" si="6"/>
        <v>2246.3999999999996</v>
      </c>
      <c r="E89" s="193">
        <v>2496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34</v>
      </c>
      <c r="B90" s="181">
        <f>'Données projet'!D93</f>
        <v>64</v>
      </c>
      <c r="C90" s="191">
        <v>38</v>
      </c>
      <c r="D90" s="179">
        <f t="shared" si="6"/>
        <v>2432</v>
      </c>
      <c r="E90" s="193">
        <v>2048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38</v>
      </c>
      <c r="B91" s="181">
        <f>'Données projet'!D94</f>
        <v>55</v>
      </c>
      <c r="C91" s="191">
        <v>38</v>
      </c>
      <c r="D91" s="179">
        <f t="shared" si="6"/>
        <v>2090</v>
      </c>
      <c r="E91" s="193">
        <v>1760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43</v>
      </c>
      <c r="B92" s="181">
        <f>'Données projet'!D95</f>
        <v>848</v>
      </c>
      <c r="C92" s="191">
        <v>38</v>
      </c>
      <c r="D92" s="179">
        <f t="shared" si="6"/>
        <v>32224</v>
      </c>
      <c r="E92" s="193">
        <v>27136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19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44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20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44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21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44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22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44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23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44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24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44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25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44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7" ma:contentTypeDescription="Create a new document." ma:contentTypeScope="" ma:versionID="b9006c8d36dc89b774cd2e169e3c0d6b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b21b1cac5a80b710dc0a199b0dfd872d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D47451-53A2-495B-BACB-17906CADC9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5FA4DC-1DF0-45FE-8E60-10AFB0CCCDAE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3.xml><?xml version="1.0" encoding="utf-8"?>
<ds:datastoreItem xmlns:ds="http://schemas.openxmlformats.org/officeDocument/2006/customXml" ds:itemID="{C4B235EB-EDDB-4A97-8A3F-EF19188F05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Nesrine Ahmed Tounsi</cp:lastModifiedBy>
  <cp:revision/>
  <dcterms:created xsi:type="dcterms:W3CDTF">2021-02-01T08:22:39Z</dcterms:created>
  <dcterms:modified xsi:type="dcterms:W3CDTF">2025-09-17T08:26:10Z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