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04_PROJETS/Sylvaexpertise/GF KERIGONAN_Guerlesquin_Plounerin_6,05/2.Dossier_LBC_déposé/"/>
    </mc:Choice>
  </mc:AlternateContent>
  <xr:revisionPtr revIDLastSave="62" documentId="11_E6967C7E78D5A5CAE6D435F968EBF6B69F8688AF" xr6:coauthVersionLast="47" xr6:coauthVersionMax="47" xr10:uidLastSave="{6C0C9550-6DEA-4227-B182-0BB8A6935293}"/>
  <bookViews>
    <workbookView xWindow="-12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EB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W155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H156" i="2" l="1"/>
  <c r="EB156" i="2"/>
  <c r="AB156" i="2"/>
  <c r="HG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CN156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EC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HH164" i="2"/>
  <c r="FS164" i="2"/>
  <c r="EX164" i="2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DG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HI168" i="2"/>
  <c r="EC168" i="2"/>
  <c r="EV168" i="2"/>
  <c r="EY168" i="2" s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X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HI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B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EW185" i="2"/>
  <c r="HH185" i="2"/>
  <c r="HI185" i="2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HH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V190" i="2"/>
  <c r="HG190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V192" i="2"/>
  <c r="EB192" i="2"/>
  <c r="EW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X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A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B199" i="2"/>
  <c r="EA199" i="2"/>
  <c r="EV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HG201" i="2"/>
  <c r="HH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FR202" i="2"/>
  <c r="HI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1" i="2" a="1"/>
  <c r="FY71" i="2" s="1"/>
  <c r="FD21" i="2" a="1"/>
  <c r="FD21" i="2" s="1"/>
  <c r="FD144" i="2" a="1"/>
  <c r="FD144" i="2" s="1"/>
  <c r="FD59" i="2" a="1"/>
  <c r="FD59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CS38" i="2" a="1"/>
  <c r="CS38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64" i="2" a="1"/>
  <c r="BC164" i="2" s="1"/>
  <c r="BC32" i="2" a="1"/>
  <c r="BC32" i="2" s="1"/>
  <c r="BC7" i="2" a="1"/>
  <c r="BC7" i="2" s="1"/>
  <c r="BC151" i="2" a="1"/>
  <c r="BC151" i="2" s="1"/>
  <c r="BC83" i="2" a="1"/>
  <c r="BC83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BC47" i="2" l="1" a="1"/>
  <c r="BC47" i="2" s="1"/>
  <c r="BC143" i="2" a="1"/>
  <c r="BC143" i="2" s="1"/>
  <c r="BC68" i="2" a="1"/>
  <c r="BC68" i="2" s="1"/>
  <c r="BC185" i="2" a="1"/>
  <c r="BC185" i="2" s="1"/>
  <c r="BC58" i="2" a="1"/>
  <c r="BC58" i="2" s="1"/>
  <c r="BC31" i="2" a="1"/>
  <c r="BC31" i="2" s="1"/>
  <c r="BC84" i="2" a="1"/>
  <c r="BC84" i="2" s="1"/>
  <c r="BC34" i="2" a="1"/>
  <c r="BC34" i="2" s="1"/>
  <c r="FY50" i="2" a="1"/>
  <c r="FY50" i="2" s="1"/>
  <c r="FY104" i="2" a="1"/>
  <c r="FY104" i="2" s="1"/>
  <c r="FY178" i="2" a="1"/>
  <c r="FY178" i="2" s="1"/>
  <c r="FY18" i="2" a="1"/>
  <c r="FY18" i="2" s="1"/>
  <c r="FY82" i="2" a="1"/>
  <c r="FY82" i="2" s="1"/>
  <c r="FY55" i="2" a="1"/>
  <c r="FY55" i="2" s="1"/>
  <c r="FY54" i="2" a="1"/>
  <c r="FY54" i="2" s="1"/>
  <c r="FY172" i="2" a="1"/>
  <c r="FY172" i="2" s="1"/>
  <c r="FY182" i="2" a="1"/>
  <c r="FY182" i="2" s="1"/>
  <c r="FY152" i="2" a="1"/>
  <c r="FY152" i="2" s="1"/>
  <c r="FY186" i="2" a="1"/>
  <c r="FY186" i="2" s="1"/>
  <c r="DN167" i="2" a="1"/>
  <c r="DN167" i="2" s="1"/>
  <c r="DN188" i="2" a="1"/>
  <c r="DN188" i="2" s="1"/>
  <c r="DN30" i="2" a="1"/>
  <c r="DN30" i="2" s="1"/>
  <c r="DN86" i="2" a="1"/>
  <c r="DN86" i="2" s="1"/>
  <c r="FY34" i="2" a="1"/>
  <c r="FY34" i="2" s="1"/>
  <c r="FY173" i="2" a="1"/>
  <c r="FY173" i="2" s="1"/>
  <c r="DN162" i="2" a="1"/>
  <c r="DN162" i="2" s="1"/>
  <c r="DN114" i="2" a="1"/>
  <c r="DN114" i="2" s="1"/>
  <c r="DN43" i="2" a="1"/>
  <c r="DN43" i="2" s="1"/>
  <c r="FY188" i="2" a="1"/>
  <c r="FY188" i="2" s="1"/>
  <c r="FY79" i="2" a="1"/>
  <c r="FY79" i="2" s="1"/>
  <c r="DN103" i="2" a="1"/>
  <c r="DN103" i="2" s="1"/>
  <c r="DN186" i="2" a="1"/>
  <c r="DN186" i="2" s="1"/>
  <c r="FY28" i="2" a="1"/>
  <c r="FY28" i="2" s="1"/>
  <c r="FY47" i="2" a="1"/>
  <c r="FY47" i="2" s="1"/>
  <c r="DN164" i="2" a="1"/>
  <c r="DN164" i="2" s="1"/>
  <c r="DN137" i="2" a="1"/>
  <c r="DN137" i="2" s="1"/>
  <c r="FY78" i="2" a="1"/>
  <c r="FY78" i="2" s="1"/>
  <c r="FY35" i="2" a="1"/>
  <c r="FY35" i="2" s="1"/>
  <c r="DN187" i="2" a="1"/>
  <c r="DN187" i="2" s="1"/>
  <c r="DN135" i="2" a="1"/>
  <c r="DN135" i="2" s="1"/>
  <c r="CS137" i="2" a="1"/>
  <c r="CS137" i="2" s="1"/>
  <c r="CS129" i="2" a="1"/>
  <c r="CS129" i="2" s="1"/>
  <c r="FY174" i="2" a="1"/>
  <c r="FY174" i="2" s="1"/>
  <c r="DN133" i="2" a="1"/>
  <c r="DN133" i="2" s="1"/>
  <c r="CS161" i="2" a="1"/>
  <c r="CS161" i="2" s="1"/>
  <c r="DN129" i="2" a="1"/>
  <c r="DN129" i="2" s="1"/>
  <c r="FY169" i="2" a="1"/>
  <c r="FY169" i="2" s="1"/>
  <c r="FY146" i="2" a="1"/>
  <c r="FY146" i="2" s="1"/>
  <c r="BX107" i="2" a="1"/>
  <c r="BX107" i="2" s="1"/>
  <c r="CS114" i="2" a="1"/>
  <c r="CS114" i="2" s="1"/>
  <c r="CS120" i="2" a="1"/>
  <c r="CS12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CS72" i="2" a="1"/>
  <c r="CS72" i="2" s="1"/>
  <c r="DN70" i="2" a="1"/>
  <c r="DN70" i="2" s="1"/>
  <c r="CS56" i="2" a="1"/>
  <c r="CS56" i="2" s="1"/>
  <c r="DN63" i="2" a="1"/>
  <c r="DN63" i="2" s="1"/>
  <c r="BC192" i="2" a="1"/>
  <c r="BC19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FY115" i="2" a="1"/>
  <c r="FY115" i="2" s="1"/>
  <c r="FY109" i="2" a="1"/>
  <c r="FY109" i="2" s="1"/>
  <c r="FY140" i="2" a="1"/>
  <c r="FY140" i="2" s="1"/>
  <c r="DN49" i="2" a="1"/>
  <c r="DN49" i="2" s="1"/>
  <c r="FY29" i="2" a="1"/>
  <c r="FY29" i="2" s="1"/>
  <c r="FY121" i="2" a="1"/>
  <c r="FY121" i="2" s="1"/>
  <c r="FY167" i="2" a="1"/>
  <c r="FY167" i="2" s="1"/>
  <c r="FY165" i="2" a="1"/>
  <c r="FY165" i="2" s="1"/>
  <c r="DN38" i="2" a="1"/>
  <c r="DN38" i="2" s="1"/>
  <c r="CS52" i="2" a="1"/>
  <c r="CS52" i="2" s="1"/>
  <c r="FY99" i="2" a="1"/>
  <c r="FY99" i="2" s="1"/>
  <c r="FY80" i="2" a="1"/>
  <c r="FY80" i="2" s="1"/>
  <c r="DN55" i="2" a="1"/>
  <c r="DN55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DN29" i="2" a="1"/>
  <c r="DN29" i="2" s="1"/>
  <c r="DN16" i="2" a="1"/>
  <c r="DN16" i="2" s="1"/>
  <c r="DN41" i="2" a="1"/>
  <c r="DN41" i="2" s="1"/>
  <c r="FY126" i="2" a="1"/>
  <c r="FY126" i="2" s="1"/>
  <c r="FY133" i="2" a="1"/>
  <c r="FY133" i="2" s="1"/>
  <c r="DN46" i="2" a="1"/>
  <c r="DN46" i="2" s="1"/>
  <c r="FY86" i="2" a="1"/>
  <c r="FY86" i="2" s="1"/>
  <c r="DN177" i="2" a="1"/>
  <c r="DN177" i="2" s="1"/>
  <c r="FY164" i="2" a="1"/>
  <c r="FY164" i="2" s="1"/>
  <c r="FY159" i="2" a="1"/>
  <c r="FY159" i="2" s="1"/>
  <c r="FY58" i="2" a="1"/>
  <c r="FY58" i="2" s="1"/>
  <c r="DN115" i="2" a="1"/>
  <c r="DN115" i="2" s="1"/>
  <c r="FY149" i="2" a="1"/>
  <c r="FY149" i="2" s="1"/>
  <c r="FY143" i="2" a="1"/>
  <c r="FY143" i="2" s="1"/>
  <c r="DN176" i="2" a="1"/>
  <c r="DN176" i="2" s="1"/>
  <c r="DN153" i="2" a="1"/>
  <c r="DN153" i="2" s="1"/>
  <c r="FY24" i="2" a="1"/>
  <c r="FY24" i="2" s="1"/>
  <c r="FY191" i="2" a="1"/>
  <c r="FY191" i="2" s="1"/>
  <c r="DN190" i="2" a="1"/>
  <c r="DN190" i="2" s="1"/>
  <c r="CS105" i="2" a="1"/>
  <c r="CS105" i="2" s="1"/>
  <c r="DN170" i="2" a="1"/>
  <c r="DN170" i="2" s="1"/>
  <c r="FY124" i="2" a="1"/>
  <c r="FY124" i="2" s="1"/>
  <c r="FY110" i="2" a="1"/>
  <c r="FY110" i="2" s="1"/>
  <c r="FY142" i="2" a="1"/>
  <c r="FY142" i="2" s="1"/>
  <c r="DN123" i="2" a="1"/>
  <c r="DN123" i="2" s="1"/>
  <c r="FY153" i="2" a="1"/>
  <c r="FY153" i="2" s="1"/>
  <c r="DN65" i="2" a="1"/>
  <c r="DN65" i="2" s="1"/>
  <c r="AH163" i="2" a="1"/>
  <c r="AH163" i="2" s="1"/>
  <c r="DN50" i="2" a="1"/>
  <c r="DN50" i="2" s="1"/>
  <c r="DN45" i="2" a="1"/>
  <c r="DN45" i="2" s="1"/>
  <c r="DN80" i="2" a="1"/>
  <c r="DN80" i="2" s="1"/>
  <c r="FY42" i="2" a="1"/>
  <c r="FY42" i="2" s="1"/>
  <c r="AH199" i="2" a="1"/>
  <c r="AH199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BP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D60" i="2" l="1"/>
  <c r="CD166" i="2"/>
  <c r="CD146" i="2"/>
  <c r="CD17" i="2"/>
  <c r="CD47" i="2"/>
  <c r="CD94" i="2"/>
  <c r="CD180" i="2"/>
  <c r="CD136" i="2"/>
  <c r="CD22" i="2"/>
  <c r="CD7" i="2"/>
  <c r="CD197" i="2"/>
  <c r="CD182" i="2"/>
  <c r="CD145" i="2"/>
  <c r="CD128" i="2"/>
  <c r="CD71" i="2"/>
  <c r="CD82" i="2"/>
  <c r="CD25" i="2"/>
  <c r="CD56" i="2"/>
  <c r="CD148" i="2"/>
  <c r="CD78" i="2"/>
  <c r="CD85" i="2"/>
  <c r="CD161" i="2"/>
  <c r="CD142" i="2"/>
  <c r="CD96" i="2"/>
  <c r="CD123" i="2"/>
  <c r="CD64" i="2"/>
  <c r="CD109" i="2"/>
  <c r="CD129" i="2"/>
  <c r="CD35" i="2"/>
  <c r="CD10" i="2"/>
  <c r="CD152" i="2"/>
  <c r="CD37" i="2"/>
  <c r="CD69" i="2"/>
  <c r="CD115" i="2"/>
  <c r="CD98" i="2"/>
  <c r="CD134" i="2"/>
  <c r="CD83" i="2"/>
  <c r="CD191" i="2"/>
  <c r="CD38" i="2"/>
  <c r="CD179" i="2"/>
  <c r="CD131" i="2"/>
  <c r="CD104" i="2"/>
  <c r="CD167" i="2"/>
  <c r="CD163" i="2"/>
  <c r="CD3" i="2"/>
  <c r="C9" i="4" s="1"/>
  <c r="E9" i="4" s="1"/>
  <c r="F9" i="4" s="1"/>
  <c r="G9" i="4" s="1"/>
  <c r="L9" i="4" s="1"/>
  <c r="CD162" i="2"/>
  <c r="CD111" i="2"/>
  <c r="CD155" i="2"/>
  <c r="CD151" i="2"/>
  <c r="CD141" i="2"/>
  <c r="CD67" i="2"/>
  <c r="CD91" i="2"/>
  <c r="CD127" i="2"/>
  <c r="CD30" i="2"/>
  <c r="CD4" i="2"/>
  <c r="CD48" i="2"/>
  <c r="CD62" i="2"/>
  <c r="CD27" i="2"/>
  <c r="CD31" i="2"/>
  <c r="CD49" i="2"/>
  <c r="CD149" i="2"/>
  <c r="CD130" i="2"/>
  <c r="CD95" i="2"/>
  <c r="CD81" i="2"/>
  <c r="CD46" i="2"/>
  <c r="CD140" i="2"/>
  <c r="CD143" i="2"/>
  <c r="CD76" i="2"/>
  <c r="CD107" i="2"/>
  <c r="CD89" i="2"/>
  <c r="CD195" i="2"/>
  <c r="CD105" i="2"/>
  <c r="CD189" i="2"/>
  <c r="CD101" i="2"/>
  <c r="CD21" i="2"/>
  <c r="CD157" i="2"/>
  <c r="CD45" i="2"/>
  <c r="CD169" i="2"/>
  <c r="CD77" i="2"/>
  <c r="CD68" i="2"/>
  <c r="CD92" i="2"/>
  <c r="CD75" i="2"/>
  <c r="CD201" i="2"/>
  <c r="CD113" i="2"/>
  <c r="CD57" i="2"/>
  <c r="CD87" i="2"/>
  <c r="CD80" i="2"/>
  <c r="CD137" i="2"/>
  <c r="CD19" i="2"/>
  <c r="CD185" i="2"/>
  <c r="CD41" i="2"/>
  <c r="CD159" i="2"/>
  <c r="CD50" i="2"/>
  <c r="CD66" i="2"/>
  <c r="CD139" i="2"/>
  <c r="CD194" i="2"/>
  <c r="CD176" i="2"/>
  <c r="CD173" i="2"/>
  <c r="CD190" i="2"/>
  <c r="CD52" i="2"/>
  <c r="CD119" i="2"/>
  <c r="CD61" i="2"/>
  <c r="CD55" i="2"/>
  <c r="CD192" i="2"/>
  <c r="CD181" i="2"/>
  <c r="CD199" i="2"/>
  <c r="CD15" i="2"/>
  <c r="CD183" i="2"/>
  <c r="CD153" i="2"/>
  <c r="CD106" i="2"/>
  <c r="CD102" i="2"/>
  <c r="CD8" i="2"/>
  <c r="CD90" i="2"/>
  <c r="CD172" i="2"/>
  <c r="CD33" i="2"/>
  <c r="CD122" i="2"/>
  <c r="CD177" i="2"/>
  <c r="CD26" i="2"/>
  <c r="CD29" i="2"/>
  <c r="CD108" i="2"/>
  <c r="CD34" i="2"/>
  <c r="CD12" i="2"/>
  <c r="CD164" i="2"/>
  <c r="CD103" i="2"/>
  <c r="CD100" i="2"/>
  <c r="CD58" i="2"/>
  <c r="CD86" i="2"/>
  <c r="CD156" i="2"/>
  <c r="CD184" i="2"/>
  <c r="CD73" i="2"/>
  <c r="CD23" i="2"/>
  <c r="CD74" i="2"/>
  <c r="CD158" i="2"/>
  <c r="CD171" i="2"/>
  <c r="CD18" i="2"/>
  <c r="CD150" i="2"/>
  <c r="CD168" i="2"/>
  <c r="CD198" i="2"/>
  <c r="CD5" i="2"/>
  <c r="CD114" i="2"/>
  <c r="CD9" i="2"/>
  <c r="CD13" i="2"/>
  <c r="CD124" i="2"/>
  <c r="CD32" i="2"/>
  <c r="CD203" i="2"/>
  <c r="CD24" i="2"/>
  <c r="CD72" i="2"/>
  <c r="CD202" i="2"/>
  <c r="CD20" i="2"/>
  <c r="CD63" i="2"/>
  <c r="CD54" i="2"/>
  <c r="CD53" i="2"/>
  <c r="CD40" i="2"/>
  <c r="CD110" i="2"/>
  <c r="CD144" i="2"/>
  <c r="CD133" i="2"/>
  <c r="CD178" i="2"/>
  <c r="CD112" i="2"/>
  <c r="CD93" i="2"/>
  <c r="CD11" i="2"/>
  <c r="CD160" i="2"/>
  <c r="CD188" i="2"/>
  <c r="CD126" i="2"/>
  <c r="CD118" i="2"/>
  <c r="CD99" i="2"/>
  <c r="CD138" i="2"/>
  <c r="CD97" i="2"/>
  <c r="CD147" i="2"/>
  <c r="CD6" i="2"/>
  <c r="CD125" i="2"/>
  <c r="CD154" i="2"/>
  <c r="CD170" i="2"/>
  <c r="CD28" i="2"/>
  <c r="CD186" i="2"/>
  <c r="CD121" i="2"/>
  <c r="CD51" i="2"/>
  <c r="CD175" i="2"/>
  <c r="CD39" i="2"/>
  <c r="CD70" i="2"/>
  <c r="CD196" i="2"/>
  <c r="CD88" i="2"/>
  <c r="CD79" i="2"/>
  <c r="CD120" i="2"/>
  <c r="CD135" i="2"/>
  <c r="CD84" i="2"/>
  <c r="CD14" i="2"/>
  <c r="CD117" i="2"/>
  <c r="CD65" i="2"/>
  <c r="CD200" i="2"/>
  <c r="CD187" i="2"/>
  <c r="CD116" i="2"/>
  <c r="CD174" i="2"/>
  <c r="CD44" i="2"/>
  <c r="CD16" i="2"/>
  <c r="CD42" i="2"/>
  <c r="CD59" i="2"/>
  <c r="CD193" i="2"/>
  <c r="CD132" i="2"/>
  <c r="CD36" i="2"/>
  <c r="CD43" i="2"/>
  <c r="CD165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I47" i="2" l="1"/>
  <c r="BI101" i="2"/>
  <c r="BI100" i="2"/>
  <c r="BI173" i="2"/>
  <c r="BI36" i="2"/>
  <c r="BI150" i="2"/>
  <c r="BI122" i="2"/>
  <c r="BI165" i="2"/>
  <c r="BI119" i="2"/>
  <c r="BI15" i="2"/>
  <c r="BI142" i="2"/>
  <c r="BI102" i="2"/>
  <c r="BI199" i="2"/>
  <c r="BI171" i="2"/>
  <c r="BI163" i="2"/>
  <c r="BI31" i="2"/>
  <c r="BI146" i="2"/>
  <c r="BI97" i="2"/>
  <c r="BI140" i="2"/>
  <c r="BI134" i="2"/>
  <c r="BI37" i="2"/>
  <c r="BI78" i="2"/>
  <c r="BI83" i="2"/>
  <c r="BI44" i="2"/>
  <c r="BI13" i="2"/>
  <c r="BI96" i="2"/>
  <c r="BI148" i="2"/>
  <c r="BI145" i="2"/>
  <c r="BI152" i="2"/>
  <c r="BI108" i="2"/>
  <c r="BI80" i="2"/>
  <c r="BI164" i="2"/>
  <c r="BI117" i="2"/>
  <c r="BI144" i="2"/>
  <c r="BI48" i="2"/>
  <c r="BI4" i="2"/>
  <c r="BI120" i="2"/>
  <c r="BI8" i="2"/>
  <c r="BI28" i="2"/>
  <c r="BI19" i="2"/>
  <c r="BI81" i="2"/>
  <c r="BI105" i="2"/>
  <c r="BI166" i="2"/>
  <c r="BI104" i="2"/>
  <c r="BI53" i="2"/>
  <c r="BI135" i="2"/>
  <c r="BI203" i="2"/>
  <c r="BI197" i="2"/>
  <c r="BI107" i="2"/>
  <c r="BI174" i="2"/>
  <c r="BI153" i="2"/>
  <c r="BI155" i="2"/>
  <c r="BI123" i="2"/>
  <c r="BI137" i="2"/>
  <c r="BI133" i="2"/>
  <c r="BI182" i="2"/>
  <c r="BI143" i="2"/>
  <c r="BI183" i="2"/>
  <c r="BI127" i="2"/>
  <c r="BI116" i="2"/>
  <c r="BI60" i="2"/>
  <c r="BI112" i="2"/>
  <c r="BI92" i="2"/>
  <c r="BI160" i="2"/>
  <c r="BI103" i="2"/>
  <c r="BI24" i="2"/>
  <c r="BI169" i="2"/>
  <c r="BI202" i="2"/>
  <c r="BI71" i="2"/>
  <c r="BI46" i="2"/>
  <c r="BI23" i="2"/>
  <c r="BI3" i="2"/>
  <c r="C8" i="4" s="1"/>
  <c r="E8" i="4" s="1"/>
  <c r="F8" i="4" s="1"/>
  <c r="G8" i="4" s="1"/>
  <c r="L8" i="4" s="1"/>
  <c r="BI115" i="2"/>
  <c r="BI188" i="2"/>
  <c r="BI54" i="2"/>
  <c r="BI161" i="2"/>
  <c r="BI167" i="2"/>
  <c r="BI38" i="2"/>
  <c r="BI27" i="2"/>
  <c r="BI70" i="2"/>
  <c r="BI198" i="2"/>
  <c r="BI76" i="2"/>
  <c r="BI89" i="2"/>
  <c r="BI98" i="2"/>
  <c r="BI11" i="2"/>
  <c r="BI57" i="2"/>
  <c r="BI20" i="2"/>
  <c r="BI9" i="2"/>
  <c r="BI91" i="2"/>
  <c r="BI139" i="2"/>
  <c r="BI113" i="2"/>
  <c r="BI187" i="2"/>
  <c r="BI162" i="2"/>
  <c r="BI192" i="2"/>
  <c r="BI10" i="2"/>
  <c r="BI62" i="2"/>
  <c r="BI32" i="2"/>
  <c r="BI93" i="2"/>
  <c r="BI74" i="2"/>
  <c r="BI129" i="2"/>
  <c r="BI52" i="2"/>
  <c r="BI7" i="2"/>
  <c r="BI79" i="2"/>
  <c r="BI40" i="2"/>
  <c r="BI190" i="2"/>
  <c r="BI69" i="2"/>
  <c r="BI17" i="2"/>
  <c r="BI59" i="2"/>
  <c r="BI22" i="2"/>
  <c r="BI184" i="2"/>
  <c r="BI51" i="2"/>
  <c r="BI147" i="2"/>
  <c r="BI58" i="2"/>
  <c r="BI82" i="2"/>
  <c r="BI172" i="2"/>
  <c r="BI72" i="2"/>
  <c r="BI177" i="2"/>
  <c r="BI84" i="2"/>
  <c r="BI45" i="2"/>
  <c r="BI138" i="2"/>
  <c r="BI55" i="2"/>
  <c r="BI141" i="2"/>
  <c r="BI29" i="2"/>
  <c r="BI88" i="2"/>
  <c r="BI87" i="2"/>
  <c r="BI132" i="2"/>
  <c r="BI99" i="2"/>
  <c r="BI194" i="2"/>
  <c r="BI121" i="2"/>
  <c r="BI125" i="2"/>
  <c r="BI178" i="2"/>
  <c r="BI26" i="2"/>
  <c r="BI33" i="2"/>
  <c r="BI128" i="2"/>
  <c r="BI43" i="2"/>
  <c r="BI30" i="2"/>
  <c r="BI68" i="2"/>
  <c r="BI118" i="2"/>
  <c r="BI111" i="2"/>
  <c r="BI159" i="2"/>
  <c r="BI61" i="2"/>
  <c r="BI196" i="2"/>
  <c r="BI64" i="2"/>
  <c r="BI6" i="2"/>
  <c r="BI124" i="2"/>
  <c r="BI95" i="2"/>
  <c r="BI175" i="2"/>
  <c r="BI66" i="2"/>
  <c r="BI35" i="2"/>
  <c r="BI77" i="2"/>
  <c r="BI12" i="2"/>
  <c r="BI191" i="2"/>
  <c r="BI106" i="2"/>
  <c r="BI39" i="2"/>
  <c r="BI5" i="2"/>
  <c r="BI85" i="2"/>
  <c r="BI109" i="2"/>
  <c r="BI41" i="2"/>
  <c r="BI94" i="2"/>
  <c r="BI130" i="2"/>
  <c r="BI170" i="2"/>
  <c r="BI49" i="2"/>
  <c r="BI151" i="2"/>
  <c r="BI176" i="2"/>
  <c r="BI154" i="2"/>
  <c r="BI180" i="2"/>
  <c r="BI185" i="2"/>
  <c r="BI149" i="2"/>
  <c r="BI126" i="2"/>
  <c r="BI86" i="2"/>
  <c r="BI195" i="2"/>
  <c r="BI73" i="2"/>
  <c r="BI14" i="2"/>
  <c r="BI90" i="2"/>
  <c r="BI25" i="2"/>
  <c r="BI110" i="2"/>
  <c r="BI158" i="2"/>
  <c r="BI201" i="2"/>
  <c r="BI181" i="2"/>
  <c r="BI75" i="2"/>
  <c r="BI21" i="2"/>
  <c r="BI18" i="2"/>
  <c r="BI189" i="2"/>
  <c r="BI63" i="2"/>
  <c r="BI42" i="2"/>
  <c r="BI50" i="2"/>
  <c r="BI67" i="2"/>
  <c r="BI168" i="2"/>
  <c r="BI156" i="2"/>
  <c r="BI131" i="2"/>
  <c r="BI186" i="2"/>
  <c r="BI193" i="2"/>
  <c r="BI16" i="2"/>
  <c r="BI56" i="2"/>
  <c r="BI65" i="2"/>
  <c r="BI34" i="2"/>
  <c r="BI114" i="2"/>
  <c r="BI157" i="2"/>
  <c r="BI136" i="2"/>
  <c r="BI179" i="2"/>
  <c r="BI200" i="2"/>
  <c r="BF147" i="2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<sst xmlns="http://schemas.openxmlformats.org/spreadsheetml/2006/main" count="1173" uniqueCount="326">
  <si>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</si>
  <si>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</si>
  <si>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</si>
  <si>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</si>
  <si>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</si>
  <si>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</si>
  <si>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</si>
  <si>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</si>
  <si>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</si>
  <si>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</si>
  <si>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</si>
  <si>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</si>
  <si>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</si>
  <si>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</si>
  <si>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</si>
  <si>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</si>
  <si>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</si>
  <si>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</si>
  <si>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</si>
  <si>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</si>
  <si>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</si>
  <si>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</si>
  <si>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</si>
  <si>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</si>
  <si>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</si>
  <si>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</si>
  <si>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</si>
  <si>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</si>
  <si>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</si>
  <si>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</si>
  <si>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</si>
  <si>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</si>
  <si>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</si>
  <si>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</si>
  <si>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</si>
  <si>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</si>
  <si>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</si>
  <si>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</si>
  <si>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</si>
  <si>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</si>
  <si>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</si>
  <si>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</si>
  <si>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</si>
  <si>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</si>
  <si>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</si>
  <si>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</si>
  <si>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</si>
  <si>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</si>
  <si>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</si>
  <si>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</si>
  <si>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</si>
  <si>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</si>
  <si>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</si>
  <si>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</si>
  <si>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</si>
  <si>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</si>
  <si>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</si>
  <si>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</si>
  <si>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</si>
  <si>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</si>
  <si>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</si>
  <si>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</si>
  <si>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</si>
  <si>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</si>
  <si>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</si>
  <si>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</si>
  <si>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</si>
  <si>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</si>
  <si>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</si>
  <si>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</si>
  <si>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</si>
  <si>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</si>
  <si>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</si>
  <si>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</si>
  <si>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</si>
  <si>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</si>
  <si>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</si>
  <si>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</si>
  <si>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</si>
  <si>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</si>
  <si>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</si>
  <si>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</si>
  <si>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</si>
  <si>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</si>
  <si>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</si>
  <si>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</si>
  <si>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</si>
  <si>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</si>
  <si>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</si>
  <si>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</si>
  <si>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</si>
  <si>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</si>
  <si>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</si>
  <si>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</si>
  <si>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</si>
  <si>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</si>
  <si>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</si>
  <si>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</si>
  <si>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</si>
  <si>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</si>
  <si>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</si>
  <si>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</si>
  <si>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</si>
  <si>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</si>
  <si>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</si>
  <si>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</si>
  <si>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</si>
  <si>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</si>
  <si>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</si>
  <si>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</si>
  <si>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</si>
  <si>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</si>
  <si>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</si>
  <si>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</si>
  <si>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</si>
  <si>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</si>
  <si>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</si>
  <si>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</si>
  <si>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</si>
  <si>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</si>
  <si>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</si>
  <si>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</si>
  <si>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</si>
  <si>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</si>
  <si>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</si>
  <si>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</si>
  <si>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</si>
  <si>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</si>
  <si>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</si>
  <si>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</si>
  <si>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</si>
  <si>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</si>
  <si>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</si>
  <si>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</si>
  <si>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</si>
  <si>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</si>
  <si>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</si>
  <si>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</si>
  <si>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</si>
  <si>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</si>
  <si>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</si>
  <si>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</si>
  <si>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</si>
  <si>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</si>
  <si>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</si>
  <si>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</si>
  <si>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</si>
  <si>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</si>
  <si>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</si>
  <si>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</si>
  <si>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</si>
  <si>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</si>
  <si>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</si>
  <si>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</si>
  <si>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</si>
  <si>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</si>
  <si>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</si>
  <si>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</si>
  <si>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</si>
  <si>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</si>
  <si>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</si>
  <si>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</si>
  <si>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</si>
  <si>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</si>
  <si>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</si>
  <si>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</si>
  <si>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</si>
  <si>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</si>
  <si>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</si>
  <si>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</si>
  <si>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</si>
  <si>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</si>
  <si>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</si>
  <si>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</si>
  <si>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</si>
  <si>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</si>
  <si>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</si>
  <si>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</si>
  <si>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</si>
  <si>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</si>
  <si>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</si>
  <si>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</si>
  <si>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</si>
  <si>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</si>
  <si>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</si>
  <si>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</si>
  <si>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</si>
  <si>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</si>
  <si>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</si>
  <si>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</si>
  <si>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</si>
  <si>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</si>
  <si>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</si>
  <si>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</si>
  <si>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</si>
  <si>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</si>
  <si>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</si>
  <si>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</si>
  <si>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</si>
  <si>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</si>
  <si>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</si>
  <si>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</si>
  <si>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</si>
  <si>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</si>
  <si>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</si>
  <si>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</si>
  <si>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</si>
  <si>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</si>
  <si>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</si>
  <si>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</si>
  <si>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</si>
  <si>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</si>
  <si>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</si>
  <si>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</si>
  <si>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</si>
  <si>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</si>
  <si>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</si>
  <si>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</si>
  <si>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</si>
  <si>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</si>
  <si>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</si>
  <si>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</si>
  <si>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</si>
  <si>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</si>
  <si>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</si>
  <si>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</si>
  <si>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</si>
  <si>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</si>
  <si>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</si>
  <si>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</si>
  <si>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</si>
  <si>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</si>
  <si>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</si>
  <si>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</si>
  <si>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</si>
  <si>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</si>
  <si>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</si>
  <si>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</si>
  <si>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</si>
  <si>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</si>
  <si>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</si>
  <si>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</si>
  <si>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</si>
  <si>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</si>
  <si>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</si>
  <si>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</si>
  <si>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</si>
  <si>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</si>
  <si>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</si>
  <si>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</si>
  <si>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</si>
  <si>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</si>
  <si>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</si>
  <si>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</si>
  <si>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</si>
  <si>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</si>
  <si>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</si>
  <si>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</si>
  <si>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</si>
  <si>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</si>
  <si>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</si>
  <si>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</si>
  <si>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</si>
  <si>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</si>
  <si>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</si>
  <si>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</si>
  <si>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</si>
  <si>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</si>
  <si>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</si>
  <si>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</si>
  <si>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</si>
  <si>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</si>
  <si>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</si>
  <si>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</si>
  <si>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</si>
  <si>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</si>
  <si>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</si>
  <si>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</si>
  <si>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</si>
  <si>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</si>
  <si>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</si>
  <si>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</si>
  <si>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</si>
  <si>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</si>
  <si>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</si>
  <si>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</si>
  <si>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</si>
  <si>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</si>
  <si>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</si>
  <si>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</si>
  <si>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</si>
  <si>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</si>
  <si>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</si>
  <si>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</si>
  <si>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</si>
  <si>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</si>
  <si>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</si>
  <si>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</si>
  <si>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</si>
  <si>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</si>
  <si>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</si>
  <si>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</si>
  <si>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</si>
  <si>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</si>
  <si>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</si>
  <si>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</si>
  <si>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</si>
  <si>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</si>
  <si>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</si>
  <si>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</si>
  <si>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</si>
  <si>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</si>
  <si>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</si>
  <si>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</si>
  <si>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</si>
  <si>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</si>
  <si>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</si>
  <si>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</si>
  <si>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</si>
  <si>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</si>
  <si>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</si>
  <si>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</si>
  <si>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</si>
  <si>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</si>
  <si>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CR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</si>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</sst>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1.5980045614422742</c:v>
                </c:pt>
                <c:pt idx="2">
                  <c:v>2.0843083645700404</c:v>
                </c:pt>
                <c:pt idx="3">
                  <c:v>2.7192156105341128</c:v>
                </c:pt>
                <c:pt idx="4">
                  <c:v>3.5483127644733039</c:v>
                </c:pt>
                <c:pt idx="5">
                  <c:v>4.6312214419665088</c:v>
                </c:pt>
                <c:pt idx="6">
                  <c:v>6.0459340907915946</c:v>
                </c:pt>
                <c:pt idx="7">
                  <c:v>7.8944931838800372</c:v>
                </c:pt>
                <c:pt idx="8">
                  <c:v>10.31043142172968</c:v>
                </c:pt>
                <c:pt idx="9">
                  <c:v>13.468520515430084</c:v>
                </c:pt>
                <c:pt idx="10">
                  <c:v>17.597546813573835</c:v>
                </c:pt>
                <c:pt idx="11">
                  <c:v>22.997056058944917</c:v>
                </c:pt>
                <c:pt idx="12">
                  <c:v>30.059303610600974</c:v>
                </c:pt>
                <c:pt idx="13">
                  <c:v>39.298032477367883</c:v>
                </c:pt>
                <c:pt idx="14">
                  <c:v>51.38620829566154</c:v>
                </c:pt>
                <c:pt idx="15">
                  <c:v>67.205505808960694</c:v>
                </c:pt>
                <c:pt idx="16">
                  <c:v>87.911215218076961</c:v>
                </c:pt>
                <c:pt idx="17">
                  <c:v>115.01738434833072</c:v>
                </c:pt>
                <c:pt idx="18">
                  <c:v>150.5085198437738</c:v>
                </c:pt>
                <c:pt idx="19">
                  <c:v>137.25475210550681</c:v>
                </c:pt>
                <c:pt idx="20">
                  <c:v>172.87596436429328</c:v>
                </c:pt>
                <c:pt idx="21">
                  <c:v>208.32386777264207</c:v>
                </c:pt>
                <c:pt idx="22">
                  <c:v>204.95432295191324</c:v>
                </c:pt>
                <c:pt idx="23">
                  <c:v>246.98851191302231</c:v>
                </c:pt>
                <c:pt idx="24">
                  <c:v>288.85990949975201</c:v>
                </c:pt>
                <c:pt idx="25">
                  <c:v>284.59563159222211</c:v>
                </c:pt>
                <c:pt idx="26">
                  <c:v>330.4287481051519</c:v>
                </c:pt>
                <c:pt idx="27">
                  <c:v>376.12147111328591</c:v>
                </c:pt>
                <c:pt idx="28">
                  <c:v>421.69323961894673</c:v>
                </c:pt>
                <c:pt idx="29">
                  <c:v>387.33822121677053</c:v>
                </c:pt>
                <c:pt idx="30">
                  <c:v>432.63408155595886</c:v>
                </c:pt>
                <c:pt idx="31">
                  <c:v>477.82807613542383</c:v>
                </c:pt>
                <c:pt idx="32">
                  <c:v>522.93117688121504</c:v>
                </c:pt>
                <c:pt idx="33">
                  <c:v>509.06241049820727</c:v>
                </c:pt>
                <c:pt idx="34">
                  <c:v>550.64568947389932</c:v>
                </c:pt>
                <c:pt idx="35">
                  <c:v>592.16315090012722</c:v>
                </c:pt>
                <c:pt idx="36">
                  <c:v>633.62004858200532</c:v>
                </c:pt>
                <c:pt idx="37">
                  <c:v>592.16315090012722</c:v>
                </c:pt>
                <c:pt idx="38">
                  <c:v>627.70116457558152</c:v>
                </c:pt>
                <c:pt idx="39">
                  <c:v>663.19756235900854</c:v>
                </c:pt>
                <c:pt idx="40">
                  <c:v>698.65488065528405</c:v>
                </c:pt>
                <c:pt idx="41">
                  <c:v>734.07537786366504</c:v>
                </c:pt>
                <c:pt idx="42">
                  <c:v>769.46107705348243</c:v>
                </c:pt>
                <c:pt idx="43">
                  <c:v>720.69849545736179</c:v>
                </c:pt>
                <c:pt idx="44">
                  <c:v>749.60994093627244</c:v>
                </c:pt>
                <c:pt idx="45">
                  <c:v>778.4987302179652</c:v>
                </c:pt>
                <c:pt idx="46">
                  <c:v>807.365820924525</c:v>
                </c:pt>
                <c:pt idx="47">
                  <c:v>836.21209672927228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252.86690014923991</c:v>
                </c:pt>
                <c:pt idx="155">
                  <c:v>256.50755974111013</c:v>
                </c:pt>
                <c:pt idx="156">
                  <c:v>260.14705039921722</c:v>
                </c:pt>
                <c:pt idx="157">
                  <c:v>263.78539081889153</c:v>
                </c:pt>
                <c:pt idx="158">
                  <c:v>176.83468552294804</c:v>
                </c:pt>
                <c:pt idx="159">
                  <c:v>179.11325863950762</c:v>
                </c:pt>
                <c:pt idx="160">
                  <c:v>181.39115234734456</c:v>
                </c:pt>
                <c:pt idx="161">
                  <c:v>183.66837640937331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ColWidth="11.4257812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1" sqref="E11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7</v>
      </c>
      <c r="B5" s="268"/>
      <c r="C5" s="24">
        <v>6.5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15</v>
      </c>
      <c r="B9" s="31" t="s">
        <v>161</v>
      </c>
      <c r="C9" s="32">
        <v>0.87</v>
      </c>
      <c r="D9" s="33">
        <f t="shared" ref="D9:D18" si="0">C9*$C$5</f>
        <v>5.6550000000000002</v>
      </c>
      <c r="E9" s="34">
        <v>47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17</v>
      </c>
      <c r="B10" s="31" t="s">
        <v>143</v>
      </c>
      <c r="C10" s="32">
        <v>0.01</v>
      </c>
      <c r="D10" s="33">
        <f>C10*$C$5</f>
        <v>6.5000000000000002E-2</v>
      </c>
      <c r="E10" s="34">
        <v>161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18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19</v>
      </c>
      <c r="B12" s="31"/>
      <c r="C12" s="32"/>
      <c r="D12" s="33">
        <f>C12*$C$5</f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26</v>
      </c>
      <c r="C19" s="37">
        <f>SUM(C9:C18)</f>
        <v>0.88</v>
      </c>
      <c r="D19" s="38">
        <f>SUM(D9:D18)</f>
        <v>5.7200000000000006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33</v>
      </c>
      <c r="B26" s="42" t="s">
        <v>34</v>
      </c>
      <c r="C26" s="43">
        <v>0.05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15</v>
      </c>
      <c r="B32" s="47" t="str">
        <f>IF(B9="","",B9)</f>
        <v>Epicéa de Sitka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18</v>
      </c>
      <c r="B36" s="60">
        <v>144</v>
      </c>
      <c r="C36" s="60">
        <v>1</v>
      </c>
      <c r="D36" s="60">
        <v>48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21</v>
      </c>
      <c r="B37" s="60">
        <v>201</v>
      </c>
      <c r="C37" s="60">
        <v>2</v>
      </c>
      <c r="D37" s="60">
        <v>45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35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24</v>
      </c>
      <c r="B38" s="60">
        <v>281</v>
      </c>
      <c r="C38" s="60">
        <v>3</v>
      </c>
      <c r="D38" s="60">
        <v>50</v>
      </c>
      <c r="E38" s="51">
        <v>0.3</v>
      </c>
      <c r="F38" s="51">
        <v>0.6</v>
      </c>
      <c r="G38" s="51">
        <v>0.1</v>
      </c>
      <c r="H38" s="51">
        <v>0</v>
      </c>
      <c r="I38" s="53">
        <f t="shared" si="1"/>
        <v>41.666666666666664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28</v>
      </c>
      <c r="B39" s="60">
        <v>414</v>
      </c>
      <c r="C39" s="60">
        <v>4</v>
      </c>
      <c r="D39" s="60">
        <v>80</v>
      </c>
      <c r="E39" s="51">
        <v>0.3</v>
      </c>
      <c r="F39" s="51">
        <v>0.6</v>
      </c>
      <c r="G39" s="51">
        <v>0.1</v>
      </c>
      <c r="H39" s="51">
        <v>0</v>
      </c>
      <c r="I39" s="49">
        <f t="shared" si="1"/>
        <v>45.75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32</v>
      </c>
      <c r="B40" s="60">
        <v>516</v>
      </c>
      <c r="C40" s="60">
        <v>5</v>
      </c>
      <c r="D40" s="60">
        <v>56</v>
      </c>
      <c r="E40" s="51">
        <v>0.3</v>
      </c>
      <c r="F40" s="51">
        <v>0.6</v>
      </c>
      <c r="G40" s="51">
        <v>0.1</v>
      </c>
      <c r="H40" s="51">
        <v>0</v>
      </c>
      <c r="I40" s="49">
        <f t="shared" si="1"/>
        <v>45.5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36</v>
      </c>
      <c r="B41" s="60">
        <v>628</v>
      </c>
      <c r="C41" s="60">
        <v>6</v>
      </c>
      <c r="D41" s="60">
        <v>78</v>
      </c>
      <c r="E41" s="51">
        <v>0.5</v>
      </c>
      <c r="F41" s="51">
        <v>0.5</v>
      </c>
      <c r="G41" s="51">
        <v>0</v>
      </c>
      <c r="H41" s="51">
        <v>0</v>
      </c>
      <c r="I41" s="53">
        <f t="shared" si="1"/>
        <v>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42</v>
      </c>
      <c r="B42" s="60">
        <v>766</v>
      </c>
      <c r="C42" s="60">
        <v>7</v>
      </c>
      <c r="D42" s="60">
        <v>79</v>
      </c>
      <c r="E42" s="51">
        <v>0.5</v>
      </c>
      <c r="F42" s="51">
        <v>0.5</v>
      </c>
      <c r="G42" s="51">
        <v>0</v>
      </c>
      <c r="H42" s="51">
        <v>0</v>
      </c>
      <c r="I42" s="53">
        <f t="shared" si="1"/>
        <v>36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47</v>
      </c>
      <c r="B43" s="60">
        <v>834</v>
      </c>
      <c r="C43" s="60" t="s">
        <v>324</v>
      </c>
      <c r="D43" s="60">
        <v>834</v>
      </c>
      <c r="E43" s="51">
        <v>0.5</v>
      </c>
      <c r="F43" s="51">
        <v>0.5</v>
      </c>
      <c r="G43" s="51">
        <v>0</v>
      </c>
      <c r="H43" s="51">
        <v>0</v>
      </c>
      <c r="I43" s="49">
        <f t="shared" si="1"/>
        <v>29.4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17</v>
      </c>
      <c r="B58" s="52" t="str">
        <f>IF(B10="","",B10)</f>
        <v>Chêne sessile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30</v>
      </c>
      <c r="B62" s="60">
        <v>87.705128205128204</v>
      </c>
      <c r="C62" s="60" t="s">
        <v>325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2.9235042735042733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44</v>
      </c>
      <c r="B63" s="60">
        <v>162.42307692307691</v>
      </c>
      <c r="C63" s="60">
        <v>1</v>
      </c>
      <c r="D63" s="60">
        <v>64.416666666666657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5.3369963369963358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51</v>
      </c>
      <c r="B64" s="60">
        <v>145.78846153846152</v>
      </c>
      <c r="C64" s="60">
        <v>2</v>
      </c>
      <c r="D64" s="60">
        <v>37.685897435897431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6.826007326007324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59</v>
      </c>
      <c r="B65" s="60">
        <v>159.25641025641025</v>
      </c>
      <c r="C65" s="60">
        <v>3</v>
      </c>
      <c r="D65" s="60">
        <v>38.942307692307693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6.3942307692307701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67</v>
      </c>
      <c r="B66" s="60">
        <v>167.85897435897436</v>
      </c>
      <c r="C66" s="60">
        <v>4</v>
      </c>
      <c r="D66" s="60">
        <v>31.993589743589741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5.9431089743589762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75</v>
      </c>
      <c r="B67" s="60">
        <v>181.38461538461536</v>
      </c>
      <c r="C67" s="60">
        <v>5</v>
      </c>
      <c r="D67" s="60">
        <v>30.916666666666664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5.6899038461538431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84</v>
      </c>
      <c r="B68" s="60">
        <v>200.00641025641025</v>
      </c>
      <c r="C68" s="60">
        <v>6</v>
      </c>
      <c r="D68" s="60">
        <v>35.083333333333329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5.5042735042735051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93</v>
      </c>
      <c r="B69" s="50">
        <v>212.26923076923075</v>
      </c>
      <c r="C69" s="50">
        <v>7</v>
      </c>
      <c r="D69" s="50">
        <v>30.083333333333332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5.2606837606837598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103</v>
      </c>
      <c r="B70" s="50">
        <v>234.76923076923077</v>
      </c>
      <c r="C70" s="50">
        <v>8</v>
      </c>
      <c r="D70" s="50">
        <v>39.512820512820511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2"/>
        <v>5.2583333333333373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113</v>
      </c>
      <c r="B71" s="50">
        <v>246.21794871794873</v>
      </c>
      <c r="C71" s="50">
        <v>9</v>
      </c>
      <c r="D71" s="50">
        <v>31.602564102564099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5.0961538461538449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125</v>
      </c>
      <c r="B72" s="50">
        <v>278.29487179487177</v>
      </c>
      <c r="C72" s="50">
        <v>10</v>
      </c>
      <c r="D72" s="50">
        <v>48.160256410256409</v>
      </c>
      <c r="E72" s="51">
        <v>0.7</v>
      </c>
      <c r="F72" s="51">
        <v>0</v>
      </c>
      <c r="G72" s="51">
        <v>0</v>
      </c>
      <c r="H72" s="51">
        <v>0.3</v>
      </c>
      <c r="I72" s="49">
        <f t="shared" si="2"/>
        <v>5.3066239316239274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137</v>
      </c>
      <c r="B73" s="50">
        <v>293.07051282051282</v>
      </c>
      <c r="C73" s="50">
        <v>11</v>
      </c>
      <c r="D73" s="50">
        <v>51.160256410256409</v>
      </c>
      <c r="E73" s="51">
        <v>0.7</v>
      </c>
      <c r="F73" s="51">
        <v>0</v>
      </c>
      <c r="G73" s="51">
        <v>0</v>
      </c>
      <c r="H73" s="51">
        <v>0.3</v>
      </c>
      <c r="I73" s="49">
        <f t="shared" si="2"/>
        <v>5.2446581196581219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149</v>
      </c>
      <c r="B74" s="50">
        <v>303.18589743589746</v>
      </c>
      <c r="C74" s="50">
        <v>12</v>
      </c>
      <c r="D74" s="50">
        <v>120.50641025641026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5.1063034188034209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153</v>
      </c>
      <c r="B75" s="50">
        <v>195.05769230769226</v>
      </c>
      <c r="C75" s="50">
        <v>13</v>
      </c>
      <c r="D75" s="50">
        <v>70.115384615384613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3.0945512820512704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157</v>
      </c>
      <c r="B76" s="50">
        <v>132.42948717948718</v>
      </c>
      <c r="C76" s="50">
        <v>14</v>
      </c>
      <c r="D76" s="50">
        <v>45.71153846153846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1.8717948717948829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161</v>
      </c>
      <c r="B77" s="50">
        <v>91.365384615384613</v>
      </c>
      <c r="C77" s="50">
        <v>15</v>
      </c>
      <c r="D77" s="50">
        <v>91.365384615384613</v>
      </c>
      <c r="E77" s="51">
        <v>0.9</v>
      </c>
      <c r="F77" s="51">
        <v>0</v>
      </c>
      <c r="G77" s="51">
        <v>0</v>
      </c>
      <c r="H77" s="51">
        <v>0.1</v>
      </c>
      <c r="I77" s="49">
        <f t="shared" si="2"/>
        <v>1.1618589743589709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18</v>
      </c>
      <c r="B84" s="52" t="str">
        <f>IF(B11="","",B11)</f>
        <v/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55</v>
      </c>
      <c r="C15" s="4"/>
      <c r="D15" s="23"/>
      <c r="E15" s="4"/>
      <c r="F15" s="4"/>
      <c r="G15" s="2" t="s">
        <v>161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Epicéa de Sitka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294.94285920643927</v>
      </c>
      <c r="T3" s="59">
        <f>IF('Données projet'!E9&gt;30,$R$33-$H$33,LOOKUP('Données projet'!$E$9,$A$3:$A$203,R3:R203)-LOOKUP('Données projet'!$E$9,$A$3:$A$203,$H$3:$H$203))</f>
        <v>399.89535338426606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227.31630731915698</v>
      </c>
      <c r="AO3" s="59">
        <f>IF('Données projet'!E10&gt;30,$AM$33-$H$33,LOOKUP('Données projet'!$E$10,$A$3:$A$203,AM3:AM203)-LOOKUP('Données projet'!$E$10,$A$3:$A$203,$H$3:$H$203))</f>
        <v>143.7533262991908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0.46799999999999997</v>
      </c>
      <c r="D4" s="11">
        <f>IFERROR(EXP(-1.0587+0.8836*LN(C4)+0.284),0)</f>
        <v>0.23560326283967137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5.431323432446586</v>
      </c>
      <c r="H4" s="67">
        <f t="shared" ref="H4:H67" si="1">(B4+E4+F4)*44/12+(C4+D4)*0.475*44/12</f>
        <v>294.55877568277907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</v>
      </c>
      <c r="N4" s="13">
        <f>IF('Données projet'!$A$36&gt;35,N3+M4-V3,IF(A4&lt;'Données projet'!$A$36,$K$205^A4,IF(A4='Données projet'!$A$36,'Données projet'!$B$36,N3+M4-V3)))</f>
        <v>1.3179806292130023</v>
      </c>
      <c r="O4" s="13">
        <f>N4*VLOOKUP('Données projet'!$B$9,Paramètres!$A$1:$I$89,3,0)*VLOOKUP('Données projet'!$B$9,Paramètres!$A$1:$I$89,5,0)</f>
        <v>0.61681493447168512</v>
      </c>
      <c r="P4" s="13">
        <f>EXP(-1.0587+0.8836*LN(O4)+0.284)</f>
        <v>0.30069964626072099</v>
      </c>
      <c r="Q4" s="20">
        <f t="shared" ref="Q4:Q34" si="2">(O4+P4)*0.475*44/12</f>
        <v>1.5980045614422742</v>
      </c>
      <c r="R4" s="59">
        <f t="shared" si="0"/>
        <v>294.9313378947756</v>
      </c>
      <c r="S4" s="59">
        <f ca="1">AVERAGE(OFFSET($R$3,0,0,'Données projet'!$E$9+1,1))-AVERAGE(OFFSET($H$3,0,0,'Données projet'!$E$9+1,1))</f>
        <v>294.94285920643927</v>
      </c>
      <c r="T4" s="59">
        <f>$T$3</f>
        <v>399.89535338426606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2.9235042735042733</v>
      </c>
      <c r="AI4" s="13">
        <f>IF('Données projet'!$A$62&gt;35,AI3+AH4-AQ3,IF(A4&lt;'Données projet'!$A$62,$AF$205^A4,IF(A4='Données projet'!$A$62,'Données projet'!$B$62,AI3+AH4-AQ3)))</f>
        <v>1.1608269964373037</v>
      </c>
      <c r="AJ4" s="13">
        <f>AI4*VLOOKUP('Données projet'!$B$10,Paramètres!$A$1:$I$89,3,0)*VLOOKUP('Données projet'!$B$10,Paramètres!$A$1:$I$89,5,0)</f>
        <v>1.0503162663764722</v>
      </c>
      <c r="AK4" s="13">
        <f>EXP(-1.0587+0.8836*LN(AJ4)+0.284)</f>
        <v>0.48127189162287909</v>
      </c>
      <c r="AL4" s="20">
        <f t="shared" ref="AL4:AL67" si="4">(AJ4+AK4)*0.475*44/12</f>
        <v>2.6675160418488701</v>
      </c>
      <c r="AM4" s="59">
        <f t="shared" ref="AM4:AM67" si="5">AL4+(AD4+AE4)*44/12</f>
        <v>296.00084937518216</v>
      </c>
      <c r="AN4" s="59">
        <f ca="1">AVERAGE(OFFSET($AM$3,0,0,'Données projet'!$E$10+1,1))-AVERAGE(OFFSET($H$3,0,0,'Données projet'!$E$10+1,1))</f>
        <v>227.31630731915698</v>
      </c>
      <c r="AO4" s="59">
        <f>$AO$3</f>
        <v>143.7533262991908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0.93599999999999994</v>
      </c>
      <c r="D5" s="11">
        <f t="shared" ref="D5:D68" si="32">IFERROR(EXP(-1.0587+0.8836*LN(C5)+0.284),0)</f>
        <v>0.43468174797979486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10.58070121247561</v>
      </c>
      <c r="H5" s="67">
        <f t="shared" si="1"/>
        <v>295.7206040443981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</v>
      </c>
      <c r="N5" s="13">
        <f>IF('Données projet'!$A$36&gt;35,N4+M5-V4,IF(A5&lt;'Données projet'!$A$36,$K$205^A5,IF(A5='Données projet'!$A$36,'Données projet'!$B$36,N4+M5-V4)))</f>
        <v>1.7370729389807014</v>
      </c>
      <c r="O5" s="13">
        <f>N5*VLOOKUP('Données projet'!$B$9,Paramètres!$A$1:$I$89,3,0)*VLOOKUP('Données projet'!$B$9,Paramètres!$A$1:$I$89,5,0)</f>
        <v>0.81295013544296824</v>
      </c>
      <c r="P5" s="13">
        <f t="shared" ref="P5:P68" si="33">EXP(-1.0587+0.8836*LN(O5)+0.284)</f>
        <v>0.38378193990825132</v>
      </c>
      <c r="Q5" s="20">
        <f t="shared" si="2"/>
        <v>2.0843083645700404</v>
      </c>
      <c r="R5" s="59">
        <f t="shared" si="0"/>
        <v>295.41764169790338</v>
      </c>
      <c r="S5" s="59">
        <f ca="1">AVERAGE(OFFSET($R$3,0,0,'Données projet'!$E$9+1,1))-AVERAGE(OFFSET($H$3,0,0,'Données projet'!$E$9+1,1))</f>
        <v>294.94285920643927</v>
      </c>
      <c r="T5" s="59">
        <f t="shared" ref="T5:T68" si="34">$T$3</f>
        <v>399.89535338426606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2.9235042735042733</v>
      </c>
      <c r="AI5" s="13">
        <f>IF('Données projet'!$A$62&gt;35,AI4+AH5-AQ4,IF(A5&lt;'Données projet'!$A$62,$AF$205^A5,IF(A5='Données projet'!$A$62,'Données projet'!$B$62,AI4+AH5-AQ4)))</f>
        <v>1.3475193156576519</v>
      </c>
      <c r="AJ5" s="13">
        <f>AI5*VLOOKUP('Données projet'!$B$10,Paramètres!$A$1:$I$89,3,0)*VLOOKUP('Données projet'!$B$10,Paramètres!$A$1:$I$89,5,0)</f>
        <v>1.2192354768070435</v>
      </c>
      <c r="AK5" s="13">
        <f t="shared" ref="AK5:AK68" si="35">EXP(-1.0587+0.8836*LN(AJ5)+0.284)</f>
        <v>0.54905905766229002</v>
      </c>
      <c r="AL5" s="20">
        <f t="shared" si="4"/>
        <v>3.0797796475340888</v>
      </c>
      <c r="AM5" s="59">
        <f t="shared" si="5"/>
        <v>296.41311298086742</v>
      </c>
      <c r="AN5" s="59">
        <f ca="1">AVERAGE(OFFSET($AM$3,0,0,'Données projet'!$E$10+1,1))-AVERAGE(OFFSET($H$3,0,0,'Données projet'!$E$10+1,1))</f>
        <v>227.31630731915698</v>
      </c>
      <c r="AO5" s="59">
        <f t="shared" ref="AO5:AO68" si="36">$AO$3</f>
        <v>143.7533262991908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1.4039999999999999</v>
      </c>
      <c r="D6" s="11">
        <f t="shared" si="32"/>
        <v>0.62196456335211292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15.639024699560167</v>
      </c>
      <c r="H6" s="67">
        <f t="shared" si="1"/>
        <v>296.86188828117156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</v>
      </c>
      <c r="N6" s="13">
        <f>IF('Données projet'!$A$36&gt;35,N5+M6-V5,IF(A6&lt;'Données projet'!$A$36,$K$205^A6,IF(A6='Données projet'!$A$36,'Données projet'!$B$36,N5+M6-V5)))</f>
        <v>2.2894284851066637</v>
      </c>
      <c r="O6" s="13">
        <f>N6*VLOOKUP('Données projet'!$B$9,Paramètres!$A$1:$I$89,3,0)*VLOOKUP('Données projet'!$B$9,Paramètres!$A$1:$I$89,5,0)</f>
        <v>1.0714525310299186</v>
      </c>
      <c r="P6" s="13">
        <f t="shared" si="33"/>
        <v>0.48981958985091184</v>
      </c>
      <c r="Q6" s="20">
        <f t="shared" si="2"/>
        <v>2.7192156105341128</v>
      </c>
      <c r="R6" s="59">
        <f t="shared" si="0"/>
        <v>296.05254894386741</v>
      </c>
      <c r="S6" s="59">
        <f ca="1">AVERAGE(OFFSET($R$3,0,0,'Données projet'!$E$9+1,1))-AVERAGE(OFFSET($H$3,0,0,'Données projet'!$E$9+1,1))</f>
        <v>294.94285920643927</v>
      </c>
      <c r="T6" s="59">
        <f t="shared" si="34"/>
        <v>399.89535338426606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2.9235042735042733</v>
      </c>
      <c r="AI6" s="13">
        <f>IF('Données projet'!$A$62&gt;35,AI5+AH6-AQ5,IF(A6&lt;'Données projet'!$A$62,$AF$205^A6,IF(A6='Données projet'!$A$62,'Données projet'!$B$62,AI5+AH6-AQ5)))</f>
        <v>1.5642367998361231</v>
      </c>
      <c r="AJ6" s="13">
        <f>AI6*VLOOKUP('Données projet'!$B$10,Paramètres!$A$1:$I$89,3,0)*VLOOKUP('Données projet'!$B$10,Paramètres!$A$1:$I$89,5,0)</f>
        <v>1.415321456491724</v>
      </c>
      <c r="AK6" s="13">
        <f t="shared" si="35"/>
        <v>0.62639404887004735</v>
      </c>
      <c r="AL6" s="20">
        <f t="shared" si="4"/>
        <v>3.5559878385050854</v>
      </c>
      <c r="AM6" s="59">
        <f t="shared" si="5"/>
        <v>296.88932117183839</v>
      </c>
      <c r="AN6" s="59">
        <f ca="1">AVERAGE(OFFSET($AM$3,0,0,'Données projet'!$E$10+1,1))-AVERAGE(OFFSET($H$3,0,0,'Données projet'!$E$10+1,1))</f>
        <v>227.31630731915698</v>
      </c>
      <c r="AO6" s="59">
        <f t="shared" si="36"/>
        <v>143.7533262991908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1.8719999999999999</v>
      </c>
      <c r="D7" s="11">
        <f t="shared" si="32"/>
        <v>0.80197625342459555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20.641220201874074</v>
      </c>
      <c r="H7" s="67">
        <f t="shared" si="1"/>
        <v>297.99050864138115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</v>
      </c>
      <c r="N7" s="13">
        <f>IF('Données projet'!$A$36&gt;35,N6+M7-V6,IF(A7&lt;'Données projet'!$A$36,$K$205^A7,IF(A7='Données projet'!$A$36,'Données projet'!$B$36,N6+M7-V6)))</f>
        <v>3.0174223953390515</v>
      </c>
      <c r="O7" s="13">
        <f>N7*VLOOKUP('Données projet'!$B$9,Paramètres!$A$1:$I$89,3,0)*VLOOKUP('Données projet'!$B$9,Paramètres!$A$1:$I$89,5,0)</f>
        <v>1.4121536810186761</v>
      </c>
      <c r="P7" s="13">
        <f t="shared" si="33"/>
        <v>0.62515508327221625</v>
      </c>
      <c r="Q7" s="20">
        <f t="shared" si="2"/>
        <v>3.5483127644733039</v>
      </c>
      <c r="R7" s="59">
        <f t="shared" si="0"/>
        <v>296.88164609780659</v>
      </c>
      <c r="S7" s="59">
        <f ca="1">AVERAGE(OFFSET($R$3,0,0,'Données projet'!$E$9+1,1))-AVERAGE(OFFSET($H$3,0,0,'Données projet'!$E$9+1,1))</f>
        <v>294.94285920643927</v>
      </c>
      <c r="T7" s="59">
        <f t="shared" si="34"/>
        <v>399.89535338426606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2.9235042735042733</v>
      </c>
      <c r="AI7" s="13">
        <f>IF('Données projet'!$A$62&gt;35,AI6+AH7-AQ6,IF(A7&lt;'Données projet'!$A$62,$AF$205^A7,IF(A7='Données projet'!$A$62,'Données projet'!$B$62,AI6+AH7-AQ6)))</f>
        <v>1.8158083060704666</v>
      </c>
      <c r="AJ7" s="13">
        <f>AI7*VLOOKUP('Données projet'!$B$10,Paramètres!$A$1:$I$89,3,0)*VLOOKUP('Données projet'!$B$10,Paramètres!$A$1:$I$89,5,0)</f>
        <v>1.6429433553325583</v>
      </c>
      <c r="AK7" s="13">
        <f t="shared" si="35"/>
        <v>0.71462167681995736</v>
      </c>
      <c r="AL7" s="20">
        <f t="shared" si="4"/>
        <v>4.1060924309989639</v>
      </c>
      <c r="AM7" s="59">
        <f t="shared" si="5"/>
        <v>297.43942576433227</v>
      </c>
      <c r="AN7" s="59">
        <f ca="1">AVERAGE(OFFSET($AM$3,0,0,'Données projet'!$E$10+1,1))-AVERAGE(OFFSET($H$3,0,0,'Données projet'!$E$10+1,1))</f>
        <v>227.31630731915698</v>
      </c>
      <c r="AO7" s="59">
        <f t="shared" si="36"/>
        <v>143.7533262991908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2.34</v>
      </c>
      <c r="D8" s="11">
        <f t="shared" si="32"/>
        <v>0.97676749007450259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25.603117467241773</v>
      </c>
      <c r="H8" s="67">
        <f t="shared" si="1"/>
        <v>299.11003671187973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</v>
      </c>
      <c r="N8" s="13">
        <f>IF('Données projet'!$A$36&gt;35,N7+M8-V7,IF(A8&lt;'Données projet'!$A$36,$K$205^A8,IF(A8='Données projet'!$A$36,'Données projet'!$B$36,N7+M8-V7)))</f>
        <v>3.9769042672103678</v>
      </c>
      <c r="O8" s="13">
        <f>N8*VLOOKUP('Données projet'!$B$9,Paramètres!$A$1:$I$89,3,0)*VLOOKUP('Données projet'!$B$9,Paramètres!$A$1:$I$89,5,0)</f>
        <v>1.8611911970544521</v>
      </c>
      <c r="P8" s="13">
        <f t="shared" si="33"/>
        <v>0.79788331507942867</v>
      </c>
      <c r="Q8" s="20">
        <f t="shared" si="2"/>
        <v>4.6312214419665088</v>
      </c>
      <c r="R8" s="59">
        <f t="shared" si="0"/>
        <v>297.9645547752998</v>
      </c>
      <c r="S8" s="59">
        <f ca="1">AVERAGE(OFFSET($R$3,0,0,'Données projet'!$E$9+1,1))-AVERAGE(OFFSET($H$3,0,0,'Données projet'!$E$9+1,1))</f>
        <v>294.94285920643927</v>
      </c>
      <c r="T8" s="59">
        <f t="shared" si="34"/>
        <v>399.89535338426606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2.9235042735042733</v>
      </c>
      <c r="AI8" s="13">
        <f>IF('Données projet'!$A$62&gt;35,AI7+AH8-AQ7,IF(A8&lt;'Données projet'!$A$62,$AF$205^A8,IF(A8='Données projet'!$A$62,'Données projet'!$B$62,AI7+AH8-AQ7)))</f>
        <v>2.1078393020416879</v>
      </c>
      <c r="AJ8" s="13">
        <f>AI8*VLOOKUP('Données projet'!$B$10,Paramètres!$A$1:$I$89,3,0)*VLOOKUP('Données projet'!$B$10,Paramètres!$A$1:$I$89,5,0)</f>
        <v>1.9071730004873191</v>
      </c>
      <c r="AK8" s="13">
        <f t="shared" si="35"/>
        <v>0.81527616985217366</v>
      </c>
      <c r="AL8" s="20">
        <f t="shared" si="4"/>
        <v>4.7415989716746161</v>
      </c>
      <c r="AM8" s="59">
        <f t="shared" si="5"/>
        <v>298.07493230500791</v>
      </c>
      <c r="AN8" s="59">
        <f ca="1">AVERAGE(OFFSET($AM$3,0,0,'Données projet'!$E$10+1,1))-AVERAGE(OFFSET($H$3,0,0,'Données projet'!$E$10+1,1))</f>
        <v>227.31630731915698</v>
      </c>
      <c r="AO8" s="59">
        <f t="shared" si="36"/>
        <v>143.7533262991908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2.8079999999999998</v>
      </c>
      <c r="D9" s="11">
        <f t="shared" si="32"/>
        <v>1.1475080621585647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30.533746444732781</v>
      </c>
      <c r="H9" s="67">
        <f t="shared" si="1"/>
        <v>300.22250987492617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</v>
      </c>
      <c r="N9" s="13">
        <f>IF('Données projet'!$A$36&gt;35,N8+M9-V8,IF(A9&lt;'Données projet'!$A$36,$K$205^A9,IF(A9='Données projet'!$A$36,'Données projet'!$B$36,N8+M9-V8)))</f>
        <v>5.2414827884177937</v>
      </c>
      <c r="O9" s="13">
        <f>N9*VLOOKUP('Données projet'!$B$9,Paramètres!$A$1:$I$89,3,0)*VLOOKUP('Données projet'!$B$9,Paramètres!$A$1:$I$89,5,0)</f>
        <v>2.4530139449795274</v>
      </c>
      <c r="P9" s="13">
        <f t="shared" si="33"/>
        <v>1.0183357722213886</v>
      </c>
      <c r="Q9" s="20">
        <f t="shared" si="2"/>
        <v>6.0459340907915946</v>
      </c>
      <c r="R9" s="59">
        <f t="shared" si="0"/>
        <v>299.37926742412492</v>
      </c>
      <c r="S9" s="59">
        <f ca="1">AVERAGE(OFFSET($R$3,0,0,'Données projet'!$E$9+1,1))-AVERAGE(OFFSET($H$3,0,0,'Données projet'!$E$9+1,1))</f>
        <v>294.94285920643927</v>
      </c>
      <c r="T9" s="59">
        <f t="shared" si="34"/>
        <v>399.89535338426606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2.9235042735042733</v>
      </c>
      <c r="AI9" s="13">
        <f>IF('Données projet'!$A$62&gt;35,AI8+AH9-AQ8,IF(A9&lt;'Données projet'!$A$62,$AF$205^A9,IF(A9='Données projet'!$A$62,'Données projet'!$B$62,AI8+AH9-AQ8)))</f>
        <v>2.4468367659615553</v>
      </c>
      <c r="AJ9" s="13">
        <f>AI9*VLOOKUP('Données projet'!$B$10,Paramètres!$A$1:$I$89,3,0)*VLOOKUP('Données projet'!$B$10,Paramètres!$A$1:$I$89,5,0)</f>
        <v>2.2138979058420154</v>
      </c>
      <c r="AK9" s="13">
        <f t="shared" si="35"/>
        <v>0.93010785243265093</v>
      </c>
      <c r="AL9" s="20">
        <f t="shared" si="4"/>
        <v>5.4758100289950429</v>
      </c>
      <c r="AM9" s="59">
        <f t="shared" si="5"/>
        <v>298.80914336232837</v>
      </c>
      <c r="AN9" s="59">
        <f ca="1">AVERAGE(OFFSET($AM$3,0,0,'Données projet'!$E$10+1,1))-AVERAGE(OFFSET($H$3,0,0,'Données projet'!$E$10+1,1))</f>
        <v>227.31630731915698</v>
      </c>
      <c r="AO9" s="59">
        <f t="shared" si="36"/>
        <v>143.7533262991908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3.2759999999999998</v>
      </c>
      <c r="D10" s="11">
        <f t="shared" si="32"/>
        <v>1.3149520873221709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35.438928393364129</v>
      </c>
      <c r="H10" s="67">
        <f t="shared" si="1"/>
        <v>301.3292415520861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</v>
      </c>
      <c r="N10" s="13">
        <f>IF('Données projet'!$A$36&gt;35,N9+M10-V9,IF(A10&lt;'Données projet'!$A$36,$K$205^A10,IF(A10='Données projet'!$A$36,'Données projet'!$B$36,N9+M10-V9)))</f>
        <v>6.9081727834880056</v>
      </c>
      <c r="O10" s="13">
        <f>N10*VLOOKUP('Données projet'!$B$9,Paramètres!$A$1:$I$89,3,0)*VLOOKUP('Données projet'!$B$9,Paramètres!$A$1:$I$89,5,0)</f>
        <v>3.2330248626723868</v>
      </c>
      <c r="P10" s="13">
        <f t="shared" si="33"/>
        <v>1.2996984964931853</v>
      </c>
      <c r="Q10" s="20">
        <f t="shared" si="2"/>
        <v>7.8944931838800372</v>
      </c>
      <c r="R10" s="59">
        <f t="shared" si="0"/>
        <v>301.22782651721337</v>
      </c>
      <c r="S10" s="59">
        <f ca="1">AVERAGE(OFFSET($R$3,0,0,'Données projet'!$E$9+1,1))-AVERAGE(OFFSET($H$3,0,0,'Données projet'!$E$9+1,1))</f>
        <v>294.94285920643927</v>
      </c>
      <c r="T10" s="59">
        <f t="shared" si="34"/>
        <v>399.89535338426606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2.9235042735042733</v>
      </c>
      <c r="AI10" s="13">
        <f>IF('Données projet'!$A$62&gt;35,AI9+AH10-AQ9,IF(A10&lt;'Données projet'!$A$62,$AF$205^A10,IF(A10='Données projet'!$A$62,'Données projet'!$B$62,AI9+AH10-AQ9)))</f>
        <v>2.8403541738035183</v>
      </c>
      <c r="AJ10" s="13">
        <f>AI10*VLOOKUP('Données projet'!$B$10,Paramètres!$A$1:$I$89,3,0)*VLOOKUP('Données projet'!$B$10,Paramètres!$A$1:$I$89,5,0)</f>
        <v>2.5699524564574232</v>
      </c>
      <c r="AK10" s="13">
        <f t="shared" si="35"/>
        <v>1.0611135823014897</v>
      </c>
      <c r="AL10" s="20">
        <f t="shared" si="4"/>
        <v>6.3241066841717739</v>
      </c>
      <c r="AM10" s="59">
        <f t="shared" si="5"/>
        <v>299.65744001750511</v>
      </c>
      <c r="AN10" s="59">
        <f ca="1">AVERAGE(OFFSET($AM$3,0,0,'Données projet'!$E$10+1,1))-AVERAGE(OFFSET($H$3,0,0,'Données projet'!$E$10+1,1))</f>
        <v>227.31630731915698</v>
      </c>
      <c r="AO10" s="59">
        <f t="shared" si="36"/>
        <v>143.7533262991908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3.7439999999999998</v>
      </c>
      <c r="D11" s="11">
        <f t="shared" si="32"/>
        <v>1.4796248382778823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40.322718049864356</v>
      </c>
      <c r="H11" s="67">
        <f t="shared" si="1"/>
        <v>302.43114659333395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</v>
      </c>
      <c r="N11" s="13">
        <f>IF('Données projet'!$A$36&gt;35,N10+M11-V10,IF(A11&lt;'Données projet'!$A$36,$K$205^A11,IF(A11='Données projet'!$A$36,'Données projet'!$B$36,N10+M11-V10)))</f>
        <v>9.1048379118936591</v>
      </c>
      <c r="O11" s="13">
        <f>N11*VLOOKUP('Données projet'!$B$9,Paramètres!$A$1:$I$89,3,0)*VLOOKUP('Données projet'!$B$9,Paramètres!$A$1:$I$89,5,0)</f>
        <v>4.2610641427662319</v>
      </c>
      <c r="P11" s="13">
        <f t="shared" si="33"/>
        <v>1.6588007883704257</v>
      </c>
      <c r="Q11" s="20">
        <f t="shared" si="2"/>
        <v>10.31043142172968</v>
      </c>
      <c r="R11" s="59">
        <f t="shared" si="0"/>
        <v>303.64376475506299</v>
      </c>
      <c r="S11" s="59">
        <f ca="1">AVERAGE(OFFSET($R$3,0,0,'Données projet'!$E$9+1,1))-AVERAGE(OFFSET($H$3,0,0,'Données projet'!$E$9+1,1))</f>
        <v>294.94285920643927</v>
      </c>
      <c r="T11" s="59">
        <f t="shared" si="34"/>
        <v>399.89535338426606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2.9235042735042733</v>
      </c>
      <c r="AI11" s="13">
        <f>IF('Données projet'!$A$62&gt;35,AI10+AH11-AQ10,IF(A11&lt;'Données projet'!$A$62,$AF$205^A11,IF(A11='Données projet'!$A$62,'Données projet'!$B$62,AI10+AH11-AQ10)))</f>
        <v>3.2971598043944974</v>
      </c>
      <c r="AJ11" s="13">
        <f>AI11*VLOOKUP('Données projet'!$B$10,Paramètres!$A$1:$I$89,3,0)*VLOOKUP('Données projet'!$B$10,Paramètres!$A$1:$I$89,5,0)</f>
        <v>2.9832701910161412</v>
      </c>
      <c r="AK11" s="13">
        <f t="shared" si="35"/>
        <v>1.2105714746948997</v>
      </c>
      <c r="AL11" s="20">
        <f t="shared" si="4"/>
        <v>7.3042742344467291</v>
      </c>
      <c r="AM11" s="59">
        <f t="shared" si="5"/>
        <v>300.63760756778004</v>
      </c>
      <c r="AN11" s="59">
        <f ca="1">AVERAGE(OFFSET($AM$3,0,0,'Données projet'!$E$10+1,1))-AVERAGE(OFFSET($H$3,0,0,'Données projet'!$E$10+1,1))</f>
        <v>227.31630731915698</v>
      </c>
      <c r="AO11" s="59">
        <f t="shared" si="36"/>
        <v>143.7533262991908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12" s="11">
        <f t="shared" si="32"/>
        <v>1.6419123971514347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45.188095697309329</v>
      </c>
      <c r="H12" s="67">
        <f t="shared" si="1"/>
        <v>303.52889742503874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</v>
      </c>
      <c r="N12" s="13">
        <f>IF('Données projet'!$A$36&gt;35,N11+M12-V11,IF(A12&lt;'Données projet'!$A$36,$K$205^A12,IF(A12='Données projet'!$A$36,'Données projet'!$B$36,N11+M12-V11)))</f>
        <v>12.000000000000004</v>
      </c>
      <c r="O12" s="13">
        <f>N12*VLOOKUP('Données projet'!$B$9,Paramètres!$A$1:$I$89,3,0)*VLOOKUP('Données projet'!$B$9,Paramètres!$A$1:$I$89,5,0)</f>
        <v>5.6160000000000014</v>
      </c>
      <c r="P12" s="13">
        <f t="shared" si="33"/>
        <v>2.117121827041196</v>
      </c>
      <c r="Q12" s="20">
        <f t="shared" si="2"/>
        <v>13.468520515430084</v>
      </c>
      <c r="R12" s="59">
        <f t="shared" si="0"/>
        <v>306.80185384876341</v>
      </c>
      <c r="S12" s="59">
        <f ca="1">AVERAGE(OFFSET($R$3,0,0,'Données projet'!$E$9+1,1))-AVERAGE(OFFSET($H$3,0,0,'Données projet'!$E$9+1,1))</f>
        <v>294.94285920643927</v>
      </c>
      <c r="T12" s="59">
        <f t="shared" si="34"/>
        <v>399.89535338426606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2.9235042735042733</v>
      </c>
      <c r="AI12" s="13">
        <f>IF('Données projet'!$A$62&gt;35,AI11+AH12-AQ11,IF(A12&lt;'Données projet'!$A$62,$AF$205^A12,IF(A12='Données projet'!$A$62,'Données projet'!$B$62,AI11+AH12-AQ11)))</f>
        <v>3.8274321125090722</v>
      </c>
      <c r="AJ12" s="13">
        <f>AI12*VLOOKUP('Données projet'!$B$10,Paramètres!$A$1:$I$89,3,0)*VLOOKUP('Données projet'!$B$10,Paramètres!$A$1:$I$89,5,0)</f>
        <v>3.4630605753982087</v>
      </c>
      <c r="AK12" s="13">
        <f t="shared" si="35"/>
        <v>1.3810805174752749</v>
      </c>
      <c r="AL12" s="20">
        <f t="shared" si="4"/>
        <v>8.4368790700879845</v>
      </c>
      <c r="AM12" s="59">
        <f t="shared" si="5"/>
        <v>301.77021240342128</v>
      </c>
      <c r="AN12" s="59">
        <f ca="1">AVERAGE(OFFSET($AM$3,0,0,'Données projet'!$E$10+1,1))-AVERAGE(OFFSET($H$3,0,0,'Données projet'!$E$10+1,1))</f>
        <v>227.31630731915698</v>
      </c>
      <c r="AO12" s="59">
        <f t="shared" si="36"/>
        <v>143.7533262991908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4.68</v>
      </c>
      <c r="D13" s="11">
        <f t="shared" si="32"/>
        <v>1.8021100168054613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50.037340480603554</v>
      </c>
      <c r="H13" s="67">
        <f t="shared" si="1"/>
        <v>304.62300827926947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</v>
      </c>
      <c r="N13" s="13">
        <f>IF('Données projet'!$A$36&gt;35,N12+M13-V12,IF(A13&lt;'Données projet'!$A$36,$K$205^A13,IF(A13='Données projet'!$A$36,'Données projet'!$B$36,N12+M13-V12)))</f>
        <v>15.81576755055603</v>
      </c>
      <c r="O13" s="13">
        <f>N13*VLOOKUP('Données projet'!$B$9,Paramètres!$A$1:$I$89,3,0)*VLOOKUP('Données projet'!$B$9,Paramètres!$A$1:$I$89,5,0)</f>
        <v>7.4017792136602223</v>
      </c>
      <c r="P13" s="13">
        <f t="shared" si="33"/>
        <v>2.7020754161429368</v>
      </c>
      <c r="Q13" s="20">
        <f t="shared" si="2"/>
        <v>17.597546813573835</v>
      </c>
      <c r="R13" s="59">
        <f t="shared" si="0"/>
        <v>310.93088014690716</v>
      </c>
      <c r="S13" s="59">
        <f ca="1">AVERAGE(OFFSET($R$3,0,0,'Données projet'!$E$9+1,1))-AVERAGE(OFFSET($H$3,0,0,'Données projet'!$E$9+1,1))</f>
        <v>294.94285920643927</v>
      </c>
      <c r="T13" s="59">
        <f t="shared" si="34"/>
        <v>399.89535338426606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2.9235042735042733</v>
      </c>
      <c r="AI13" s="13">
        <f>IF('Données projet'!$A$62&gt;35,AI12+AH13-AQ12,IF(A13&lt;'Données projet'!$A$62,$AF$205^A13,IF(A13='Données projet'!$A$62,'Données projet'!$B$62,AI12+AH13-AQ12)))</f>
        <v>4.4429865232315908</v>
      </c>
      <c r="AJ13" s="13">
        <f>AI13*VLOOKUP('Données projet'!$B$10,Paramètres!$A$1:$I$89,3,0)*VLOOKUP('Données projet'!$B$10,Paramètres!$A$1:$I$89,5,0)</f>
        <v>4.0200142062199431</v>
      </c>
      <c r="AK13" s="13">
        <f t="shared" si="35"/>
        <v>1.5756057660539962</v>
      </c>
      <c r="AL13" s="20">
        <f t="shared" si="4"/>
        <v>9.7457047850437757</v>
      </c>
      <c r="AM13" s="59">
        <f t="shared" si="5"/>
        <v>303.07903811837707</v>
      </c>
      <c r="AN13" s="59">
        <f ca="1">AVERAGE(OFFSET($AM$3,0,0,'Données projet'!$E$10+1,1))-AVERAGE(OFFSET($H$3,0,0,'Données projet'!$E$10+1,1))</f>
        <v>227.31630731915698</v>
      </c>
      <c r="AO13" s="59">
        <f t="shared" si="36"/>
        <v>143.7533262991908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5.1479999999999997</v>
      </c>
      <c r="D14" s="11">
        <f t="shared" si="32"/>
        <v>1.9604504824312583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54.872249338065849</v>
      </c>
      <c r="H14" s="67">
        <f t="shared" si="1"/>
        <v>305.71388459023444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</v>
      </c>
      <c r="N14" s="13">
        <f>IF('Données projet'!$A$36&gt;35,N13+M14-V13,IF(A14&lt;'Données projet'!$A$36,$K$205^A14,IF(A14='Données projet'!$A$36,'Données projet'!$B$36,N13+M14-V13)))</f>
        <v>20.844875267768419</v>
      </c>
      <c r="O14" s="13">
        <f>N14*VLOOKUP('Données projet'!$B$9,Paramètres!$A$1:$I$89,3,0)*VLOOKUP('Données projet'!$B$9,Paramètres!$A$1:$I$89,5,0)</f>
        <v>9.7554016253156188</v>
      </c>
      <c r="P14" s="13">
        <f t="shared" si="33"/>
        <v>3.4486497003943812</v>
      </c>
      <c r="Q14" s="20">
        <f t="shared" si="2"/>
        <v>22.997056058944917</v>
      </c>
      <c r="R14" s="59">
        <f t="shared" si="0"/>
        <v>316.33038939227822</v>
      </c>
      <c r="S14" s="59">
        <f ca="1">AVERAGE(OFFSET($R$3,0,0,'Données projet'!$E$9+1,1))-AVERAGE(OFFSET($H$3,0,0,'Données projet'!$E$9+1,1))</f>
        <v>294.94285920643927</v>
      </c>
      <c r="T14" s="59">
        <f t="shared" si="34"/>
        <v>399.89535338426606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2.9235042735042733</v>
      </c>
      <c r="AI14" s="13">
        <f>IF('Données projet'!$A$62&gt;35,AI13+AH14-AQ13,IF(A14&lt;'Données projet'!$A$62,$AF$205^A14,IF(A14='Données projet'!$A$62,'Données projet'!$B$62,AI13+AH14-AQ13)))</f>
        <v>5.1575387009743459</v>
      </c>
      <c r="AJ14" s="13">
        <f>AI14*VLOOKUP('Données projet'!$B$10,Paramètres!$A$1:$I$89,3,0)*VLOOKUP('Données projet'!$B$10,Paramètres!$A$1:$I$89,5,0)</f>
        <v>4.6665410166415882</v>
      </c>
      <c r="AK14" s="13">
        <f t="shared" si="35"/>
        <v>1.7975299040209971</v>
      </c>
      <c r="AL14" s="20">
        <f t="shared" si="4"/>
        <v>11.258256853487337</v>
      </c>
      <c r="AM14" s="59">
        <f t="shared" si="5"/>
        <v>304.59159018682067</v>
      </c>
      <c r="AN14" s="59">
        <f ca="1">AVERAGE(OFFSET($AM$3,0,0,'Données projet'!$E$10+1,1))-AVERAGE(OFFSET($H$3,0,0,'Données projet'!$E$10+1,1))</f>
        <v>227.31630731915698</v>
      </c>
      <c r="AO14" s="59">
        <f t="shared" si="36"/>
        <v>143.7533262991908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5.6159999999999997</v>
      </c>
      <c r="D15" s="11">
        <f t="shared" si="32"/>
        <v>2.1171218270411956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59.694273752598697</v>
      </c>
      <c r="H15" s="67">
        <f t="shared" si="1"/>
        <v>306.80185384876341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</v>
      </c>
      <c r="N15" s="13">
        <f>IF('Données projet'!$A$36&gt;35,N14+M15-V14,IF(A15&lt;'Données projet'!$A$36,$K$205^A15,IF(A15='Données projet'!$A$36,'Données projet'!$B$36,N14+M15-V14)))</f>
        <v>27.473141821279974</v>
      </c>
      <c r="O15" s="13">
        <f>N15*VLOOKUP('Données projet'!$B$9,Paramètres!$A$1:$I$89,3,0)*VLOOKUP('Données projet'!$B$9,Paramètres!$A$1:$I$89,5,0)</f>
        <v>12.857430372359026</v>
      </c>
      <c r="P15" s="13">
        <f t="shared" si="33"/>
        <v>4.4014999303783746</v>
      </c>
      <c r="Q15" s="20">
        <f t="shared" si="2"/>
        <v>30.059303610600974</v>
      </c>
      <c r="R15" s="59">
        <f t="shared" si="0"/>
        <v>323.39263694393429</v>
      </c>
      <c r="S15" s="59">
        <f ca="1">AVERAGE(OFFSET($R$3,0,0,'Données projet'!$E$9+1,1))-AVERAGE(OFFSET($H$3,0,0,'Données projet'!$E$9+1,1))</f>
        <v>294.94285920643927</v>
      </c>
      <c r="T15" s="59">
        <f t="shared" si="34"/>
        <v>399.89535338426606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2.9235042735042733</v>
      </c>
      <c r="AI15" s="13">
        <f>IF('Données projet'!$A$62&gt;35,AI14+AH15-AQ14,IF(A15&lt;'Données projet'!$A$62,$AF$205^A15,IF(A15='Données projet'!$A$62,'Données projet'!$B$62,AI14+AH15-AQ14)))</f>
        <v>5.9870101592612031</v>
      </c>
      <c r="AJ15" s="13">
        <f>AI15*VLOOKUP('Données projet'!$B$10,Paramètres!$A$1:$I$89,3,0)*VLOOKUP('Données projet'!$B$10,Paramètres!$A$1:$I$89,5,0)</f>
        <v>5.4170467920995362</v>
      </c>
      <c r="AK15" s="13">
        <f t="shared" si="35"/>
        <v>2.05071206609116</v>
      </c>
      <c r="AL15" s="20">
        <f t="shared" si="4"/>
        <v>13.006346678015461</v>
      </c>
      <c r="AM15" s="59">
        <f t="shared" si="5"/>
        <v>306.33968001134878</v>
      </c>
      <c r="AN15" s="59">
        <f ca="1">AVERAGE(OFFSET($AM$3,0,0,'Données projet'!$E$10+1,1))-AVERAGE(OFFSET($H$3,0,0,'Données projet'!$E$10+1,1))</f>
        <v>227.31630731915698</v>
      </c>
      <c r="AO15" s="59">
        <f t="shared" si="36"/>
        <v>143.7533262991908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6.0839999999999996</v>
      </c>
      <c r="D16" s="11">
        <f t="shared" si="32"/>
        <v>2.2722789577396263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64.504609498340969</v>
      </c>
      <c r="H16" s="67">
        <f t="shared" si="1"/>
        <v>307.88718585139651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</v>
      </c>
      <c r="N16" s="13">
        <f>IF('Données projet'!$A$36&gt;35,N15+M16-V15,IF(A16&lt;'Données projet'!$A$36,$K$205^A16,IF(A16='Données projet'!$A$36,'Données projet'!$B$36,N15+M16-V15)))</f>
        <v>36.209068744068631</v>
      </c>
      <c r="O16" s="13">
        <f>N16*VLOOKUP('Données projet'!$B$9,Paramètres!$A$1:$I$89,3,0)*VLOOKUP('Données projet'!$B$9,Paramètres!$A$1:$I$89,5,0)</f>
        <v>16.94584417222412</v>
      </c>
      <c r="P16" s="13">
        <f t="shared" si="33"/>
        <v>5.6176194511449991</v>
      </c>
      <c r="Q16" s="20">
        <f t="shared" si="2"/>
        <v>39.298032477367883</v>
      </c>
      <c r="R16" s="59">
        <f t="shared" si="0"/>
        <v>332.6313658107012</v>
      </c>
      <c r="S16" s="59">
        <f ca="1">AVERAGE(OFFSET($R$3,0,0,'Données projet'!$E$9+1,1))-AVERAGE(OFFSET($H$3,0,0,'Données projet'!$E$9+1,1))</f>
        <v>294.94285920643927</v>
      </c>
      <c r="T16" s="59">
        <f t="shared" si="34"/>
        <v>399.89535338426606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2.9235042735042733</v>
      </c>
      <c r="AI16" s="13">
        <f>IF('Données projet'!$A$62&gt;35,AI15+AH16-AQ15,IF(A16&lt;'Données projet'!$A$62,$AF$205^A16,IF(A16='Données projet'!$A$62,'Données projet'!$B$62,AI15+AH16-AQ15)))</f>
        <v>6.9498830208148057</v>
      </c>
      <c r="AJ16" s="13">
        <f>AI16*VLOOKUP('Données projet'!$B$10,Paramètres!$A$1:$I$89,3,0)*VLOOKUP('Données projet'!$B$10,Paramètres!$A$1:$I$89,5,0)</f>
        <v>6.2882541572332364</v>
      </c>
      <c r="AK16" s="13">
        <f t="shared" si="35"/>
        <v>2.3395549462651668</v>
      </c>
      <c r="AL16" s="20">
        <f t="shared" si="4"/>
        <v>15.026767521926386</v>
      </c>
      <c r="AM16" s="59">
        <f t="shared" si="5"/>
        <v>308.3601008552597</v>
      </c>
      <c r="AN16" s="59">
        <f ca="1">AVERAGE(OFFSET($AM$3,0,0,'Données projet'!$E$10+1,1))-AVERAGE(OFFSET($H$3,0,0,'Données projet'!$E$10+1,1))</f>
        <v>227.31630731915698</v>
      </c>
      <c r="AO16" s="59">
        <f t="shared" si="36"/>
        <v>143.7533262991908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6.5519999999999996</v>
      </c>
      <c r="D17" s="11">
        <f t="shared" si="32"/>
        <v>2.4260515959655735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69.304257933769335</v>
      </c>
      <c r="H17" s="67">
        <f t="shared" si="1"/>
        <v>308.97010652964002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</v>
      </c>
      <c r="N17" s="13">
        <f>IF('Données projet'!$A$36&gt;35,N16+M17-V16,IF(A17&lt;'Données projet'!$A$36,$K$205^A17,IF(A17='Données projet'!$A$36,'Données projet'!$B$36,N16+M17-V16)))</f>
        <v>47.722851206524417</v>
      </c>
      <c r="O17" s="13">
        <f>N17*VLOOKUP('Données projet'!$B$9,Paramètres!$A$1:$I$89,3,0)*VLOOKUP('Données projet'!$B$9,Paramètres!$A$1:$I$89,5,0)</f>
        <v>22.334294364653427</v>
      </c>
      <c r="P17" s="13">
        <f t="shared" si="33"/>
        <v>7.1697486759177922</v>
      </c>
      <c r="Q17" s="20">
        <f t="shared" si="2"/>
        <v>51.38620829566154</v>
      </c>
      <c r="R17" s="59">
        <f t="shared" si="0"/>
        <v>344.71954162899488</v>
      </c>
      <c r="S17" s="59">
        <f ca="1">AVERAGE(OFFSET($R$3,0,0,'Données projet'!$E$9+1,1))-AVERAGE(OFFSET($H$3,0,0,'Données projet'!$E$9+1,1))</f>
        <v>294.94285920643927</v>
      </c>
      <c r="T17" s="59">
        <f t="shared" si="34"/>
        <v>399.89535338426606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2.9235042735042733</v>
      </c>
      <c r="AI17" s="13">
        <f>IF('Données projet'!$A$62&gt;35,AI16+AH17-AQ16,IF(A17&lt;'Données projet'!$A$62,$AF$205^A17,IF(A17='Données projet'!$A$62,'Données projet'!$B$62,AI16+AH17-AQ16)))</f>
        <v>8.0676118326430668</v>
      </c>
      <c r="AJ17" s="13">
        <f>AI17*VLOOKUP('Données projet'!$B$10,Paramètres!$A$1:$I$89,3,0)*VLOOKUP('Données projet'!$B$10,Paramètres!$A$1:$I$89,5,0)</f>
        <v>7.2995751861754465</v>
      </c>
      <c r="AK17" s="13">
        <f t="shared" si="35"/>
        <v>2.6690813581776105</v>
      </c>
      <c r="AL17" s="20">
        <f t="shared" si="4"/>
        <v>17.362076814748239</v>
      </c>
      <c r="AM17" s="59">
        <f t="shared" si="5"/>
        <v>310.69541014808158</v>
      </c>
      <c r="AN17" s="59">
        <f ca="1">AVERAGE(OFFSET($AM$3,0,0,'Données projet'!$E$10+1,1))-AVERAGE(OFFSET($H$3,0,0,'Données projet'!$E$10+1,1))</f>
        <v>227.31630731915698</v>
      </c>
      <c r="AO17" s="59">
        <f t="shared" si="36"/>
        <v>143.7533262991908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7.02</v>
      </c>
      <c r="D18" s="11">
        <f t="shared" si="32"/>
        <v>2.5785498814341232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74.094069260193223</v>
      </c>
      <c r="H18" s="67">
        <f t="shared" si="1"/>
        <v>310.05080771016441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</v>
      </c>
      <c r="N18" s="13">
        <f>IF('Données projet'!$A$36&gt;35,N17+M18-V17,IF(A18&lt;'Données projet'!$A$36,$K$205^A18,IF(A18='Données projet'!$A$36,'Données projet'!$B$36,N17+M18-V17)))</f>
        <v>62.897793461013542</v>
      </c>
      <c r="O18" s="13">
        <f>N18*VLOOKUP('Données projet'!$B$9,Paramètres!$A$1:$I$89,3,0)*VLOOKUP('Données projet'!$B$9,Paramètres!$A$1:$I$89,5,0)</f>
        <v>29.436167339754334</v>
      </c>
      <c r="P18" s="13">
        <f t="shared" si="33"/>
        <v>9.1507259476872189</v>
      </c>
      <c r="Q18" s="20">
        <f t="shared" si="2"/>
        <v>67.205505808960694</v>
      </c>
      <c r="R18" s="59">
        <f t="shared" si="0"/>
        <v>360.53883914229402</v>
      </c>
      <c r="S18" s="59">
        <f ca="1">AVERAGE(OFFSET($R$3,0,0,'Données projet'!$E$9+1,1))-AVERAGE(OFFSET($H$3,0,0,'Données projet'!$E$9+1,1))</f>
        <v>294.94285920643927</v>
      </c>
      <c r="T18" s="59">
        <f t="shared" si="34"/>
        <v>399.89535338426606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2.9235042735042733</v>
      </c>
      <c r="AI18" s="13">
        <f>IF('Données projet'!$A$62&gt;35,AI17+AH18-AQ17,IF(A18&lt;'Données projet'!$A$62,$AF$205^A18,IF(A18='Données projet'!$A$62,'Données projet'!$B$62,AI17+AH18-AQ17)))</f>
        <v>9.3651016121091022</v>
      </c>
      <c r="AJ18" s="13">
        <f>AI18*VLOOKUP('Données projet'!$B$10,Paramètres!$A$1:$I$89,3,0)*VLOOKUP('Données projet'!$B$10,Paramètres!$A$1:$I$89,5,0)</f>
        <v>8.4735439386363147</v>
      </c>
      <c r="AK18" s="13">
        <f t="shared" si="35"/>
        <v>3.045021578973337</v>
      </c>
      <c r="AL18" s="20">
        <f t="shared" si="4"/>
        <v>20.06150160983681</v>
      </c>
      <c r="AM18" s="59">
        <f t="shared" si="5"/>
        <v>313.39483494317011</v>
      </c>
      <c r="AN18" s="59">
        <f ca="1">AVERAGE(OFFSET($AM$3,0,0,'Données projet'!$E$10+1,1))-AVERAGE(OFFSET($H$3,0,0,'Données projet'!$E$10+1,1))</f>
        <v>227.31630731915698</v>
      </c>
      <c r="AO18" s="59">
        <f t="shared" si="36"/>
        <v>143.7533262991908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7.4879999999999995</v>
      </c>
      <c r="D19" s="11">
        <f t="shared" si="32"/>
        <v>2.7298684377500635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78.874773905439085</v>
      </c>
      <c r="H19" s="67">
        <f t="shared" si="1"/>
        <v>311.129454195748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</v>
      </c>
      <c r="N19" s="13">
        <f>IF('Données projet'!$A$36&gt;35,N18+M19-V18,IF(A19&lt;'Données projet'!$A$36,$K$205^A19,IF(A19='Données projet'!$A$36,'Données projet'!$B$36,N18+M19-V18)))</f>
        <v>82.898073401856081</v>
      </c>
      <c r="O19" s="13">
        <f>N19*VLOOKUP('Données projet'!$B$9,Paramètres!$A$1:$I$89,3,0)*VLOOKUP('Données projet'!$B$9,Paramètres!$A$1:$I$89,5,0)</f>
        <v>38.796298352068646</v>
      </c>
      <c r="P19" s="13">
        <f t="shared" si="33"/>
        <v>11.679040529123872</v>
      </c>
      <c r="Q19" s="20">
        <f t="shared" si="2"/>
        <v>87.911215218076961</v>
      </c>
      <c r="R19" s="59">
        <f t="shared" si="0"/>
        <v>381.24454855141028</v>
      </c>
      <c r="S19" s="59">
        <f ca="1">AVERAGE(OFFSET($R$3,0,0,'Données projet'!$E$9+1,1))-AVERAGE(OFFSET($H$3,0,0,'Données projet'!$E$9+1,1))</f>
        <v>294.94285920643927</v>
      </c>
      <c r="T19" s="59">
        <f t="shared" si="34"/>
        <v>399.89535338426606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2.9235042735042733</v>
      </c>
      <c r="AI19" s="13">
        <f>IF('Données projet'!$A$62&gt;35,AI18+AH19-AQ18,IF(A19&lt;'Données projet'!$A$62,$AF$205^A19,IF(A19='Données projet'!$A$62,'Données projet'!$B$62,AI18+AH19-AQ18)))</f>
        <v>10.87126277571476</v>
      </c>
      <c r="AJ19" s="13">
        <f>AI19*VLOOKUP('Données projet'!$B$10,Paramètres!$A$1:$I$89,3,0)*VLOOKUP('Données projet'!$B$10,Paramètres!$A$1:$I$89,5,0)</f>
        <v>9.8363185594667133</v>
      </c>
      <c r="AK19" s="13">
        <f t="shared" si="35"/>
        <v>3.4739129955724146</v>
      </c>
      <c r="AL19" s="20">
        <f t="shared" si="4"/>
        <v>23.181986625026479</v>
      </c>
      <c r="AM19" s="59">
        <f t="shared" si="5"/>
        <v>316.51531995835978</v>
      </c>
      <c r="AN19" s="59">
        <f ca="1">AVERAGE(OFFSET($AM$3,0,0,'Données projet'!$E$10+1,1))-AVERAGE(OFFSET($H$3,0,0,'Données projet'!$E$10+1,1))</f>
        <v>227.31630731915698</v>
      </c>
      <c r="AO19" s="59">
        <f t="shared" si="36"/>
        <v>143.7533262991908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7.9559999999999995</v>
      </c>
      <c r="D20" s="11">
        <f t="shared" si="32"/>
        <v>2.880089392049658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83.647005833365782</v>
      </c>
      <c r="H20" s="67">
        <f t="shared" si="1"/>
        <v>312.20618902448649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</v>
      </c>
      <c r="N20" s="13">
        <f>IF('Données projet'!$A$36&gt;35,N19+M20-V19,IF(A20&lt;'Données projet'!$A$36,$K$205^A20,IF(A20='Données projet'!$A$36,'Données projet'!$B$36,N19+M20-V19)))</f>
        <v>109.25805494272393</v>
      </c>
      <c r="O20" s="13">
        <f>N20*VLOOKUP('Données projet'!$B$9,Paramètres!$A$1:$I$89,3,0)*VLOOKUP('Données projet'!$B$9,Paramètres!$A$1:$I$89,5,0)</f>
        <v>51.132769713194797</v>
      </c>
      <c r="P20" s="13">
        <f t="shared" si="33"/>
        <v>14.905919864794134</v>
      </c>
      <c r="Q20" s="20">
        <f t="shared" si="2"/>
        <v>115.01738434833072</v>
      </c>
      <c r="R20" s="59">
        <f t="shared" si="0"/>
        <v>408.35071768166404</v>
      </c>
      <c r="S20" s="59">
        <f ca="1">AVERAGE(OFFSET($R$3,0,0,'Données projet'!$E$9+1,1))-AVERAGE(OFFSET($H$3,0,0,'Données projet'!$E$9+1,1))</f>
        <v>294.94285920643927</v>
      </c>
      <c r="T20" s="59">
        <f t="shared" si="34"/>
        <v>399.89535338426606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2.9235042735042733</v>
      </c>
      <c r="AI20" s="13">
        <f>IF('Données projet'!$A$62&gt;35,AI19+AH20-AQ19,IF(A20&lt;'Données projet'!$A$62,$AF$205^A20,IF(A20='Données projet'!$A$62,'Données projet'!$B$62,AI19+AH20-AQ19)))</f>
        <v>12.619655315413629</v>
      </c>
      <c r="AJ20" s="13">
        <f>AI20*VLOOKUP('Données projet'!$B$10,Paramètres!$A$1:$I$89,3,0)*VLOOKUP('Données projet'!$B$10,Paramètres!$A$1:$I$89,5,0)</f>
        <v>11.418264129386252</v>
      </c>
      <c r="AK20" s="13">
        <f t="shared" si="35"/>
        <v>3.9632137861156949</v>
      </c>
      <c r="AL20" s="20">
        <f t="shared" si="4"/>
        <v>26.789407369499227</v>
      </c>
      <c r="AM20" s="59">
        <f t="shared" si="5"/>
        <v>320.12274070283252</v>
      </c>
      <c r="AN20" s="59">
        <f ca="1">AVERAGE(OFFSET($AM$3,0,0,'Données projet'!$E$10+1,1))-AVERAGE(OFFSET($H$3,0,0,'Données projet'!$E$10+1,1))</f>
        <v>227.31630731915698</v>
      </c>
      <c r="AO20" s="59">
        <f t="shared" si="36"/>
        <v>143.7533262991908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8.4239999999999995</v>
      </c>
      <c r="D21" s="11">
        <f t="shared" si="32"/>
        <v>3.0292846636388133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88.411320210545227</v>
      </c>
      <c r="H21" s="67">
        <f t="shared" si="1"/>
        <v>313.28113745583755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144</v>
      </c>
      <c r="L21" s="12">
        <f>VLOOKUP(A21,'Données projet'!$A$35:$I$55,9,0)</f>
        <v>8</v>
      </c>
      <c r="M21" s="12">
        <f t="array" ref="M21">INDEX(L:L,MIN(IF(ISNUMBER(L21:L217),ROW(L21:L217),"")))</f>
        <v>8</v>
      </c>
      <c r="N21" s="13">
        <f>IF('Données projet'!$A$36&gt;35,N20+M21-V20,IF(A21&lt;'Données projet'!$A$36,$K$205^A21,IF(A21='Données projet'!$A$36,'Données projet'!$B$36,N20+M21-V20)))</f>
        <v>144</v>
      </c>
      <c r="O21" s="13">
        <f>N21*VLOOKUP('Données projet'!$B$9,Paramètres!$A$1:$I$89,3,0)*VLOOKUP('Données projet'!$B$9,Paramètres!$A$1:$I$89,5,0)</f>
        <v>67.391999999999996</v>
      </c>
      <c r="P21" s="13">
        <f t="shared" si="33"/>
        <v>19.02437502991798</v>
      </c>
      <c r="Q21" s="20">
        <f t="shared" si="2"/>
        <v>150.5085198437738</v>
      </c>
      <c r="R21" s="59">
        <f t="shared" si="0"/>
        <v>443.84185317710711</v>
      </c>
      <c r="S21" s="59">
        <f ca="1">AVERAGE(OFFSET($R$3,0,0,'Données projet'!$E$9+1,1))-AVERAGE(OFFSET($H$3,0,0,'Données projet'!$E$9+1,1))</f>
        <v>294.94285920643927</v>
      </c>
      <c r="T21" s="59">
        <f t="shared" si="34"/>
        <v>399.89535338426606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48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0.44000000000000006</v>
      </c>
      <c r="Y21" s="16">
        <f>IF(ISNA(VLOOKUP(A21,'Données projet'!$A$35:$I$55,7,0)),0%,VLOOKUP(A21,'Données projet'!$A$35:$I$55,7,0))</f>
        <v>0.2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13.060348484957151</v>
      </c>
      <c r="AB21" s="21">
        <f>EXP(-LN(2)/2)*AB20+(1-EXP(-LN(2)/2))/(LN(2)/2)*V21*Y21*VLOOKUP('Données projet'!$B$9,Paramètres!$A$1:$I$89,3,0)*0.475*44/12</f>
        <v>5.0868932663269062</v>
      </c>
      <c r="AC21" s="22">
        <f t="shared" si="3"/>
        <v>18.147241751284056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2.9235042735042733</v>
      </c>
      <c r="AI21" s="13">
        <f>IF('Données projet'!$A$62&gt;35,AI20+AH21-AQ20,IF(A21&lt;'Données projet'!$A$62,$AF$205^A21,IF(A21='Données projet'!$A$62,'Données projet'!$B$62,AI20+AH21-AQ20)))</f>
        <v>14.649236575865659</v>
      </c>
      <c r="AJ21" s="13">
        <f>AI21*VLOOKUP('Données projet'!$B$10,Paramètres!$A$1:$I$89,3,0)*VLOOKUP('Données projet'!$B$10,Paramètres!$A$1:$I$89,5,0)</f>
        <v>13.254629253843246</v>
      </c>
      <c r="AK21" s="13">
        <f t="shared" si="35"/>
        <v>4.5214326134467182</v>
      </c>
      <c r="AL21" s="20">
        <f t="shared" si="4"/>
        <v>30.959974418863357</v>
      </c>
      <c r="AM21" s="59">
        <f t="shared" si="5"/>
        <v>324.29330775219665</v>
      </c>
      <c r="AN21" s="59">
        <f ca="1">AVERAGE(OFFSET($AM$3,0,0,'Données projet'!$E$10+1,1))-AVERAGE(OFFSET($H$3,0,0,'Données projet'!$E$10+1,1))</f>
        <v>227.31630731915698</v>
      </c>
      <c r="AO21" s="59">
        <f t="shared" si="36"/>
        <v>143.7533262991908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2" s="11">
        <f t="shared" si="32"/>
        <v>3.177517729464268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93.16820703446102</v>
      </c>
      <c r="H22" s="67">
        <f t="shared" si="1"/>
        <v>314.35441004548358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35</v>
      </c>
      <c r="N22" s="13">
        <f>IF('Données projet'!$A$36&gt;35,N21+M22-V21,IF(A22&lt;'Données projet'!$A$36,$K$205^A22,IF(A22='Données projet'!$A$36,'Données projet'!$B$36,N21+M22-V21)))</f>
        <v>131</v>
      </c>
      <c r="O22" s="13">
        <f>N22*VLOOKUP('Données projet'!$B$9,Paramètres!$A$1:$I$89,3,0)*VLOOKUP('Données projet'!$B$9,Paramètres!$A$1:$I$89,5,0)</f>
        <v>61.308</v>
      </c>
      <c r="P22" s="13">
        <f t="shared" si="33"/>
        <v>17.498556232826882</v>
      </c>
      <c r="Q22" s="20">
        <f t="shared" si="2"/>
        <v>137.25475210550681</v>
      </c>
      <c r="R22" s="59">
        <f t="shared" si="0"/>
        <v>430.58808543884015</v>
      </c>
      <c r="S22" s="59">
        <f ca="1">AVERAGE(OFFSET($R$3,0,0,'Données projet'!$E$9+1,1))-AVERAGE(OFFSET($H$3,0,0,'Données projet'!$E$9+1,1))</f>
        <v>294.94285920643927</v>
      </c>
      <c r="T22" s="59">
        <f t="shared" si="34"/>
        <v>399.89535338426606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12.703212568822121</v>
      </c>
      <c r="AB22" s="21">
        <f>EXP(-LN(2)/2)*AB21+(1-EXP(-LN(2)/2))/(LN(2)/2)*V22*Y22*VLOOKUP('Données projet'!$B$9,Paramètres!$A$1:$I$89,3,0)*0.475*44/12</f>
        <v>3.5969767237919421</v>
      </c>
      <c r="AC22" s="22">
        <f t="shared" si="3"/>
        <v>16.300189292614064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2.9235042735042733</v>
      </c>
      <c r="AI22" s="13">
        <f>IF('Données projet'!$A$62&gt;35,AI21+AH22-AQ21,IF(A22&lt;'Données projet'!$A$62,$AF$205^A22,IF(A22='Données projet'!$A$62,'Données projet'!$B$62,AI21+AH22-AQ21)))</f>
        <v>17.005229294461625</v>
      </c>
      <c r="AJ22" s="13">
        <f>AI22*VLOOKUP('Données projet'!$B$10,Paramètres!$A$1:$I$89,3,0)*VLOOKUP('Données projet'!$B$10,Paramètres!$A$1:$I$89,5,0)</f>
        <v>15.386331465628878</v>
      </c>
      <c r="AK22" s="13">
        <f t="shared" si="35"/>
        <v>5.1582765859259734</v>
      </c>
      <c r="AL22" s="20">
        <f t="shared" si="4"/>
        <v>35.781859023124703</v>
      </c>
      <c r="AM22" s="59">
        <f t="shared" si="5"/>
        <v>329.11519235645801</v>
      </c>
      <c r="AN22" s="59">
        <f ca="1">AVERAGE(OFFSET($AM$3,0,0,'Données projet'!$E$10+1,1))-AVERAGE(OFFSET($H$3,0,0,'Données projet'!$E$10+1,1))</f>
        <v>227.31630731915698</v>
      </c>
      <c r="AO22" s="59">
        <f t="shared" si="36"/>
        <v>143.7533262991908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9.36</v>
      </c>
      <c r="D23" s="11">
        <f t="shared" si="32"/>
        <v>3.3248450073034994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97.918101810763858</v>
      </c>
      <c r="H23" s="67">
        <f t="shared" si="1"/>
        <v>315.42610505438688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35</v>
      </c>
      <c r="N23" s="13">
        <f>IF('Données projet'!$A$36&gt;35,N22+M23-V22,IF(A23&lt;'Données projet'!$A$36,$K$205^A23,IF(A23='Données projet'!$A$36,'Données projet'!$B$36,N22+M23-V22)))</f>
        <v>166</v>
      </c>
      <c r="O23" s="13">
        <f>N23*VLOOKUP('Données projet'!$B$9,Paramètres!$A$1:$I$89,3,0)*VLOOKUP('Données projet'!$B$9,Paramètres!$A$1:$I$89,5,0)</f>
        <v>77.688000000000002</v>
      </c>
      <c r="P23" s="13">
        <f t="shared" si="33"/>
        <v>21.570926907728207</v>
      </c>
      <c r="Q23" s="20">
        <f t="shared" si="2"/>
        <v>172.87596436429328</v>
      </c>
      <c r="R23" s="59">
        <f t="shared" si="0"/>
        <v>466.2092976976266</v>
      </c>
      <c r="S23" s="59">
        <f ca="1">AVERAGE(OFFSET($R$3,0,0,'Données projet'!$E$9+1,1))-AVERAGE(OFFSET($H$3,0,0,'Données projet'!$E$9+1,1))</f>
        <v>294.94285920643927</v>
      </c>
      <c r="T23" s="59">
        <f t="shared" si="34"/>
        <v>399.89535338426606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12.355842553094764</v>
      </c>
      <c r="AB23" s="21">
        <f>EXP(-LN(2)/2)*AB22+(1-EXP(-LN(2)/2))/(LN(2)/2)*V23*Y23*VLOOKUP('Données projet'!$B$9,Paramètres!$A$1:$I$89,3,0)*0.475*44/12</f>
        <v>2.5434466331634535</v>
      </c>
      <c r="AC23" s="22">
        <f t="shared" si="3"/>
        <v>14.899289186258217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2.9235042735042733</v>
      </c>
      <c r="AI23" s="13">
        <f>IF('Données projet'!$A$62&gt;35,AI22+AH23-AQ22,IF(A23&lt;'Données projet'!$A$62,$AF$205^A23,IF(A23='Données projet'!$A$62,'Données projet'!$B$62,AI22+AH23-AQ22)))</f>
        <v>19.740129245617538</v>
      </c>
      <c r="AJ23" s="13">
        <f>AI23*VLOOKUP('Données projet'!$B$10,Paramètres!$A$1:$I$89,3,0)*VLOOKUP('Données projet'!$B$10,Paramètres!$A$1:$I$89,5,0)</f>
        <v>17.860868941434749</v>
      </c>
      <c r="AK23" s="13">
        <f t="shared" si="35"/>
        <v>5.8848200585320249</v>
      </c>
      <c r="AL23" s="20">
        <f t="shared" si="4"/>
        <v>41.357075008275459</v>
      </c>
      <c r="AM23" s="59">
        <f t="shared" si="5"/>
        <v>334.69040834160876</v>
      </c>
      <c r="AN23" s="59">
        <f ca="1">AVERAGE(OFFSET($AM$3,0,0,'Données projet'!$E$10+1,1))-AVERAGE(OFFSET($H$3,0,0,'Données projet'!$E$10+1,1))</f>
        <v>227.31630731915698</v>
      </c>
      <c r="AO23" s="59">
        <f t="shared" si="36"/>
        <v>143.7533262991908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9.8279999999999994</v>
      </c>
      <c r="D24" s="11">
        <f t="shared" si="32"/>
        <v>3.4713169544550615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102.66139403438996</v>
      </c>
      <c r="H24" s="67">
        <f t="shared" si="1"/>
        <v>316.49631036234257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201</v>
      </c>
      <c r="L24" s="12">
        <f>VLOOKUP(A24,'Données projet'!$A$35:$I$55,9,0)</f>
        <v>35</v>
      </c>
      <c r="M24" s="12">
        <f t="array" ref="M24">INDEX(L:L,MIN(IF(ISNUMBER(L24:L220),ROW(L24:L220),"")))</f>
        <v>35</v>
      </c>
      <c r="N24" s="13">
        <f>IF('Données projet'!$A$36&gt;35,N23+M24-V23,IF(A24&lt;'Données projet'!$A$36,$K$205^A24,IF(A24='Données projet'!$A$36,'Données projet'!$B$36,N23+M24-V23)))</f>
        <v>201</v>
      </c>
      <c r="O24" s="13">
        <f>N24*VLOOKUP('Données projet'!$B$9,Paramètres!$A$1:$I$89,3,0)*VLOOKUP('Données projet'!$B$9,Paramètres!$A$1:$I$89,5,0)</f>
        <v>94.067999999999998</v>
      </c>
      <c r="P24" s="13">
        <f t="shared" si="33"/>
        <v>25.543790108694029</v>
      </c>
      <c r="Q24" s="20">
        <f t="shared" si="2"/>
        <v>208.32386777264207</v>
      </c>
      <c r="R24" s="59">
        <f t="shared" si="0"/>
        <v>501.65720110597539</v>
      </c>
      <c r="S24" s="59">
        <f ca="1">AVERAGE(OFFSET($R$3,0,0,'Données projet'!$E$9+1,1))-AVERAGE(OFFSET($H$3,0,0,'Données projet'!$E$9+1,1))</f>
        <v>294.94285920643927</v>
      </c>
      <c r="T24" s="59">
        <f t="shared" si="34"/>
        <v>399.89535338426606</v>
      </c>
      <c r="U24" s="15">
        <f>IF(ISNA(VLOOKUP(A24,'Données projet'!$A$35:$I$55,3,0)),0,VLOOKUP(A24,'Données projet'!$A$35:$I$55,3,0))</f>
        <v>2</v>
      </c>
      <c r="V24" s="15">
        <f>IF(ISNA(VLOOKUP(A24,'Données projet'!$A$35:$I$55,4,0)),0,VLOOKUP(A24,'Données projet'!$A$35:$I$55,4,0))</f>
        <v>45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0.44000000000000006</v>
      </c>
      <c r="Y24" s="16">
        <f>IF(ISNA(VLOOKUP(A24,'Données projet'!$A$35:$I$55,7,0)),0%,VLOOKUP(A24,'Données projet'!$A$35:$I$55,7,0))</f>
        <v>0.2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24.262048093362196</v>
      </c>
      <c r="AB24" s="21">
        <f>EXP(-LN(2)/2)*AB23+(1-EXP(-LN(2)/2))/(LN(2)/2)*V24*Y24*VLOOKUP('Données projet'!$B$9,Paramètres!$A$1:$I$89,3,0)*0.475*44/12</f>
        <v>6.5674507990774451</v>
      </c>
      <c r="AC24" s="22">
        <f t="shared" si="3"/>
        <v>30.829498892439641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2.9235042735042733</v>
      </c>
      <c r="AI24" s="13">
        <f>IF('Données projet'!$A$62&gt;35,AI23+AH24-AQ23,IF(A24&lt;'Données projet'!$A$62,$AF$205^A24,IF(A24='Données projet'!$A$62,'Données projet'!$B$62,AI23+AH24-AQ23)))</f>
        <v>22.91487494147438</v>
      </c>
      <c r="AJ24" s="13">
        <f>AI24*VLOOKUP('Données projet'!$B$10,Paramètres!$A$1:$I$89,3,0)*VLOOKUP('Données projet'!$B$10,Paramètres!$A$1:$I$89,5,0)</f>
        <v>20.733378847046019</v>
      </c>
      <c r="AK24" s="13">
        <f t="shared" si="35"/>
        <v>6.713697209604776</v>
      </c>
      <c r="AL24" s="20">
        <f t="shared" si="4"/>
        <v>47.803657465333458</v>
      </c>
      <c r="AM24" s="59">
        <f t="shared" si="5"/>
        <v>341.13699079866677</v>
      </c>
      <c r="AN24" s="59">
        <f ca="1">AVERAGE(OFFSET($AM$3,0,0,'Données projet'!$E$10+1,1))-AVERAGE(OFFSET($H$3,0,0,'Données projet'!$E$10+1,1))</f>
        <v>227.31630731915698</v>
      </c>
      <c r="AO24" s="59">
        <f t="shared" si="36"/>
        <v>143.7533262991908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10.295999999999999</v>
      </c>
      <c r="D25" s="11">
        <f t="shared" si="32"/>
        <v>3.6169789512251227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107.39843400945709</v>
      </c>
      <c r="H25" s="67">
        <f t="shared" si="1"/>
        <v>317.56510500671709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41.666666666666664</v>
      </c>
      <c r="N25" s="13">
        <f>IF('Données projet'!$A$36&gt;35,N24+M25-V24,IF(A25&lt;'Données projet'!$A$36,$K$205^A25,IF(A25='Données projet'!$A$36,'Données projet'!$B$36,N24+M25-V24)))</f>
        <v>197.66666666666666</v>
      </c>
      <c r="O25" s="13">
        <f>N25*VLOOKUP('Données projet'!$B$9,Paramètres!$A$1:$I$89,3,0)*VLOOKUP('Données projet'!$B$9,Paramètres!$A$1:$I$89,5,0)</f>
        <v>92.507999999999996</v>
      </c>
      <c r="P25" s="13">
        <f t="shared" si="33"/>
        <v>25.1691232259789</v>
      </c>
      <c r="Q25" s="20">
        <f t="shared" si="2"/>
        <v>204.95432295191324</v>
      </c>
      <c r="R25" s="59">
        <f t="shared" si="0"/>
        <v>498.28765628524656</v>
      </c>
      <c r="S25" s="59">
        <f ca="1">AVERAGE(OFFSET($R$3,0,0,'Données projet'!$E$9+1,1))-AVERAGE(OFFSET($H$3,0,0,'Données projet'!$E$9+1,1))</f>
        <v>294.94285920643927</v>
      </c>
      <c r="T25" s="59">
        <f t="shared" si="34"/>
        <v>399.89535338426606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23.59860111236355</v>
      </c>
      <c r="AB25" s="21">
        <f>EXP(-LN(2)/2)*AB24+(1-EXP(-LN(2)/2))/(LN(2)/2)*V25*Y25*VLOOKUP('Données projet'!$B$9,Paramètres!$A$1:$I$89,3,0)*0.475*44/12</f>
        <v>4.6438889951366722</v>
      </c>
      <c r="AC25" s="22">
        <f t="shared" si="3"/>
        <v>28.242490107500224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2.9235042735042733</v>
      </c>
      <c r="AI25" s="13">
        <f>IF('Données projet'!$A$62&gt;35,AI24+AH25-AQ24,IF(A25&lt;'Données projet'!$A$62,$AF$205^A25,IF(A25='Données projet'!$A$62,'Données projet'!$B$62,AI24+AH25-AQ24)))</f>
        <v>26.600205452048144</v>
      </c>
      <c r="AJ25" s="13">
        <f>AI25*VLOOKUP('Données projet'!$B$10,Paramètres!$A$1:$I$89,3,0)*VLOOKUP('Données projet'!$B$10,Paramètres!$A$1:$I$89,5,0)</f>
        <v>24.06786589301316</v>
      </c>
      <c r="AK25" s="13">
        <f t="shared" si="35"/>
        <v>7.6593217420310804</v>
      </c>
      <c r="AL25" s="20">
        <f t="shared" si="4"/>
        <v>55.258185131035383</v>
      </c>
      <c r="AM25" s="59">
        <f t="shared" si="5"/>
        <v>348.59151846436868</v>
      </c>
      <c r="AN25" s="59">
        <f ca="1">AVERAGE(OFFSET($AM$3,0,0,'Données projet'!$E$10+1,1))-AVERAGE(OFFSET($H$3,0,0,'Données projet'!$E$10+1,1))</f>
        <v>227.31630731915698</v>
      </c>
      <c r="AO25" s="59">
        <f t="shared" si="36"/>
        <v>143.7533262991908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10.763999999999999</v>
      </c>
      <c r="D26" s="11">
        <f t="shared" si="32"/>
        <v>3.76187201923933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112.12953839412818</v>
      </c>
      <c r="H26" s="67">
        <f t="shared" si="1"/>
        <v>318.6325604335085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41.666666666666664</v>
      </c>
      <c r="N26" s="13">
        <f>IF('Données projet'!$A$36&gt;35,N25+M26-V25,IF(A26&lt;'Données projet'!$A$36,$K$205^A26,IF(A26='Données projet'!$A$36,'Données projet'!$B$36,N25+M26-V25)))</f>
        <v>239.33333333333331</v>
      </c>
      <c r="O26" s="13">
        <f>N26*VLOOKUP('Données projet'!$B$9,Paramètres!$A$1:$I$89,3,0)*VLOOKUP('Données projet'!$B$9,Paramètres!$A$1:$I$89,5,0)</f>
        <v>112.008</v>
      </c>
      <c r="P26" s="13">
        <f t="shared" si="33"/>
        <v>29.803585787381248</v>
      </c>
      <c r="Q26" s="20">
        <f t="shared" si="2"/>
        <v>246.98851191302231</v>
      </c>
      <c r="R26" s="59">
        <f t="shared" si="0"/>
        <v>540.32184524635568</v>
      </c>
      <c r="S26" s="59">
        <f ca="1">AVERAGE(OFFSET($R$3,0,0,'Données projet'!$E$9+1,1))-AVERAGE(OFFSET($H$3,0,0,'Données projet'!$E$9+1,1))</f>
        <v>294.94285920643927</v>
      </c>
      <c r="T26" s="59">
        <f t="shared" si="34"/>
        <v>399.89535338426606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22.953296123949471</v>
      </c>
      <c r="AB26" s="21">
        <f>EXP(-LN(2)/2)*AB25+(1-EXP(-LN(2)/2))/(LN(2)/2)*V26*Y26*VLOOKUP('Données projet'!$B$9,Paramètres!$A$1:$I$89,3,0)*0.475*44/12</f>
        <v>3.283725399538723</v>
      </c>
      <c r="AC26" s="22">
        <f t="shared" si="3"/>
        <v>26.237021523488195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2.9235042735042733</v>
      </c>
      <c r="AI26" s="13">
        <f>IF('Données projet'!$A$62&gt;35,AI25+AH26-AQ25,IF(A26&lt;'Données projet'!$A$62,$AF$205^A26,IF(A26='Données projet'!$A$62,'Données projet'!$B$62,AI25+AH26-AQ25)))</f>
        <v>30.878236599516239</v>
      </c>
      <c r="AJ26" s="13">
        <f>AI26*VLOOKUP('Données projet'!$B$10,Paramètres!$A$1:$I$89,3,0)*VLOOKUP('Données projet'!$B$10,Paramètres!$A$1:$I$89,5,0)</f>
        <v>27.938628475242293</v>
      </c>
      <c r="AK26" s="13">
        <f t="shared" si="35"/>
        <v>8.7381375293515138</v>
      </c>
      <c r="AL26" s="20">
        <f t="shared" si="4"/>
        <v>63.878700791334211</v>
      </c>
      <c r="AM26" s="59">
        <f t="shared" si="5"/>
        <v>357.21203412466753</v>
      </c>
      <c r="AN26" s="59">
        <f ca="1">AVERAGE(OFFSET($AM$3,0,0,'Données projet'!$E$10+1,1))-AVERAGE(OFFSET($H$3,0,0,'Données projet'!$E$10+1,1))</f>
        <v>227.31630731915698</v>
      </c>
      <c r="AO26" s="59">
        <f t="shared" si="36"/>
        <v>143.7533262991908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11.231999999999999</v>
      </c>
      <c r="D27" s="11">
        <f t="shared" si="32"/>
        <v>3.9060334113059061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116.85499475394033</v>
      </c>
      <c r="H27" s="67">
        <f t="shared" si="1"/>
        <v>319.69874152469112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281</v>
      </c>
      <c r="L27" s="12">
        <f>VLOOKUP(A27,'Données projet'!$A$35:$I$55,9,0)</f>
        <v>41.666666666666664</v>
      </c>
      <c r="M27" s="12">
        <f t="array" ref="M27">INDEX(L:L,MIN(IF(ISNUMBER(L27:L223),ROW(L27:L223),"")))</f>
        <v>41.666666666666664</v>
      </c>
      <c r="N27" s="13">
        <f>IF('Données projet'!$A$36&gt;35,N26+M27-V26,IF(A27&lt;'Données projet'!$A$36,$K$205^A27,IF(A27='Données projet'!$A$36,'Données projet'!$B$36,N26+M27-V26)))</f>
        <v>281</v>
      </c>
      <c r="O27" s="13">
        <f>N27*VLOOKUP('Données projet'!$B$9,Paramètres!$A$1:$I$89,3,0)*VLOOKUP('Données projet'!$B$9,Paramètres!$A$1:$I$89,5,0)</f>
        <v>131.50800000000001</v>
      </c>
      <c r="P27" s="13">
        <f t="shared" si="33"/>
        <v>34.344579617082509</v>
      </c>
      <c r="Q27" s="20">
        <f t="shared" si="2"/>
        <v>288.85990949975201</v>
      </c>
      <c r="R27" s="59">
        <f t="shared" si="0"/>
        <v>582.19324283308538</v>
      </c>
      <c r="S27" s="59">
        <f ca="1">AVERAGE(OFFSET($R$3,0,0,'Données projet'!$E$9+1,1))-AVERAGE(OFFSET($H$3,0,0,'Données projet'!$E$9+1,1))</f>
        <v>294.94285920643927</v>
      </c>
      <c r="T27" s="59">
        <f t="shared" si="34"/>
        <v>399.89535338426606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50</v>
      </c>
      <c r="W27" s="16">
        <f>IF(ISNA(VLOOKUP(A27,'Données projet'!$A$35:$I$55,5,0)),0%,VLOOKUP(A27,'Données projet'!$A$35:$I$55,5,0)*VLOOKUP('Données projet'!$B$9,Paramètres!$A$1:$I$89,7,0))</f>
        <v>0.16500000000000001</v>
      </c>
      <c r="X27" s="16">
        <f>IF(ISNA(VLOOKUP(A27,'Données projet'!$A$35:$I$55,6,0)),0%,VLOOKUP(A27,'Données projet'!$A$35:$I$55,6,0)*VLOOKUP('Données projet'!$B$9,Paramètres!$A$1:$I$89,7,0))</f>
        <v>0.33</v>
      </c>
      <c r="Y27" s="16">
        <f>IF(ISNA(VLOOKUP(A27,'Données projet'!$A$35:$I$55,7,0)),0%,VLOOKUP(A27,'Données projet'!$A$35:$I$55,7,0))</f>
        <v>0.1</v>
      </c>
      <c r="Z27" s="21">
        <f>EXP(-LN(2)/35)*Z26+(1-EXP(-LN(2)/35))/(LN(2)/35)*V27*W27*VLOOKUP('Données projet'!$B$9,Paramètres!$A$1:$I$89,3,0)*0.475*44/12</f>
        <v>5.1218653624520654</v>
      </c>
      <c r="AA27" s="21">
        <f>EXP(-LN(2)/25)*AA26+(1-EXP(-LN(2)/25))/(LN(2)/25)*Calculateur!V27*Calculateur!X27*VLOOKUP('Données projet'!$B$9,Paramètres!$A$1:$I$89,3,0)*0.475*44/12</f>
        <v>32.529034288251459</v>
      </c>
      <c r="AB27" s="21">
        <f>EXP(-LN(2)/2)*AB26+(1-EXP(-LN(2)/2))/(LN(2)/2)*V27*Y27*VLOOKUP('Données projet'!$B$9,Paramètres!$A$1:$I$89,3,0)*0.475*44/12</f>
        <v>4.9713680737802655</v>
      </c>
      <c r="AC27" s="22">
        <f t="shared" si="3"/>
        <v>42.622267724483791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2.9235042735042733</v>
      </c>
      <c r="AI27" s="13">
        <f>IF('Données projet'!$A$62&gt;35,AI26+AH27-AQ26,IF(A27&lt;'Données projet'!$A$62,$AF$205^A27,IF(A27='Données projet'!$A$62,'Données projet'!$B$62,AI26+AH27-AQ26)))</f>
        <v>35.844290647096855</v>
      </c>
      <c r="AJ27" s="13">
        <f>AI27*VLOOKUP('Données projet'!$B$10,Paramètres!$A$1:$I$89,3,0)*VLOOKUP('Données projet'!$B$10,Paramètres!$A$1:$I$89,5,0)</f>
        <v>32.431914177493233</v>
      </c>
      <c r="AK27" s="13">
        <f t="shared" si="35"/>
        <v>9.9689045653817558</v>
      </c>
      <c r="AL27" s="20">
        <f t="shared" si="4"/>
        <v>73.848092643840616</v>
      </c>
      <c r="AM27" s="59">
        <f t="shared" si="5"/>
        <v>367.18142597717394</v>
      </c>
      <c r="AN27" s="59">
        <f ca="1">AVERAGE(OFFSET($AM$3,0,0,'Données projet'!$E$10+1,1))-AVERAGE(OFFSET($H$3,0,0,'Données projet'!$E$10+1,1))</f>
        <v>227.31630731915698</v>
      </c>
      <c r="AO27" s="59">
        <f t="shared" si="36"/>
        <v>143.7533262991908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</v>
      </c>
      <c r="D28" s="11">
        <f t="shared" si="32"/>
        <v>4.0494971001980291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121.57506533486197</v>
      </c>
      <c r="H28" s="67">
        <f t="shared" si="1"/>
        <v>320.76370744951157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45.75</v>
      </c>
      <c r="N28" s="13">
        <f>IF('Données projet'!$A$36&gt;35,N27+M28-V27,IF(A28&lt;'Données projet'!$A$36,$K$205^A28,IF(A28='Données projet'!$A$36,'Données projet'!$B$36,N27+M28-V27)))</f>
        <v>276.75</v>
      </c>
      <c r="O28" s="13">
        <f>N28*VLOOKUP('Données projet'!$B$9,Paramètres!$A$1:$I$89,3,0)*VLOOKUP('Données projet'!$B$9,Paramètres!$A$1:$I$89,5,0)</f>
        <v>129.51900000000001</v>
      </c>
      <c r="P28" s="13">
        <f t="shared" si="33"/>
        <v>33.885190387878694</v>
      </c>
      <c r="Q28" s="20">
        <f t="shared" si="2"/>
        <v>284.59563159222211</v>
      </c>
      <c r="R28" s="59">
        <f t="shared" si="0"/>
        <v>577.92896492555542</v>
      </c>
      <c r="S28" s="59">
        <f ca="1">AVERAGE(OFFSET($R$3,0,0,'Données projet'!$E$9+1,1))-AVERAGE(OFFSET($H$3,0,0,'Données projet'!$E$9+1,1))</f>
        <v>294.94285920643927</v>
      </c>
      <c r="T28" s="59">
        <f t="shared" si="34"/>
        <v>399.89535338426606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5.0214287067237793</v>
      </c>
      <c r="AA28" s="21">
        <f>EXP(-LN(2)/25)*AA27+(1-EXP(-LN(2)/25))/(LN(2)/25)*Calculateur!V28*Calculateur!X28*VLOOKUP('Données projet'!$B$9,Paramètres!$A$1:$I$89,3,0)*0.475*44/12</f>
        <v>31.639526135011657</v>
      </c>
      <c r="AB28" s="21">
        <f>EXP(-LN(2)/2)*AB27+(1-EXP(-LN(2)/2))/(LN(2)/2)*V28*Y28*VLOOKUP('Données projet'!$B$9,Paramètres!$A$1:$I$89,3,0)*0.475*44/12</f>
        <v>3.5152880767443309</v>
      </c>
      <c r="AC28" s="22">
        <f t="shared" si="3"/>
        <v>40.176242918479772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2.9235042735042733</v>
      </c>
      <c r="AI28" s="13">
        <f>IF('Données projet'!$A$62&gt;35,AI27+AH28-AQ27,IF(A28&lt;'Données projet'!$A$62,$AF$205^A28,IF(A28='Données projet'!$A$62,'Données projet'!$B$62,AI27+AH28-AQ27)))</f>
        <v>41.609020251295185</v>
      </c>
      <c r="AJ28" s="13">
        <f>AI28*VLOOKUP('Données projet'!$B$10,Paramètres!$A$1:$I$89,3,0)*VLOOKUP('Données projet'!$B$10,Paramètres!$A$1:$I$89,5,0)</f>
        <v>37.647841523371881</v>
      </c>
      <c r="AK28" s="13">
        <f t="shared" si="35"/>
        <v>11.373025189850091</v>
      </c>
      <c r="AL28" s="20">
        <f t="shared" si="4"/>
        <v>85.37800952552827</v>
      </c>
      <c r="AM28" s="59">
        <f t="shared" si="5"/>
        <v>378.7113428588616</v>
      </c>
      <c r="AN28" s="59">
        <f ca="1">AVERAGE(OFFSET($AM$3,0,0,'Données projet'!$E$10+1,1))-AVERAGE(OFFSET($H$3,0,0,'Données projet'!$E$10+1,1))</f>
        <v>227.31630731915698</v>
      </c>
      <c r="AO28" s="59">
        <f t="shared" si="36"/>
        <v>143.7533262991908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29" s="11">
        <f t="shared" si="32"/>
        <v>4.1922941870296242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126.28999021566726</v>
      </c>
      <c r="H29" s="67">
        <f t="shared" si="1"/>
        <v>321.82751237574325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45.75</v>
      </c>
      <c r="N29" s="13">
        <f>IF('Données projet'!$A$36&gt;35,N28+M29-V28,IF(A29&lt;'Données projet'!$A$36,$K$205^A29,IF(A29='Données projet'!$A$36,'Données projet'!$B$36,N28+M29-V28)))</f>
        <v>322.5</v>
      </c>
      <c r="O29" s="13">
        <f>N29*VLOOKUP('Données projet'!$B$9,Paramètres!$A$1:$I$89,3,0)*VLOOKUP('Données projet'!$B$9,Paramètres!$A$1:$I$89,5,0)</f>
        <v>150.93</v>
      </c>
      <c r="P29" s="13">
        <f t="shared" si="33"/>
        <v>38.789855371379076</v>
      </c>
      <c r="Q29" s="20">
        <f t="shared" si="2"/>
        <v>330.4287481051519</v>
      </c>
      <c r="R29" s="59">
        <f t="shared" si="0"/>
        <v>623.76208143848521</v>
      </c>
      <c r="S29" s="59">
        <f ca="1">AVERAGE(OFFSET($R$3,0,0,'Données projet'!$E$9+1,1))-AVERAGE(OFFSET($H$3,0,0,'Données projet'!$E$9+1,1))</f>
        <v>294.94285920643927</v>
      </c>
      <c r="T29" s="59">
        <f t="shared" si="34"/>
        <v>399.89535338426606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4.922961552554014</v>
      </c>
      <c r="AA29" s="21">
        <f>EXP(-LN(2)/25)*AA28+(1-EXP(-LN(2)/25))/(LN(2)/25)*Calculateur!V29*Calculateur!X29*VLOOKUP('Données projet'!$B$9,Paramètres!$A$1:$I$89,3,0)*0.475*44/12</f>
        <v>30.774341628999398</v>
      </c>
      <c r="AB29" s="21">
        <f>EXP(-LN(2)/2)*AB28+(1-EXP(-LN(2)/2))/(LN(2)/2)*V29*Y29*VLOOKUP('Données projet'!$B$9,Paramètres!$A$1:$I$89,3,0)*0.475*44/12</f>
        <v>2.4856840368901332</v>
      </c>
      <c r="AC29" s="22">
        <f t="shared" si="3"/>
        <v>38.182987218443543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2.9235042735042733</v>
      </c>
      <c r="AI29" s="13">
        <f>IF('Données projet'!$A$62&gt;35,AI28+AH29-AQ28,IF(A29&lt;'Données projet'!$A$62,$AF$205^A29,IF(A29='Données projet'!$A$62,'Données projet'!$B$62,AI28+AH29-AQ28)))</f>
        <v>48.30087400300993</v>
      </c>
      <c r="AJ29" s="13">
        <f>AI29*VLOOKUP('Données projet'!$B$10,Paramètres!$A$1:$I$89,3,0)*VLOOKUP('Données projet'!$B$10,Paramètres!$A$1:$I$89,5,0)</f>
        <v>43.702630797923383</v>
      </c>
      <c r="AK29" s="13">
        <f t="shared" si="35"/>
        <v>12.974916262929579</v>
      </c>
      <c r="AL29" s="20">
        <f t="shared" si="4"/>
        <v>98.71339446431891</v>
      </c>
      <c r="AM29" s="59">
        <f t="shared" si="5"/>
        <v>392.04672779765224</v>
      </c>
      <c r="AN29" s="59">
        <f ca="1">AVERAGE(OFFSET($AM$3,0,0,'Données projet'!$E$10+1,1))-AVERAGE(OFFSET($H$3,0,0,'Données projet'!$E$10+1,1))</f>
        <v>227.31630731915698</v>
      </c>
      <c r="AO29" s="59">
        <f t="shared" si="36"/>
        <v>143.7533262991908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12.635999999999999</v>
      </c>
      <c r="D30" s="11">
        <f t="shared" si="32"/>
        <v>4.3344532450369764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130.99998996168895</v>
      </c>
      <c r="H30" s="67">
        <f t="shared" si="1"/>
        <v>322.8902060684394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45.75</v>
      </c>
      <c r="N30" s="13">
        <f>IF('Données projet'!$A$36&gt;35,N29+M30-V29,IF(A30&lt;'Données projet'!$A$36,$K$205^A30,IF(A30='Données projet'!$A$36,'Données projet'!$B$36,N29+M30-V29)))</f>
        <v>368.25</v>
      </c>
      <c r="O30" s="13">
        <f>N30*VLOOKUP('Données projet'!$B$9,Paramètres!$A$1:$I$89,3,0)*VLOOKUP('Données projet'!$B$9,Paramètres!$A$1:$I$89,5,0)</f>
        <v>172.34100000000001</v>
      </c>
      <c r="P30" s="13">
        <f t="shared" si="33"/>
        <v>43.613911643991898</v>
      </c>
      <c r="Q30" s="20">
        <f t="shared" si="2"/>
        <v>376.12147111328591</v>
      </c>
      <c r="R30" s="59">
        <f t="shared" si="0"/>
        <v>669.45480444661916</v>
      </c>
      <c r="S30" s="59">
        <f ca="1">AVERAGE(OFFSET($R$3,0,0,'Données projet'!$E$9+1,1))-AVERAGE(OFFSET($H$3,0,0,'Données projet'!$E$9+1,1))</f>
        <v>294.94285920643927</v>
      </c>
      <c r="T30" s="59">
        <f t="shared" si="34"/>
        <v>399.89535338426606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4.8264252792184843</v>
      </c>
      <c r="AA30" s="21">
        <f>EXP(-LN(2)/25)*AA29+(1-EXP(-LN(2)/25))/(LN(2)/25)*Calculateur!V30*Calculateur!X30*VLOOKUP('Données projet'!$B$9,Paramètres!$A$1:$I$89,3,0)*0.475*44/12</f>
        <v>29.932815638802118</v>
      </c>
      <c r="AB30" s="21">
        <f>EXP(-LN(2)/2)*AB29+(1-EXP(-LN(2)/2))/(LN(2)/2)*V30*Y30*VLOOKUP('Données projet'!$B$9,Paramètres!$A$1:$I$89,3,0)*0.475*44/12</f>
        <v>1.7576440383721657</v>
      </c>
      <c r="AC30" s="22">
        <f t="shared" si="3"/>
        <v>36.516884956392765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2.9235042735042733</v>
      </c>
      <c r="AI30" s="13">
        <f>IF('Données projet'!$A$62&gt;35,AI29+AH30-AQ29,IF(A30&lt;'Données projet'!$A$62,$AF$205^A30,IF(A30='Données projet'!$A$62,'Données projet'!$B$62,AI29+AH30-AQ29)))</f>
        <v>56.068958494210662</v>
      </c>
      <c r="AJ30" s="13">
        <f>AI30*VLOOKUP('Données projet'!$B$10,Paramètres!$A$1:$I$89,3,0)*VLOOKUP('Données projet'!$B$10,Paramètres!$A$1:$I$89,5,0)</f>
        <v>50.731193645561802</v>
      </c>
      <c r="AK30" s="13">
        <f t="shared" si="35"/>
        <v>14.802433760568636</v>
      </c>
      <c r="AL30" s="20">
        <f t="shared" si="4"/>
        <v>114.13773439901051</v>
      </c>
      <c r="AM30" s="59">
        <f t="shared" si="5"/>
        <v>407.47106773234384</v>
      </c>
      <c r="AN30" s="59">
        <f ca="1">AVERAGE(OFFSET($AM$3,0,0,'Données projet'!$E$10+1,1))-AVERAGE(OFFSET($H$3,0,0,'Données projet'!$E$10+1,1))</f>
        <v>227.31630731915698</v>
      </c>
      <c r="AO30" s="59">
        <f t="shared" si="36"/>
        <v>143.7533262991908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13.103999999999999</v>
      </c>
      <c r="D31" s="11">
        <f t="shared" si="32"/>
        <v>4.4760006109979793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135.70526787437038</v>
      </c>
      <c r="H31" s="67">
        <f t="shared" si="1"/>
        <v>323.95183439748814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414</v>
      </c>
      <c r="L31" s="12">
        <f>VLOOKUP(A31,'Données projet'!$A$35:$I$55,9,0)</f>
        <v>45.75</v>
      </c>
      <c r="M31" s="12">
        <f t="array" ref="M31">INDEX(L:L,MIN(IF(ISNUMBER(L31:L227),ROW(L31:L227),"")))</f>
        <v>45.75</v>
      </c>
      <c r="N31" s="13">
        <f>IF('Données projet'!$A$36&gt;35,N30+M31-V30,IF(A31&lt;'Données projet'!$A$36,$K$205^A31,IF(A31='Données projet'!$A$36,'Données projet'!$B$36,N30+M31-V30)))</f>
        <v>414</v>
      </c>
      <c r="O31" s="13">
        <f>N31*VLOOKUP('Données projet'!$B$9,Paramètres!$A$1:$I$89,3,0)*VLOOKUP('Données projet'!$B$9,Paramètres!$A$1:$I$89,5,0)</f>
        <v>193.75200000000001</v>
      </c>
      <c r="P31" s="13">
        <f t="shared" si="33"/>
        <v>48.368520355376113</v>
      </c>
      <c r="Q31" s="20">
        <f t="shared" si="2"/>
        <v>421.69323961894673</v>
      </c>
      <c r="R31" s="59">
        <f t="shared" si="0"/>
        <v>715.02657295228005</v>
      </c>
      <c r="S31" s="59">
        <f ca="1">AVERAGE(OFFSET($R$3,0,0,'Données projet'!$E$9+1,1))-AVERAGE(OFFSET($H$3,0,0,'Données projet'!$E$9+1,1))</f>
        <v>294.94285920643927</v>
      </c>
      <c r="T31" s="59">
        <f t="shared" si="34"/>
        <v>399.89535338426606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80</v>
      </c>
      <c r="W31" s="16">
        <f>IF(ISNA(VLOOKUP(A31,'Données projet'!$A$35:$I$55,5,0)),0%,VLOOKUP(A31,'Données projet'!$A$35:$I$55,5,0)*VLOOKUP('Données projet'!$B$9,Paramètres!$A$1:$I$89,7,0))</f>
        <v>0.16500000000000001</v>
      </c>
      <c r="X31" s="16">
        <f>IF(ISNA(VLOOKUP(A31,'Données projet'!$A$35:$I$55,6,0)),0%,VLOOKUP(A31,'Données projet'!$A$35:$I$55,6,0)*VLOOKUP('Données projet'!$B$9,Paramètres!$A$1:$I$89,7,0))</f>
        <v>0.33</v>
      </c>
      <c r="Y31" s="16">
        <f>IF(ISNA(VLOOKUP(A31,'Données projet'!$A$35:$I$55,7,0)),0%,VLOOKUP(A31,'Données projet'!$A$35:$I$55,7,0))</f>
        <v>0.1</v>
      </c>
      <c r="Z31" s="21">
        <f>EXP(-LN(2)/35)*Z30+(1-EXP(-LN(2)/35))/(LN(2)/35)*V31*W31*VLOOKUP('Données projet'!$B$9,Paramètres!$A$1:$I$89,3,0)*0.475*44/12</f>
        <v>12.926766603245053</v>
      </c>
      <c r="AA31" s="21">
        <f>EXP(-LN(2)/25)*AA30+(1-EXP(-LN(2)/25))/(LN(2)/25)*Calculateur!V31*Calculateur!X31*VLOOKUP('Données projet'!$B$9,Paramètres!$A$1:$I$89,3,0)*0.475*44/12</f>
        <v>45.43973682725715</v>
      </c>
      <c r="AB31" s="21">
        <f>EXP(-LN(2)/2)*AB30+(1-EXP(-LN(2)/2))/(LN(2)/2)*V31*Y31*VLOOKUP('Données projet'!$B$9,Paramètres!$A$1:$I$89,3,0)*0.475*44/12</f>
        <v>5.4819197403841553</v>
      </c>
      <c r="AC31" s="22">
        <f t="shared" si="3"/>
        <v>63.848423170886363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2.9235042735042733</v>
      </c>
      <c r="AI31" s="13">
        <f>IF('Données projet'!$A$62&gt;35,AI30+AH31-AQ30,IF(A31&lt;'Données projet'!$A$62,$AF$205^A31,IF(A31='Données projet'!$A$62,'Données projet'!$B$62,AI30+AH31-AQ30)))</f>
        <v>65.086360682202411</v>
      </c>
      <c r="AJ31" s="13">
        <f>AI31*VLOOKUP('Données projet'!$B$10,Paramètres!$A$1:$I$89,3,0)*VLOOKUP('Données projet'!$B$10,Paramètres!$A$1:$I$89,5,0)</f>
        <v>58.89013914525674</v>
      </c>
      <c r="AK31" s="13">
        <f t="shared" si="35"/>
        <v>16.887357174091651</v>
      </c>
      <c r="AL31" s="20">
        <f t="shared" si="4"/>
        <v>131.9791394228651</v>
      </c>
      <c r="AM31" s="59">
        <f t="shared" si="5"/>
        <v>425.31247275619842</v>
      </c>
      <c r="AN31" s="59">
        <f ca="1">AVERAGE(OFFSET($AM$3,0,0,'Données projet'!$E$10+1,1))-AVERAGE(OFFSET($H$3,0,0,'Données projet'!$E$10+1,1))</f>
        <v>227.31630731915698</v>
      </c>
      <c r="AO31" s="59">
        <f t="shared" si="36"/>
        <v>143.7533262991908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13.571999999999999</v>
      </c>
      <c r="D32" s="11">
        <f t="shared" si="32"/>
        <v>4.6169606338501863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140.40601191042251</v>
      </c>
      <c r="H32" s="67">
        <f t="shared" si="1"/>
        <v>325.01243977062239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45.5</v>
      </c>
      <c r="N32" s="13">
        <f>IF('Données projet'!$A$36&gt;35,N31+M32-V31,IF(A32&lt;'Données projet'!$A$36,$K$205^A32,IF(A32='Données projet'!$A$36,'Données projet'!$B$36,N31+M32-V31)))</f>
        <v>379.5</v>
      </c>
      <c r="O32" s="13">
        <f>N32*VLOOKUP('Données projet'!$B$9,Paramètres!$A$1:$I$89,3,0)*VLOOKUP('Données projet'!$B$9,Paramètres!$A$1:$I$89,5,0)</f>
        <v>177.60600000000002</v>
      </c>
      <c r="P32" s="13">
        <f t="shared" si="33"/>
        <v>44.789150937858665</v>
      </c>
      <c r="Q32" s="20">
        <f t="shared" si="2"/>
        <v>387.33822121677053</v>
      </c>
      <c r="R32" s="59">
        <f t="shared" si="0"/>
        <v>680.67155455010379</v>
      </c>
      <c r="S32" s="59">
        <f ca="1">AVERAGE(OFFSET($R$3,0,0,'Données projet'!$E$9+1,1))-AVERAGE(OFFSET($H$3,0,0,'Données projet'!$E$9+1,1))</f>
        <v>294.94285920643927</v>
      </c>
      <c r="T32" s="59">
        <f t="shared" si="34"/>
        <v>399.89535338426606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12.673280594704512</v>
      </c>
      <c r="AA32" s="21">
        <f>EXP(-LN(2)/25)*AA31+(1-EXP(-LN(2)/25))/(LN(2)/25)*Calculateur!V32*Calculateur!X32*VLOOKUP('Données projet'!$B$9,Paramètres!$A$1:$I$89,3,0)*0.475*44/12</f>
        <v>44.197184834143897</v>
      </c>
      <c r="AB32" s="21">
        <f>EXP(-LN(2)/2)*AB31+(1-EXP(-LN(2)/2))/(LN(2)/2)*V32*Y32*VLOOKUP('Données projet'!$B$9,Paramètres!$A$1:$I$89,3,0)*0.475*44/12</f>
        <v>3.8763026223460346</v>
      </c>
      <c r="AC32" s="22">
        <f t="shared" si="3"/>
        <v>60.746768051194437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2.9235042735042733</v>
      </c>
      <c r="AI32" s="13">
        <f>IF('Données projet'!$A$62&gt;35,AI31+AH32-AQ31,IF(A32&lt;'Données projet'!$A$62,$AF$205^A32,IF(A32='Données projet'!$A$62,'Données projet'!$B$62,AI31+AH32-AQ31)))</f>
        <v>75.55400457975604</v>
      </c>
      <c r="AJ32" s="13">
        <f>AI32*VLOOKUP('Données projet'!$B$10,Paramètres!$A$1:$I$89,3,0)*VLOOKUP('Données projet'!$B$10,Paramètres!$A$1:$I$89,5,0)</f>
        <v>68.36126334376327</v>
      </c>
      <c r="AK32" s="13">
        <f t="shared" si="35"/>
        <v>19.265942137503561</v>
      </c>
      <c r="AL32" s="20">
        <f t="shared" si="4"/>
        <v>152.61738287987308</v>
      </c>
      <c r="AM32" s="59">
        <f t="shared" si="5"/>
        <v>445.95071621320642</v>
      </c>
      <c r="AN32" s="59">
        <f ca="1">AVERAGE(OFFSET($AM$3,0,0,'Données projet'!$E$10+1,1))-AVERAGE(OFFSET($H$3,0,0,'Données projet'!$E$10+1,1))</f>
        <v>227.31630731915698</v>
      </c>
      <c r="AO32" s="59">
        <f t="shared" si="36"/>
        <v>143.7533262991908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</v>
      </c>
      <c r="D33" s="11">
        <f t="shared" si="32"/>
        <v>4.75735588805329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145.10239632883244</v>
      </c>
      <c r="H33" s="67">
        <f t="shared" si="1"/>
        <v>326.07206150502611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45.5</v>
      </c>
      <c r="N33" s="13">
        <f>IF('Données projet'!$A$36&gt;35,N32+M33-V32,IF(A33&lt;'Données projet'!$A$36,$K$205^A33,IF(A33='Données projet'!$A$36,'Données projet'!$B$36,N32+M33-V32)))</f>
        <v>425</v>
      </c>
      <c r="O33" s="13">
        <f>N33*VLOOKUP('Données projet'!$B$9,Paramètres!$A$1:$I$89,3,0)*VLOOKUP('Données projet'!$B$9,Paramètres!$A$1:$I$89,5,0)</f>
        <v>198.9</v>
      </c>
      <c r="P33" s="13">
        <f t="shared" si="33"/>
        <v>49.502343477105569</v>
      </c>
      <c r="Q33" s="20">
        <f t="shared" si="2"/>
        <v>432.63408155595886</v>
      </c>
      <c r="R33" s="59">
        <f t="shared" si="0"/>
        <v>725.96741488929217</v>
      </c>
      <c r="S33" s="59">
        <f ca="1">AVERAGE(OFFSET($R$3,0,0,'Données projet'!$E$9+1,1))-AVERAGE(OFFSET($H$3,0,0,'Données projet'!$E$9+1,1))</f>
        <v>294.94285920643927</v>
      </c>
      <c r="T33" s="59">
        <f t="shared" si="34"/>
        <v>399.89535338426606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12.42476529218025</v>
      </c>
      <c r="AA33" s="21">
        <f>EXP(-LN(2)/25)*AA32+(1-EXP(-LN(2)/25))/(LN(2)/25)*Calculateur!V33*Calculateur!X33*VLOOKUP('Données projet'!$B$9,Paramètres!$A$1:$I$89,3,0)*0.475*44/12</f>
        <v>42.988610490625298</v>
      </c>
      <c r="AB33" s="21">
        <f>EXP(-LN(2)/2)*AB32+(1-EXP(-LN(2)/2))/(LN(2)/2)*V33*Y33*VLOOKUP('Données projet'!$B$9,Paramètres!$A$1:$I$89,3,0)*0.475*44/12</f>
        <v>2.7409598701920781</v>
      </c>
      <c r="AC33" s="22">
        <f t="shared" si="3"/>
        <v>58.154335652997624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87.705128205128204</v>
      </c>
      <c r="AG33" s="12">
        <f>VLOOKUP(A33,'Données projet'!$A$61:$I$81,9,0)</f>
        <v>2.9235042735042733</v>
      </c>
      <c r="AH33" s="12">
        <f t="array" ref="AH33">INDEX(AG:AG,MIN(IF(ISNUMBER(AG33:AG229),ROW(AG33:AG229),"")))</f>
        <v>2.9235042735042733</v>
      </c>
      <c r="AI33" s="13">
        <f>IF('Données projet'!$A$62&gt;35,AI32+AH33-AQ32,IF(A33&lt;'Données projet'!$A$62,$AF$205^A33,IF(A33='Données projet'!$A$62,'Données projet'!$B$62,AI32+AH33-AQ32)))</f>
        <v>87.705128205128204</v>
      </c>
      <c r="AJ33" s="13">
        <f>AI33*VLOOKUP('Données projet'!$B$10,Paramètres!$A$1:$I$89,3,0)*VLOOKUP('Données projet'!$B$10,Paramètres!$A$1:$I$89,5,0)</f>
        <v>79.355599999999995</v>
      </c>
      <c r="AK33" s="13">
        <f t="shared" si="35"/>
        <v>21.979550892373382</v>
      </c>
      <c r="AL33" s="20">
        <f t="shared" si="4"/>
        <v>176.49205447088363</v>
      </c>
      <c r="AM33" s="59">
        <f t="shared" si="5"/>
        <v>469.82538780421692</v>
      </c>
      <c r="AN33" s="59">
        <f ca="1">AVERAGE(OFFSET($AM$3,0,0,'Données projet'!$E$10+1,1))-AVERAGE(OFFSET($H$3,0,0,'Données projet'!$E$10+1,1))</f>
        <v>227.31630731915698</v>
      </c>
      <c r="AO33" s="59">
        <f t="shared" si="36"/>
        <v>143.7533262991908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14.507999999999999</v>
      </c>
      <c r="D34" s="11">
        <f t="shared" si="32"/>
        <v>4.8972073577041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149.79458311210183</v>
      </c>
      <c r="H34" s="67">
        <f t="shared" si="1"/>
        <v>327.13073614800129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45.5</v>
      </c>
      <c r="N34" s="13">
        <f>IF('Données projet'!$A$36&gt;35,N33+M34-V33,IF(A34&lt;'Données projet'!$A$36,$K$205^A34,IF(A34='Données projet'!$A$36,'Données projet'!$B$36,N33+M34-V33)))</f>
        <v>470.5</v>
      </c>
      <c r="O34" s="13">
        <f>N34*VLOOKUP('Données projet'!$B$9,Paramètres!$A$1:$I$89,3,0)*VLOOKUP('Données projet'!$B$9,Paramètres!$A$1:$I$89,5,0)</f>
        <v>220.19399999999999</v>
      </c>
      <c r="P34" s="13">
        <f t="shared" si="33"/>
        <v>54.157048498807988</v>
      </c>
      <c r="Q34" s="20">
        <f t="shared" si="2"/>
        <v>477.82807613542383</v>
      </c>
      <c r="R34" s="59">
        <f t="shared" si="0"/>
        <v>771.16140946875714</v>
      </c>
      <c r="S34" s="59">
        <f ca="1">AVERAGE(OFFSET($R$3,0,0,'Données projet'!$E$9+1,1))-AVERAGE(OFFSET($H$3,0,0,'Données projet'!$E$9+1,1))</f>
        <v>294.94285920643927</v>
      </c>
      <c r="T34" s="59">
        <f t="shared" si="34"/>
        <v>399.89535338426606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12.181123223159123</v>
      </c>
      <c r="AA34" s="21">
        <f>EXP(-LN(2)/25)*AA33+(1-EXP(-LN(2)/25))/(LN(2)/25)*Calculateur!V34*Calculateur!X34*VLOOKUP('Données projet'!$B$9,Paramètres!$A$1:$I$89,3,0)*0.475*44/12</f>
        <v>41.813084676086376</v>
      </c>
      <c r="AB34" s="21">
        <f>EXP(-LN(2)/2)*AB33+(1-EXP(-LN(2)/2))/(LN(2)/2)*V34*Y34*VLOOKUP('Données projet'!$B$9,Paramètres!$A$1:$I$89,3,0)*0.475*44/12</f>
        <v>1.9381513111730175</v>
      </c>
      <c r="AC34" s="22">
        <f t="shared" si="3"/>
        <v>55.932359210418511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5.3369963369963358</v>
      </c>
      <c r="AI34" s="13">
        <f>IF('Données projet'!$A$62&gt;35,AI33+AH34-AQ33,IF(A34&lt;'Données projet'!$A$62,$AF$205^A34,IF(A34='Données projet'!$A$62,'Données projet'!$B$62,AI33+AH34-AQ33)))</f>
        <v>93.04212454212454</v>
      </c>
      <c r="AJ34" s="13">
        <f>AI34*VLOOKUP('Données projet'!$B$10,Paramètres!$A$1:$I$89,3,0)*VLOOKUP('Données projet'!$B$10,Paramètres!$A$1:$I$89,5,0)</f>
        <v>84.184514285714286</v>
      </c>
      <c r="AK34" s="13">
        <f t="shared" si="35"/>
        <v>23.157263963315572</v>
      </c>
      <c r="AL34" s="20">
        <f t="shared" si="4"/>
        <v>186.95359711706033</v>
      </c>
      <c r="AM34" s="59">
        <f t="shared" si="5"/>
        <v>480.28693045039364</v>
      </c>
      <c r="AN34" s="59">
        <f ca="1">AVERAGE(OFFSET($AM$3,0,0,'Données projet'!$E$10+1,1))-AVERAGE(OFFSET($H$3,0,0,'Données projet'!$E$10+1,1))</f>
        <v>227.31630731915698</v>
      </c>
      <c r="AO34" s="59">
        <f t="shared" si="36"/>
        <v>143.7533262991908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14.975999999999999</v>
      </c>
      <c r="D35" s="11">
        <f t="shared" si="32"/>
        <v>5.0365345962274297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154.48272319894858</v>
      </c>
      <c r="H35" s="67">
        <f t="shared" si="1"/>
        <v>328.18849775509608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516</v>
      </c>
      <c r="L35" s="12">
        <f>VLOOKUP(A35,'Données projet'!$A$35:$I$55,9,0)</f>
        <v>45.5</v>
      </c>
      <c r="M35" s="12">
        <f t="array" ref="M35">INDEX(L:L,MIN(IF(ISNUMBER(L35:L231),ROW(L35:L231),"")))</f>
        <v>45.5</v>
      </c>
      <c r="N35" s="13">
        <f>IF('Données projet'!$A$36&gt;35,N34+M35-V34,IF(A35&lt;'Données projet'!$A$36,$K$205^A35,IF(A35='Données projet'!$A$36,'Données projet'!$B$36,N34+M35-V34)))</f>
        <v>516</v>
      </c>
      <c r="O35" s="13">
        <f>N35*VLOOKUP('Données projet'!$B$9,Paramètres!$A$1:$I$89,3,0)*VLOOKUP('Données projet'!$B$9,Paramètres!$A$1:$I$89,5,0)</f>
        <v>241.488</v>
      </c>
      <c r="P35" s="13">
        <f t="shared" si="33"/>
        <v>58.759565673424916</v>
      </c>
      <c r="Q35" s="20">
        <f t="shared" ref="Q35:Q66" si="53">(O35+P35)*0.475*44/12</f>
        <v>522.93117688121504</v>
      </c>
      <c r="R35" s="59">
        <f t="shared" si="0"/>
        <v>816.26451021454841</v>
      </c>
      <c r="S35" s="59">
        <f ca="1">AVERAGE(OFFSET($R$3,0,0,'Données projet'!$E$9+1,1))-AVERAGE(OFFSET($H$3,0,0,'Données projet'!$E$9+1,1))</f>
        <v>294.94285920643927</v>
      </c>
      <c r="T35" s="59">
        <f t="shared" si="34"/>
        <v>399.89535338426606</v>
      </c>
      <c r="U35" s="15">
        <f>IF(ISNA(VLOOKUP(A35,'Données projet'!$A$35:$I$55,3,0)),0,VLOOKUP(A35,'Données projet'!$A$35:$I$55,3,0))</f>
        <v>5</v>
      </c>
      <c r="V35" s="15">
        <f>IF(ISNA(VLOOKUP(A35,'Données projet'!$A$35:$I$55,4,0)),0,VLOOKUP(A35,'Données projet'!$A$35:$I$55,4,0))</f>
        <v>56</v>
      </c>
      <c r="W35" s="16">
        <f>IF(ISNA(VLOOKUP(A35,'Données projet'!$A$35:$I$55,5,0)),0%,VLOOKUP(A35,'Données projet'!$A$35:$I$55,5,0)*VLOOKUP('Données projet'!$B$9,Paramètres!$A$1:$I$89,7,0))</f>
        <v>0.16500000000000001</v>
      </c>
      <c r="X35" s="16">
        <f>IF(ISNA(VLOOKUP(A35,'Données projet'!$A$35:$I$55,6,0)),0%,VLOOKUP(A35,'Données projet'!$A$35:$I$55,6,0)*VLOOKUP('Données projet'!$B$9,Paramètres!$A$1:$I$89,7,0))</f>
        <v>0.33</v>
      </c>
      <c r="Y35" s="16">
        <f>IF(ISNA(VLOOKUP(A35,'Données projet'!$A$35:$I$55,7,0)),0%,VLOOKUP(A35,'Données projet'!$A$35:$I$55,7,0))</f>
        <v>0.1</v>
      </c>
      <c r="Z35" s="21">
        <f>EXP(-LN(2)/35)*Z34+(1-EXP(-LN(2)/35))/(LN(2)/35)*V35*W35*VLOOKUP('Données projet'!$B$9,Paramètres!$A$1:$I$89,3,0)*0.475*44/12</f>
        <v>17.678748032450823</v>
      </c>
      <c r="AA35" s="21">
        <f>EXP(-LN(2)/25)*AA34+(1-EXP(-LN(2)/25))/(LN(2)/25)*Calculateur!V35*Calculateur!X35*VLOOKUP('Données projet'!$B$9,Paramètres!$A$1:$I$89,3,0)*0.475*44/12</f>
        <v>52.097508601101737</v>
      </c>
      <c r="AB35" s="21">
        <f>EXP(-LN(2)/2)*AB34+(1-EXP(-LN(2)/2))/(LN(2)/2)*V35*Y35*VLOOKUP('Données projet'!$B$9,Paramètres!$A$1:$I$89,3,0)*0.475*44/12</f>
        <v>4.3378343404534014</v>
      </c>
      <c r="AC35" s="22">
        <f t="shared" si="3"/>
        <v>74.114090974005961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5.3369963369963358</v>
      </c>
      <c r="AI35" s="13">
        <f>IF('Données projet'!$A$62&gt;35,AI34+AH35-AQ34,IF(A35&lt;'Données projet'!$A$62,$AF$205^A35,IF(A35='Données projet'!$A$62,'Données projet'!$B$62,AI34+AH35-AQ34)))</f>
        <v>98.379120879120876</v>
      </c>
      <c r="AJ35" s="13">
        <f>AI35*VLOOKUP('Données projet'!$B$10,Paramètres!$A$1:$I$89,3,0)*VLOOKUP('Données projet'!$B$10,Paramètres!$A$1:$I$89,5,0)</f>
        <v>89.013428571428562</v>
      </c>
      <c r="AK35" s="13">
        <f t="shared" si="35"/>
        <v>24.327135299174682</v>
      </c>
      <c r="AL35" s="20">
        <f t="shared" si="4"/>
        <v>197.40148207463395</v>
      </c>
      <c r="AM35" s="59">
        <f t="shared" si="5"/>
        <v>490.73481540796729</v>
      </c>
      <c r="AN35" s="59">
        <f ca="1">AVERAGE(OFFSET($AM$3,0,0,'Données projet'!$E$10+1,1))-AVERAGE(OFFSET($H$3,0,0,'Données projet'!$E$10+1,1))</f>
        <v>227.31630731915698</v>
      </c>
      <c r="AO35" s="59">
        <f t="shared" si="36"/>
        <v>143.7533262991908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15.443999999999999</v>
      </c>
      <c r="D36" s="11">
        <f t="shared" si="32"/>
        <v>5.1753558655448444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159.16695755859178</v>
      </c>
      <c r="H36" s="67">
        <f t="shared" si="1"/>
        <v>329.2453781324906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42</v>
      </c>
      <c r="N36" s="13">
        <f>IF('Données projet'!$A$36&gt;35,N35+M36-V35,IF(A36&lt;'Données projet'!$A$36,$K$205^A36,IF(A36='Données projet'!$A$36,'Données projet'!$B$36,N35+M36-V35)))</f>
        <v>502</v>
      </c>
      <c r="O36" s="13">
        <f>N36*VLOOKUP('Données projet'!$B$9,Paramètres!$A$1:$I$89,3,0)*VLOOKUP('Données projet'!$B$9,Paramètres!$A$1:$I$89,5,0)</f>
        <v>234.93600000000001</v>
      </c>
      <c r="P36" s="13">
        <f t="shared" si="33"/>
        <v>57.34863760662617</v>
      </c>
      <c r="Q36" s="20">
        <f t="shared" si="53"/>
        <v>509.06241049820727</v>
      </c>
      <c r="R36" s="59">
        <f t="shared" si="0"/>
        <v>802.39574383154059</v>
      </c>
      <c r="S36" s="59">
        <f ca="1">AVERAGE(OFFSET($R$3,0,0,'Données projet'!$E$9+1,1))-AVERAGE(OFFSET($H$3,0,0,'Données projet'!$E$9+1,1))</f>
        <v>294.94285920643927</v>
      </c>
      <c r="T36" s="59">
        <f t="shared" si="34"/>
        <v>399.89535338426606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17.332078566506031</v>
      </c>
      <c r="AA36" s="21">
        <f>EXP(-LN(2)/25)*AA35+(1-EXP(-LN(2)/25))/(LN(2)/25)*Calculateur!V36*Calculateur!X36*VLOOKUP('Données projet'!$B$9,Paramètres!$A$1:$I$89,3,0)*0.475*44/12</f>
        <v>50.6728994887157</v>
      </c>
      <c r="AB36" s="21">
        <f>EXP(-LN(2)/2)*AB35+(1-EXP(-LN(2)/2))/(LN(2)/2)*V36*Y36*VLOOKUP('Données projet'!$B$9,Paramètres!$A$1:$I$89,3,0)*0.475*44/12</f>
        <v>3.067312077798475</v>
      </c>
      <c r="AC36" s="22">
        <f t="shared" si="3"/>
        <v>71.072290133020203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5.3369963369963358</v>
      </c>
      <c r="AI36" s="13">
        <f>IF('Données projet'!$A$62&gt;35,AI35+AH36-AQ35,IF(A36&lt;'Données projet'!$A$62,$AF$205^A36,IF(A36='Données projet'!$A$62,'Données projet'!$B$62,AI35+AH36-AQ35)))</f>
        <v>103.71611721611721</v>
      </c>
      <c r="AJ36" s="13">
        <f>AI36*VLOOKUP('Données projet'!$B$10,Paramètres!$A$1:$I$89,3,0)*VLOOKUP('Données projet'!$B$10,Paramètres!$A$1:$I$89,5,0)</f>
        <v>93.842342857142853</v>
      </c>
      <c r="AK36" s="13">
        <f t="shared" si="35"/>
        <v>25.489638806781517</v>
      </c>
      <c r="AL36" s="20">
        <f t="shared" si="4"/>
        <v>207.83653473133492</v>
      </c>
      <c r="AM36" s="59">
        <f t="shared" si="5"/>
        <v>501.16986806466821</v>
      </c>
      <c r="AN36" s="59">
        <f ca="1">AVERAGE(OFFSET($AM$3,0,0,'Données projet'!$E$10+1,1))-AVERAGE(OFFSET($H$3,0,0,'Données projet'!$E$10+1,1))</f>
        <v>227.31630731915698</v>
      </c>
      <c r="AO36" s="59">
        <f t="shared" si="36"/>
        <v>143.7533262991908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15.911999999999999</v>
      </c>
      <c r="D37" s="11">
        <f t="shared" si="32"/>
        <v>5.3136882579005116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163.84741813116185</v>
      </c>
      <c r="H37" s="67">
        <f t="shared" si="1"/>
        <v>330.3014070491767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42</v>
      </c>
      <c r="N37" s="13">
        <f>IF('Données projet'!$A$36&gt;35,N36+M37-V36,IF(A37&lt;'Données projet'!$A$36,$K$205^A37,IF(A37='Données projet'!$A$36,'Données projet'!$B$36,N36+M37-V36)))</f>
        <v>544</v>
      </c>
      <c r="O37" s="13">
        <f>N37*VLOOKUP('Données projet'!$B$9,Paramètres!$A$1:$I$89,3,0)*VLOOKUP('Données projet'!$B$9,Paramètres!$A$1:$I$89,5,0)</f>
        <v>254.59200000000001</v>
      </c>
      <c r="P37" s="13">
        <f t="shared" si="33"/>
        <v>61.568204482621567</v>
      </c>
      <c r="Q37" s="20">
        <f t="shared" si="53"/>
        <v>550.64568947389932</v>
      </c>
      <c r="R37" s="59">
        <f t="shared" si="0"/>
        <v>843.9790228072327</v>
      </c>
      <c r="S37" s="59">
        <f ca="1">AVERAGE(OFFSET($R$3,0,0,'Données projet'!$E$9+1,1))-AVERAGE(OFFSET($H$3,0,0,'Données projet'!$E$9+1,1))</f>
        <v>294.94285920643927</v>
      </c>
      <c r="T37" s="59">
        <f t="shared" si="34"/>
        <v>399.89535338426606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16.992207077340922</v>
      </c>
      <c r="AA37" s="21">
        <f>EXP(-LN(2)/25)*AA36+(1-EXP(-LN(2)/25))/(LN(2)/25)*Calculateur!V37*Calculateur!X37*VLOOKUP('Données projet'!$B$9,Paramètres!$A$1:$I$89,3,0)*0.475*44/12</f>
        <v>49.287246387424801</v>
      </c>
      <c r="AB37" s="21">
        <f>EXP(-LN(2)/2)*AB36+(1-EXP(-LN(2)/2))/(LN(2)/2)*V37*Y37*VLOOKUP('Données projet'!$B$9,Paramètres!$A$1:$I$89,3,0)*0.475*44/12</f>
        <v>2.1689171702267007</v>
      </c>
      <c r="AC37" s="22">
        <f t="shared" si="3"/>
        <v>68.448370634992429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5.3369963369963358</v>
      </c>
      <c r="AI37" s="13">
        <f>IF('Données projet'!$A$62&gt;35,AI36+AH37-AQ36,IF(A37&lt;'Données projet'!$A$62,$AF$205^A37,IF(A37='Données projet'!$A$62,'Données projet'!$B$62,AI36+AH37-AQ36)))</f>
        <v>109.05311355311355</v>
      </c>
      <c r="AJ37" s="13">
        <f>AI37*VLOOKUP('Données projet'!$B$10,Paramètres!$A$1:$I$89,3,0)*VLOOKUP('Données projet'!$B$10,Paramètres!$A$1:$I$89,5,0)</f>
        <v>98.671257142857144</v>
      </c>
      <c r="AK37" s="13">
        <f t="shared" si="35"/>
        <v>26.645196865813876</v>
      </c>
      <c r="AL37" s="20">
        <f t="shared" si="4"/>
        <v>218.25949073176866</v>
      </c>
      <c r="AM37" s="59">
        <f t="shared" si="5"/>
        <v>511.59282406510198</v>
      </c>
      <c r="AN37" s="59">
        <f ca="1">AVERAGE(OFFSET($AM$3,0,0,'Données projet'!$E$10+1,1))-AVERAGE(OFFSET($H$3,0,0,'Données projet'!$E$10+1,1))</f>
        <v>227.31630731915698</v>
      </c>
      <c r="AO37" s="59">
        <f t="shared" si="36"/>
        <v>143.7533262991908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16.38</v>
      </c>
      <c r="D38" s="11">
        <f t="shared" si="32"/>
        <v>5.4515478029518825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168.5242286543654</v>
      </c>
      <c r="H38" s="67">
        <f t="shared" si="1"/>
        <v>331.35661242347453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42</v>
      </c>
      <c r="N38" s="13">
        <f>IF('Données projet'!$A$36&gt;35,N37+M38-V37,IF(A38&lt;'Données projet'!$A$36,$K$205^A38,IF(A38='Données projet'!$A$36,'Données projet'!$B$36,N37+M38-V37)))</f>
        <v>586</v>
      </c>
      <c r="O38" s="13">
        <f>N38*VLOOKUP('Données projet'!$B$9,Paramètres!$A$1:$I$89,3,0)*VLOOKUP('Données projet'!$B$9,Paramètres!$A$1:$I$89,5,0)</f>
        <v>274.24799999999999</v>
      </c>
      <c r="P38" s="13">
        <f t="shared" si="33"/>
        <v>65.749981378063481</v>
      </c>
      <c r="Q38" s="20">
        <f t="shared" si="53"/>
        <v>592.16315090012722</v>
      </c>
      <c r="R38" s="59">
        <f t="shared" si="0"/>
        <v>885.49648423346048</v>
      </c>
      <c r="S38" s="59">
        <f ca="1">AVERAGE(OFFSET($R$3,0,0,'Données projet'!$E$9+1,1))-AVERAGE(OFFSET($H$3,0,0,'Données projet'!$E$9+1,1))</f>
        <v>294.94285920643927</v>
      </c>
      <c r="T38" s="59">
        <f t="shared" si="34"/>
        <v>399.89535338426606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16.659000260777201</v>
      </c>
      <c r="AA38" s="21">
        <f>EXP(-LN(2)/25)*AA37+(1-EXP(-LN(2)/25))/(LN(2)/25)*Calculateur!V38*Calculateur!X38*VLOOKUP('Données projet'!$B$9,Paramètres!$A$1:$I$89,3,0)*0.475*44/12</f>
        <v>47.939484043057028</v>
      </c>
      <c r="AB38" s="21">
        <f>EXP(-LN(2)/2)*AB37+(1-EXP(-LN(2)/2))/(LN(2)/2)*V38*Y38*VLOOKUP('Données projet'!$B$9,Paramètres!$A$1:$I$89,3,0)*0.475*44/12</f>
        <v>1.5336560388992375</v>
      </c>
      <c r="AC38" s="22">
        <f t="shared" si="3"/>
        <v>66.132140342733464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5.3369963369963358</v>
      </c>
      <c r="AI38" s="13">
        <f>IF('Données projet'!$A$62&gt;35,AI37+AH38-AQ37,IF(A38&lt;'Données projet'!$A$62,$AF$205^A38,IF(A38='Données projet'!$A$62,'Données projet'!$B$62,AI37+AH38-AQ37)))</f>
        <v>114.39010989010988</v>
      </c>
      <c r="AJ38" s="13">
        <f>AI38*VLOOKUP('Données projet'!$B$10,Paramètres!$A$1:$I$89,3,0)*VLOOKUP('Données projet'!$B$10,Paramètres!$A$1:$I$89,5,0)</f>
        <v>103.50017142857141</v>
      </c>
      <c r="AK38" s="13">
        <f t="shared" si="35"/>
        <v>27.794188178262466</v>
      </c>
      <c r="AL38" s="20">
        <f t="shared" si="4"/>
        <v>228.67100964856897</v>
      </c>
      <c r="AM38" s="59">
        <f t="shared" si="5"/>
        <v>522.00434298190225</v>
      </c>
      <c r="AN38" s="59">
        <f ca="1">AVERAGE(OFFSET($AM$3,0,0,'Données projet'!$E$10+1,1))-AVERAGE(OFFSET($H$3,0,0,'Données projet'!$E$10+1,1))</f>
        <v>227.31630731915698</v>
      </c>
      <c r="AO38" s="59">
        <f t="shared" si="36"/>
        <v>143.7533262991908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16.847999999999999</v>
      </c>
      <c r="D39" s="11">
        <f t="shared" si="32"/>
        <v>5.5889495622773833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173.19750539301842</v>
      </c>
      <c r="H39" s="67">
        <f t="shared" si="1"/>
        <v>332.4110204876331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628</v>
      </c>
      <c r="L39" s="12">
        <f>VLOOKUP(A39,'Données projet'!$A$35:$I$55,9,0)</f>
        <v>42</v>
      </c>
      <c r="M39" s="12">
        <f t="array" ref="M39">INDEX(L:L,MIN(IF(ISNUMBER(L39:L235),ROW(L39:L235),"")))</f>
        <v>42</v>
      </c>
      <c r="N39" s="13">
        <f>IF('Données projet'!$A$36&gt;35,N38+M39-V38,IF(A39&lt;'Données projet'!$A$36,$K$205^A39,IF(A39='Données projet'!$A$36,'Données projet'!$B$36,N38+M39-V38)))</f>
        <v>628</v>
      </c>
      <c r="O39" s="13">
        <f>N39*VLOOKUP('Données projet'!$B$9,Paramètres!$A$1:$I$89,3,0)*VLOOKUP('Données projet'!$B$9,Paramètres!$A$1:$I$89,5,0)</f>
        <v>293.904</v>
      </c>
      <c r="P39" s="13">
        <f t="shared" si="33"/>
        <v>69.896984831773324</v>
      </c>
      <c r="Q39" s="20">
        <f t="shared" si="53"/>
        <v>633.62004858200532</v>
      </c>
      <c r="R39" s="59">
        <f t="shared" si="0"/>
        <v>926.9533819153387</v>
      </c>
      <c r="S39" s="59">
        <f ca="1">AVERAGE(OFFSET($R$3,0,0,'Données projet'!$E$9+1,1))-AVERAGE(OFFSET($H$3,0,0,'Données projet'!$E$9+1,1))</f>
        <v>294.94285920643927</v>
      </c>
      <c r="T39" s="59">
        <f t="shared" si="34"/>
        <v>399.89535338426606</v>
      </c>
      <c r="U39" s="15">
        <f>IF(ISNA(VLOOKUP(A39,'Données projet'!$A$35:$I$55,3,0)),0,VLOOKUP(A39,'Données projet'!$A$35:$I$55,3,0))</f>
        <v>6</v>
      </c>
      <c r="V39" s="15">
        <f>IF(ISNA(VLOOKUP(A39,'Données projet'!$A$35:$I$55,4,0)),0,VLOOKUP(A39,'Données projet'!$A$35:$I$55,4,0))</f>
        <v>78</v>
      </c>
      <c r="W39" s="16">
        <f>IF(ISNA(VLOOKUP(A39,'Données projet'!$A$35:$I$55,5,0)),0%,VLOOKUP(A39,'Données projet'!$A$35:$I$55,5,0)*VLOOKUP('Données projet'!$B$9,Paramètres!$A$1:$I$89,7,0))</f>
        <v>0.27500000000000002</v>
      </c>
      <c r="X39" s="16">
        <f>IF(ISNA(VLOOKUP(A39,'Données projet'!$A$35:$I$55,6,0)),0%,VLOOKUP(A39,'Données projet'!$A$35:$I$55,6,0)*VLOOKUP('Données projet'!$B$9,Paramètres!$A$1:$I$89,7,0))</f>
        <v>0.27500000000000002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29.649177369025573</v>
      </c>
      <c r="AA39" s="21">
        <f>EXP(-LN(2)/25)*AA38+(1-EXP(-LN(2)/25))/(LN(2)/25)*Calculateur!V39*Calculateur!X39*VLOOKUP('Données projet'!$B$9,Paramètres!$A$1:$I$89,3,0)*0.475*44/12</f>
        <v>59.892992760906345</v>
      </c>
      <c r="AB39" s="21">
        <f>EXP(-LN(2)/2)*AB38+(1-EXP(-LN(2)/2))/(LN(2)/2)*V39*Y39*VLOOKUP('Données projet'!$B$9,Paramètres!$A$1:$I$89,3,0)*0.475*44/12</f>
        <v>1.0844585851133504</v>
      </c>
      <c r="AC39" s="22">
        <f t="shared" si="3"/>
        <v>90.626628715045271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5.3369963369963358</v>
      </c>
      <c r="AI39" s="13">
        <f>IF('Données projet'!$A$62&gt;35,AI38+AH39-AQ38,IF(A39&lt;'Données projet'!$A$62,$AF$205^A39,IF(A39='Données projet'!$A$62,'Données projet'!$B$62,AI38+AH39-AQ38)))</f>
        <v>119.72710622710622</v>
      </c>
      <c r="AJ39" s="13">
        <f>AI39*VLOOKUP('Données projet'!$B$10,Paramètres!$A$1:$I$89,3,0)*VLOOKUP('Données projet'!$B$10,Paramètres!$A$1:$I$89,5,0)</f>
        <v>108.32908571428571</v>
      </c>
      <c r="AK39" s="13">
        <f t="shared" si="35"/>
        <v>28.936954111534238</v>
      </c>
      <c r="AL39" s="20">
        <f t="shared" si="4"/>
        <v>239.07168602996975</v>
      </c>
      <c r="AM39" s="59">
        <f t="shared" si="5"/>
        <v>532.40501936330304</v>
      </c>
      <c r="AN39" s="59">
        <f ca="1">AVERAGE(OFFSET($AM$3,0,0,'Données projet'!$E$10+1,1))-AVERAGE(OFFSET($H$3,0,0,'Données projet'!$E$10+1,1))</f>
        <v>227.31630731915698</v>
      </c>
      <c r="AO39" s="59">
        <f t="shared" si="36"/>
        <v>143.7533262991908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17.315999999999999</v>
      </c>
      <c r="D40" s="11">
        <f t="shared" si="32"/>
        <v>5.7259077130880893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177.86735778524135</v>
      </c>
      <c r="H40" s="67">
        <f t="shared" si="1"/>
        <v>333.46465593362842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36</v>
      </c>
      <c r="N40" s="13">
        <f>IF('Données projet'!$A$36&gt;35,N39+M40-V39,IF(A40&lt;'Données projet'!$A$36,$K$205^A40,IF(A40='Données projet'!$A$36,'Données projet'!$B$36,N39+M40-V39)))</f>
        <v>586</v>
      </c>
      <c r="O40" s="13">
        <f>N40*VLOOKUP('Données projet'!$B$9,Paramètres!$A$1:$I$89,3,0)*VLOOKUP('Données projet'!$B$9,Paramètres!$A$1:$I$89,5,0)</f>
        <v>274.24799999999999</v>
      </c>
      <c r="P40" s="13">
        <f t="shared" si="33"/>
        <v>65.749981378063481</v>
      </c>
      <c r="Q40" s="20">
        <f t="shared" si="53"/>
        <v>592.16315090012722</v>
      </c>
      <c r="R40" s="59">
        <f t="shared" si="0"/>
        <v>885.49648423346048</v>
      </c>
      <c r="S40" s="59">
        <f ca="1">AVERAGE(OFFSET($R$3,0,0,'Données projet'!$E$9+1,1))-AVERAGE(OFFSET($H$3,0,0,'Données projet'!$E$9+1,1))</f>
        <v>294.94285920643927</v>
      </c>
      <c r="T40" s="59">
        <f t="shared" si="34"/>
        <v>399.89535338426606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29.06777508503151</v>
      </c>
      <c r="AA40" s="21">
        <f>EXP(-LN(2)/25)*AA39+(1-EXP(-LN(2)/25))/(LN(2)/25)*Calculateur!V40*Calculateur!X40*VLOOKUP('Données projet'!$B$9,Paramètres!$A$1:$I$89,3,0)*0.475*44/12</f>
        <v>58.25521572422376</v>
      </c>
      <c r="AB40" s="21">
        <f>EXP(-LN(2)/2)*AB39+(1-EXP(-LN(2)/2))/(LN(2)/2)*V40*Y40*VLOOKUP('Données projet'!$B$9,Paramètres!$A$1:$I$89,3,0)*0.475*44/12</f>
        <v>0.76682801944961876</v>
      </c>
      <c r="AC40" s="22">
        <f t="shared" si="3"/>
        <v>88.089818828704892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5.3369963369963358</v>
      </c>
      <c r="AI40" s="13">
        <f>IF('Données projet'!$A$62&gt;35,AI39+AH40-AQ39,IF(A40&lt;'Données projet'!$A$62,$AF$205^A40,IF(A40='Données projet'!$A$62,'Données projet'!$B$62,AI39+AH40-AQ39)))</f>
        <v>125.06410256410255</v>
      </c>
      <c r="AJ40" s="13">
        <f>AI40*VLOOKUP('Données projet'!$B$10,Paramètres!$A$1:$I$89,3,0)*VLOOKUP('Données projet'!$B$10,Paramètres!$A$1:$I$89,5,0)</f>
        <v>113.15799999999999</v>
      </c>
      <c r="AK40" s="13">
        <f t="shared" si="35"/>
        <v>30.073803878601733</v>
      </c>
      <c r="AL40" s="20">
        <f t="shared" si="4"/>
        <v>249.46205842189795</v>
      </c>
      <c r="AM40" s="59">
        <f t="shared" si="5"/>
        <v>542.79539175523132</v>
      </c>
      <c r="AN40" s="59">
        <f ca="1">AVERAGE(OFFSET($AM$3,0,0,'Données projet'!$E$10+1,1))-AVERAGE(OFFSET($H$3,0,0,'Données projet'!$E$10+1,1))</f>
        <v>227.31630731915698</v>
      </c>
      <c r="AO40" s="59">
        <f t="shared" si="36"/>
        <v>143.7533262991908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17.783999999999999</v>
      </c>
      <c r="D41" s="11">
        <f t="shared" si="32"/>
        <v>5.862435622634961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182.5338890168313</v>
      </c>
      <c r="H41" s="67">
        <f t="shared" si="1"/>
        <v>334.51754204275585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36</v>
      </c>
      <c r="N41" s="13">
        <f>IF('Données projet'!$A$36&gt;35,N40+M41-V40,IF(A41&lt;'Données projet'!$A$36,$K$205^A41,IF(A41='Données projet'!$A$36,'Données projet'!$B$36,N40+M41-V40)))</f>
        <v>622</v>
      </c>
      <c r="O41" s="13">
        <f>N41*VLOOKUP('Données projet'!$B$9,Paramètres!$A$1:$I$89,3,0)*VLOOKUP('Données projet'!$B$9,Paramètres!$A$1:$I$89,5,0)</f>
        <v>291.096</v>
      </c>
      <c r="P41" s="13">
        <f t="shared" si="33"/>
        <v>69.306582531434373</v>
      </c>
      <c r="Q41" s="20">
        <f t="shared" si="53"/>
        <v>627.70116457558152</v>
      </c>
      <c r="R41" s="59">
        <f t="shared" si="0"/>
        <v>921.03449790891477</v>
      </c>
      <c r="S41" s="59">
        <f ca="1">AVERAGE(OFFSET($R$3,0,0,'Données projet'!$E$9+1,1))-AVERAGE(OFFSET($H$3,0,0,'Données projet'!$E$9+1,1))</f>
        <v>294.94285920643927</v>
      </c>
      <c r="T41" s="59">
        <f t="shared" si="34"/>
        <v>399.89535338426606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28.497773745206192</v>
      </c>
      <c r="AA41" s="21">
        <f>EXP(-LN(2)/25)*AA40+(1-EXP(-LN(2)/25))/(LN(2)/25)*Calculateur!V41*Calculateur!X41*VLOOKUP('Données projet'!$B$9,Paramètres!$A$1:$I$89,3,0)*0.475*44/12</f>
        <v>56.662223786736213</v>
      </c>
      <c r="AB41" s="21">
        <f>EXP(-LN(2)/2)*AB40+(1-EXP(-LN(2)/2))/(LN(2)/2)*V41*Y41*VLOOKUP('Données projet'!$B$9,Paramètres!$A$1:$I$89,3,0)*0.475*44/12</f>
        <v>0.54222929255667518</v>
      </c>
      <c r="AC41" s="22">
        <f t="shared" si="3"/>
        <v>85.702226824499078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5.3369963369963358</v>
      </c>
      <c r="AI41" s="13">
        <f>IF('Données projet'!$A$62&gt;35,AI40+AH41-AQ40,IF(A41&lt;'Données projet'!$A$62,$AF$205^A41,IF(A41='Données projet'!$A$62,'Données projet'!$B$62,AI40+AH41-AQ40)))</f>
        <v>130.40109890109889</v>
      </c>
      <c r="AJ41" s="13">
        <f>AI41*VLOOKUP('Données projet'!$B$10,Paramètres!$A$1:$I$89,3,0)*VLOOKUP('Données projet'!$B$10,Paramètres!$A$1:$I$89,5,0)</f>
        <v>117.98691428571428</v>
      </c>
      <c r="AK41" s="13">
        <f t="shared" si="35"/>
        <v>31.205018808985951</v>
      </c>
      <c r="AL41" s="20">
        <f t="shared" si="4"/>
        <v>259.8426168066029</v>
      </c>
      <c r="AM41" s="59">
        <f t="shared" si="5"/>
        <v>553.17595013993628</v>
      </c>
      <c r="AN41" s="59">
        <f ca="1">AVERAGE(OFFSET($AM$3,0,0,'Données projet'!$E$10+1,1))-AVERAGE(OFFSET($H$3,0,0,'Données projet'!$E$10+1,1))</f>
        <v>227.31630731915698</v>
      </c>
      <c r="AO41" s="59">
        <f t="shared" si="36"/>
        <v>143.7533262991908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18.251999999999999</v>
      </c>
      <c r="D42" s="11">
        <f t="shared" si="32"/>
        <v>5.9985459145634135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187.19719653347192</v>
      </c>
      <c r="H42" s="67">
        <f t="shared" si="1"/>
        <v>335.56970080119794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36</v>
      </c>
      <c r="N42" s="13">
        <f>IF('Données projet'!$A$36&gt;35,N41+M42-V41,IF(A42&lt;'Données projet'!$A$36,$K$205^A42,IF(A42='Données projet'!$A$36,'Données projet'!$B$36,N41+M42-V41)))</f>
        <v>658</v>
      </c>
      <c r="O42" s="13">
        <f>N42*VLOOKUP('Données projet'!$B$9,Paramètres!$A$1:$I$89,3,0)*VLOOKUP('Données projet'!$B$9,Paramètres!$A$1:$I$89,5,0)</f>
        <v>307.94400000000002</v>
      </c>
      <c r="P42" s="13">
        <f t="shared" si="33"/>
        <v>72.839289392732184</v>
      </c>
      <c r="Q42" s="20">
        <f t="shared" si="53"/>
        <v>663.19756235900854</v>
      </c>
      <c r="R42" s="59">
        <f t="shared" si="0"/>
        <v>956.5308956923418</v>
      </c>
      <c r="S42" s="59">
        <f ca="1">AVERAGE(OFFSET($R$3,0,0,'Données projet'!$E$9+1,1))-AVERAGE(OFFSET($H$3,0,0,'Données projet'!$E$9+1,1))</f>
        <v>294.94285920643927</v>
      </c>
      <c r="T42" s="59">
        <f t="shared" si="34"/>
        <v>399.89535338426606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27.93894978398836</v>
      </c>
      <c r="AA42" s="21">
        <f>EXP(-LN(2)/25)*AA41+(1-EXP(-LN(2)/25))/(LN(2)/25)*Calculateur!V42*Calculateur!X42*VLOOKUP('Données projet'!$B$9,Paramètres!$A$1:$I$89,3,0)*0.475*44/12</f>
        <v>55.112792297551067</v>
      </c>
      <c r="AB42" s="21">
        <f>EXP(-LN(2)/2)*AB41+(1-EXP(-LN(2)/2))/(LN(2)/2)*V42*Y42*VLOOKUP('Données projet'!$B$9,Paramètres!$A$1:$I$89,3,0)*0.475*44/12</f>
        <v>0.38341400972480938</v>
      </c>
      <c r="AC42" s="22">
        <f t="shared" si="3"/>
        <v>83.435156091264233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5.3369963369963358</v>
      </c>
      <c r="AI42" s="13">
        <f>IF('Données projet'!$A$62&gt;35,AI41+AH42-AQ41,IF(A42&lt;'Données projet'!$A$62,$AF$205^A42,IF(A42='Données projet'!$A$62,'Données projet'!$B$62,AI41+AH42-AQ41)))</f>
        <v>135.73809523809524</v>
      </c>
      <c r="AJ42" s="13">
        <f>AI42*VLOOKUP('Données projet'!$B$10,Paramètres!$A$1:$I$89,3,0)*VLOOKUP('Données projet'!$B$10,Paramètres!$A$1:$I$89,5,0)</f>
        <v>122.81582857142857</v>
      </c>
      <c r="AK42" s="13">
        <f t="shared" si="35"/>
        <v>32.330855900842984</v>
      </c>
      <c r="AL42" s="20">
        <f t="shared" si="4"/>
        <v>270.21380878920627</v>
      </c>
      <c r="AM42" s="59">
        <f t="shared" si="5"/>
        <v>563.54714212253953</v>
      </c>
      <c r="AN42" s="59">
        <f ca="1">AVERAGE(OFFSET($AM$3,0,0,'Données projet'!$E$10+1,1))-AVERAGE(OFFSET($H$3,0,0,'Données projet'!$E$10+1,1))</f>
        <v>227.31630731915698</v>
      </c>
      <c r="AO42" s="59">
        <f t="shared" si="36"/>
        <v>143.7533262991908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18.72</v>
      </c>
      <c r="D43" s="11">
        <f t="shared" si="32"/>
        <v>6.1342505282708037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191.85737249893251</v>
      </c>
      <c r="H43" s="67">
        <f t="shared" si="1"/>
        <v>336.62115300340497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36</v>
      </c>
      <c r="N43" s="13">
        <f>IF('Données projet'!$A$36&gt;35,N42+M43-V42,IF(A43&lt;'Données projet'!$A$36,$K$205^A43,IF(A43='Données projet'!$A$36,'Données projet'!$B$36,N42+M43-V42)))</f>
        <v>694</v>
      </c>
      <c r="O43" s="13">
        <f>N43*VLOOKUP('Données projet'!$B$9,Paramètres!$A$1:$I$89,3,0)*VLOOKUP('Données projet'!$B$9,Paramètres!$A$1:$I$89,5,0)</f>
        <v>324.79200000000003</v>
      </c>
      <c r="P43" s="13">
        <f t="shared" si="33"/>
        <v>76.349558270976459</v>
      </c>
      <c r="Q43" s="20">
        <f t="shared" si="53"/>
        <v>698.65488065528405</v>
      </c>
      <c r="R43" s="59">
        <f t="shared" si="0"/>
        <v>991.98821398861742</v>
      </c>
      <c r="S43" s="59">
        <f ca="1">AVERAGE(OFFSET($R$3,0,0,'Données projet'!$E$9+1,1))-AVERAGE(OFFSET($H$3,0,0,'Données projet'!$E$9+1,1))</f>
        <v>294.94285920643927</v>
      </c>
      <c r="T43" s="59">
        <f t="shared" si="34"/>
        <v>399.89535338426606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27.391084019801049</v>
      </c>
      <c r="AA43" s="21">
        <f>EXP(-LN(2)/25)*AA42+(1-EXP(-LN(2)/25))/(LN(2)/25)*Calculateur!V43*Calculateur!X43*VLOOKUP('Données projet'!$B$9,Paramètres!$A$1:$I$89,3,0)*0.475*44/12</f>
        <v>53.605730093918751</v>
      </c>
      <c r="AB43" s="21">
        <f>EXP(-LN(2)/2)*AB42+(1-EXP(-LN(2)/2))/(LN(2)/2)*V43*Y43*VLOOKUP('Données projet'!$B$9,Paramètres!$A$1:$I$89,3,0)*0.475*44/12</f>
        <v>0.27111464627833759</v>
      </c>
      <c r="AC43" s="22">
        <f t="shared" si="3"/>
        <v>81.267928759998142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5.3369963369963358</v>
      </c>
      <c r="AI43" s="13">
        <f>IF('Données projet'!$A$62&gt;35,AI42+AH43-AQ42,IF(A43&lt;'Données projet'!$A$62,$AF$205^A43,IF(A43='Données projet'!$A$62,'Données projet'!$B$62,AI42+AH43-AQ42)))</f>
        <v>141.07509157509156</v>
      </c>
      <c r="AJ43" s="13">
        <f>AI43*VLOOKUP('Données projet'!$B$10,Paramètres!$A$1:$I$89,3,0)*VLOOKUP('Données projet'!$B$10,Paramètres!$A$1:$I$89,5,0)</f>
        <v>127.64474285714284</v>
      </c>
      <c r="AK43" s="13">
        <f t="shared" si="35"/>
        <v>33.451550798682433</v>
      </c>
      <c r="AL43" s="20">
        <f t="shared" si="4"/>
        <v>280.57604478389567</v>
      </c>
      <c r="AM43" s="59">
        <f t="shared" si="5"/>
        <v>573.90937811722893</v>
      </c>
      <c r="AN43" s="59">
        <f ca="1">AVERAGE(OFFSET($AM$3,0,0,'Données projet'!$E$10+1,1))-AVERAGE(OFFSET($H$3,0,0,'Données projet'!$E$10+1,1))</f>
        <v>227.31630731915698</v>
      </c>
      <c r="AO43" s="59">
        <f t="shared" si="36"/>
        <v>143.7533262991908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19.187999999999999</v>
      </c>
      <c r="D44" s="11">
        <f t="shared" si="32"/>
        <v>6.2695607721610704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196.51450420615564</v>
      </c>
      <c r="H44" s="67">
        <f t="shared" si="1"/>
        <v>337.6719183448472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36</v>
      </c>
      <c r="N44" s="13">
        <f>IF('Données projet'!$A$36&gt;35,N43+M44-V43,IF(A44&lt;'Données projet'!$A$36,$K$205^A44,IF(A44='Données projet'!$A$36,'Données projet'!$B$36,N43+M44-V43)))</f>
        <v>730</v>
      </c>
      <c r="O44" s="13">
        <f>N44*VLOOKUP('Données projet'!$B$9,Paramètres!$A$1:$I$89,3,0)*VLOOKUP('Données projet'!$B$9,Paramètres!$A$1:$I$89,5,0)</f>
        <v>341.64000000000004</v>
      </c>
      <c r="P44" s="13">
        <f t="shared" si="33"/>
        <v>79.8386858547359</v>
      </c>
      <c r="Q44" s="20">
        <f t="shared" si="53"/>
        <v>734.07537786366504</v>
      </c>
      <c r="R44" s="59">
        <f t="shared" si="0"/>
        <v>1027.4087111969984</v>
      </c>
      <c r="S44" s="59">
        <f ca="1">AVERAGE(OFFSET($R$3,0,0,'Données projet'!$E$9+1,1))-AVERAGE(OFFSET($H$3,0,0,'Données projet'!$E$9+1,1))</f>
        <v>294.94285920643927</v>
      </c>
      <c r="T44" s="59">
        <f t="shared" si="34"/>
        <v>399.89535338426606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26.853961569084333</v>
      </c>
      <c r="AA44" s="21">
        <f>EXP(-LN(2)/25)*AA43+(1-EXP(-LN(2)/25))/(LN(2)/25)*Calculateur!V44*Calculateur!X44*VLOOKUP('Données projet'!$B$9,Paramètres!$A$1:$I$89,3,0)*0.475*44/12</f>
        <v>52.139878585497712</v>
      </c>
      <c r="AB44" s="21">
        <f>EXP(-LN(2)/2)*AB43+(1-EXP(-LN(2)/2))/(LN(2)/2)*V44*Y44*VLOOKUP('Données projet'!$B$9,Paramètres!$A$1:$I$89,3,0)*0.475*44/12</f>
        <v>0.19170700486240469</v>
      </c>
      <c r="AC44" s="22">
        <f t="shared" si="3"/>
        <v>79.185547159444454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5.3369963369963358</v>
      </c>
      <c r="AI44" s="13">
        <f>IF('Données projet'!$A$62&gt;35,AI43+AH44-AQ43,IF(A44&lt;'Données projet'!$A$62,$AF$205^A44,IF(A44='Données projet'!$A$62,'Données projet'!$B$62,AI43+AH44-AQ43)))</f>
        <v>146.41208791208788</v>
      </c>
      <c r="AJ44" s="13">
        <f>AI44*VLOOKUP('Données projet'!$B$10,Paramètres!$A$1:$I$89,3,0)*VLOOKUP('Données projet'!$B$10,Paramètres!$A$1:$I$89,5,0)</f>
        <v>132.47365714285712</v>
      </c>
      <c r="AK44" s="13">
        <f t="shared" si="35"/>
        <v>34.567320307816402</v>
      </c>
      <c r="AL44" s="20">
        <f t="shared" si="4"/>
        <v>290.92970239325638</v>
      </c>
      <c r="AM44" s="59">
        <f t="shared" si="5"/>
        <v>584.26303572658969</v>
      </c>
      <c r="AN44" s="59">
        <f ca="1">AVERAGE(OFFSET($AM$3,0,0,'Données projet'!$E$10+1,1))-AVERAGE(OFFSET($H$3,0,0,'Données projet'!$E$10+1,1))</f>
        <v>227.31630731915698</v>
      </c>
      <c r="AO44" s="59">
        <f t="shared" si="36"/>
        <v>143.7533262991908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19.655999999999999</v>
      </c>
      <c r="D45" s="11">
        <f t="shared" si="32"/>
        <v>6.4044873715575275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201.16867444711076</v>
      </c>
      <c r="H45" s="67">
        <f t="shared" si="1"/>
        <v>338.72201550546265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766</v>
      </c>
      <c r="L45" s="12">
        <f>VLOOKUP(A45,'Données projet'!$A$35:$I$55,9,0)</f>
        <v>36</v>
      </c>
      <c r="M45" s="12">
        <f t="array" ref="M45">INDEX(L:L,MIN(IF(ISNUMBER(L45:L241),ROW(L45:L241),"")))</f>
        <v>36</v>
      </c>
      <c r="N45" s="13">
        <f>IF('Données projet'!$A$36&gt;35,N44+M45-V44,IF(A45&lt;'Données projet'!$A$36,$K$205^A45,IF(A45='Données projet'!$A$36,'Données projet'!$B$36,N44+M45-V44)))</f>
        <v>766</v>
      </c>
      <c r="O45" s="13">
        <f>N45*VLOOKUP('Données projet'!$B$9,Paramètres!$A$1:$I$89,3,0)*VLOOKUP('Données projet'!$B$9,Paramètres!$A$1:$I$89,5,0)</f>
        <v>358.488</v>
      </c>
      <c r="P45" s="13">
        <f t="shared" si="33"/>
        <v>83.307833714918146</v>
      </c>
      <c r="Q45" s="20">
        <f t="shared" si="53"/>
        <v>769.46107705348243</v>
      </c>
      <c r="R45" s="59">
        <f t="shared" si="0"/>
        <v>1062.7944103868158</v>
      </c>
      <c r="S45" s="59">
        <f ca="1">AVERAGE(OFFSET($R$3,0,0,'Données projet'!$E$9+1,1))-AVERAGE(OFFSET($H$3,0,0,'Données projet'!$E$9+1,1))</f>
        <v>294.94285920643927</v>
      </c>
      <c r="T45" s="59">
        <f t="shared" si="34"/>
        <v>399.89535338426606</v>
      </c>
      <c r="U45" s="15">
        <f>IF(ISNA(VLOOKUP(A45,'Données projet'!$A$35:$I$55,3,0)),0,VLOOKUP(A45,'Données projet'!$A$35:$I$55,3,0))</f>
        <v>7</v>
      </c>
      <c r="V45" s="15">
        <f>IF(ISNA(VLOOKUP(A45,'Données projet'!$A$35:$I$55,4,0)),0,VLOOKUP(A45,'Données projet'!$A$35:$I$55,4,0))</f>
        <v>79</v>
      </c>
      <c r="W45" s="16">
        <f>IF(ISNA(VLOOKUP(A45,'Données projet'!$A$35:$I$55,5,0)),0%,VLOOKUP(A45,'Données projet'!$A$35:$I$55,5,0)*VLOOKUP('Données projet'!$B$9,Paramètres!$A$1:$I$89,7,0))</f>
        <v>0.27500000000000002</v>
      </c>
      <c r="X45" s="16">
        <f>IF(ISNA(VLOOKUP(A45,'Données projet'!$A$35:$I$55,6,0)),0%,VLOOKUP(A45,'Données projet'!$A$35:$I$55,6,0)*VLOOKUP('Données projet'!$B$9,Paramètres!$A$1:$I$89,7,0))</f>
        <v>0.27500000000000002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39.814950549804266</v>
      </c>
      <c r="AA45" s="21">
        <f>EXP(-LN(2)/25)*AA44+(1-EXP(-LN(2)/25))/(LN(2)/25)*Calculateur!V45*Calculateur!X45*VLOOKUP('Données projet'!$B$9,Paramètres!$A$1:$I$89,3,0)*0.475*44/12</f>
        <v>64.14858391459272</v>
      </c>
      <c r="AB45" s="21">
        <f>EXP(-LN(2)/2)*AB44+(1-EXP(-LN(2)/2))/(LN(2)/2)*V45*Y45*VLOOKUP('Données projet'!$B$9,Paramètres!$A$1:$I$89,3,0)*0.475*44/12</f>
        <v>0.13555732313916879</v>
      </c>
      <c r="AC45" s="22">
        <f t="shared" si="3"/>
        <v>104.09909178753615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5.3369963369963358</v>
      </c>
      <c r="AI45" s="13">
        <f>IF('Données projet'!$A$62&gt;35,AI44+AH45-AQ44,IF(A45&lt;'Données projet'!$A$62,$AF$205^A45,IF(A45='Données projet'!$A$62,'Données projet'!$B$62,AI44+AH45-AQ44)))</f>
        <v>151.74908424908421</v>
      </c>
      <c r="AJ45" s="13">
        <f>AI45*VLOOKUP('Données projet'!$B$10,Paramètres!$A$1:$I$89,3,0)*VLOOKUP('Données projet'!$B$10,Paramètres!$A$1:$I$89,5,0)</f>
        <v>137.30257142857138</v>
      </c>
      <c r="AK45" s="13">
        <f t="shared" si="35"/>
        <v>35.678364531877897</v>
      </c>
      <c r="AL45" s="20">
        <f t="shared" si="4"/>
        <v>301.27513013111576</v>
      </c>
      <c r="AM45" s="59">
        <f t="shared" si="5"/>
        <v>594.60846346444907</v>
      </c>
      <c r="AN45" s="59">
        <f ca="1">AVERAGE(OFFSET($AM$3,0,0,'Données projet'!$E$10+1,1))-AVERAGE(OFFSET($H$3,0,0,'Données projet'!$E$10+1,1))</f>
        <v>227.31630731915698</v>
      </c>
      <c r="AO45" s="59">
        <f t="shared" si="36"/>
        <v>143.7533262991908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46" s="11">
        <f t="shared" si="32"/>
        <v>6.539040511923969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205.81996184643063</v>
      </c>
      <c r="H46" s="67">
        <f t="shared" si="1"/>
        <v>339.77146222493423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29.4</v>
      </c>
      <c r="N46" s="13">
        <f>IF('Données projet'!$A$36&gt;35,N45+M46-V45,IF(A46&lt;'Données projet'!$A$36,$K$205^A46,IF(A46='Données projet'!$A$36,'Données projet'!$B$36,N45+M46-V45)))</f>
        <v>716.4</v>
      </c>
      <c r="O46" s="13">
        <f>N46*VLOOKUP('Données projet'!$B$9,Paramètres!$A$1:$I$89,3,0)*VLOOKUP('Données projet'!$B$9,Paramètres!$A$1:$I$89,5,0)</f>
        <v>335.27519999999998</v>
      </c>
      <c r="P46" s="13">
        <f t="shared" si="33"/>
        <v>78.522979209968497</v>
      </c>
      <c r="Q46" s="20">
        <f t="shared" si="53"/>
        <v>720.69849545736179</v>
      </c>
      <c r="R46" s="59">
        <f t="shared" si="0"/>
        <v>1014.031828790695</v>
      </c>
      <c r="S46" s="59">
        <f ca="1">AVERAGE(OFFSET($R$3,0,0,'Données projet'!$E$9+1,1))-AVERAGE(OFFSET($H$3,0,0,'Données projet'!$E$9+1,1))</f>
        <v>294.94285920643927</v>
      </c>
      <c r="T46" s="59">
        <f t="shared" si="34"/>
        <v>399.89535338426606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39.034203654244521</v>
      </c>
      <c r="AA46" s="21">
        <f>EXP(-LN(2)/25)*AA45+(1-EXP(-LN(2)/25))/(LN(2)/25)*Calculateur!V46*Calculateur!X46*VLOOKUP('Données projet'!$B$9,Paramètres!$A$1:$I$89,3,0)*0.475*44/12</f>
        <v>62.394437514020765</v>
      </c>
      <c r="AB46" s="21">
        <f>EXP(-LN(2)/2)*AB45+(1-EXP(-LN(2)/2))/(LN(2)/2)*V46*Y46*VLOOKUP('Données projet'!$B$9,Paramètres!$A$1:$I$89,3,0)*0.475*44/12</f>
        <v>9.5853502431202345E-2</v>
      </c>
      <c r="AC46" s="22">
        <f t="shared" si="3"/>
        <v>101.52449467069648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5.3369963369963358</v>
      </c>
      <c r="AI46" s="13">
        <f>IF('Données projet'!$A$62&gt;35,AI45+AH46-AQ45,IF(A46&lt;'Données projet'!$A$62,$AF$205^A46,IF(A46='Données projet'!$A$62,'Données projet'!$B$62,AI45+AH46-AQ45)))</f>
        <v>157.08608058608053</v>
      </c>
      <c r="AJ46" s="13">
        <f>AI46*VLOOKUP('Données projet'!$B$10,Paramètres!$A$1:$I$89,3,0)*VLOOKUP('Données projet'!$B$10,Paramètres!$A$1:$I$89,5,0)</f>
        <v>142.13148571428567</v>
      </c>
      <c r="AK46" s="13">
        <f t="shared" si="35"/>
        <v>36.784868701185438</v>
      </c>
      <c r="AL46" s="20">
        <f t="shared" si="4"/>
        <v>311.61265060694552</v>
      </c>
      <c r="AM46" s="59">
        <f t="shared" si="5"/>
        <v>604.94598394027889</v>
      </c>
      <c r="AN46" s="59">
        <f ca="1">AVERAGE(OFFSET($AM$3,0,0,'Données projet'!$E$10+1,1))-AVERAGE(OFFSET($H$3,0,0,'Données projet'!$E$10+1,1))</f>
        <v>227.31630731915698</v>
      </c>
      <c r="AO46" s="59">
        <f t="shared" si="36"/>
        <v>143.7533262991908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20.591999999999999</v>
      </c>
      <c r="D47" s="11">
        <f t="shared" si="32"/>
        <v>6.6732298779519512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210.46844116313787</v>
      </c>
      <c r="H47" s="67">
        <f t="shared" si="1"/>
        <v>340.8202753707663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29.4</v>
      </c>
      <c r="N47" s="13">
        <f>IF('Données projet'!$A$36&gt;35,N46+M47-V46,IF(A47&lt;'Données projet'!$A$36,$K$205^A47,IF(A47='Données projet'!$A$36,'Données projet'!$B$36,N46+M47-V46)))</f>
        <v>745.8</v>
      </c>
      <c r="O47" s="13">
        <f>N47*VLOOKUP('Données projet'!$B$9,Paramètres!$A$1:$I$89,3,0)*VLOOKUP('Données projet'!$B$9,Paramètres!$A$1:$I$89,5,0)</f>
        <v>349.03440000000001</v>
      </c>
      <c r="P47" s="13">
        <f t="shared" si="33"/>
        <v>81.36365221221385</v>
      </c>
      <c r="Q47" s="20">
        <f t="shared" si="53"/>
        <v>749.60994093627244</v>
      </c>
      <c r="R47" s="59">
        <f t="shared" si="0"/>
        <v>1042.9432742696058</v>
      </c>
      <c r="S47" s="59">
        <f ca="1">AVERAGE(OFFSET($R$3,0,0,'Données projet'!$E$9+1,1))-AVERAGE(OFFSET($H$3,0,0,'Données projet'!$E$9+1,1))</f>
        <v>294.94285920643927</v>
      </c>
      <c r="T47" s="59">
        <f t="shared" si="34"/>
        <v>399.89535338426606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38.268766729098118</v>
      </c>
      <c r="AA47" s="21">
        <f>EXP(-LN(2)/25)*AA46+(1-EXP(-LN(2)/25))/(LN(2)/25)*Calculateur!V47*Calculateur!X47*VLOOKUP('Données projet'!$B$9,Paramètres!$A$1:$I$89,3,0)*0.475*44/12</f>
        <v>60.688258339019001</v>
      </c>
      <c r="AB47" s="21">
        <f>EXP(-LN(2)/2)*AB46+(1-EXP(-LN(2)/2))/(LN(2)/2)*V47*Y47*VLOOKUP('Données projet'!$B$9,Paramètres!$A$1:$I$89,3,0)*0.475*44/12</f>
        <v>6.7778661569584397E-2</v>
      </c>
      <c r="AC47" s="22">
        <f t="shared" si="3"/>
        <v>99.02480372968671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162.42307692307691</v>
      </c>
      <c r="AG47" s="12">
        <f>VLOOKUP(A47,'Données projet'!$A$61:$I$81,9,0)</f>
        <v>5.3369963369963358</v>
      </c>
      <c r="AH47" s="12">
        <f t="array" ref="AH47">INDEX(AG:AG,MIN(IF(ISNUMBER(AG47:AG243),ROW(AG47:AG243),"")))</f>
        <v>5.3369963369963358</v>
      </c>
      <c r="AI47" s="13">
        <f>IF('Données projet'!$A$62&gt;35,AI46+AH47-AQ46,IF(A47&lt;'Données projet'!$A$62,$AF$205^A47,IF(A47='Données projet'!$A$62,'Données projet'!$B$62,AI46+AH47-AQ46)))</f>
        <v>162.42307692307685</v>
      </c>
      <c r="AJ47" s="13">
        <f>AI47*VLOOKUP('Données projet'!$B$10,Paramètres!$A$1:$I$89,3,0)*VLOOKUP('Données projet'!$B$10,Paramètres!$A$1:$I$89,5,0)</f>
        <v>146.96039999999991</v>
      </c>
      <c r="AK47" s="13">
        <f t="shared" si="35"/>
        <v>37.887004745652405</v>
      </c>
      <c r="AL47" s="20">
        <f t="shared" si="4"/>
        <v>321.94256326534446</v>
      </c>
      <c r="AM47" s="59">
        <f t="shared" si="5"/>
        <v>615.27589659867772</v>
      </c>
      <c r="AN47" s="59">
        <f ca="1">AVERAGE(OFFSET($AM$3,0,0,'Données projet'!$E$10+1,1))-AVERAGE(OFFSET($H$3,0,0,'Données projet'!$E$10+1,1))</f>
        <v>227.31630731915698</v>
      </c>
      <c r="AO47" s="59">
        <f t="shared" si="36"/>
        <v>143.7533262991908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64.416666666666657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</v>
      </c>
      <c r="D48" s="11">
        <f t="shared" si="32"/>
        <v>6.8070646889944983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215.11418356416803</v>
      </c>
      <c r="H48" s="67">
        <f t="shared" si="1"/>
        <v>341.86847099999875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29.4</v>
      </c>
      <c r="N48" s="13">
        <f>IF('Données projet'!$A$36&gt;35,N47+M48-V47,IF(A48&lt;'Données projet'!$A$36,$K$205^A48,IF(A48='Données projet'!$A$36,'Données projet'!$B$36,N47+M48-V47)))</f>
        <v>775.19999999999993</v>
      </c>
      <c r="O48" s="13">
        <f>N48*VLOOKUP('Données projet'!$B$9,Paramètres!$A$1:$I$89,3,0)*VLOOKUP('Données projet'!$B$9,Paramètres!$A$1:$I$89,5,0)</f>
        <v>362.79359999999997</v>
      </c>
      <c r="P48" s="13">
        <f t="shared" si="33"/>
        <v>84.191316871558996</v>
      </c>
      <c r="Q48" s="20">
        <f t="shared" si="53"/>
        <v>778.4987302179652</v>
      </c>
      <c r="R48" s="59">
        <f t="shared" si="0"/>
        <v>1071.8320635512985</v>
      </c>
      <c r="S48" s="59">
        <f ca="1">AVERAGE(OFFSET($R$3,0,0,'Données projet'!$E$9+1,1))-AVERAGE(OFFSET($H$3,0,0,'Données projet'!$E$9+1,1))</f>
        <v>294.94285920643927</v>
      </c>
      <c r="T48" s="59">
        <f t="shared" si="34"/>
        <v>399.89535338426606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37.51833955518341</v>
      </c>
      <c r="AA48" s="21">
        <f>EXP(-LN(2)/25)*AA47+(1-EXP(-LN(2)/25))/(LN(2)/25)*Calculateur!V48*Calculateur!X48*VLOOKUP('Données projet'!$B$9,Paramètres!$A$1:$I$89,3,0)*0.475*44/12</f>
        <v>59.028734723281723</v>
      </c>
      <c r="AB48" s="21">
        <f>EXP(-LN(2)/2)*AB47+(1-EXP(-LN(2)/2))/(LN(2)/2)*V48*Y48*VLOOKUP('Données projet'!$B$9,Paramètres!$A$1:$I$89,3,0)*0.475*44/12</f>
        <v>4.7926751215601172E-2</v>
      </c>
      <c r="AC48" s="22">
        <f t="shared" si="3"/>
        <v>96.595001029680731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6.826007326007324</v>
      </c>
      <c r="AI48" s="13">
        <f>IF('Données projet'!$A$62&gt;35,AI47+AH48-AQ47,IF(A48&lt;'Données projet'!$A$62,$AF$205^A48,IF(A48='Données projet'!$A$62,'Données projet'!$B$62,AI47+AH48-AQ47)))</f>
        <v>104.83241758241752</v>
      </c>
      <c r="AJ48" s="13">
        <f>AI48*VLOOKUP('Données projet'!$B$10,Paramètres!$A$1:$I$89,3,0)*VLOOKUP('Données projet'!$B$10,Paramètres!$A$1:$I$89,5,0)</f>
        <v>94.852371428571374</v>
      </c>
      <c r="AK48" s="13">
        <f t="shared" si="35"/>
        <v>25.731899613510901</v>
      </c>
      <c r="AL48" s="20">
        <f t="shared" si="4"/>
        <v>210.01760539829328</v>
      </c>
      <c r="AM48" s="59">
        <f t="shared" si="5"/>
        <v>503.35093873162657</v>
      </c>
      <c r="AN48" s="59">
        <f ca="1">AVERAGE(OFFSET($AM$3,0,0,'Données projet'!$E$10+1,1))-AVERAGE(OFFSET($H$3,0,0,'Données projet'!$E$10+1,1))</f>
        <v>227.31630731915698</v>
      </c>
      <c r="AO48" s="59">
        <f t="shared" si="36"/>
        <v>143.7533262991908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49" s="11">
        <f t="shared" si="32"/>
        <v>6.9405537312613585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219.75725687289471</v>
      </c>
      <c r="H49" s="67">
        <f t="shared" si="1"/>
        <v>342.91606441528018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29.4</v>
      </c>
      <c r="N49" s="13">
        <f>IF('Données projet'!$A$36&gt;35,N48+M49-V48,IF(A49&lt;'Données projet'!$A$36,$K$205^A49,IF(A49='Données projet'!$A$36,'Données projet'!$B$36,N48+M49-V48)))</f>
        <v>804.59999999999991</v>
      </c>
      <c r="O49" s="13">
        <f>N49*VLOOKUP('Données projet'!$B$9,Paramètres!$A$1:$I$89,3,0)*VLOOKUP('Données projet'!$B$9,Paramètres!$A$1:$I$89,5,0)</f>
        <v>376.55279999999993</v>
      </c>
      <c r="P49" s="13">
        <f t="shared" si="33"/>
        <v>87.006523018866147</v>
      </c>
      <c r="Q49" s="20">
        <f t="shared" si="53"/>
        <v>807.365820924525</v>
      </c>
      <c r="R49" s="59">
        <f t="shared" si="0"/>
        <v>1100.6991542578583</v>
      </c>
      <c r="S49" s="59">
        <f ca="1">AVERAGE(OFFSET($R$3,0,0,'Données projet'!$E$9+1,1))-AVERAGE(OFFSET($H$3,0,0,'Données projet'!$E$9+1,1))</f>
        <v>294.94285920643927</v>
      </c>
      <c r="T49" s="59">
        <f t="shared" si="34"/>
        <v>399.89535338426606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36.782627800433794</v>
      </c>
      <c r="AA49" s="21">
        <f>EXP(-LN(2)/25)*AA48+(1-EXP(-LN(2)/25))/(LN(2)/25)*Calculateur!V49*Calculateur!X49*VLOOKUP('Données projet'!$B$9,Paramètres!$A$1:$I$89,3,0)*0.475*44/12</f>
        <v>57.414590868087338</v>
      </c>
      <c r="AB49" s="21">
        <f>EXP(-LN(2)/2)*AB48+(1-EXP(-LN(2)/2))/(LN(2)/2)*V49*Y49*VLOOKUP('Données projet'!$B$9,Paramètres!$A$1:$I$89,3,0)*0.475*44/12</f>
        <v>3.3889330784792199E-2</v>
      </c>
      <c r="AC49" s="22">
        <f t="shared" si="3"/>
        <v>94.23110799930592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6.826007326007324</v>
      </c>
      <c r="AI49" s="13">
        <f>IF('Données projet'!$A$62&gt;35,AI48+AH49-AQ48,IF(A49&lt;'Données projet'!$A$62,$AF$205^A49,IF(A49='Données projet'!$A$62,'Données projet'!$B$62,AI48+AH49-AQ48)))</f>
        <v>111.65842490842485</v>
      </c>
      <c r="AJ49" s="13">
        <f>AI49*VLOOKUP('Données projet'!$B$10,Paramètres!$A$1:$I$89,3,0)*VLOOKUP('Données projet'!$B$10,Paramètres!$A$1:$I$89,5,0)</f>
        <v>101.0285428571428</v>
      </c>
      <c r="AK49" s="13">
        <f t="shared" si="35"/>
        <v>27.206887577634099</v>
      </c>
      <c r="AL49" s="20">
        <f t="shared" si="4"/>
        <v>223.3433746739031</v>
      </c>
      <c r="AM49" s="59">
        <f t="shared" si="5"/>
        <v>516.67670800723636</v>
      </c>
      <c r="AN49" s="59">
        <f ca="1">AVERAGE(OFFSET($AM$3,0,0,'Données projet'!$E$10+1,1))-AVERAGE(OFFSET($H$3,0,0,'Données projet'!$E$10+1,1))</f>
        <v>227.31630731915698</v>
      </c>
      <c r="AO49" s="59">
        <f t="shared" si="36"/>
        <v>143.7533262991908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50" s="11">
        <f t="shared" si="32"/>
        <v>7.0737053871356732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224.39772579543327</v>
      </c>
      <c r="H50" s="67">
        <f t="shared" si="1"/>
        <v>343.96307021592793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>
        <f>VLOOKUP(A50,'Données projet'!$A$35:$I$55,2,0)</f>
        <v>834</v>
      </c>
      <c r="L50" s="12">
        <f>VLOOKUP(A50,'Données projet'!$A$35:$I$55,9,0)</f>
        <v>29.4</v>
      </c>
      <c r="M50" s="12">
        <f t="array" ref="M50">INDEX(L:L,MIN(IF(ISNUMBER(L50:L246),ROW(L50:L246),"")))</f>
        <v>29.4</v>
      </c>
      <c r="N50" s="13">
        <f>IF('Données projet'!$A$36&gt;35,N49+M50-V49,IF(A50&lt;'Données projet'!$A$36,$K$205^A50,IF(A50='Données projet'!$A$36,'Données projet'!$B$36,N49+M50-V49)))</f>
        <v>833.99999999999989</v>
      </c>
      <c r="O50" s="13">
        <f>N50*VLOOKUP('Données projet'!$B$9,Paramètres!$A$1:$I$89,3,0)*VLOOKUP('Données projet'!$B$9,Paramètres!$A$1:$I$89,5,0)</f>
        <v>390.31199999999995</v>
      </c>
      <c r="P50" s="13">
        <f t="shared" si="33"/>
        <v>89.809778026376492</v>
      </c>
      <c r="Q50" s="20">
        <f t="shared" si="53"/>
        <v>836.21209672927228</v>
      </c>
      <c r="R50" s="59">
        <f t="shared" si="0"/>
        <v>1129.5454300626056</v>
      </c>
      <c r="S50" s="59">
        <f ca="1">AVERAGE(OFFSET($R$3,0,0,'Données projet'!$E$9+1,1))-AVERAGE(OFFSET($H$3,0,0,'Données projet'!$E$9+1,1))</f>
        <v>294.94285920643927</v>
      </c>
      <c r="T50" s="59">
        <f t="shared" si="34"/>
        <v>399.89535338426606</v>
      </c>
      <c r="U50" s="15" t="str">
        <f>IF(ISNA(VLOOKUP(A50,'Données projet'!$A$35:$I$55,3,0)),0,VLOOKUP(A50,'Données projet'!$A$35:$I$55,3,0))</f>
        <v>CR</v>
      </c>
      <c r="V50" s="15">
        <f>IF(ISNA(VLOOKUP(A50,'Données projet'!$A$35:$I$55,4,0)),0,VLOOKUP(A50,'Données projet'!$A$35:$I$55,4,0))</f>
        <v>834</v>
      </c>
      <c r="W50" s="16">
        <f>IF(ISNA(VLOOKUP(A50,'Données projet'!$A$35:$I$55,5,0)),0%,VLOOKUP(A50,'Données projet'!$A$35:$I$55,5,0)*VLOOKUP('Données projet'!$B$9,Paramètres!$A$1:$I$89,7,0))</f>
        <v>0.27500000000000002</v>
      </c>
      <c r="X50" s="16">
        <f>IF(ISNA(VLOOKUP(A50,'Données projet'!$A$35:$I$55,6,0)),0%,VLOOKUP(A50,'Données projet'!$A$35:$I$55,6,0)*VLOOKUP('Données projet'!$B$9,Paramètres!$A$1:$I$89,7,0))</f>
        <v>0.27500000000000002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178.44919998062235</v>
      </c>
      <c r="AA50" s="21">
        <f>EXP(-LN(2)/25)*AA49+(1-EXP(-LN(2)/25))/(LN(2)/25)*Calculateur!V50*Calculateur!X50*VLOOKUP('Données projet'!$B$9,Paramètres!$A$1:$I$89,3,0)*0.475*44/12</f>
        <v>197.67180769032893</v>
      </c>
      <c r="AB50" s="21">
        <f>EXP(-LN(2)/2)*AB49+(1-EXP(-LN(2)/2))/(LN(2)/2)*V50*Y50*VLOOKUP('Données projet'!$B$9,Paramètres!$A$1:$I$89,3,0)*0.475*44/12</f>
        <v>2.3963375607800586E-2</v>
      </c>
      <c r="AC50" s="22">
        <f t="shared" si="3"/>
        <v>376.14497104655908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6.826007326007324</v>
      </c>
      <c r="AI50" s="13">
        <f>IF('Données projet'!$A$62&gt;35,AI49+AH50-AQ49,IF(A50&lt;'Données projet'!$A$62,$AF$205^A50,IF(A50='Données projet'!$A$62,'Données projet'!$B$62,AI49+AH50-AQ49)))</f>
        <v>118.48443223443218</v>
      </c>
      <c r="AJ50" s="13">
        <f>AI50*VLOOKUP('Données projet'!$B$10,Paramètres!$A$1:$I$89,3,0)*VLOOKUP('Données projet'!$B$10,Paramètres!$A$1:$I$89,5,0)</f>
        <v>107.20471428571423</v>
      </c>
      <c r="AK50" s="13">
        <f t="shared" si="35"/>
        <v>28.671410088969473</v>
      </c>
      <c r="AL50" s="20">
        <f t="shared" si="4"/>
        <v>236.65091661924077</v>
      </c>
      <c r="AM50" s="59">
        <f t="shared" si="5"/>
        <v>529.98424995257415</v>
      </c>
      <c r="AN50" s="59">
        <f ca="1">AVERAGE(OFFSET($AM$3,0,0,'Données projet'!$E$10+1,1))-AVERAGE(OFFSET($H$3,0,0,'Données projet'!$E$10+1,1))</f>
        <v>227.31630731915698</v>
      </c>
      <c r="AO50" s="59">
        <f t="shared" si="36"/>
        <v>143.7533262991908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22.463999999999999</v>
      </c>
      <c r="D51" s="11">
        <f t="shared" si="32"/>
        <v>7.2065276619252296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229.03565212714213</v>
      </c>
      <c r="H51" s="67">
        <f t="shared" si="1"/>
        <v>345.00950234451977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-1.1368683772161603E-13</v>
      </c>
      <c r="O51" s="13">
        <f>N51*VLOOKUP('Données projet'!$B$9,Paramètres!$A$1:$I$89,3,0)*VLOOKUP('Données projet'!$B$9,Paramètres!$A$1:$I$89,5,0)</f>
        <v>-5.3205440053716299E-14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294.94285920643927</v>
      </c>
      <c r="T51" s="59">
        <f t="shared" si="34"/>
        <v>399.89535338426606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174.94992001226694</v>
      </c>
      <c r="AA51" s="21">
        <f>EXP(-LN(2)/25)*AA50+(1-EXP(-LN(2)/25))/(LN(2)/25)*Calculateur!V51*Calculateur!X51*VLOOKUP('Données projet'!$B$9,Paramètres!$A$1:$I$89,3,0)*0.475*44/12</f>
        <v>192.26646171392829</v>
      </c>
      <c r="AB51" s="21">
        <f>EXP(-LN(2)/2)*AB50+(1-EXP(-LN(2)/2))/(LN(2)/2)*V51*Y51*VLOOKUP('Données projet'!$B$9,Paramètres!$A$1:$I$89,3,0)*0.475*44/12</f>
        <v>1.6944665392396099E-2</v>
      </c>
      <c r="AC51" s="22">
        <f t="shared" si="3"/>
        <v>367.23332639158758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6.826007326007324</v>
      </c>
      <c r="AI51" s="13">
        <f>IF('Données projet'!$A$62&gt;35,AI50+AH51-AQ50,IF(A51&lt;'Données projet'!$A$62,$AF$205^A51,IF(A51='Données projet'!$A$62,'Données projet'!$B$62,AI50+AH51-AQ50)))</f>
        <v>125.31043956043951</v>
      </c>
      <c r="AJ51" s="13">
        <f>AI51*VLOOKUP('Données projet'!$B$10,Paramètres!$A$1:$I$89,3,0)*VLOOKUP('Données projet'!$B$10,Paramètres!$A$1:$I$89,5,0)</f>
        <v>113.38088571428565</v>
      </c>
      <c r="AK51" s="13">
        <f t="shared" si="35"/>
        <v>30.126138765380961</v>
      </c>
      <c r="AL51" s="20">
        <f t="shared" si="4"/>
        <v>249.94140096875267</v>
      </c>
      <c r="AM51" s="59">
        <f t="shared" si="5"/>
        <v>543.27473430208602</v>
      </c>
      <c r="AN51" s="59">
        <f ca="1">AVERAGE(OFFSET($AM$3,0,0,'Données projet'!$E$10+1,1))-AVERAGE(OFFSET($H$3,0,0,'Données projet'!$E$10+1,1))</f>
        <v>227.31630731915698</v>
      </c>
      <c r="AO51" s="59">
        <f t="shared" si="36"/>
        <v>143.7533262991908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22.931999999999999</v>
      </c>
      <c r="D52" s="11">
        <f t="shared" si="32"/>
        <v>7.3390282083215084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233.67109494142917</v>
      </c>
      <c r="H52" s="67">
        <f t="shared" si="1"/>
        <v>346.05537412949326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-1.1368683772161603E-13</v>
      </c>
      <c r="O52" s="13">
        <f>N52*VLOOKUP('Données projet'!$B$9,Paramètres!$A$1:$I$89,3,0)*VLOOKUP('Données projet'!$B$9,Paramètres!$A$1:$I$89,5,0)</f>
        <v>-5.3205440053716299E-14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294.94285920643927</v>
      </c>
      <c r="T52" s="59">
        <f t="shared" si="34"/>
        <v>399.89535338426606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171.51925878974097</v>
      </c>
      <c r="AA52" s="21">
        <f>EXP(-LN(2)/25)*AA51+(1-EXP(-LN(2)/25))/(LN(2)/25)*Calculateur!V52*Calculateur!X52*VLOOKUP('Données projet'!$B$9,Paramètres!$A$1:$I$89,3,0)*0.475*44/12</f>
        <v>187.00892520750713</v>
      </c>
      <c r="AB52" s="21">
        <f>EXP(-LN(2)/2)*AB51+(1-EXP(-LN(2)/2))/(LN(2)/2)*V52*Y52*VLOOKUP('Données projet'!$B$9,Paramètres!$A$1:$I$89,3,0)*0.475*44/12</f>
        <v>1.1981687803900293E-2</v>
      </c>
      <c r="AC52" s="22">
        <f t="shared" si="3"/>
        <v>358.54016568505199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6.826007326007324</v>
      </c>
      <c r="AI52" s="13">
        <f>IF('Données projet'!$A$62&gt;35,AI51+AH52-AQ51,IF(A52&lt;'Données projet'!$A$62,$AF$205^A52,IF(A52='Données projet'!$A$62,'Données projet'!$B$62,AI51+AH52-AQ51)))</f>
        <v>132.13644688644683</v>
      </c>
      <c r="AJ52" s="13">
        <f>AI52*VLOOKUP('Données projet'!$B$10,Paramètres!$A$1:$I$89,3,0)*VLOOKUP('Données projet'!$B$10,Paramètres!$A$1:$I$89,5,0)</f>
        <v>119.55705714285709</v>
      </c>
      <c r="AK52" s="13">
        <f t="shared" si="35"/>
        <v>31.571667922473026</v>
      </c>
      <c r="AL52" s="20">
        <f t="shared" si="4"/>
        <v>263.21586282211655</v>
      </c>
      <c r="AM52" s="59">
        <f t="shared" si="5"/>
        <v>556.54919615544986</v>
      </c>
      <c r="AN52" s="59">
        <f ca="1">AVERAGE(OFFSET($AM$3,0,0,'Données projet'!$E$10+1,1))-AVERAGE(OFFSET($H$3,0,0,'Données projet'!$E$10+1,1))</f>
        <v>227.31630731915698</v>
      </c>
      <c r="AO52" s="59">
        <f t="shared" si="36"/>
        <v>143.7533262991908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</v>
      </c>
      <c r="D53" s="11">
        <f t="shared" si="32"/>
        <v>7.4712143488056828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238.30411076271048</v>
      </c>
      <c r="H53" s="67">
        <f t="shared" si="1"/>
        <v>347.10069832416985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-1.1368683772161603E-13</v>
      </c>
      <c r="O53" s="13">
        <f>N53*VLOOKUP('Données projet'!$B$9,Paramètres!$A$1:$I$89,3,0)*VLOOKUP('Données projet'!$B$9,Paramètres!$A$1:$I$89,5,0)</f>
        <v>-5.3205440053716299E-14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294.94285920643927</v>
      </c>
      <c r="T53" s="59">
        <f t="shared" si="34"/>
        <v>399.89535338426606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168.15587074129201</v>
      </c>
      <c r="AA53" s="21">
        <f>EXP(-LN(2)/25)*AA52+(1-EXP(-LN(2)/25))/(LN(2)/25)*Calculateur!V53*Calculateur!X53*VLOOKUP('Données projet'!$B$9,Paramètres!$A$1:$I$89,3,0)*0.475*44/12</f>
        <v>181.89515631333589</v>
      </c>
      <c r="AB53" s="21">
        <f>EXP(-LN(2)/2)*AB52+(1-EXP(-LN(2)/2))/(LN(2)/2)*V53*Y53*VLOOKUP('Données projet'!$B$9,Paramètres!$A$1:$I$89,3,0)*0.475*44/12</f>
        <v>8.4723326961980497E-3</v>
      </c>
      <c r="AC53" s="22">
        <f t="shared" si="3"/>
        <v>350.05949938732408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6.826007326007324</v>
      </c>
      <c r="AI53" s="13">
        <f>IF('Données projet'!$A$62&gt;35,AI52+AH53-AQ52,IF(A53&lt;'Données projet'!$A$62,$AF$205^A53,IF(A53='Données projet'!$A$62,'Données projet'!$B$62,AI52+AH53-AQ52)))</f>
        <v>138.96245421245416</v>
      </c>
      <c r="AJ53" s="13">
        <f>AI53*VLOOKUP('Données projet'!$B$10,Paramètres!$A$1:$I$89,3,0)*VLOOKUP('Données projet'!$B$10,Paramètres!$A$1:$I$89,5,0)</f>
        <v>125.73322857142851</v>
      </c>
      <c r="AK53" s="13">
        <f t="shared" si="35"/>
        <v>33.008527004415768</v>
      </c>
      <c r="AL53" s="20">
        <f t="shared" si="4"/>
        <v>276.47522429459542</v>
      </c>
      <c r="AM53" s="59">
        <f t="shared" si="5"/>
        <v>569.80855762792874</v>
      </c>
      <c r="AN53" s="59">
        <f ca="1">AVERAGE(OFFSET($AM$3,0,0,'Données projet'!$E$10+1,1))-AVERAGE(OFFSET($H$3,0,0,'Données projet'!$E$10+1,1))</f>
        <v>227.31630731915698</v>
      </c>
      <c r="AO53" s="59">
        <f t="shared" si="36"/>
        <v>143.7533262991908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23.867999999999999</v>
      </c>
      <c r="D54" s="11">
        <f t="shared" si="32"/>
        <v>7.6030930962115368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242.93475372514169</v>
      </c>
      <c r="H54" s="67">
        <f t="shared" si="1"/>
        <v>348.14548714256841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-1.1368683772161603E-13</v>
      </c>
      <c r="O54" s="13">
        <f>N54*VLOOKUP('Données projet'!$B$9,Paramètres!$A$1:$I$89,3,0)*VLOOKUP('Données projet'!$B$9,Paramètres!$A$1:$I$89,5,0)</f>
        <v>-5.3205440053716299E-14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294.94285920643927</v>
      </c>
      <c r="T54" s="59">
        <f t="shared" si="34"/>
        <v>399.89535338426606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164.85843668100898</v>
      </c>
      <c r="AA54" s="21">
        <f>EXP(-LN(2)/25)*AA53+(1-EXP(-LN(2)/25))/(LN(2)/25)*Calculateur!V54*Calculateur!X54*VLOOKUP('Données projet'!$B$9,Paramètres!$A$1:$I$89,3,0)*0.475*44/12</f>
        <v>176.92122369849719</v>
      </c>
      <c r="AB54" s="21">
        <f>EXP(-LN(2)/2)*AB53+(1-EXP(-LN(2)/2))/(LN(2)/2)*V54*Y54*VLOOKUP('Données projet'!$B$9,Paramètres!$A$1:$I$89,3,0)*0.475*44/12</f>
        <v>5.9908439019501466E-3</v>
      </c>
      <c r="AC54" s="22">
        <f t="shared" si="3"/>
        <v>341.78565122340808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145.78846153846152</v>
      </c>
      <c r="AG54" s="12">
        <f>VLOOKUP(A54,'Données projet'!$A$61:$I$81,9,0)</f>
        <v>6.826007326007324</v>
      </c>
      <c r="AH54" s="12">
        <f t="array" ref="AH54">INDEX(AG:AG,MIN(IF(ISNUMBER(AG54:AG250),ROW(AG54:AG250),"")))</f>
        <v>6.826007326007324</v>
      </c>
      <c r="AI54" s="13">
        <f>IF('Données projet'!$A$62&gt;35,AI53+AH54-AQ53,IF(A54&lt;'Données projet'!$A$62,$AF$205^A54,IF(A54='Données projet'!$A$62,'Données projet'!$B$62,AI53+AH54-AQ53)))</f>
        <v>145.78846153846149</v>
      </c>
      <c r="AJ54" s="13">
        <f>AI54*VLOOKUP('Données projet'!$B$10,Paramètres!$A$1:$I$89,3,0)*VLOOKUP('Données projet'!$B$10,Paramètres!$A$1:$I$89,5,0)</f>
        <v>131.90939999999995</v>
      </c>
      <c r="AK54" s="13">
        <f t="shared" si="35"/>
        <v>34.437190502969557</v>
      </c>
      <c r="AL54" s="20">
        <f t="shared" si="4"/>
        <v>289.72031179267179</v>
      </c>
      <c r="AM54" s="59">
        <f t="shared" si="5"/>
        <v>583.05364512600511</v>
      </c>
      <c r="AN54" s="59">
        <f ca="1">AVERAGE(OFFSET($AM$3,0,0,'Données projet'!$E$10+1,1))-AVERAGE(OFFSET($H$3,0,0,'Données projet'!$E$10+1,1))</f>
        <v>227.31630731915698</v>
      </c>
      <c r="AO54" s="59">
        <f t="shared" si="36"/>
        <v>143.7533262991908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37.685897435897431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24.335999999999999</v>
      </c>
      <c r="D55" s="11">
        <f t="shared" si="32"/>
        <v>7.7346711726299766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247.56307571854714</v>
      </c>
      <c r="H55" s="67">
        <f t="shared" si="1"/>
        <v>349.18975229233052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-1.1368683772161603E-13</v>
      </c>
      <c r="O55" s="13">
        <f>N55*VLOOKUP('Données projet'!$B$9,Paramètres!$A$1:$I$89,3,0)*VLOOKUP('Données projet'!$B$9,Paramètres!$A$1:$I$89,5,0)</f>
        <v>-5.3205440053716299E-14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294.94285920643927</v>
      </c>
      <c r="T55" s="59">
        <f t="shared" si="34"/>
        <v>399.89535338426606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161.62566329141191</v>
      </c>
      <c r="AA55" s="21">
        <f>EXP(-LN(2)/25)*AA54+(1-EXP(-LN(2)/25))/(LN(2)/25)*Calculateur!V55*Calculateur!X55*VLOOKUP('Données projet'!$B$9,Paramètres!$A$1:$I$89,3,0)*0.475*44/12</f>
        <v>172.08330353257898</v>
      </c>
      <c r="AB55" s="21">
        <f>EXP(-LN(2)/2)*AB54+(1-EXP(-LN(2)/2))/(LN(2)/2)*V55*Y55*VLOOKUP('Données projet'!$B$9,Paramètres!$A$1:$I$89,3,0)*0.475*44/12</f>
        <v>4.2361663480990248E-3</v>
      </c>
      <c r="AC55" s="22">
        <f t="shared" si="3"/>
        <v>333.71320299033897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6.3942307692307701</v>
      </c>
      <c r="AI55" s="13">
        <f>IF('Données projet'!$A$62&gt;35,AI54+AH55-AQ54,IF(A55&lt;'Données projet'!$A$62,$AF$205^A55,IF(A55='Données projet'!$A$62,'Données projet'!$B$62,AI54+AH55-AQ54)))</f>
        <v>114.49679487179483</v>
      </c>
      <c r="AJ55" s="13">
        <f>AI55*VLOOKUP('Données projet'!$B$10,Paramètres!$A$1:$I$89,3,0)*VLOOKUP('Données projet'!$B$10,Paramètres!$A$1:$I$89,5,0)</f>
        <v>103.59669999999997</v>
      </c>
      <c r="AK55" s="13">
        <f t="shared" si="35"/>
        <v>27.817091630299288</v>
      </c>
      <c r="AL55" s="20">
        <f t="shared" si="4"/>
        <v>228.87902042277122</v>
      </c>
      <c r="AM55" s="59">
        <f t="shared" si="5"/>
        <v>522.21235375610456</v>
      </c>
      <c r="AN55" s="59">
        <f ca="1">AVERAGE(OFFSET($AM$3,0,0,'Données projet'!$E$10+1,1))-AVERAGE(OFFSET($H$3,0,0,'Données projet'!$E$10+1,1))</f>
        <v>227.31630731915698</v>
      </c>
      <c r="AO55" s="59">
        <f t="shared" si="36"/>
        <v>143.7533262991908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24.803999999999998</v>
      </c>
      <c r="D56" s="11">
        <f t="shared" si="32"/>
        <v>7.8659550268183116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252.18912652280798</v>
      </c>
      <c r="H56" s="67">
        <f t="shared" si="1"/>
        <v>350.23350500504188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-1.1368683772161603E-13</v>
      </c>
      <c r="O56" s="13">
        <f>N56*VLOOKUP('Données projet'!$B$9,Paramètres!$A$1:$I$89,3,0)*VLOOKUP('Données projet'!$B$9,Paramètres!$A$1:$I$89,5,0)</f>
        <v>-5.3205440053716299E-14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294.94285920643927</v>
      </c>
      <c r="T56" s="59">
        <f t="shared" si="34"/>
        <v>399.89535338426606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158.45628261618776</v>
      </c>
      <c r="AA56" s="21">
        <f>EXP(-LN(2)/25)*AA55+(1-EXP(-LN(2)/25))/(LN(2)/25)*Calculateur!V56*Calculateur!X56*VLOOKUP('Données projet'!$B$9,Paramètres!$A$1:$I$89,3,0)*0.475*44/12</f>
        <v>167.37767654801297</v>
      </c>
      <c r="AB56" s="21">
        <f>EXP(-LN(2)/2)*AB55+(1-EXP(-LN(2)/2))/(LN(2)/2)*V56*Y56*VLOOKUP('Données projet'!$B$9,Paramètres!$A$1:$I$89,3,0)*0.475*44/12</f>
        <v>2.9954219509750733E-3</v>
      </c>
      <c r="AC56" s="22">
        <f t="shared" si="3"/>
        <v>325.83695458615171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6.3942307692307701</v>
      </c>
      <c r="AI56" s="13">
        <f>IF('Données projet'!$A$62&gt;35,AI55+AH56-AQ55,IF(A56&lt;'Données projet'!$A$62,$AF$205^A56,IF(A56='Données projet'!$A$62,'Données projet'!$B$62,AI55+AH56-AQ55)))</f>
        <v>120.89102564102561</v>
      </c>
      <c r="AJ56" s="13">
        <f>AI56*VLOOKUP('Données projet'!$B$10,Paramètres!$A$1:$I$89,3,0)*VLOOKUP('Données projet'!$B$10,Paramètres!$A$1:$I$89,5,0)</f>
        <v>109.38219999999997</v>
      </c>
      <c r="AK56" s="13">
        <f t="shared" si="35"/>
        <v>29.185378395108014</v>
      </c>
      <c r="AL56" s="20">
        <f t="shared" si="4"/>
        <v>241.33853237147972</v>
      </c>
      <c r="AM56" s="59">
        <f t="shared" si="5"/>
        <v>534.67186570481306</v>
      </c>
      <c r="AN56" s="59">
        <f ca="1">AVERAGE(OFFSET($AM$3,0,0,'Données projet'!$E$10+1,1))-AVERAGE(OFFSET($H$3,0,0,'Données projet'!$E$10+1,1))</f>
        <v>227.31630731915698</v>
      </c>
      <c r="AO56" s="59">
        <f t="shared" si="36"/>
        <v>143.7533262991908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25.271999999999998</v>
      </c>
      <c r="D57" s="11">
        <f t="shared" si="32"/>
        <v>7.996950850258413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256.81295393181932</v>
      </c>
      <c r="H57" s="67">
        <f t="shared" si="1"/>
        <v>351.27675606420007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-1.1368683772161603E-13</v>
      </c>
      <c r="O57" s="13">
        <f>N57*VLOOKUP('Données projet'!$B$9,Paramètres!$A$1:$I$89,3,0)*VLOOKUP('Données projet'!$B$9,Paramètres!$A$1:$I$89,5,0)</f>
        <v>-5.3205440053716299E-14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294.94285920643927</v>
      </c>
      <c r="T57" s="59">
        <f t="shared" si="34"/>
        <v>399.89535338426606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155.34905156287346</v>
      </c>
      <c r="AA57" s="21">
        <f>EXP(-LN(2)/25)*AA56+(1-EXP(-LN(2)/25))/(LN(2)/25)*Calculateur!V57*Calculateur!X57*VLOOKUP('Données projet'!$B$9,Paramètres!$A$1:$I$89,3,0)*0.475*44/12</f>
        <v>162.80072518079808</v>
      </c>
      <c r="AB57" s="21">
        <f>EXP(-LN(2)/2)*AB56+(1-EXP(-LN(2)/2))/(LN(2)/2)*V57*Y57*VLOOKUP('Données projet'!$B$9,Paramètres!$A$1:$I$89,3,0)*0.475*44/12</f>
        <v>2.1180831740495124E-3</v>
      </c>
      <c r="AC57" s="22">
        <f t="shared" si="3"/>
        <v>318.15189482684553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6.3942307692307701</v>
      </c>
      <c r="AI57" s="13">
        <f>IF('Données projet'!$A$62&gt;35,AI56+AH57-AQ56,IF(A57&lt;'Données projet'!$A$62,$AF$205^A57,IF(A57='Données projet'!$A$62,'Données projet'!$B$62,AI56+AH57-AQ56)))</f>
        <v>127.28525641025638</v>
      </c>
      <c r="AJ57" s="13">
        <f>AI57*VLOOKUP('Données projet'!$B$10,Paramètres!$A$1:$I$89,3,0)*VLOOKUP('Données projet'!$B$10,Paramètres!$A$1:$I$89,5,0)</f>
        <v>115.16769999999995</v>
      </c>
      <c r="AK57" s="13">
        <f t="shared" si="35"/>
        <v>30.545262787038261</v>
      </c>
      <c r="AL57" s="20">
        <f t="shared" si="4"/>
        <v>253.78341018742489</v>
      </c>
      <c r="AM57" s="59">
        <f t="shared" si="5"/>
        <v>547.11674352075818</v>
      </c>
      <c r="AN57" s="59">
        <f ca="1">AVERAGE(OFFSET($AM$3,0,0,'Données projet'!$E$10+1,1))-AVERAGE(OFFSET($H$3,0,0,'Données projet'!$E$10+1,1))</f>
        <v>227.31630731915698</v>
      </c>
      <c r="AO57" s="59">
        <f t="shared" si="36"/>
        <v>143.7533262991908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25.74</v>
      </c>
      <c r="D58" s="11">
        <f t="shared" si="32"/>
        <v>8.1276645919917723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261.43460386800666</v>
      </c>
      <c r="H58" s="67">
        <f t="shared" si="1"/>
        <v>352.31951583105229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-5.3205440053716299E-14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294.94285920643927</v>
      </c>
      <c r="T58" s="59">
        <f t="shared" si="34"/>
        <v>399.89535338426606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152.30275141529083</v>
      </c>
      <c r="AA58" s="21">
        <f>EXP(-LN(2)/25)*AA57+(1-EXP(-LN(2)/25))/(LN(2)/25)*Calculateur!V58*Calculateur!X58*VLOOKUP('Données projet'!$B$9,Paramètres!$A$1:$I$89,3,0)*0.475*44/12</f>
        <v>158.3489307894111</v>
      </c>
      <c r="AB58" s="21">
        <f>EXP(-LN(2)/2)*AB57+(1-EXP(-LN(2)/2))/(LN(2)/2)*V58*Y58*VLOOKUP('Données projet'!$B$9,Paramètres!$A$1:$I$89,3,0)*0.475*44/12</f>
        <v>1.4977109754875366E-3</v>
      </c>
      <c r="AC58" s="22">
        <f t="shared" si="3"/>
        <v>310.65317991567747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6.3942307692307701</v>
      </c>
      <c r="AI58" s="13">
        <f>IF('Données projet'!$A$62&gt;35,AI57+AH58-AQ57,IF(A58&lt;'Données projet'!$A$62,$AF$205^A58,IF(A58='Données projet'!$A$62,'Données projet'!$B$62,AI57+AH58-AQ57)))</f>
        <v>133.67948717948715</v>
      </c>
      <c r="AJ58" s="13">
        <f>AI58*VLOOKUP('Données projet'!$B$10,Paramètres!$A$1:$I$89,3,0)*VLOOKUP('Données projet'!$B$10,Paramètres!$A$1:$I$89,5,0)</f>
        <v>120.95319999999997</v>
      </c>
      <c r="AK58" s="13">
        <f t="shared" si="35"/>
        <v>31.897215065171491</v>
      </c>
      <c r="AL58" s="20">
        <f t="shared" si="4"/>
        <v>266.21447290517364</v>
      </c>
      <c r="AM58" s="59">
        <f t="shared" si="5"/>
        <v>559.54780623850695</v>
      </c>
      <c r="AN58" s="59">
        <f ca="1">AVERAGE(OFFSET($AM$3,0,0,'Données projet'!$E$10+1,1))-AVERAGE(OFFSET($H$3,0,0,'Données projet'!$E$10+1,1))</f>
        <v>227.31630731915698</v>
      </c>
      <c r="AO58" s="59">
        <f t="shared" si="36"/>
        <v>143.7533262991908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26.207999999999998</v>
      </c>
      <c r="D59" s="11">
        <f t="shared" si="32"/>
        <v>8.2581019723450986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266.05412048827799</v>
      </c>
      <c r="H59" s="67">
        <f t="shared" si="1"/>
        <v>353.361794268501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-5.3205440053716299E-14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294.94285920643927</v>
      </c>
      <c r="T59" s="59">
        <f t="shared" si="34"/>
        <v>399.89535338426606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149.31618735554267</v>
      </c>
      <c r="AA59" s="21">
        <f>EXP(-LN(2)/25)*AA58+(1-EXP(-LN(2)/25))/(LN(2)/25)*Calculateur!V59*Calculateur!X59*VLOOKUP('Données projet'!$B$9,Paramètres!$A$1:$I$89,3,0)*0.475*44/12</f>
        <v>154.0188709497663</v>
      </c>
      <c r="AB59" s="21">
        <f>EXP(-LN(2)/2)*AB58+(1-EXP(-LN(2)/2))/(LN(2)/2)*V59*Y59*VLOOKUP('Données projet'!$B$9,Paramètres!$A$1:$I$89,3,0)*0.475*44/12</f>
        <v>1.0590415870247562E-3</v>
      </c>
      <c r="AC59" s="22">
        <f t="shared" si="3"/>
        <v>303.336117346896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6.3942307692307701</v>
      </c>
      <c r="AI59" s="13">
        <f>IF('Données projet'!$A$62&gt;35,AI58+AH59-AQ58,IF(A59&lt;'Données projet'!$A$62,$AF$205^A59,IF(A59='Données projet'!$A$62,'Données projet'!$B$62,AI58+AH59-AQ58)))</f>
        <v>140.07371794871793</v>
      </c>
      <c r="AJ59" s="13">
        <f>AI59*VLOOKUP('Données projet'!$B$10,Paramètres!$A$1:$I$89,3,0)*VLOOKUP('Données projet'!$B$10,Paramètres!$A$1:$I$89,5,0)</f>
        <v>126.73869999999998</v>
      </c>
      <c r="AK59" s="13">
        <f t="shared" si="35"/>
        <v>33.241657959244336</v>
      </c>
      <c r="AL59" s="20">
        <f t="shared" si="4"/>
        <v>278.63245677901716</v>
      </c>
      <c r="AM59" s="59">
        <f t="shared" si="5"/>
        <v>571.96579011235053</v>
      </c>
      <c r="AN59" s="59">
        <f ca="1">AVERAGE(OFFSET($AM$3,0,0,'Données projet'!$E$10+1,1))-AVERAGE(OFFSET($H$3,0,0,'Données projet'!$E$10+1,1))</f>
        <v>227.31630731915698</v>
      </c>
      <c r="AO59" s="59">
        <f t="shared" si="36"/>
        <v>143.7533262991908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26.675999999999998</v>
      </c>
      <c r="D60" s="11">
        <f t="shared" si="32"/>
        <v>8.388268495647786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270.67154628219339</v>
      </c>
      <c r="H60" s="67">
        <f t="shared" si="1"/>
        <v>354.40360096325321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-5.3205440053716299E-14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294.94285920643927</v>
      </c>
      <c r="T60" s="59">
        <f t="shared" si="34"/>
        <v>399.89535338426606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146.38818799538197</v>
      </c>
      <c r="AA60" s="21">
        <f>EXP(-LN(2)/25)*AA59+(1-EXP(-LN(2)/25))/(LN(2)/25)*Calculateur!V60*Calculateur!X60*VLOOKUP('Données projet'!$B$9,Paramètres!$A$1:$I$89,3,0)*0.475*44/12</f>
        <v>149.80721682414452</v>
      </c>
      <c r="AB60" s="21">
        <f>EXP(-LN(2)/2)*AB59+(1-EXP(-LN(2)/2))/(LN(2)/2)*V60*Y60*VLOOKUP('Données projet'!$B$9,Paramètres!$A$1:$I$89,3,0)*0.475*44/12</f>
        <v>7.4885548774376832E-4</v>
      </c>
      <c r="AC60" s="22">
        <f t="shared" si="3"/>
        <v>296.19615367501427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6.3942307692307701</v>
      </c>
      <c r="AI60" s="13">
        <f>IF('Données projet'!$A$62&gt;35,AI59+AH60-AQ59,IF(A60&lt;'Données projet'!$A$62,$AF$205^A60,IF(A60='Données projet'!$A$62,'Données projet'!$B$62,AI59+AH60-AQ59)))</f>
        <v>146.4679487179487</v>
      </c>
      <c r="AJ60" s="13">
        <f>AI60*VLOOKUP('Données projet'!$B$10,Paramètres!$A$1:$I$89,3,0)*VLOOKUP('Données projet'!$B$10,Paramètres!$A$1:$I$89,5,0)</f>
        <v>132.52419999999998</v>
      </c>
      <c r="AK60" s="13">
        <f t="shared" si="35"/>
        <v>34.578973423062216</v>
      </c>
      <c r="AL60" s="20">
        <f t="shared" si="4"/>
        <v>291.03802704516664</v>
      </c>
      <c r="AM60" s="59">
        <f t="shared" si="5"/>
        <v>584.37136037849996</v>
      </c>
      <c r="AN60" s="59">
        <f ca="1">AVERAGE(OFFSET($AM$3,0,0,'Données projet'!$E$10+1,1))-AVERAGE(OFFSET($H$3,0,0,'Données projet'!$E$10+1,1))</f>
        <v>227.31630731915698</v>
      </c>
      <c r="AO60" s="59">
        <f t="shared" si="36"/>
        <v>143.7533262991908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27.143999999999998</v>
      </c>
      <c r="D61" s="11">
        <f t="shared" si="32"/>
        <v>8.5181694620316346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275.2869221630512</v>
      </c>
      <c r="H61" s="67">
        <f t="shared" si="1"/>
        <v>355.44494514637177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-5.3205440053716299E-14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294.94285920643927</v>
      </c>
      <c r="T61" s="59">
        <f t="shared" si="34"/>
        <v>399.89535338426606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143.51760491677075</v>
      </c>
      <c r="AA61" s="21">
        <f>EXP(-LN(2)/25)*AA60+(1-EXP(-LN(2)/25))/(LN(2)/25)*Calculateur!V61*Calculateur!X61*VLOOKUP('Données projet'!$B$9,Paramètres!$A$1:$I$89,3,0)*0.475*44/12</f>
        <v>145.71073060206913</v>
      </c>
      <c r="AB61" s="21">
        <f>EXP(-LN(2)/2)*AB60+(1-EXP(-LN(2)/2))/(LN(2)/2)*V61*Y61*VLOOKUP('Données projet'!$B$9,Paramètres!$A$1:$I$89,3,0)*0.475*44/12</f>
        <v>5.2952079351237811E-4</v>
      </c>
      <c r="AC61" s="22">
        <f t="shared" si="3"/>
        <v>289.22886503963343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6.3942307692307701</v>
      </c>
      <c r="AI61" s="13">
        <f>IF('Données projet'!$A$62&gt;35,AI60+AH61-AQ60,IF(A61&lt;'Données projet'!$A$62,$AF$205^A61,IF(A61='Données projet'!$A$62,'Données projet'!$B$62,AI60+AH61-AQ60)))</f>
        <v>152.86217948717947</v>
      </c>
      <c r="AJ61" s="13">
        <f>AI61*VLOOKUP('Données projet'!$B$10,Paramètres!$A$1:$I$89,3,0)*VLOOKUP('Données projet'!$B$10,Paramètres!$A$1:$I$89,5,0)</f>
        <v>138.30969999999999</v>
      </c>
      <c r="AK61" s="13">
        <f t="shared" si="35"/>
        <v>35.909508175318372</v>
      </c>
      <c r="AL61" s="20">
        <f t="shared" si="4"/>
        <v>303.43178757201281</v>
      </c>
      <c r="AM61" s="59">
        <f t="shared" si="5"/>
        <v>596.76512090534607</v>
      </c>
      <c r="AN61" s="59">
        <f ca="1">AVERAGE(OFFSET($AM$3,0,0,'Données projet'!$E$10+1,1))-AVERAGE(OFFSET($H$3,0,0,'Données projet'!$E$10+1,1))</f>
        <v>227.31630731915698</v>
      </c>
      <c r="AO61" s="59">
        <f t="shared" si="36"/>
        <v>143.7533262991908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27.611999999999998</v>
      </c>
      <c r="D62" s="11">
        <f t="shared" si="32"/>
        <v>8.6478099783937541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279.90028755251325</v>
      </c>
      <c r="H62" s="67">
        <f t="shared" si="1"/>
        <v>356.48583571236912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-5.3205440053716299E-14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294.94285920643927</v>
      </c>
      <c r="T62" s="59">
        <f t="shared" si="34"/>
        <v>399.89535338426606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140.7033122214483</v>
      </c>
      <c r="AA62" s="21">
        <f>EXP(-LN(2)/25)*AA61+(1-EXP(-LN(2)/25))/(LN(2)/25)*Calculateur!V62*Calculateur!X62*VLOOKUP('Données projet'!$B$9,Paramètres!$A$1:$I$89,3,0)*0.475*44/12</f>
        <v>141.72626301116125</v>
      </c>
      <c r="AB62" s="21">
        <f>EXP(-LN(2)/2)*AB61+(1-EXP(-LN(2)/2))/(LN(2)/2)*V62*Y62*VLOOKUP('Données projet'!$B$9,Paramètres!$A$1:$I$89,3,0)*0.475*44/12</f>
        <v>3.7442774387188416E-4</v>
      </c>
      <c r="AC62" s="22">
        <f t="shared" si="3"/>
        <v>282.42994966035337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159.25641025641025</v>
      </c>
      <c r="AG62" s="12">
        <f>VLOOKUP(A62,'Données projet'!$A$61:$I$81,9,0)</f>
        <v>6.3942307692307701</v>
      </c>
      <c r="AH62" s="12">
        <f t="array" ref="AH62">INDEX(AG:AG,MIN(IF(ISNUMBER(AG62:AG258),ROW(AG62:AG258),"")))</f>
        <v>6.3942307692307701</v>
      </c>
      <c r="AI62" s="13">
        <f>IF('Données projet'!$A$62&gt;35,AI61+AH62-AQ61,IF(A62&lt;'Données projet'!$A$62,$AF$205^A62,IF(A62='Données projet'!$A$62,'Données projet'!$B$62,AI61+AH62-AQ61)))</f>
        <v>159.25641025641025</v>
      </c>
      <c r="AJ62" s="13">
        <f>AI62*VLOOKUP('Données projet'!$B$10,Paramètres!$A$1:$I$89,3,0)*VLOOKUP('Données projet'!$B$10,Paramètres!$A$1:$I$89,5,0)</f>
        <v>144.09520000000001</v>
      </c>
      <c r="AK62" s="13">
        <f t="shared" si="35"/>
        <v>37.23357828719589</v>
      </c>
      <c r="AL62" s="20">
        <f t="shared" si="4"/>
        <v>315.81428885019949</v>
      </c>
      <c r="AM62" s="59">
        <f t="shared" si="5"/>
        <v>609.1476221835328</v>
      </c>
      <c r="AN62" s="59">
        <f ca="1">AVERAGE(OFFSET($AM$3,0,0,'Données projet'!$E$10+1,1))-AVERAGE(OFFSET($H$3,0,0,'Données projet'!$E$10+1,1))</f>
        <v>227.31630731915698</v>
      </c>
      <c r="AO62" s="59">
        <f t="shared" si="36"/>
        <v>143.7533262991908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38.942307692307693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28.08</v>
      </c>
      <c r="D63" s="11">
        <f t="shared" si="32"/>
        <v>8.7771949685951878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284.51168045933133</v>
      </c>
      <c r="H63" s="67">
        <f t="shared" si="1"/>
        <v>357.52628123696991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-5.3205440053716299E-14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294.94285920643927</v>
      </c>
      <c r="T63" s="59">
        <f t="shared" si="34"/>
        <v>399.89535338426606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137.94420608933208</v>
      </c>
      <c r="AA63" s="21">
        <f>EXP(-LN(2)/25)*AA62+(1-EXP(-LN(2)/25))/(LN(2)/25)*Calculateur!V63*Calculateur!X63*VLOOKUP('Données projet'!$B$9,Paramètres!$A$1:$I$89,3,0)*0.475*44/12</f>
        <v>137.85075089606079</v>
      </c>
      <c r="AB63" s="21">
        <f>EXP(-LN(2)/2)*AB62+(1-EXP(-LN(2)/2))/(LN(2)/2)*V63*Y63*VLOOKUP('Données projet'!$B$9,Paramètres!$A$1:$I$89,3,0)*0.475*44/12</f>
        <v>2.6476039675618905E-4</v>
      </c>
      <c r="AC63" s="22">
        <f t="shared" si="3"/>
        <v>275.79522174578966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5.9431089743589762</v>
      </c>
      <c r="AI63" s="13">
        <f>IF('Données projet'!$A$62&gt;35,AI62+AH63-AQ62,IF(A63&lt;'Données projet'!$A$62,$AF$205^A63,IF(A63='Données projet'!$A$62,'Données projet'!$B$62,AI62+AH63-AQ62)))</f>
        <v>126.25721153846153</v>
      </c>
      <c r="AJ63" s="13">
        <f>AI63*VLOOKUP('Données projet'!$B$10,Paramètres!$A$1:$I$89,3,0)*VLOOKUP('Données projet'!$B$10,Paramètres!$A$1:$I$89,5,0)</f>
        <v>114.23752499999999</v>
      </c>
      <c r="AK63" s="13">
        <f t="shared" si="35"/>
        <v>30.327171529636239</v>
      </c>
      <c r="AL63" s="20">
        <f t="shared" si="4"/>
        <v>251.78351312244976</v>
      </c>
      <c r="AM63" s="59">
        <f t="shared" si="5"/>
        <v>545.11684645578305</v>
      </c>
      <c r="AN63" s="59">
        <f ca="1">AVERAGE(OFFSET($AM$3,0,0,'Données projet'!$E$10+1,1))-AVERAGE(OFFSET($H$3,0,0,'Données projet'!$E$10+1,1))</f>
        <v>227.31630731915698</v>
      </c>
      <c r="AO63" s="59">
        <f t="shared" si="36"/>
        <v>143.7533262991908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28.547999999999998</v>
      </c>
      <c r="D64" s="11">
        <f t="shared" si="32"/>
        <v>8.9063291829603237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289.1211375526762</v>
      </c>
      <c r="H64" s="67">
        <f t="shared" si="1"/>
        <v>358.56628999365586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-5.3205440053716299E-14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294.94285920643927</v>
      </c>
      <c r="T64" s="59">
        <f t="shared" si="34"/>
        <v>399.89535338426606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135.23920434557809</v>
      </c>
      <c r="AA64" s="21">
        <f>EXP(-LN(2)/25)*AA63+(1-EXP(-LN(2)/25))/(LN(2)/25)*Calculateur!V64*Calculateur!X64*VLOOKUP('Données projet'!$B$9,Paramètres!$A$1:$I$89,3,0)*0.475*44/12</f>
        <v>134.08121486355208</v>
      </c>
      <c r="AB64" s="21">
        <f>EXP(-LN(2)/2)*AB63+(1-EXP(-LN(2)/2))/(LN(2)/2)*V64*Y64*VLOOKUP('Données projet'!$B$9,Paramètres!$A$1:$I$89,3,0)*0.475*44/12</f>
        <v>1.8721387193594208E-4</v>
      </c>
      <c r="AC64" s="22">
        <f t="shared" si="3"/>
        <v>269.32060642300206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5.9431089743589762</v>
      </c>
      <c r="AI64" s="13">
        <f>IF('Données projet'!$A$62&gt;35,AI63+AH64-AQ63,IF(A64&lt;'Données projet'!$A$62,$AF$205^A64,IF(A64='Données projet'!$A$62,'Données projet'!$B$62,AI63+AH64-AQ63)))</f>
        <v>132.2003205128205</v>
      </c>
      <c r="AJ64" s="13">
        <f>AI64*VLOOKUP('Données projet'!$B$10,Paramètres!$A$1:$I$89,3,0)*VLOOKUP('Données projet'!$B$10,Paramètres!$A$1:$I$89,5,0)</f>
        <v>119.61484999999999</v>
      </c>
      <c r="AK64" s="13">
        <f t="shared" si="35"/>
        <v>31.585152581402479</v>
      </c>
      <c r="AL64" s="20">
        <f t="shared" si="4"/>
        <v>263.34000449594265</v>
      </c>
      <c r="AM64" s="59">
        <f t="shared" si="5"/>
        <v>556.67333782927597</v>
      </c>
      <c r="AN64" s="59">
        <f ca="1">AVERAGE(OFFSET($AM$3,0,0,'Données projet'!$E$10+1,1))-AVERAGE(OFFSET($H$3,0,0,'Données projet'!$E$10+1,1))</f>
        <v>227.31630731915698</v>
      </c>
      <c r="AO64" s="59">
        <f t="shared" si="36"/>
        <v>143.7533262991908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29.015999999999998</v>
      </c>
      <c r="D65" s="11">
        <f t="shared" si="32"/>
        <v>9.0352172071357693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293.72869423052168</v>
      </c>
      <c r="H65" s="67">
        <f t="shared" si="1"/>
        <v>359.60586996909478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-5.3205440053716299E-14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294.94285920643927</v>
      </c>
      <c r="T65" s="59">
        <f t="shared" si="34"/>
        <v>399.89535338426606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132.58724603613095</v>
      </c>
      <c r="AA65" s="21">
        <f>EXP(-LN(2)/25)*AA64+(1-EXP(-LN(2)/25))/(LN(2)/25)*Calculateur!V65*Calculateur!X65*VLOOKUP('Données projet'!$B$9,Paramètres!$A$1:$I$89,3,0)*0.475*44/12</f>
        <v>130.4147569920836</v>
      </c>
      <c r="AB65" s="21">
        <f>EXP(-LN(2)/2)*AB64+(1-EXP(-LN(2)/2))/(LN(2)/2)*V65*Y65*VLOOKUP('Données projet'!$B$9,Paramètres!$A$1:$I$89,3,0)*0.475*44/12</f>
        <v>1.3238019837809453E-4</v>
      </c>
      <c r="AC65" s="22">
        <f t="shared" si="3"/>
        <v>263.00213540841287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5.9431089743589762</v>
      </c>
      <c r="AI65" s="13">
        <f>IF('Données projet'!$A$62&gt;35,AI64+AH65-AQ64,IF(A65&lt;'Données projet'!$A$62,$AF$205^A65,IF(A65='Données projet'!$A$62,'Données projet'!$B$62,AI64+AH65-AQ64)))</f>
        <v>138.14342948717947</v>
      </c>
      <c r="AJ65" s="13">
        <f>AI65*VLOOKUP('Données projet'!$B$10,Paramètres!$A$1:$I$89,3,0)*VLOOKUP('Données projet'!$B$10,Paramètres!$A$1:$I$89,5,0)</f>
        <v>124.99217499999997</v>
      </c>
      <c r="AK65" s="13">
        <f t="shared" si="35"/>
        <v>32.836565726562206</v>
      </c>
      <c r="AL65" s="20">
        <f t="shared" si="4"/>
        <v>274.88505676542917</v>
      </c>
      <c r="AM65" s="59">
        <f t="shared" si="5"/>
        <v>568.21839009876248</v>
      </c>
      <c r="AN65" s="59">
        <f ca="1">AVERAGE(OFFSET($AM$3,0,0,'Données projet'!$E$10+1,1))-AVERAGE(OFFSET($H$3,0,0,'Données projet'!$E$10+1,1))</f>
        <v>227.31630731915698</v>
      </c>
      <c r="AO65" s="59">
        <f t="shared" si="36"/>
        <v>143.7533262991908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29.483999999999998</v>
      </c>
      <c r="D66" s="11">
        <f t="shared" si="32"/>
        <v>9.1638634703614379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298.33438468349181</v>
      </c>
      <c r="H66" s="67">
        <f t="shared" si="1"/>
        <v>360.64502887754617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-5.3205440053716299E-14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294.94285920643927</v>
      </c>
      <c r="T66" s="59">
        <f t="shared" si="34"/>
        <v>399.89535338426606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129.98729101159722</v>
      </c>
      <c r="AA66" s="21">
        <f>EXP(-LN(2)/25)*AA65+(1-EXP(-LN(2)/25))/(LN(2)/25)*Calculateur!V66*Calculateur!X66*VLOOKUP('Données projet'!$B$9,Paramètres!$A$1:$I$89,3,0)*0.475*44/12</f>
        <v>126.84855860392106</v>
      </c>
      <c r="AB66" s="21">
        <f>EXP(-LN(2)/2)*AB65+(1-EXP(-LN(2)/2))/(LN(2)/2)*V66*Y66*VLOOKUP('Données projet'!$B$9,Paramètres!$A$1:$I$89,3,0)*0.475*44/12</f>
        <v>9.360693596797104E-5</v>
      </c>
      <c r="AC66" s="22">
        <f t="shared" si="3"/>
        <v>256.83594322245426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5.9431089743589762</v>
      </c>
      <c r="AI66" s="13">
        <f>IF('Données projet'!$A$62&gt;35,AI65+AH66-AQ65,IF(A66&lt;'Données projet'!$A$62,$AF$205^A66,IF(A66='Données projet'!$A$62,'Données projet'!$B$62,AI65+AH66-AQ65)))</f>
        <v>144.08653846153845</v>
      </c>
      <c r="AJ66" s="13">
        <f>AI66*VLOOKUP('Données projet'!$B$10,Paramètres!$A$1:$I$89,3,0)*VLOOKUP('Données projet'!$B$10,Paramètres!$A$1:$I$89,5,0)</f>
        <v>130.36949999999999</v>
      </c>
      <c r="AK66" s="13">
        <f t="shared" si="35"/>
        <v>34.081725824623319</v>
      </c>
      <c r="AL66" s="20">
        <f t="shared" si="4"/>
        <v>286.41921831121891</v>
      </c>
      <c r="AM66" s="59">
        <f t="shared" si="5"/>
        <v>579.75255164455223</v>
      </c>
      <c r="AN66" s="59">
        <f ca="1">AVERAGE(OFFSET($AM$3,0,0,'Données projet'!$E$10+1,1))-AVERAGE(OFFSET($H$3,0,0,'Données projet'!$E$10+1,1))</f>
        <v>227.31630731915698</v>
      </c>
      <c r="AO66" s="59">
        <f t="shared" si="36"/>
        <v>143.7533262991908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29.951999999999998</v>
      </c>
      <c r="D67" s="11">
        <f t="shared" si="32"/>
        <v>9.2922722532016273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302.93824195453891</v>
      </c>
      <c r="H67" s="67">
        <f t="shared" si="1"/>
        <v>361.68377417432612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-5.3205440053716299E-14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294.94285920643927</v>
      </c>
      <c r="T67" s="59">
        <f t="shared" si="34"/>
        <v>399.89535338426606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127.43831951927864</v>
      </c>
      <c r="AA67" s="21">
        <f>EXP(-LN(2)/25)*AA66+(1-EXP(-LN(2)/25))/(LN(2)/25)*Calculateur!V67*Calculateur!X67*VLOOKUP('Données projet'!$B$9,Paramètres!$A$1:$I$89,3,0)*0.475*44/12</f>
        <v>123.37987809822106</v>
      </c>
      <c r="AB67" s="21">
        <f>EXP(-LN(2)/2)*AB66+(1-EXP(-LN(2)/2))/(LN(2)/2)*V67*Y67*VLOOKUP('Données projet'!$B$9,Paramètres!$A$1:$I$89,3,0)*0.475*44/12</f>
        <v>6.6190099189047263E-5</v>
      </c>
      <c r="AC67" s="22">
        <f t="shared" si="3"/>
        <v>250.81826380759887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5.9431089743589762</v>
      </c>
      <c r="AI67" s="13">
        <f>IF('Données projet'!$A$62&gt;35,AI66+AH67-AQ66,IF(A67&lt;'Données projet'!$A$62,$AF$205^A67,IF(A67='Données projet'!$A$62,'Données projet'!$B$62,AI66+AH67-AQ66)))</f>
        <v>150.02964743589743</v>
      </c>
      <c r="AJ67" s="13">
        <f>AI67*VLOOKUP('Données projet'!$B$10,Paramètres!$A$1:$I$89,3,0)*VLOOKUP('Données projet'!$B$10,Paramètres!$A$1:$I$89,5,0)</f>
        <v>135.746825</v>
      </c>
      <c r="AK67" s="13">
        <f t="shared" si="35"/>
        <v>35.320920291530086</v>
      </c>
      <c r="AL67" s="20">
        <f t="shared" si="4"/>
        <v>297.94298971608151</v>
      </c>
      <c r="AM67" s="59">
        <f t="shared" si="5"/>
        <v>591.27632304941483</v>
      </c>
      <c r="AN67" s="59">
        <f ca="1">AVERAGE(OFFSET($AM$3,0,0,'Données projet'!$E$10+1,1))-AVERAGE(OFFSET($H$3,0,0,'Données projet'!$E$10+1,1))</f>
        <v>227.31630731915698</v>
      </c>
      <c r="AO67" s="59">
        <f t="shared" si="36"/>
        <v>143.7533262991908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30.419999999999998</v>
      </c>
      <c r="D68" s="11">
        <f t="shared" si="32"/>
        <v>9.4204476947792024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307.54029799478684</v>
      </c>
      <c r="H68" s="67">
        <f t="shared" ref="H68:H131" si="56">(B68+E68+F68)*44/12+(C68+D68)*0.475*44/12</f>
        <v>362.72211306840711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-5.3205440053716299E-14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294.94285920643927</v>
      </c>
      <c r="T68" s="59">
        <f t="shared" si="34"/>
        <v>399.89535338426606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124.93933180320532</v>
      </c>
      <c r="AA68" s="21">
        <f>EXP(-LN(2)/25)*AA67+(1-EXP(-LN(2)/25))/(LN(2)/25)*Calculateur!V68*Calculateur!X68*VLOOKUP('Données projet'!$B$9,Paramètres!$A$1:$I$89,3,0)*0.475*44/12</f>
        <v>120.00604884335939</v>
      </c>
      <c r="AB68" s="21">
        <f>EXP(-LN(2)/2)*AB67+(1-EXP(-LN(2)/2))/(LN(2)/2)*V68*Y68*VLOOKUP('Données projet'!$B$9,Paramètres!$A$1:$I$89,3,0)*0.475*44/12</f>
        <v>4.680346798398552E-5</v>
      </c>
      <c r="AC68" s="22">
        <f t="shared" ref="AC68:AC131" si="57">SUM(Z68:AB68)</f>
        <v>244.94542745003272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5.9431089743589762</v>
      </c>
      <c r="AI68" s="13">
        <f>IF('Données projet'!$A$62&gt;35,AI67+AH68-AQ67,IF(A68&lt;'Données projet'!$A$62,$AF$205^A68,IF(A68='Données projet'!$A$62,'Données projet'!$B$62,AI67+AH68-AQ67)))</f>
        <v>155.97275641025641</v>
      </c>
      <c r="AJ68" s="13">
        <f>AI68*VLOOKUP('Données projet'!$B$10,Paramètres!$A$1:$I$89,3,0)*VLOOKUP('Données projet'!$B$10,Paramètres!$A$1:$I$89,5,0)</f>
        <v>141.12414999999999</v>
      </c>
      <c r="AK68" s="13">
        <f t="shared" si="35"/>
        <v>36.554412483418083</v>
      </c>
      <c r="AL68" s="20">
        <f t="shared" ref="AL68:AL131" si="58">(AJ68+AK68)*0.475*44/12</f>
        <v>309.45682965861977</v>
      </c>
      <c r="AM68" s="59">
        <f t="shared" ref="AM68:AM131" si="59">AL68+(AD68+AE68)*44/12</f>
        <v>602.79016299195314</v>
      </c>
      <c r="AN68" s="59">
        <f ca="1">AVERAGE(OFFSET($AM$3,0,0,'Données projet'!$E$10+1,1))-AVERAGE(OFFSET($H$3,0,0,'Données projet'!$E$10+1,1))</f>
        <v>227.31630731915698</v>
      </c>
      <c r="AO68" s="59">
        <f t="shared" si="36"/>
        <v>143.7533262991908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30.887999999999998</v>
      </c>
      <c r="D69" s="11">
        <f t="shared" ref="D69:D132" si="86">IFERROR(EXP(-1.0587+0.8836*LN(C69)+0.284),0)</f>
        <v>9.5483937995519046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312.14058371583923</v>
      </c>
      <c r="H69" s="67">
        <f t="shared" si="56"/>
        <v>363.76005253421954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-5.3205440053716299E-14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294.94285920643927</v>
      </c>
      <c r="T69" s="59">
        <f t="shared" ref="T69:T132" si="88">$T$3</f>
        <v>399.89535338426606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122.4893477120122</v>
      </c>
      <c r="AA69" s="21">
        <f>EXP(-LN(2)/25)*AA68+(1-EXP(-LN(2)/25))/(LN(2)/25)*Calculateur!V69*Calculateur!X69*VLOOKUP('Données projet'!$B$9,Paramètres!$A$1:$I$89,3,0)*0.475*44/12</f>
        <v>116.7244771268939</v>
      </c>
      <c r="AB69" s="21">
        <f>EXP(-LN(2)/2)*AB68+(1-EXP(-LN(2)/2))/(LN(2)/2)*V69*Y69*VLOOKUP('Données projet'!$B$9,Paramètres!$A$1:$I$89,3,0)*0.475*44/12</f>
        <v>3.3095049594523632E-5</v>
      </c>
      <c r="AC69" s="22">
        <f t="shared" si="57"/>
        <v>239.21385793395569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5.9431089743589762</v>
      </c>
      <c r="AI69" s="13">
        <f>IF('Données projet'!$A$62&gt;35,AI68+AH69-AQ68,IF(A69&lt;'Données projet'!$A$62,$AF$205^A69,IF(A69='Données projet'!$A$62,'Données projet'!$B$62,AI68+AH69-AQ68)))</f>
        <v>161.91586538461539</v>
      </c>
      <c r="AJ69" s="13">
        <f>AI69*VLOOKUP('Données projet'!$B$10,Paramètres!$A$1:$I$89,3,0)*VLOOKUP('Données projet'!$B$10,Paramètres!$A$1:$I$89,5,0)</f>
        <v>146.501475</v>
      </c>
      <c r="AK69" s="13">
        <f t="shared" ref="AK69:AK132" si="89">EXP(-1.0587+0.8836*LN(AJ69)+0.284)</f>
        <v>37.782444550133206</v>
      </c>
      <c r="AL69" s="20">
        <f t="shared" si="58"/>
        <v>320.96115988314858</v>
      </c>
      <c r="AM69" s="59">
        <f t="shared" si="59"/>
        <v>614.2944932164819</v>
      </c>
      <c r="AN69" s="59">
        <f ca="1">AVERAGE(OFFSET($AM$3,0,0,'Données projet'!$E$10+1,1))-AVERAGE(OFFSET($H$3,0,0,'Données projet'!$E$10+1,1))</f>
        <v>227.31630731915698</v>
      </c>
      <c r="AO69" s="59">
        <f t="shared" ref="AO69:AO132" si="90">$AO$3</f>
        <v>143.7533262991908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31.355999999999998</v>
      </c>
      <c r="D70" s="11">
        <f t="shared" si="86"/>
        <v>9.6761144436663837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316.73912903882825</v>
      </c>
      <c r="H70" s="67">
        <f t="shared" si="56"/>
        <v>364.79759932271895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-5.3205440053716299E-14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294.94285920643927</v>
      </c>
      <c r="T70" s="59">
        <f t="shared" si="88"/>
        <v>399.89535338426606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120.08740631450463</v>
      </c>
      <c r="AA70" s="21">
        <f>EXP(-LN(2)/25)*AA69+(1-EXP(-LN(2)/25))/(LN(2)/25)*Calculateur!V70*Calculateur!X70*VLOOKUP('Données projet'!$B$9,Paramètres!$A$1:$I$89,3,0)*0.475*44/12</f>
        <v>113.53264016158552</v>
      </c>
      <c r="AB70" s="21">
        <f>EXP(-LN(2)/2)*AB69+(1-EXP(-LN(2)/2))/(LN(2)/2)*V70*Y70*VLOOKUP('Données projet'!$B$9,Paramètres!$A$1:$I$89,3,0)*0.475*44/12</f>
        <v>2.340173399199276E-5</v>
      </c>
      <c r="AC70" s="22">
        <f t="shared" si="57"/>
        <v>233.62006987782414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167.85897435897436</v>
      </c>
      <c r="AG70" s="12">
        <f>VLOOKUP(A70,'Données projet'!$A$61:$I$81,9,0)</f>
        <v>5.9431089743589762</v>
      </c>
      <c r="AH70" s="12">
        <f t="array" ref="AH70">INDEX(AG:AG,MIN(IF(ISNUMBER(AG70:AG266),ROW(AG70:AG266),"")))</f>
        <v>5.9431089743589762</v>
      </c>
      <c r="AI70" s="13">
        <f>IF('Données projet'!$A$62&gt;35,AI69+AH70-AQ69,IF(A70&lt;'Données projet'!$A$62,$AF$205^A70,IF(A70='Données projet'!$A$62,'Données projet'!$B$62,AI69+AH70-AQ69)))</f>
        <v>167.85897435897436</v>
      </c>
      <c r="AJ70" s="13">
        <f>AI70*VLOOKUP('Données projet'!$B$10,Paramètres!$A$1:$I$89,3,0)*VLOOKUP('Données projet'!$B$10,Paramètres!$A$1:$I$89,5,0)</f>
        <v>151.87880000000001</v>
      </c>
      <c r="AK70" s="13">
        <f t="shared" si="89"/>
        <v>39.005239858021888</v>
      </c>
      <c r="AL70" s="20">
        <f t="shared" si="58"/>
        <v>332.45636941938818</v>
      </c>
      <c r="AM70" s="59">
        <f t="shared" si="59"/>
        <v>625.7897027527215</v>
      </c>
      <c r="AN70" s="59">
        <f ca="1">AVERAGE(OFFSET($AM$3,0,0,'Données projet'!$E$10+1,1))-AVERAGE(OFFSET($H$3,0,0,'Données projet'!$E$10+1,1))</f>
        <v>227.31630731915698</v>
      </c>
      <c r="AO70" s="59">
        <f t="shared" si="90"/>
        <v>143.7533262991908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31.993589743589741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31.823999999999998</v>
      </c>
      <c r="D71" s="11">
        <f t="shared" si="86"/>
        <v>9.8036133809220889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321.33596294045122</v>
      </c>
      <c r="H71" s="67">
        <f t="shared" si="56"/>
        <v>365.8347599717726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-5.3205440053716299E-14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294.94285920643927</v>
      </c>
      <c r="T71" s="59">
        <f t="shared" si="88"/>
        <v>399.89535338426606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117.7325655227626</v>
      </c>
      <c r="AA71" s="21">
        <f>EXP(-LN(2)/25)*AA70+(1-EXP(-LN(2)/25))/(LN(2)/25)*Calculateur!V71*Calculateur!X71*VLOOKUP('Données projet'!$B$9,Paramètres!$A$1:$I$89,3,0)*0.475*44/12</f>
        <v>110.42808414594489</v>
      </c>
      <c r="AB71" s="21">
        <f>EXP(-LN(2)/2)*AB70+(1-EXP(-LN(2)/2))/(LN(2)/2)*V71*Y71*VLOOKUP('Données projet'!$B$9,Paramètres!$A$1:$I$89,3,0)*0.475*44/12</f>
        <v>1.6547524797261816E-5</v>
      </c>
      <c r="AC71" s="22">
        <f t="shared" si="57"/>
        <v>228.1606662162323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5.6899038461538431</v>
      </c>
      <c r="AI71" s="13">
        <f>IF('Données projet'!$A$62&gt;35,AI70+AH71-AQ70,IF(A71&lt;'Données projet'!$A$62,$AF$205^A71,IF(A71='Données projet'!$A$62,'Données projet'!$B$62,AI70+AH71-AQ70)))</f>
        <v>141.55528846153845</v>
      </c>
      <c r="AJ71" s="13">
        <f>AI71*VLOOKUP('Données projet'!$B$10,Paramètres!$A$1:$I$89,3,0)*VLOOKUP('Données projet'!$B$10,Paramètres!$A$1:$I$89,5,0)</f>
        <v>128.07922499999998</v>
      </c>
      <c r="AK71" s="13">
        <f t="shared" si="89"/>
        <v>33.552140849481908</v>
      </c>
      <c r="AL71" s="20">
        <f t="shared" si="58"/>
        <v>281.50796218784762</v>
      </c>
      <c r="AM71" s="59">
        <f t="shared" si="59"/>
        <v>574.84129552118088</v>
      </c>
      <c r="AN71" s="59">
        <f ca="1">AVERAGE(OFFSET($AM$3,0,0,'Données projet'!$E$10+1,1))-AVERAGE(OFFSET($H$3,0,0,'Données projet'!$E$10+1,1))</f>
        <v>227.31630731915698</v>
      </c>
      <c r="AO71" s="59">
        <f t="shared" si="90"/>
        <v>143.7533262991908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32.292000000000002</v>
      </c>
      <c r="D72" s="11">
        <f t="shared" si="86"/>
        <v>9.9308942483743401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325.93111349622302</v>
      </c>
      <c r="H72" s="67">
        <f t="shared" si="56"/>
        <v>366.87154081591865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-5.3205440053716299E-14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294.94285920643927</v>
      </c>
      <c r="T72" s="59">
        <f t="shared" si="88"/>
        <v>399.89535338426606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115.42390172263556</v>
      </c>
      <c r="AA72" s="21">
        <f>EXP(-LN(2)/25)*AA71+(1-EXP(-LN(2)/25))/(LN(2)/25)*Calculateur!V72*Calculateur!X72*VLOOKUP('Données projet'!$B$9,Paramètres!$A$1:$I$89,3,0)*0.475*44/12</f>
        <v>107.40842237781347</v>
      </c>
      <c r="AB72" s="21">
        <f>EXP(-LN(2)/2)*AB71+(1-EXP(-LN(2)/2))/(LN(2)/2)*V72*Y72*VLOOKUP('Données projet'!$B$9,Paramètres!$A$1:$I$89,3,0)*0.475*44/12</f>
        <v>1.170086699599638E-5</v>
      </c>
      <c r="AC72" s="22">
        <f t="shared" si="57"/>
        <v>222.83233580131602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5.6899038461538431</v>
      </c>
      <c r="AI72" s="13">
        <f>IF('Données projet'!$A$62&gt;35,AI71+AH72-AQ71,IF(A72&lt;'Données projet'!$A$62,$AF$205^A72,IF(A72='Données projet'!$A$62,'Données projet'!$B$62,AI71+AH72-AQ71)))</f>
        <v>147.24519230769229</v>
      </c>
      <c r="AJ72" s="13">
        <f>AI72*VLOOKUP('Données projet'!$B$10,Paramètres!$A$1:$I$89,3,0)*VLOOKUP('Données projet'!$B$10,Paramètres!$A$1:$I$89,5,0)</f>
        <v>133.22744999999998</v>
      </c>
      <c r="AK72" s="13">
        <f t="shared" si="89"/>
        <v>34.741060528773644</v>
      </c>
      <c r="AL72" s="20">
        <f t="shared" si="58"/>
        <v>292.545155837614</v>
      </c>
      <c r="AM72" s="59">
        <f t="shared" si="59"/>
        <v>585.87848917094732</v>
      </c>
      <c r="AN72" s="59">
        <f ca="1">AVERAGE(OFFSET($AM$3,0,0,'Données projet'!$E$10+1,1))-AVERAGE(OFFSET($H$3,0,0,'Données projet'!$E$10+1,1))</f>
        <v>227.31630731915698</v>
      </c>
      <c r="AO72" s="59">
        <f t="shared" si="90"/>
        <v>143.7533262991908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32.760000000000005</v>
      </c>
      <c r="D73" s="11">
        <f t="shared" si="86"/>
        <v>10.057960571603429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330.52460792114931</v>
      </c>
      <c r="H73" s="67">
        <f t="shared" si="56"/>
        <v>367.9079479955426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-5.3205440053716299E-14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294.94285920643927</v>
      </c>
      <c r="T73" s="59">
        <f t="shared" si="88"/>
        <v>399.89535338426606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113.16050941148315</v>
      </c>
      <c r="AA73" s="21">
        <f>EXP(-LN(2)/25)*AA72+(1-EXP(-LN(2)/25))/(LN(2)/25)*Calculateur!V73*Calculateur!X73*VLOOKUP('Données projet'!$B$9,Paramètres!$A$1:$I$89,3,0)*0.475*44/12</f>
        <v>104.4713334195287</v>
      </c>
      <c r="AB73" s="21">
        <f>EXP(-LN(2)/2)*AB72+(1-EXP(-LN(2)/2))/(LN(2)/2)*V73*Y73*VLOOKUP('Données projet'!$B$9,Paramètres!$A$1:$I$89,3,0)*0.475*44/12</f>
        <v>8.2737623986309079E-6</v>
      </c>
      <c r="AC73" s="22">
        <f t="shared" si="57"/>
        <v>217.63185110477426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5.6899038461538431</v>
      </c>
      <c r="AI73" s="13">
        <f>IF('Données projet'!$A$62&gt;35,AI72+AH73-AQ72,IF(A73&lt;'Données projet'!$A$62,$AF$205^A73,IF(A73='Données projet'!$A$62,'Données projet'!$B$62,AI72+AH73-AQ72)))</f>
        <v>152.93509615384613</v>
      </c>
      <c r="AJ73" s="13">
        <f>AI73*VLOOKUP('Données projet'!$B$10,Paramètres!$A$1:$I$89,3,0)*VLOOKUP('Données projet'!$B$10,Paramètres!$A$1:$I$89,5,0)</f>
        <v>138.37567499999997</v>
      </c>
      <c r="AK73" s="13">
        <f t="shared" si="89"/>
        <v>35.924643086227974</v>
      </c>
      <c r="AL73" s="20">
        <f t="shared" si="58"/>
        <v>303.57305400018032</v>
      </c>
      <c r="AM73" s="59">
        <f t="shared" si="59"/>
        <v>596.90638733351363</v>
      </c>
      <c r="AN73" s="59">
        <f ca="1">AVERAGE(OFFSET($AM$3,0,0,'Données projet'!$E$10+1,1))-AVERAGE(OFFSET($H$3,0,0,'Données projet'!$E$10+1,1))</f>
        <v>227.31630731915698</v>
      </c>
      <c r="AO73" s="59">
        <f t="shared" si="90"/>
        <v>143.7533262991908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33.228000000000009</v>
      </c>
      <c r="D74" s="11">
        <f t="shared" si="86"/>
        <v>10.184815769674017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335.11647260801004</v>
      </c>
      <c r="H74" s="67">
        <f t="shared" si="56"/>
        <v>368.94398746551559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-5.3205440053716299E-14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294.94285920643927</v>
      </c>
      <c r="T74" s="59">
        <f t="shared" si="88"/>
        <v>399.89535338426606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110.94150084301944</v>
      </c>
      <c r="AA74" s="21">
        <f>EXP(-LN(2)/25)*AA73+(1-EXP(-LN(2)/25))/(LN(2)/25)*Calculateur!V74*Calculateur!X74*VLOOKUP('Données projet'!$B$9,Paramètres!$A$1:$I$89,3,0)*0.475*44/12</f>
        <v>101.61455931326304</v>
      </c>
      <c r="AB74" s="21">
        <f>EXP(-LN(2)/2)*AB73+(1-EXP(-LN(2)/2))/(LN(2)/2)*V74*Y74*VLOOKUP('Données projet'!$B$9,Paramètres!$A$1:$I$89,3,0)*0.475*44/12</f>
        <v>5.85043349799819E-6</v>
      </c>
      <c r="AC74" s="22">
        <f t="shared" si="57"/>
        <v>212.55606600671598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5.6899038461538431</v>
      </c>
      <c r="AI74" s="13">
        <f>IF('Données projet'!$A$62&gt;35,AI73+AH74-AQ73,IF(A74&lt;'Données projet'!$A$62,$AF$205^A74,IF(A74='Données projet'!$A$62,'Données projet'!$B$62,AI73+AH74-AQ73)))</f>
        <v>158.62499999999997</v>
      </c>
      <c r="AJ74" s="13">
        <f>AI74*VLOOKUP('Données projet'!$B$10,Paramètres!$A$1:$I$89,3,0)*VLOOKUP('Données projet'!$B$10,Paramètres!$A$1:$I$89,5,0)</f>
        <v>143.52389999999997</v>
      </c>
      <c r="AK74" s="13">
        <f t="shared" si="89"/>
        <v>37.103109825509961</v>
      </c>
      <c r="AL74" s="20">
        <f t="shared" si="58"/>
        <v>314.59204211276312</v>
      </c>
      <c r="AM74" s="59">
        <f t="shared" si="59"/>
        <v>607.9253754460965</v>
      </c>
      <c r="AN74" s="59">
        <f ca="1">AVERAGE(OFFSET($AM$3,0,0,'Données projet'!$E$10+1,1))-AVERAGE(OFFSET($H$3,0,0,'Données projet'!$E$10+1,1))</f>
        <v>227.31630731915698</v>
      </c>
      <c r="AO74" s="59">
        <f t="shared" si="90"/>
        <v>143.7533262991908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75" s="11">
        <f t="shared" si="86"/>
        <v>10.311463159807191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339.70673316342402</v>
      </c>
      <c r="H75" s="67">
        <f t="shared" si="56"/>
        <v>369.97966500333087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-5.3205440053716299E-14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294.94285920643927</v>
      </c>
      <c r="T75" s="59">
        <f t="shared" si="88"/>
        <v>399.89535338426606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108.76600567912172</v>
      </c>
      <c r="AA75" s="21">
        <f>EXP(-LN(2)/25)*AA74+(1-EXP(-LN(2)/25))/(LN(2)/25)*Calculateur!V75*Calculateur!X75*VLOOKUP('Données projet'!$B$9,Paramètres!$A$1:$I$89,3,0)*0.475*44/12</f>
        <v>98.835903845164438</v>
      </c>
      <c r="AB75" s="21">
        <f>EXP(-LN(2)/2)*AB74+(1-EXP(-LN(2)/2))/(LN(2)/2)*V75*Y75*VLOOKUP('Données projet'!$B$9,Paramètres!$A$1:$I$89,3,0)*0.475*44/12</f>
        <v>4.1368811993154539E-6</v>
      </c>
      <c r="AC75" s="22">
        <f t="shared" si="57"/>
        <v>207.60191366116734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5.6899038461538431</v>
      </c>
      <c r="AI75" s="13">
        <f>IF('Données projet'!$A$62&gt;35,AI74+AH75-AQ74,IF(A75&lt;'Données projet'!$A$62,$AF$205^A75,IF(A75='Données projet'!$A$62,'Données projet'!$B$62,AI74+AH75-AQ74)))</f>
        <v>164.31490384615381</v>
      </c>
      <c r="AJ75" s="13">
        <f>AI75*VLOOKUP('Données projet'!$B$10,Paramètres!$A$1:$I$89,3,0)*VLOOKUP('Données projet'!$B$10,Paramètres!$A$1:$I$89,5,0)</f>
        <v>148.67212499999997</v>
      </c>
      <c r="AK75" s="13">
        <f t="shared" si="89"/>
        <v>38.276665273939201</v>
      </c>
      <c r="AL75" s="20">
        <f t="shared" si="58"/>
        <v>325.60247639377735</v>
      </c>
      <c r="AM75" s="59">
        <f t="shared" si="59"/>
        <v>618.93580972711061</v>
      </c>
      <c r="AN75" s="59">
        <f ca="1">AVERAGE(OFFSET($AM$3,0,0,'Données projet'!$E$10+1,1))-AVERAGE(OFFSET($H$3,0,0,'Données projet'!$E$10+1,1))</f>
        <v>227.31630731915698</v>
      </c>
      <c r="AO75" s="59">
        <f t="shared" si="90"/>
        <v>143.7533262991908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34.164000000000016</v>
      </c>
      <c r="D76" s="11">
        <f t="shared" si="86"/>
        <v>10.437905961785614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344.29541444185406</v>
      </c>
      <c r="H76" s="67">
        <f t="shared" si="56"/>
        <v>371.01498621677661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-5.3205440053716299E-14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294.94285920643927</v>
      </c>
      <c r="T76" s="59">
        <f t="shared" si="88"/>
        <v>399.89535338426606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106.633170648467</v>
      </c>
      <c r="AA76" s="21">
        <f>EXP(-LN(2)/25)*AA75+(1-EXP(-LN(2)/25))/(LN(2)/25)*Calculateur!V76*Calculateur!X76*VLOOKUP('Données projet'!$B$9,Paramètres!$A$1:$I$89,3,0)*0.475*44/12</f>
        <v>96.133230856964133</v>
      </c>
      <c r="AB76" s="21">
        <f>EXP(-LN(2)/2)*AB75+(1-EXP(-LN(2)/2))/(LN(2)/2)*V76*Y76*VLOOKUP('Données projet'!$B$9,Paramètres!$A$1:$I$89,3,0)*0.475*44/12</f>
        <v>2.925216748999095E-6</v>
      </c>
      <c r="AC76" s="22">
        <f t="shared" si="57"/>
        <v>202.7664044306479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5.6899038461538431</v>
      </c>
      <c r="AI76" s="13">
        <f>IF('Données projet'!$A$62&gt;35,AI75+AH76-AQ75,IF(A76&lt;'Données projet'!$A$62,$AF$205^A76,IF(A76='Données projet'!$A$62,'Données projet'!$B$62,AI75+AH76-AQ75)))</f>
        <v>170.00480769230765</v>
      </c>
      <c r="AJ76" s="13">
        <f>AI76*VLOOKUP('Données projet'!$B$10,Paramètres!$A$1:$I$89,3,0)*VLOOKUP('Données projet'!$B$10,Paramètres!$A$1:$I$89,5,0)</f>
        <v>153.82034999999993</v>
      </c>
      <c r="AK76" s="13">
        <f t="shared" si="89"/>
        <v>39.445498990742948</v>
      </c>
      <c r="AL76" s="20">
        <f t="shared" si="58"/>
        <v>336.60468699221047</v>
      </c>
      <c r="AM76" s="59">
        <f t="shared" si="59"/>
        <v>629.93802032554379</v>
      </c>
      <c r="AN76" s="59">
        <f ca="1">AVERAGE(OFFSET($AM$3,0,0,'Données projet'!$E$10+1,1))-AVERAGE(OFFSET($H$3,0,0,'Données projet'!$E$10+1,1))</f>
        <v>227.31630731915698</v>
      </c>
      <c r="AO76" s="59">
        <f t="shared" si="90"/>
        <v>143.7533262991908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34.632000000000019</v>
      </c>
      <c r="D77" s="11">
        <f t="shared" si="86"/>
        <v>10.564147302110397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348.88254057769444</v>
      </c>
      <c r="H77" s="67">
        <f t="shared" si="56"/>
        <v>372.04995655117563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-5.3205440053716299E-14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294.94285920643927</v>
      </c>
      <c r="T77" s="59">
        <f t="shared" si="88"/>
        <v>399.89535338426606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104.54215921186251</v>
      </c>
      <c r="AA77" s="21">
        <f>EXP(-LN(2)/25)*AA76+(1-EXP(-LN(2)/25))/(LN(2)/25)*Calculateur!V77*Calculateur!X77*VLOOKUP('Données projet'!$B$9,Paramètres!$A$1:$I$89,3,0)*0.475*44/12</f>
        <v>93.504462603753552</v>
      </c>
      <c r="AB77" s="21">
        <f>EXP(-LN(2)/2)*AB76+(1-EXP(-LN(2)/2))/(LN(2)/2)*V77*Y77*VLOOKUP('Données projet'!$B$9,Paramètres!$A$1:$I$89,3,0)*0.475*44/12</f>
        <v>2.068440599657727E-6</v>
      </c>
      <c r="AC77" s="22">
        <f t="shared" si="57"/>
        <v>198.04662388405666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5.6899038461538431</v>
      </c>
      <c r="AI77" s="13">
        <f>IF('Données projet'!$A$62&gt;35,AI76+AH77-AQ76,IF(A77&lt;'Données projet'!$A$62,$AF$205^A77,IF(A77='Données projet'!$A$62,'Données projet'!$B$62,AI76+AH77-AQ76)))</f>
        <v>175.69471153846149</v>
      </c>
      <c r="AJ77" s="13">
        <f>AI77*VLOOKUP('Données projet'!$B$10,Paramètres!$A$1:$I$89,3,0)*VLOOKUP('Données projet'!$B$10,Paramètres!$A$1:$I$89,5,0)</f>
        <v>158.96857499999996</v>
      </c>
      <c r="AK77" s="13">
        <f t="shared" si="89"/>
        <v>40.609787126426944</v>
      </c>
      <c r="AL77" s="20">
        <f t="shared" si="58"/>
        <v>347.59898070352688</v>
      </c>
      <c r="AM77" s="59">
        <f t="shared" si="59"/>
        <v>640.93231403686013</v>
      </c>
      <c r="AN77" s="59">
        <f ca="1">AVERAGE(OFFSET($AM$3,0,0,'Données projet'!$E$10+1,1))-AVERAGE(OFFSET($H$3,0,0,'Données projet'!$E$10+1,1))</f>
        <v>227.31630731915698</v>
      </c>
      <c r="AO77" s="59">
        <f t="shared" si="90"/>
        <v>143.7533262991908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35.100000000000023</v>
      </c>
      <c r="D78" s="11">
        <f t="shared" si="86"/>
        <v>10.690190217926903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353.46813501557631</v>
      </c>
      <c r="H78" s="67">
        <f t="shared" si="56"/>
        <v>373.08458129622272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-5.3205440053716299E-14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294.94285920643927</v>
      </c>
      <c r="T78" s="59">
        <f t="shared" si="88"/>
        <v>399.89535338426606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102.49215123413879</v>
      </c>
      <c r="AA78" s="21">
        <f>EXP(-LN(2)/25)*AA77+(1-EXP(-LN(2)/25))/(LN(2)/25)*Calculateur!V78*Calculateur!X78*VLOOKUP('Données projet'!$B$9,Paramètres!$A$1:$I$89,3,0)*0.475*44/12</f>
        <v>90.94757815666793</v>
      </c>
      <c r="AB78" s="21">
        <f>EXP(-LN(2)/2)*AB77+(1-EXP(-LN(2)/2))/(LN(2)/2)*V78*Y78*VLOOKUP('Données projet'!$B$9,Paramètres!$A$1:$I$89,3,0)*0.475*44/12</f>
        <v>1.4626083744995475E-6</v>
      </c>
      <c r="AC78" s="22">
        <f t="shared" si="57"/>
        <v>193.43973085341509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181.38461538461536</v>
      </c>
      <c r="AG78" s="12">
        <f>VLOOKUP(A78,'Données projet'!$A$61:$I$81,9,0)</f>
        <v>5.6899038461538431</v>
      </c>
      <c r="AH78" s="12">
        <f t="array" ref="AH78">INDEX(AG:AG,MIN(IF(ISNUMBER(AG78:AG274),ROW(AG78:AG274),"")))</f>
        <v>5.6899038461538431</v>
      </c>
      <c r="AI78" s="13">
        <f>IF('Données projet'!$A$62&gt;35,AI77+AH78-AQ77,IF(A78&lt;'Données projet'!$A$62,$AF$205^A78,IF(A78='Données projet'!$A$62,'Données projet'!$B$62,AI77+AH78-AQ77)))</f>
        <v>181.38461538461533</v>
      </c>
      <c r="AJ78" s="13">
        <f>AI78*VLOOKUP('Données projet'!$B$10,Paramètres!$A$1:$I$89,3,0)*VLOOKUP('Données projet'!$B$10,Paramètres!$A$1:$I$89,5,0)</f>
        <v>164.11679999999993</v>
      </c>
      <c r="AK78" s="13">
        <f t="shared" si="89"/>
        <v>41.769693774469289</v>
      </c>
      <c r="AL78" s="20">
        <f t="shared" si="58"/>
        <v>358.58564332386726</v>
      </c>
      <c r="AM78" s="59">
        <f t="shared" si="59"/>
        <v>651.91897665720057</v>
      </c>
      <c r="AN78" s="59">
        <f ca="1">AVERAGE(OFFSET($AM$3,0,0,'Données projet'!$E$10+1,1))-AVERAGE(OFFSET($H$3,0,0,'Données projet'!$E$10+1,1))</f>
        <v>227.31630731915698</v>
      </c>
      <c r="AO78" s="59">
        <f t="shared" si="90"/>
        <v>143.7533262991908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30.916666666666664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9.3080532995629337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9.3080532995629337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35.568000000000026</v>
      </c>
      <c r="D79" s="11">
        <f t="shared" si="86"/>
        <v>10.816037660735214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358.05222053900889</v>
      </c>
      <c r="H79" s="67">
        <f t="shared" si="56"/>
        <v>374.11886559244721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-5.3205440053716299E-14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294.94285920643927</v>
      </c>
      <c r="T79" s="59">
        <f t="shared" si="88"/>
        <v>399.89535338426606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100.48234266247682</v>
      </c>
      <c r="AA79" s="21">
        <f>EXP(-LN(2)/25)*AA78+(1-EXP(-LN(2)/25))/(LN(2)/25)*Calculateur!V79*Calculateur!X79*VLOOKUP('Données projet'!$B$9,Paramètres!$A$1:$I$89,3,0)*0.475*44/12</f>
        <v>88.460611849248579</v>
      </c>
      <c r="AB79" s="21">
        <f>EXP(-LN(2)/2)*AB78+(1-EXP(-LN(2)/2))/(LN(2)/2)*V79*Y79*VLOOKUP('Données projet'!$B$9,Paramètres!$A$1:$I$89,3,0)*0.475*44/12</f>
        <v>1.0342202998288635E-6</v>
      </c>
      <c r="AC79" s="22">
        <f t="shared" si="57"/>
        <v>188.94295554594572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5.5042735042735051</v>
      </c>
      <c r="AI79" s="13">
        <f>IF('Données projet'!$A$62&gt;35,AI78+AH79-AQ78,IF(A79&lt;'Données projet'!$A$62,$AF$205^A79,IF(A79='Données projet'!$A$62,'Données projet'!$B$62,AI78+AH79-AQ78)))</f>
        <v>155.97222222222217</v>
      </c>
      <c r="AJ79" s="13">
        <f>AI79*VLOOKUP('Données projet'!$B$10,Paramètres!$A$1:$I$89,3,0)*VLOOKUP('Données projet'!$B$10,Paramètres!$A$1:$I$89,5,0)</f>
        <v>141.12366666666662</v>
      </c>
      <c r="AK79" s="13">
        <f t="shared" si="89"/>
        <v>36.554301861544381</v>
      </c>
      <c r="AL79" s="20">
        <f t="shared" si="58"/>
        <v>309.45579518663413</v>
      </c>
      <c r="AM79" s="59">
        <f t="shared" si="59"/>
        <v>602.78912851996745</v>
      </c>
      <c r="AN79" s="59">
        <f ca="1">AVERAGE(OFFSET($AM$3,0,0,'Données projet'!$E$10+1,1))-AVERAGE(OFFSET($H$3,0,0,'Données projet'!$E$10+1,1))</f>
        <v>227.31630731915698</v>
      </c>
      <c r="AO79" s="59">
        <f t="shared" si="90"/>
        <v>143.7533262991908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9.1255280517104254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9.1255280517104254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36.03600000000003</v>
      </c>
      <c r="D80" s="11">
        <f t="shared" si="86"/>
        <v>10.941692499899752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362.63481929747201</v>
      </c>
      <c r="H80" s="67">
        <f t="shared" si="56"/>
        <v>375.15281443732545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-5.3205440053716299E-14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294.94285920643927</v>
      </c>
      <c r="T80" s="59">
        <f t="shared" si="88"/>
        <v>399.89535338426606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98.511945211042971</v>
      </c>
      <c r="AA80" s="21">
        <f>EXP(-LN(2)/25)*AA79+(1-EXP(-LN(2)/25))/(LN(2)/25)*Calculateur!V80*Calculateur!X80*VLOOKUP('Données projet'!$B$9,Paramètres!$A$1:$I$89,3,0)*0.475*44/12</f>
        <v>86.041651766289476</v>
      </c>
      <c r="AB80" s="21">
        <f>EXP(-LN(2)/2)*AB79+(1-EXP(-LN(2)/2))/(LN(2)/2)*V80*Y80*VLOOKUP('Données projet'!$B$9,Paramètres!$A$1:$I$89,3,0)*0.475*44/12</f>
        <v>7.3130418724977375E-7</v>
      </c>
      <c r="AC80" s="22">
        <f t="shared" si="57"/>
        <v>184.55359770863666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5.5042735042735051</v>
      </c>
      <c r="AI80" s="13">
        <f>IF('Données projet'!$A$62&gt;35,AI79+AH80-AQ79,IF(A80&lt;'Données projet'!$A$62,$AF$205^A80,IF(A80='Données projet'!$A$62,'Données projet'!$B$62,AI79+AH80-AQ79)))</f>
        <v>161.47649572649567</v>
      </c>
      <c r="AJ80" s="13">
        <f>AI80*VLOOKUP('Données projet'!$B$10,Paramètres!$A$1:$I$89,3,0)*VLOOKUP('Données projet'!$B$10,Paramètres!$A$1:$I$89,5,0)</f>
        <v>146.10393333333329</v>
      </c>
      <c r="AK80" s="13">
        <f t="shared" si="89"/>
        <v>37.691838944088502</v>
      </c>
      <c r="AL80" s="20">
        <f t="shared" si="58"/>
        <v>320.11097004984299</v>
      </c>
      <c r="AM80" s="59">
        <f t="shared" si="59"/>
        <v>613.44430338317625</v>
      </c>
      <c r="AN80" s="59">
        <f ca="1">AVERAGE(OFFSET($AM$3,0,0,'Données projet'!$E$10+1,1))-AVERAGE(OFFSET($H$3,0,0,'Données projet'!$E$10+1,1))</f>
        <v>227.31630731915698</v>
      </c>
      <c r="AO80" s="59">
        <f t="shared" si="90"/>
        <v>143.7533262991908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8.9465820126388955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8.9465820126388955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36.504000000000033</v>
      </c>
      <c r="D81" s="11">
        <f t="shared" si="86"/>
        <v>11.067157525971385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367.21595283206005</v>
      </c>
      <c r="H81" s="67">
        <f t="shared" si="56"/>
        <v>376.18643269106684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-5.3205440053716299E-14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294.94285920643927</v>
      </c>
      <c r="T81" s="59">
        <f t="shared" si="88"/>
        <v>399.89535338426606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96.580186051807956</v>
      </c>
      <c r="AA81" s="21">
        <f>EXP(-LN(2)/25)*AA80+(1-EXP(-LN(2)/25))/(LN(2)/25)*Calculateur!V81*Calculateur!X81*VLOOKUP('Données projet'!$B$9,Paramètres!$A$1:$I$89,3,0)*0.475*44/12</f>
        <v>83.688838274006471</v>
      </c>
      <c r="AB81" s="21">
        <f>EXP(-LN(2)/2)*AB80+(1-EXP(-LN(2)/2))/(LN(2)/2)*V81*Y81*VLOOKUP('Données projet'!$B$9,Paramètres!$A$1:$I$89,3,0)*0.475*44/12</f>
        <v>5.1711014991443174E-7</v>
      </c>
      <c r="AC81" s="22">
        <f t="shared" si="57"/>
        <v>180.26902484292458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5.5042735042735051</v>
      </c>
      <c r="AI81" s="13">
        <f>IF('Données projet'!$A$62&gt;35,AI80+AH81-AQ80,IF(A81&lt;'Données projet'!$A$62,$AF$205^A81,IF(A81='Données projet'!$A$62,'Données projet'!$B$62,AI80+AH81-AQ80)))</f>
        <v>166.98076923076917</v>
      </c>
      <c r="AJ81" s="13">
        <f>AI81*VLOOKUP('Données projet'!$B$10,Paramètres!$A$1:$I$89,3,0)*VLOOKUP('Données projet'!$B$10,Paramètres!$A$1:$I$89,5,0)</f>
        <v>151.08419999999992</v>
      </c>
      <c r="AK81" s="13">
        <f t="shared" si="89"/>
        <v>38.824870591002266</v>
      </c>
      <c r="AL81" s="20">
        <f t="shared" si="58"/>
        <v>330.75829794599554</v>
      </c>
      <c r="AM81" s="59">
        <f t="shared" si="59"/>
        <v>624.09163127932879</v>
      </c>
      <c r="AN81" s="59">
        <f ca="1">AVERAGE(OFFSET($AM$3,0,0,'Données projet'!$E$10+1,1))-AVERAGE(OFFSET($H$3,0,0,'Données projet'!$E$10+1,1))</f>
        <v>227.31630731915698</v>
      </c>
      <c r="AO81" s="59">
        <f t="shared" si="90"/>
        <v>143.7533262991908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8.7711449962472532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8.7711449962472532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36.972000000000037</v>
      </c>
      <c r="D82" s="11">
        <f t="shared" si="86"/>
        <v>11.192435453834337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371.79564209977411</v>
      </c>
      <c r="H82" s="67">
        <f t="shared" si="56"/>
        <v>377.21972508209484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-5.3205440053716299E-14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294.94285920643927</v>
      </c>
      <c r="T82" s="59">
        <f t="shared" si="88"/>
        <v>399.89535338426606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94.686307511428808</v>
      </c>
      <c r="AA82" s="21">
        <f>EXP(-LN(2)/25)*AA81+(1-EXP(-LN(2)/25))/(LN(2)/25)*Calculateur!V82*Calculateur!X82*VLOOKUP('Données projet'!$B$9,Paramètres!$A$1:$I$89,3,0)*0.475*44/12</f>
        <v>81.400362590399027</v>
      </c>
      <c r="AB82" s="21">
        <f>EXP(-LN(2)/2)*AB81+(1-EXP(-LN(2)/2))/(LN(2)/2)*V82*Y82*VLOOKUP('Données projet'!$B$9,Paramètres!$A$1:$I$89,3,0)*0.475*44/12</f>
        <v>3.6565209362488687E-7</v>
      </c>
      <c r="AC82" s="22">
        <f t="shared" si="57"/>
        <v>176.08667046747993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5.5042735042735051</v>
      </c>
      <c r="AI82" s="13">
        <f>IF('Données projet'!$A$62&gt;35,AI81+AH82-AQ81,IF(A82&lt;'Données projet'!$A$62,$AF$205^A82,IF(A82='Données projet'!$A$62,'Données projet'!$B$62,AI81+AH82-AQ81)))</f>
        <v>172.48504273504267</v>
      </c>
      <c r="AJ82" s="13">
        <f>AI82*VLOOKUP('Données projet'!$B$10,Paramètres!$A$1:$I$89,3,0)*VLOOKUP('Données projet'!$B$10,Paramètres!$A$1:$I$89,5,0)</f>
        <v>156.06446666666659</v>
      </c>
      <c r="AK82" s="13">
        <f t="shared" si="89"/>
        <v>39.953562347640762</v>
      </c>
      <c r="AL82" s="20">
        <f t="shared" si="58"/>
        <v>341.39806719991861</v>
      </c>
      <c r="AM82" s="59">
        <f t="shared" si="59"/>
        <v>634.73140053325187</v>
      </c>
      <c r="AN82" s="59">
        <f ca="1">AVERAGE(OFFSET($AM$3,0,0,'Données projet'!$E$10+1,1))-AVERAGE(OFFSET($H$3,0,0,'Données projet'!$E$10+1,1))</f>
        <v>227.31630731915698</v>
      </c>
      <c r="AO82" s="59">
        <f t="shared" si="90"/>
        <v>143.7533262991908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8.5991481927410369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8.5991481927410369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37.44000000000004</v>
      </c>
      <c r="D83" s="11">
        <f t="shared" si="86"/>
        <v>11.317528925689196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376.37390749654855</v>
      </c>
      <c r="H83" s="67">
        <f t="shared" si="56"/>
        <v>378.25269621224209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-5.3205440053716299E-14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294.94285920643927</v>
      </c>
      <c r="T83" s="59">
        <f t="shared" si="88"/>
        <v>399.89535338426606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92.829566774074635</v>
      </c>
      <c r="AA83" s="21">
        <f>EXP(-LN(2)/25)*AA82+(1-EXP(-LN(2)/25))/(LN(2)/25)*Calculateur!V83*Calculateur!X83*VLOOKUP('Données projet'!$B$9,Paramètres!$A$1:$I$89,3,0)*0.475*44/12</f>
        <v>79.174465394705535</v>
      </c>
      <c r="AB83" s="21">
        <f>EXP(-LN(2)/2)*AB82+(1-EXP(-LN(2)/2))/(LN(2)/2)*V83*Y83*VLOOKUP('Données projet'!$B$9,Paramètres!$A$1:$I$89,3,0)*0.475*44/12</f>
        <v>2.5855507495721587E-7</v>
      </c>
      <c r="AC83" s="22">
        <f t="shared" si="57"/>
        <v>172.00403242733523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5.5042735042735051</v>
      </c>
      <c r="AI83" s="13">
        <f>IF('Données projet'!$A$62&gt;35,AI82+AH83-AQ82,IF(A83&lt;'Données projet'!$A$62,$AF$205^A83,IF(A83='Données projet'!$A$62,'Données projet'!$B$62,AI82+AH83-AQ82)))</f>
        <v>177.98931623931617</v>
      </c>
      <c r="AJ83" s="13">
        <f>AI83*VLOOKUP('Données projet'!$B$10,Paramètres!$A$1:$I$89,3,0)*VLOOKUP('Données projet'!$B$10,Paramètres!$A$1:$I$89,5,0)</f>
        <v>161.04473333333328</v>
      </c>
      <c r="AK83" s="13">
        <f t="shared" si="89"/>
        <v>41.078068593790562</v>
      </c>
      <c r="AL83" s="20">
        <f t="shared" si="58"/>
        <v>352.03054668974067</v>
      </c>
      <c r="AM83" s="59">
        <f t="shared" si="59"/>
        <v>645.36388002307399</v>
      </c>
      <c r="AN83" s="59">
        <f ca="1">AVERAGE(OFFSET($AM$3,0,0,'Données projet'!$E$10+1,1))-AVERAGE(OFFSET($H$3,0,0,'Données projet'!$E$10+1,1))</f>
        <v>227.31630731915698</v>
      </c>
      <c r="AO83" s="59">
        <f t="shared" si="90"/>
        <v>143.7533262991908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8.4305241416438861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8.4305241416438861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37.908000000000044</v>
      </c>
      <c r="D84" s="11">
        <f t="shared" si="86"/>
        <v>11.442440513882541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380.95076887909363</v>
      </c>
      <c r="H84" s="67">
        <f t="shared" si="56"/>
        <v>379.2853505616788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-5.3205440053716299E-14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294.94285920643927</v>
      </c>
      <c r="T84" s="59">
        <f t="shared" si="88"/>
        <v>399.89535338426606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91.009235590079953</v>
      </c>
      <c r="AA84" s="21">
        <f>EXP(-LN(2)/25)*AA83+(1-EXP(-LN(2)/25))/(LN(2)/25)*Calculateur!V84*Calculateur!X84*VLOOKUP('Données projet'!$B$9,Paramètres!$A$1:$I$89,3,0)*0.475*44/12</f>
        <v>77.009435474883134</v>
      </c>
      <c r="AB84" s="21">
        <f>EXP(-LN(2)/2)*AB83+(1-EXP(-LN(2)/2))/(LN(2)/2)*V84*Y84*VLOOKUP('Données projet'!$B$9,Paramètres!$A$1:$I$89,3,0)*0.475*44/12</f>
        <v>1.8282604681244344E-7</v>
      </c>
      <c r="AC84" s="22">
        <f t="shared" si="57"/>
        <v>168.01867124778914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5.5042735042735051</v>
      </c>
      <c r="AI84" s="13">
        <f>IF('Données projet'!$A$62&gt;35,AI83+AH84-AQ83,IF(A84&lt;'Données projet'!$A$62,$AF$205^A84,IF(A84='Données projet'!$A$62,'Données projet'!$B$62,AI83+AH84-AQ83)))</f>
        <v>183.49358974358967</v>
      </c>
      <c r="AJ84" s="13">
        <f>AI84*VLOOKUP('Données projet'!$B$10,Paramètres!$A$1:$I$89,3,0)*VLOOKUP('Données projet'!$B$10,Paramètres!$A$1:$I$89,5,0)</f>
        <v>166.02499999999992</v>
      </c>
      <c r="AK84" s="13">
        <f t="shared" si="89"/>
        <v>42.198533618502132</v>
      </c>
      <c r="AL84" s="20">
        <f t="shared" si="58"/>
        <v>362.65598771889108</v>
      </c>
      <c r="AM84" s="59">
        <f t="shared" si="59"/>
        <v>655.98932105222434</v>
      </c>
      <c r="AN84" s="59">
        <f ca="1">AVERAGE(OFFSET($AM$3,0,0,'Données projet'!$E$10+1,1))-AVERAGE(OFFSET($H$3,0,0,'Données projet'!$E$10+1,1))</f>
        <v>227.31630731915698</v>
      </c>
      <c r="AO84" s="59">
        <f t="shared" si="90"/>
        <v>143.7533262991908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8.265206705338235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8.265206705338235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38.376000000000047</v>
      </c>
      <c r="D85" s="11">
        <f t="shared" si="86"/>
        <v>11.567172723592876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385.52624558562957</v>
      </c>
      <c r="H85" s="67">
        <f t="shared" si="56"/>
        <v>380.31769249359098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-5.3205440053716299E-14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294.94285920643927</v>
      </c>
      <c r="T85" s="59">
        <f t="shared" si="88"/>
        <v>399.89535338426606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89.22459999031102</v>
      </c>
      <c r="AA85" s="21">
        <f>EXP(-LN(2)/25)*AA84+(1-EXP(-LN(2)/25))/(LN(2)/25)*Calculateur!V85*Calculateur!X85*VLOOKUP('Données projet'!$B$9,Paramètres!$A$1:$I$89,3,0)*0.475*44/12</f>
        <v>74.903608412072245</v>
      </c>
      <c r="AB85" s="21">
        <f>EXP(-LN(2)/2)*AB84+(1-EXP(-LN(2)/2))/(LN(2)/2)*V85*Y85*VLOOKUP('Données projet'!$B$9,Paramètres!$A$1:$I$89,3,0)*0.475*44/12</f>
        <v>1.2927753747860794E-7</v>
      </c>
      <c r="AC85" s="22">
        <f t="shared" si="57"/>
        <v>164.12820853166082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5.5042735042735051</v>
      </c>
      <c r="AI85" s="13">
        <f>IF('Données projet'!$A$62&gt;35,AI84+AH85-AQ84,IF(A85&lt;'Données projet'!$A$62,$AF$205^A85,IF(A85='Données projet'!$A$62,'Données projet'!$B$62,AI84+AH85-AQ84)))</f>
        <v>188.99786324786317</v>
      </c>
      <c r="AJ85" s="13">
        <f>AI85*VLOOKUP('Données projet'!$B$10,Paramètres!$A$1:$I$89,3,0)*VLOOKUP('Données projet'!$B$10,Paramètres!$A$1:$I$89,5,0)</f>
        <v>171.00526666666659</v>
      </c>
      <c r="AK85" s="13">
        <f t="shared" si="89"/>
        <v>43.31509256233069</v>
      </c>
      <c r="AL85" s="20">
        <f t="shared" si="58"/>
        <v>373.27462565717025</v>
      </c>
      <c r="AM85" s="59">
        <f t="shared" si="59"/>
        <v>666.60795899050356</v>
      </c>
      <c r="AN85" s="59">
        <f ca="1">AVERAGE(OFFSET($AM$3,0,0,'Données projet'!$E$10+1,1))-AVERAGE(OFFSET($H$3,0,0,'Données projet'!$E$10+1,1))</f>
        <v>227.31630731915698</v>
      </c>
      <c r="AO85" s="59">
        <f t="shared" si="90"/>
        <v>143.7533262991908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8.1031310431248578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8.1031310431248578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38.844000000000051</v>
      </c>
      <c r="D86" s="11">
        <f t="shared" si="86"/>
        <v>11.691727995381735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390.10035645557872</v>
      </c>
      <c r="H86" s="67">
        <f t="shared" si="56"/>
        <v>381.34972625862326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-5.3205440053716299E-14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294.94285920643927</v>
      </c>
      <c r="T86" s="59">
        <f t="shared" si="88"/>
        <v>399.89535338426606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87.47496000613333</v>
      </c>
      <c r="AA86" s="21">
        <f>EXP(-LN(2)/25)*AA85+(1-EXP(-LN(2)/25))/(LN(2)/25)*Calculateur!V86*Calculateur!X86*VLOOKUP('Données projet'!$B$9,Paramètres!$A$1:$I$89,3,0)*0.475*44/12</f>
        <v>72.855365301034553</v>
      </c>
      <c r="AB86" s="21">
        <f>EXP(-LN(2)/2)*AB85+(1-EXP(-LN(2)/2))/(LN(2)/2)*V86*Y86*VLOOKUP('Données projet'!$B$9,Paramètres!$A$1:$I$89,3,0)*0.475*44/12</f>
        <v>9.1413023406221719E-8</v>
      </c>
      <c r="AC86" s="22">
        <f t="shared" si="57"/>
        <v>160.3303253985809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5.5042735042735051</v>
      </c>
      <c r="AI86" s="13">
        <f>IF('Données projet'!$A$62&gt;35,AI85+AH86-AQ85,IF(A86&lt;'Données projet'!$A$62,$AF$205^A86,IF(A86='Données projet'!$A$62,'Données projet'!$B$62,AI85+AH86-AQ85)))</f>
        <v>194.50213675213666</v>
      </c>
      <c r="AJ86" s="13">
        <f>AI86*VLOOKUP('Données projet'!$B$10,Paramètres!$A$1:$I$89,3,0)*VLOOKUP('Données projet'!$B$10,Paramètres!$A$1:$I$89,5,0)</f>
        <v>175.98553333333325</v>
      </c>
      <c r="AK86" s="13">
        <f t="shared" si="89"/>
        <v>44.427872246727624</v>
      </c>
      <c r="AL86" s="20">
        <f t="shared" si="58"/>
        <v>383.88668138527265</v>
      </c>
      <c r="AM86" s="59">
        <f t="shared" si="59"/>
        <v>677.22001471860597</v>
      </c>
      <c r="AN86" s="59">
        <f ca="1">AVERAGE(OFFSET($AM$3,0,0,'Données projet'!$E$10+1,1))-AVERAGE(OFFSET($H$3,0,0,'Données projet'!$E$10+1,1))</f>
        <v>227.31630731915698</v>
      </c>
      <c r="AO86" s="59">
        <f t="shared" si="90"/>
        <v>143.7533262991908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7.9442335857910917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7.9442335857910917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39.312000000000054</v>
      </c>
      <c r="D87" s="11">
        <f t="shared" si="86"/>
        <v>11.816108707618415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394.67311984828297</v>
      </c>
      <c r="H87" s="67">
        <f t="shared" si="56"/>
        <v>382.38145599910212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-5.3205440053716299E-14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294.94285920643927</v>
      </c>
      <c r="T87" s="59">
        <f t="shared" si="88"/>
        <v>399.89535338426606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85.759629394870345</v>
      </c>
      <c r="AA87" s="21">
        <f>EXP(-LN(2)/25)*AA86+(1-EXP(-LN(2)/25))/(LN(2)/25)*Calculateur!V87*Calculateur!X87*VLOOKUP('Données projet'!$B$9,Paramètres!$A$1:$I$89,3,0)*0.475*44/12</f>
        <v>70.863131505580611</v>
      </c>
      <c r="AB87" s="21">
        <f>EXP(-LN(2)/2)*AB86+(1-EXP(-LN(2)/2))/(LN(2)/2)*V87*Y87*VLOOKUP('Données projet'!$B$9,Paramètres!$A$1:$I$89,3,0)*0.475*44/12</f>
        <v>6.4638768739303968E-8</v>
      </c>
      <c r="AC87" s="22">
        <f t="shared" si="57"/>
        <v>156.6227609650897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200.00641025641025</v>
      </c>
      <c r="AG87" s="12">
        <f>VLOOKUP(A87,'Données projet'!$A$61:$I$81,9,0)</f>
        <v>5.5042735042735051</v>
      </c>
      <c r="AH87" s="12">
        <f t="array" ref="AH87">INDEX(AG:AG,MIN(IF(ISNUMBER(AG87:AG283),ROW(AG87:AG283),"")))</f>
        <v>5.5042735042735051</v>
      </c>
      <c r="AI87" s="13">
        <f>IF('Données projet'!$A$62&gt;35,AI86+AH87-AQ86,IF(A87&lt;'Données projet'!$A$62,$AF$205^A87,IF(A87='Données projet'!$A$62,'Données projet'!$B$62,AI86+AH87-AQ86)))</f>
        <v>200.00641025641016</v>
      </c>
      <c r="AJ87" s="13">
        <f>AI87*VLOOKUP('Données projet'!$B$10,Paramètres!$A$1:$I$89,3,0)*VLOOKUP('Données projet'!$B$10,Paramètres!$A$1:$I$89,5,0)</f>
        <v>180.96579999999992</v>
      </c>
      <c r="AK87" s="13">
        <f t="shared" si="89"/>
        <v>45.536991906907375</v>
      </c>
      <c r="AL87" s="20">
        <f t="shared" si="58"/>
        <v>394.49236257119691</v>
      </c>
      <c r="AM87" s="59">
        <f t="shared" si="59"/>
        <v>687.82569590453022</v>
      </c>
      <c r="AN87" s="59">
        <f ca="1">AVERAGE(OFFSET($AM$3,0,0,'Données projet'!$E$10+1,1))-AVERAGE(OFFSET($H$3,0,0,'Données projet'!$E$10+1,1))</f>
        <v>227.31630731915698</v>
      </c>
      <c r="AO87" s="59">
        <f t="shared" si="90"/>
        <v>143.7533262991908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35.083333333333329</v>
      </c>
      <c r="AR87" s="16">
        <f>IF(ISNA(VLOOKUP(A87,'Données projet'!$A$61:$I$81,5,0)),0%,VLOOKUP(A87,'Données projet'!$A$61:$I$81,5,0)*VLOOKUP('Données projet'!$B$10,Paramètres!$A$1:$I$89,7,0))</f>
        <v>0.30099999999999999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18.350959932823301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18.350959932823301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39.780000000000058</v>
      </c>
      <c r="D88" s="11">
        <f t="shared" si="86"/>
        <v>11.940317178785941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399.24455366080423</v>
      </c>
      <c r="H88" s="67">
        <f t="shared" si="56"/>
        <v>383.41288575305225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-5.3205440053716299E-14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294.94285920643927</v>
      </c>
      <c r="T88" s="59">
        <f t="shared" si="88"/>
        <v>399.89535338426606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84.077935370645861</v>
      </c>
      <c r="AA88" s="21">
        <f>EXP(-LN(2)/25)*AA87+(1-EXP(-LN(2)/25))/(LN(2)/25)*Calculateur!V88*Calculateur!X88*VLOOKUP('Données projet'!$B$9,Paramètres!$A$1:$I$89,3,0)*0.475*44/12</f>
        <v>68.92537544803038</v>
      </c>
      <c r="AB88" s="21">
        <f>EXP(-LN(2)/2)*AB87+(1-EXP(-LN(2)/2))/(LN(2)/2)*V88*Y88*VLOOKUP('Données projet'!$B$9,Paramètres!$A$1:$I$89,3,0)*0.475*44/12</f>
        <v>4.5706511703110859E-8</v>
      </c>
      <c r="AC88" s="22">
        <f t="shared" si="57"/>
        <v>153.00331086438277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5.2606837606837598</v>
      </c>
      <c r="AI88" s="13">
        <f>IF('Données projet'!$A$62&gt;35,AI87+AH88-AQ87,IF(A88&lt;'Données projet'!$A$62,$AF$205^A88,IF(A88='Données projet'!$A$62,'Données projet'!$B$62,AI87+AH88-AQ87)))</f>
        <v>170.18376068376057</v>
      </c>
      <c r="AJ88" s="13">
        <f>AI88*VLOOKUP('Données projet'!$B$10,Paramètres!$A$1:$I$89,3,0)*VLOOKUP('Données projet'!$B$10,Paramètres!$A$1:$I$89,5,0)</f>
        <v>153.98226666666656</v>
      </c>
      <c r="AK88" s="13">
        <f t="shared" si="89"/>
        <v>39.482185325458943</v>
      </c>
      <c r="AL88" s="20">
        <f t="shared" si="58"/>
        <v>336.95058721961857</v>
      </c>
      <c r="AM88" s="59">
        <f t="shared" si="59"/>
        <v>630.28392055295194</v>
      </c>
      <c r="AN88" s="59">
        <f ca="1">AVERAGE(OFFSET($AM$3,0,0,'Données projet'!$E$10+1,1))-AVERAGE(OFFSET($H$3,0,0,'Données projet'!$E$10+1,1))</f>
        <v>227.31630731915698</v>
      </c>
      <c r="AO88" s="59">
        <f t="shared" si="90"/>
        <v>143.7533262991908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17.99110880152098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17.99110880152098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40.248000000000062</v>
      </c>
      <c r="D89" s="11">
        <f t="shared" si="86"/>
        <v>12.064355669675374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403.81467534486302</v>
      </c>
      <c r="H89" s="67">
        <f t="shared" si="56"/>
        <v>384.44401945801803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-5.3205440053716299E-14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294.94285920643927</v>
      </c>
      <c r="T89" s="59">
        <f t="shared" si="88"/>
        <v>399.89535338426606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82.429218340504349</v>
      </c>
      <c r="AA89" s="21">
        <f>EXP(-LN(2)/25)*AA88+(1-EXP(-LN(2)/25))/(LN(2)/25)*Calculateur!V89*Calculateur!X89*VLOOKUP('Données projet'!$B$9,Paramètres!$A$1:$I$89,3,0)*0.475*44/12</f>
        <v>67.040607431776024</v>
      </c>
      <c r="AB89" s="21">
        <f>EXP(-LN(2)/2)*AB88+(1-EXP(-LN(2)/2))/(LN(2)/2)*V89*Y89*VLOOKUP('Données projet'!$B$9,Paramètres!$A$1:$I$89,3,0)*0.475*44/12</f>
        <v>3.2319384369651984E-8</v>
      </c>
      <c r="AC89" s="22">
        <f t="shared" si="57"/>
        <v>149.46982580459976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5.2606837606837598</v>
      </c>
      <c r="AI89" s="13">
        <f>IF('Données projet'!$A$62&gt;35,AI88+AH89-AQ88,IF(A89&lt;'Données projet'!$A$62,$AF$205^A89,IF(A89='Données projet'!$A$62,'Données projet'!$B$62,AI88+AH89-AQ88)))</f>
        <v>175.44444444444431</v>
      </c>
      <c r="AJ89" s="13">
        <f>AI89*VLOOKUP('Données projet'!$B$10,Paramètres!$A$1:$I$89,3,0)*VLOOKUP('Données projet'!$B$10,Paramètres!$A$1:$I$89,5,0)</f>
        <v>158.74213333333321</v>
      </c>
      <c r="AK89" s="13">
        <f t="shared" si="89"/>
        <v>40.558669873865824</v>
      </c>
      <c r="AL89" s="20">
        <f t="shared" si="58"/>
        <v>347.11556558587159</v>
      </c>
      <c r="AM89" s="59">
        <f t="shared" si="59"/>
        <v>640.44889891920491</v>
      </c>
      <c r="AN89" s="59">
        <f ca="1">AVERAGE(OFFSET($AM$3,0,0,'Données projet'!$E$10+1,1))-AVERAGE(OFFSET($H$3,0,0,'Données projet'!$E$10+1,1))</f>
        <v>227.31630731915698</v>
      </c>
      <c r="AO89" s="59">
        <f t="shared" si="90"/>
        <v>143.7533262991908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17.638314131415981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17.638314131415981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40.716000000000065</v>
      </c>
      <c r="D90" s="11">
        <f t="shared" si="86"/>
        <v>12.188226385475193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408.38350192296684</v>
      </c>
      <c r="H90" s="67">
        <f t="shared" si="56"/>
        <v>385.47486095470271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-5.3205440053716299E-14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294.94285920643927</v>
      </c>
      <c r="T90" s="59">
        <f t="shared" si="88"/>
        <v>399.89535338426606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80.812831645705813</v>
      </c>
      <c r="AA90" s="21">
        <f>EXP(-LN(2)/25)*AA89+(1-EXP(-LN(2)/25))/(LN(2)/25)*Calculateur!V90*Calculateur!X90*VLOOKUP('Données projet'!$B$9,Paramètres!$A$1:$I$89,3,0)*0.475*44/12</f>
        <v>65.207378496041784</v>
      </c>
      <c r="AB90" s="21">
        <f>EXP(-LN(2)/2)*AB89+(1-EXP(-LN(2)/2))/(LN(2)/2)*V90*Y90*VLOOKUP('Données projet'!$B$9,Paramètres!$A$1:$I$89,3,0)*0.475*44/12</f>
        <v>2.285325585155543E-8</v>
      </c>
      <c r="AC90" s="22">
        <f t="shared" si="57"/>
        <v>146.02021016460085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5.2606837606837598</v>
      </c>
      <c r="AI90" s="13">
        <f>IF('Données projet'!$A$62&gt;35,AI89+AH90-AQ89,IF(A90&lt;'Données projet'!$A$62,$AF$205^A90,IF(A90='Données projet'!$A$62,'Données projet'!$B$62,AI89+AH90-AQ89)))</f>
        <v>180.70512820512806</v>
      </c>
      <c r="AJ90" s="13">
        <f>AI90*VLOOKUP('Données projet'!$B$10,Paramètres!$A$1:$I$89,3,0)*VLOOKUP('Données projet'!$B$10,Paramètres!$A$1:$I$89,5,0)</f>
        <v>163.50199999999987</v>
      </c>
      <c r="AK90" s="13">
        <f t="shared" si="89"/>
        <v>41.631403185766587</v>
      </c>
      <c r="AL90" s="20">
        <f t="shared" si="58"/>
        <v>357.27401054854323</v>
      </c>
      <c r="AM90" s="59">
        <f t="shared" si="59"/>
        <v>650.60734388187655</v>
      </c>
      <c r="AN90" s="59">
        <f ca="1">AVERAGE(OFFSET($AM$3,0,0,'Données projet'!$E$10+1,1))-AVERAGE(OFFSET($H$3,0,0,'Données projet'!$E$10+1,1))</f>
        <v>227.31630731915698</v>
      </c>
      <c r="AO90" s="59">
        <f t="shared" si="90"/>
        <v>143.7533262991908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17.292437549608241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17.292437549608241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41.184000000000069</v>
      </c>
      <c r="D91" s="11">
        <f t="shared" si="86"/>
        <v>12.311931477761863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412.95105000377634</v>
      </c>
      <c r="H91" s="67">
        <f t="shared" si="56"/>
        <v>386.50541399043533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-5.3205440053716299E-14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294.94285920643927</v>
      </c>
      <c r="T91" s="59">
        <f t="shared" si="88"/>
        <v>399.89535338426606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79.228141308093754</v>
      </c>
      <c r="AA91" s="21">
        <f>EXP(-LN(2)/25)*AA90+(1-EXP(-LN(2)/25))/(LN(2)/25)*Calculateur!V91*Calculateur!X91*VLOOKUP('Données projet'!$B$9,Paramètres!$A$1:$I$89,3,0)*0.475*44/12</f>
        <v>63.424279301960517</v>
      </c>
      <c r="AB91" s="21">
        <f>EXP(-LN(2)/2)*AB90+(1-EXP(-LN(2)/2))/(LN(2)/2)*V91*Y91*VLOOKUP('Données projet'!$B$9,Paramètres!$A$1:$I$89,3,0)*0.475*44/12</f>
        <v>1.6159692184825992E-8</v>
      </c>
      <c r="AC91" s="22">
        <f t="shared" si="57"/>
        <v>142.65242062621397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5.2606837606837598</v>
      </c>
      <c r="AI91" s="13">
        <f>IF('Données projet'!$A$62&gt;35,AI90+AH91-AQ90,IF(A91&lt;'Données projet'!$A$62,$AF$205^A91,IF(A91='Données projet'!$A$62,'Données projet'!$B$62,AI90+AH91-AQ90)))</f>
        <v>185.96581196581181</v>
      </c>
      <c r="AJ91" s="13">
        <f>AI91*VLOOKUP('Données projet'!$B$10,Paramètres!$A$1:$I$89,3,0)*VLOOKUP('Données projet'!$B$10,Paramètres!$A$1:$I$89,5,0)</f>
        <v>168.26186666666652</v>
      </c>
      <c r="AK91" s="13">
        <f t="shared" si="89"/>
        <v>42.700507007169499</v>
      </c>
      <c r="AL91" s="20">
        <f t="shared" si="58"/>
        <v>367.42613414859778</v>
      </c>
      <c r="AM91" s="59">
        <f t="shared" si="59"/>
        <v>660.7594674819311</v>
      </c>
      <c r="AN91" s="59">
        <f ca="1">AVERAGE(OFFSET($AM$3,0,0,'Données projet'!$E$10+1,1))-AVERAGE(OFFSET($H$3,0,0,'Données projet'!$E$10+1,1))</f>
        <v>227.31630731915698</v>
      </c>
      <c r="AO91" s="59">
        <f t="shared" si="90"/>
        <v>143.7533262991908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16.953343396605867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16.953343396605867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41.652000000000072</v>
      </c>
      <c r="D92" s="11">
        <f t="shared" si="86"/>
        <v>12.435473046397316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417.51733579675187</v>
      </c>
      <c r="H92" s="67">
        <f t="shared" si="56"/>
        <v>387.53568222247543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-5.3205440053716299E-14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294.94285920643927</v>
      </c>
      <c r="T92" s="59">
        <f t="shared" si="88"/>
        <v>399.89535338426606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77.6745257814366</v>
      </c>
      <c r="AA92" s="21">
        <f>EXP(-LN(2)/25)*AA91+(1-EXP(-LN(2)/25))/(LN(2)/25)*Calculateur!V92*Calculateur!X92*VLOOKUP('Données projet'!$B$9,Paramètres!$A$1:$I$89,3,0)*0.475*44/12</f>
        <v>61.689939049110514</v>
      </c>
      <c r="AB92" s="21">
        <f>EXP(-LN(2)/2)*AB91+(1-EXP(-LN(2)/2))/(LN(2)/2)*V92*Y92*VLOOKUP('Données projet'!$B$9,Paramètres!$A$1:$I$89,3,0)*0.475*44/12</f>
        <v>1.1426627925777715E-8</v>
      </c>
      <c r="AC92" s="22">
        <f t="shared" si="57"/>
        <v>139.36446484197376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5.2606837606837598</v>
      </c>
      <c r="AI92" s="13">
        <f>IF('Données projet'!$A$62&gt;35,AI91+AH92-AQ91,IF(A92&lt;'Données projet'!$A$62,$AF$205^A92,IF(A92='Données projet'!$A$62,'Données projet'!$B$62,AI91+AH92-AQ91)))</f>
        <v>191.22649572649556</v>
      </c>
      <c r="AJ92" s="13">
        <f>AI92*VLOOKUP('Données projet'!$B$10,Paramètres!$A$1:$I$89,3,0)*VLOOKUP('Données projet'!$B$10,Paramètres!$A$1:$I$89,5,0)</f>
        <v>173.02173333333317</v>
      </c>
      <c r="AK92" s="13">
        <f t="shared" si="89"/>
        <v>43.766095804240145</v>
      </c>
      <c r="AL92" s="20">
        <f t="shared" si="58"/>
        <v>377.57213574794014</v>
      </c>
      <c r="AM92" s="59">
        <f t="shared" si="59"/>
        <v>670.9054690812734</v>
      </c>
      <c r="AN92" s="59">
        <f ca="1">AVERAGE(OFFSET($AM$3,0,0,'Données projet'!$E$10+1,1))-AVERAGE(OFFSET($H$3,0,0,'Données projet'!$E$10+1,1))</f>
        <v>227.31630731915698</v>
      </c>
      <c r="AO92" s="59">
        <f t="shared" si="90"/>
        <v>143.7533262991908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16.620898673116855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16.620898673116855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42.120000000000076</v>
      </c>
      <c r="D93" s="11">
        <f t="shared" si="86"/>
        <v>12.558853141338776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422.08237512612442</v>
      </c>
      <c r="H93" s="67">
        <f t="shared" si="56"/>
        <v>388.56566922116514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-5.3205440053716299E-14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294.94285920643927</v>
      </c>
      <c r="T93" s="59">
        <f t="shared" si="88"/>
        <v>399.89535338426606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76.151375707645286</v>
      </c>
      <c r="AA93" s="21">
        <f>EXP(-LN(2)/25)*AA92+(1-EXP(-LN(2)/25))/(LN(2)/25)*Calculateur!V93*Calculateur!X93*VLOOKUP('Données projet'!$B$9,Paramètres!$A$1:$I$89,3,0)*0.475*44/12</f>
        <v>60.003024421679683</v>
      </c>
      <c r="AB93" s="21">
        <f>EXP(-LN(2)/2)*AB92+(1-EXP(-LN(2)/2))/(LN(2)/2)*V93*Y93*VLOOKUP('Données projet'!$B$9,Paramètres!$A$1:$I$89,3,0)*0.475*44/12</f>
        <v>8.079846092412996E-9</v>
      </c>
      <c r="AC93" s="22">
        <f t="shared" si="57"/>
        <v>136.15440013740482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5.2606837606837598</v>
      </c>
      <c r="AI93" s="13">
        <f>IF('Données projet'!$A$62&gt;35,AI92+AH93-AQ92,IF(A93&lt;'Données projet'!$A$62,$AF$205^A93,IF(A93='Données projet'!$A$62,'Données projet'!$B$62,AI92+AH93-AQ92)))</f>
        <v>196.4871794871793</v>
      </c>
      <c r="AJ93" s="13">
        <f>AI93*VLOOKUP('Données projet'!$B$10,Paramètres!$A$1:$I$89,3,0)*VLOOKUP('Données projet'!$B$10,Paramètres!$A$1:$I$89,5,0)</f>
        <v>177.78159999999983</v>
      </c>
      <c r="AK93" s="13">
        <f t="shared" si="89"/>
        <v>44.828277386743572</v>
      </c>
      <c r="AL93" s="20">
        <f t="shared" si="58"/>
        <v>387.71220311524468</v>
      </c>
      <c r="AM93" s="59">
        <f t="shared" si="59"/>
        <v>681.04553644857799</v>
      </c>
      <c r="AN93" s="59">
        <f ca="1">AVERAGE(OFFSET($AM$3,0,0,'Données projet'!$E$10+1,1))-AVERAGE(OFFSET($H$3,0,0,'Données projet'!$E$10+1,1))</f>
        <v>227.31630731915698</v>
      </c>
      <c r="AO93" s="59">
        <f t="shared" si="90"/>
        <v>143.7533262991908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16.294972987884204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16.294972987884204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42.588000000000079</v>
      </c>
      <c r="D94" s="11">
        <f t="shared" si="86"/>
        <v>12.682073764365786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426.64618344422774</v>
      </c>
      <c r="H94" s="67">
        <f t="shared" si="56"/>
        <v>389.59537847293717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-5.3205440053716299E-14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294.94285920643927</v>
      </c>
      <c r="T94" s="59">
        <f t="shared" si="88"/>
        <v>399.89535338426606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74.658093677771205</v>
      </c>
      <c r="AA94" s="21">
        <f>EXP(-LN(2)/25)*AA93+(1-EXP(-LN(2)/25))/(LN(2)/25)*Calculateur!V94*Calculateur!X94*VLOOKUP('Données projet'!$B$9,Paramètres!$A$1:$I$89,3,0)*0.475*44/12</f>
        <v>58.362238563446937</v>
      </c>
      <c r="AB94" s="21">
        <f>EXP(-LN(2)/2)*AB93+(1-EXP(-LN(2)/2))/(LN(2)/2)*V94*Y94*VLOOKUP('Données projet'!$B$9,Paramètres!$A$1:$I$89,3,0)*0.475*44/12</f>
        <v>5.7133139628888574E-9</v>
      </c>
      <c r="AC94" s="22">
        <f t="shared" si="57"/>
        <v>133.02033224693145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5.2606837606837598</v>
      </c>
      <c r="AI94" s="13">
        <f>IF('Données projet'!$A$62&gt;35,AI93+AH94-AQ93,IF(A94&lt;'Données projet'!$A$62,$AF$205^A94,IF(A94='Données projet'!$A$62,'Données projet'!$B$62,AI93+AH94-AQ93)))</f>
        <v>201.74786324786305</v>
      </c>
      <c r="AJ94" s="13">
        <f>AI94*VLOOKUP('Données projet'!$B$10,Paramètres!$A$1:$I$89,3,0)*VLOOKUP('Données projet'!$B$10,Paramètres!$A$1:$I$89,5,0)</f>
        <v>182.54146666666648</v>
      </c>
      <c r="AK94" s="13">
        <f t="shared" si="89"/>
        <v>45.887153462840786</v>
      </c>
      <c r="AL94" s="20">
        <f t="shared" si="58"/>
        <v>397.84651339222506</v>
      </c>
      <c r="AM94" s="59">
        <f t="shared" si="59"/>
        <v>691.17984672555838</v>
      </c>
      <c r="AN94" s="59">
        <f ca="1">AVERAGE(OFFSET($AM$3,0,0,'Données projet'!$E$10+1,1))-AVERAGE(OFFSET($H$3,0,0,'Données projet'!$E$10+1,1))</f>
        <v>227.31630731915698</v>
      </c>
      <c r="AO94" s="59">
        <f t="shared" si="90"/>
        <v>143.7533262991908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15.975438506543927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15.975438506543927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43.056000000000083</v>
      </c>
      <c r="D95" s="11">
        <f t="shared" si="86"/>
        <v>12.805136870729203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431.20877584422607</v>
      </c>
      <c r="H95" s="67">
        <f t="shared" si="56"/>
        <v>390.62481338318679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-5.3205440053716299E-14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294.94285920643927</v>
      </c>
      <c r="T95" s="59">
        <f t="shared" si="88"/>
        <v>399.89535338426606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73.194093997690857</v>
      </c>
      <c r="AA95" s="21">
        <f>EXP(-LN(2)/25)*AA94+(1-EXP(-LN(2)/25))/(LN(2)/25)*Calculateur!V95*Calculateur!X95*VLOOKUP('Données projet'!$B$9,Paramètres!$A$1:$I$89,3,0)*0.475*44/12</f>
        <v>56.766320080792745</v>
      </c>
      <c r="AB95" s="21">
        <f>EXP(-LN(2)/2)*AB94+(1-EXP(-LN(2)/2))/(LN(2)/2)*V95*Y95*VLOOKUP('Données projet'!$B$9,Paramètres!$A$1:$I$89,3,0)*0.475*44/12</f>
        <v>4.039923046206498E-9</v>
      </c>
      <c r="AC95" s="22">
        <f t="shared" si="57"/>
        <v>129.96041408252353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5.2606837606837598</v>
      </c>
      <c r="AI95" s="13">
        <f>IF('Données projet'!$A$62&gt;35,AI94+AH95-AQ94,IF(A95&lt;'Données projet'!$A$62,$AF$205^A95,IF(A95='Données projet'!$A$62,'Données projet'!$B$62,AI94+AH95-AQ94)))</f>
        <v>207.0085470085468</v>
      </c>
      <c r="AJ95" s="13">
        <f>AI95*VLOOKUP('Données projet'!$B$10,Paramètres!$A$1:$I$89,3,0)*VLOOKUP('Données projet'!$B$10,Paramètres!$A$1:$I$89,5,0)</f>
        <v>187.30133333333313</v>
      </c>
      <c r="AK95" s="13">
        <f t="shared" si="89"/>
        <v>46.942820134391475</v>
      </c>
      <c r="AL95" s="20">
        <f t="shared" si="58"/>
        <v>407.97523395628696</v>
      </c>
      <c r="AM95" s="59">
        <f t="shared" si="59"/>
        <v>701.30856728962021</v>
      </c>
      <c r="AN95" s="59">
        <f ca="1">AVERAGE(OFFSET($AM$3,0,0,'Données projet'!$E$10+1,1))-AVERAGE(OFFSET($H$3,0,0,'Données projet'!$E$10+1,1))</f>
        <v>227.31630731915698</v>
      </c>
      <c r="AO95" s="59">
        <f t="shared" si="90"/>
        <v>143.7533262991908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15.662169901485944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15.662169901485944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43.524000000000086</v>
      </c>
      <c r="D96" s="11">
        <f t="shared" si="86"/>
        <v>12.928044370726413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435.77016707227472</v>
      </c>
      <c r="H96" s="67">
        <f t="shared" si="56"/>
        <v>391.65397727901529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-5.3205440053716299E-14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294.94285920643927</v>
      </c>
      <c r="T96" s="59">
        <f t="shared" si="88"/>
        <v>399.89535338426606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71.758802458385247</v>
      </c>
      <c r="AA96" s="21">
        <f>EXP(-LN(2)/25)*AA95+(1-EXP(-LN(2)/25))/(LN(2)/25)*Calculateur!V96*Calculateur!X96*VLOOKUP('Données projet'!$B$9,Paramètres!$A$1:$I$89,3,0)*0.475*44/12</f>
        <v>55.214042072972433</v>
      </c>
      <c r="AB96" s="21">
        <f>EXP(-LN(2)/2)*AB95+(1-EXP(-LN(2)/2))/(LN(2)/2)*V96*Y96*VLOOKUP('Données projet'!$B$9,Paramètres!$A$1:$I$89,3,0)*0.475*44/12</f>
        <v>2.8566569814444287E-9</v>
      </c>
      <c r="AC96" s="22">
        <f t="shared" si="57"/>
        <v>126.97284453421433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212.26923076923075</v>
      </c>
      <c r="AG96" s="12">
        <f>VLOOKUP(A96,'Données projet'!$A$61:$I$81,9,0)</f>
        <v>5.2606837606837598</v>
      </c>
      <c r="AH96" s="12">
        <f t="array" ref="AH96">INDEX(AG:AG,MIN(IF(ISNUMBER(AG96:AG292),ROW(AG96:AG292),"")))</f>
        <v>5.2606837606837598</v>
      </c>
      <c r="AI96" s="13">
        <f>IF('Données projet'!$A$62&gt;35,AI95+AH96-AQ95,IF(A96&lt;'Données projet'!$A$62,$AF$205^A96,IF(A96='Données projet'!$A$62,'Données projet'!$B$62,AI95+AH96-AQ95)))</f>
        <v>212.26923076923055</v>
      </c>
      <c r="AJ96" s="13">
        <f>AI96*VLOOKUP('Données projet'!$B$10,Paramètres!$A$1:$I$89,3,0)*VLOOKUP('Données projet'!$B$10,Paramètres!$A$1:$I$89,5,0)</f>
        <v>192.06119999999979</v>
      </c>
      <c r="AK96" s="13">
        <f t="shared" si="89"/>
        <v>47.995368340490955</v>
      </c>
      <c r="AL96" s="20">
        <f t="shared" si="58"/>
        <v>418.09852319302132</v>
      </c>
      <c r="AM96" s="59">
        <f t="shared" si="59"/>
        <v>711.43185652635464</v>
      </c>
      <c r="AN96" s="59">
        <f ca="1">AVERAGE(OFFSET($AM$3,0,0,'Données projet'!$E$10+1,1))-AVERAGE(OFFSET($H$3,0,0,'Données projet'!$E$10+1,1))</f>
        <v>227.31630731915698</v>
      </c>
      <c r="AO96" s="59">
        <f t="shared" si="90"/>
        <v>143.7533262991908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30.083333333333332</v>
      </c>
      <c r="AR96" s="16">
        <f>IF(ISNA(VLOOKUP(A96,'Données projet'!$A$61:$I$81,5,0)),0%,VLOOKUP(A96,'Données projet'!$A$61:$I$81,5,0)*VLOOKUP('Données projet'!$B$10,Paramètres!$A$1:$I$89,7,0))</f>
        <v>0.30099999999999999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24.412206677744578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24.412206677744578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43.99200000000009</v>
      </c>
      <c r="D97" s="11">
        <f t="shared" si="86"/>
        <v>13.050798131206898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440.33037153914165</v>
      </c>
      <c r="H97" s="67">
        <f t="shared" si="56"/>
        <v>392.68287341185214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-5.3205440053716299E-14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294.94285920643927</v>
      </c>
      <c r="T97" s="59">
        <f t="shared" si="88"/>
        <v>399.89535338426606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70.351656110724022</v>
      </c>
      <c r="AA97" s="21">
        <f>EXP(-LN(2)/25)*AA96+(1-EXP(-LN(2)/25))/(LN(2)/25)*Calculateur!V97*Calculateur!X97*VLOOKUP('Données projet'!$B$9,Paramètres!$A$1:$I$89,3,0)*0.475*44/12</f>
        <v>53.704211188906726</v>
      </c>
      <c r="AB97" s="21">
        <f>EXP(-LN(2)/2)*AB96+(1-EXP(-LN(2)/2))/(LN(2)/2)*V97*Y97*VLOOKUP('Données projet'!$B$9,Paramètres!$A$1:$I$89,3,0)*0.475*44/12</f>
        <v>2.019961523103249E-9</v>
      </c>
      <c r="AC97" s="22">
        <f t="shared" si="57"/>
        <v>124.05586730165071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5.2583333333333373</v>
      </c>
      <c r="AI97" s="13">
        <f>IF('Données projet'!$A$62&gt;35,AI96+AH97-AQ96,IF(A97&lt;'Données projet'!$A$62,$AF$205^A97,IF(A97='Données projet'!$A$62,'Données projet'!$B$62,AI96+AH97-AQ96)))</f>
        <v>187.44423076923053</v>
      </c>
      <c r="AJ97" s="13">
        <f>AI97*VLOOKUP('Données projet'!$B$10,Paramètres!$A$1:$I$89,3,0)*VLOOKUP('Données projet'!$B$10,Paramètres!$A$1:$I$89,5,0)</f>
        <v>169.59953999999976</v>
      </c>
      <c r="AK97" s="13">
        <f t="shared" si="89"/>
        <v>43.000321559740421</v>
      </c>
      <c r="AL97" s="20">
        <f t="shared" si="58"/>
        <v>370.27809221654746</v>
      </c>
      <c r="AM97" s="59">
        <f t="shared" si="59"/>
        <v>663.61142554988078</v>
      </c>
      <c r="AN97" s="59">
        <f ca="1">AVERAGE(OFFSET($AM$3,0,0,'Données projet'!$E$10+1,1))-AVERAGE(OFFSET($H$3,0,0,'Données projet'!$E$10+1,1))</f>
        <v>227.31630731915698</v>
      </c>
      <c r="AO97" s="59">
        <f t="shared" si="90"/>
        <v>143.7533262991908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23.933498194769818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23.933498194769818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44.460000000000093</v>
      </c>
      <c r="D98" s="11">
        <f t="shared" si="86"/>
        <v>13.173399977011883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444.88940333132058</v>
      </c>
      <c r="H98" s="67">
        <f t="shared" si="56"/>
        <v>393.7115049599625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-5.3205440053716299E-14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294.94285920643927</v>
      </c>
      <c r="T98" s="59">
        <f t="shared" si="88"/>
        <v>399.89535338426606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68.972103044665914</v>
      </c>
      <c r="AA98" s="21">
        <f>EXP(-LN(2)/25)*AA97+(1-EXP(-LN(2)/25))/(LN(2)/25)*Calculateur!V98*Calculateur!X98*VLOOKUP('Données projet'!$B$9,Paramètres!$A$1:$I$89,3,0)*0.475*44/12</f>
        <v>52.235666709764345</v>
      </c>
      <c r="AB98" s="21">
        <f>EXP(-LN(2)/2)*AB97+(1-EXP(-LN(2)/2))/(LN(2)/2)*V98*Y98*VLOOKUP('Données projet'!$B$9,Paramètres!$A$1:$I$89,3,0)*0.475*44/12</f>
        <v>1.4283284907222144E-9</v>
      </c>
      <c r="AC98" s="22">
        <f t="shared" si="57"/>
        <v>121.20776975585859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5.2583333333333373</v>
      </c>
      <c r="AI98" s="13">
        <f>IF('Données projet'!$A$62&gt;35,AI97+AH98-AQ97,IF(A98&lt;'Données projet'!$A$62,$AF$205^A98,IF(A98='Données projet'!$A$62,'Données projet'!$B$62,AI97+AH98-AQ97)))</f>
        <v>192.70256410256385</v>
      </c>
      <c r="AJ98" s="13">
        <f>AI98*VLOOKUP('Données projet'!$B$10,Paramètres!$A$1:$I$89,3,0)*VLOOKUP('Données projet'!$B$10,Paramètres!$A$1:$I$89,5,0)</f>
        <v>174.35727999999978</v>
      </c>
      <c r="AK98" s="13">
        <f t="shared" si="89"/>
        <v>44.064467301710017</v>
      </c>
      <c r="AL98" s="20">
        <f t="shared" si="58"/>
        <v>380.41787655047784</v>
      </c>
      <c r="AM98" s="59">
        <f t="shared" si="59"/>
        <v>673.75120988381116</v>
      </c>
      <c r="AN98" s="59">
        <f ca="1">AVERAGE(OFFSET($AM$3,0,0,'Données projet'!$E$10+1,1))-AVERAGE(OFFSET($H$3,0,0,'Données projet'!$E$10+1,1))</f>
        <v>227.31630731915698</v>
      </c>
      <c r="AO98" s="59">
        <f t="shared" si="90"/>
        <v>143.7533262991908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23.46417689316285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23.46417689316285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44.928000000000097</v>
      </c>
      <c r="D99" s="11">
        <f t="shared" si="86"/>
        <v>13.295851692351626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449.44727622166243</v>
      </c>
      <c r="H99" s="67">
        <f t="shared" si="56"/>
        <v>394.73987503084589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-5.3205440053716299E-14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294.94285920643927</v>
      </c>
      <c r="T99" s="59">
        <f t="shared" si="88"/>
        <v>399.89535338426606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67.619602172788916</v>
      </c>
      <c r="AA99" s="21">
        <f>EXP(-LN(2)/25)*AA98+(1-EXP(-LN(2)/25))/(LN(2)/25)*Calculateur!V99*Calculateur!X99*VLOOKUP('Données projet'!$B$9,Paramètres!$A$1:$I$89,3,0)*0.475*44/12</f>
        <v>50.807279656631515</v>
      </c>
      <c r="AB99" s="21">
        <f>EXP(-LN(2)/2)*AB98+(1-EXP(-LN(2)/2))/(LN(2)/2)*V99*Y99*VLOOKUP('Données projet'!$B$9,Paramètres!$A$1:$I$89,3,0)*0.475*44/12</f>
        <v>1.0099807615516245E-9</v>
      </c>
      <c r="AC99" s="22">
        <f t="shared" si="57"/>
        <v>118.42688183043042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5.2583333333333373</v>
      </c>
      <c r="AI99" s="13">
        <f>IF('Données projet'!$A$62&gt;35,AI98+AH99-AQ98,IF(A99&lt;'Données projet'!$A$62,$AF$205^A99,IF(A99='Données projet'!$A$62,'Données projet'!$B$62,AI98+AH99-AQ98)))</f>
        <v>197.96089743589718</v>
      </c>
      <c r="AJ99" s="13">
        <f>AI99*VLOOKUP('Données projet'!$B$10,Paramètres!$A$1:$I$89,3,0)*VLOOKUP('Données projet'!$B$10,Paramètres!$A$1:$I$89,5,0)</f>
        <v>179.11501999999976</v>
      </c>
      <c r="AK99" s="13">
        <f t="shared" si="89"/>
        <v>45.125237978705186</v>
      </c>
      <c r="AL99" s="20">
        <f t="shared" si="58"/>
        <v>390.55178264624448</v>
      </c>
      <c r="AM99" s="59">
        <f t="shared" si="59"/>
        <v>683.88511597957779</v>
      </c>
      <c r="AN99" s="59">
        <f ca="1">AVERAGE(OFFSET($AM$3,0,0,'Données projet'!$E$10+1,1))-AVERAGE(OFFSET($H$3,0,0,'Données projet'!$E$10+1,1))</f>
        <v>227.31630731915698</v>
      </c>
      <c r="AO99" s="59">
        <f t="shared" si="90"/>
        <v>143.7533262991908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23.004058696022664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23.004058696022664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45.3960000000001</v>
      </c>
      <c r="D100" s="11">
        <f t="shared" si="86"/>
        <v>13.418155022123713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454.00400367955223</v>
      </c>
      <c r="H100" s="67">
        <f t="shared" si="56"/>
        <v>395.76798666353227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-5.3205440053716299E-14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294.94285920643927</v>
      </c>
      <c r="T100" s="59">
        <f t="shared" si="88"/>
        <v>399.89535338426606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66.293623018065361</v>
      </c>
      <c r="AA100" s="21">
        <f>EXP(-LN(2)/25)*AA99+(1-EXP(-LN(2)/25))/(LN(2)/25)*Calculateur!V100*Calculateur!X100*VLOOKUP('Données projet'!$B$9,Paramètres!$A$1:$I$89,3,0)*0.475*44/12</f>
        <v>49.417951922582212</v>
      </c>
      <c r="AB100" s="21">
        <f>EXP(-LN(2)/2)*AB99+(1-EXP(-LN(2)/2))/(LN(2)/2)*V100*Y100*VLOOKUP('Données projet'!$B$9,Paramètres!$A$1:$I$89,3,0)*0.475*44/12</f>
        <v>7.1416424536110718E-10</v>
      </c>
      <c r="AC100" s="22">
        <f t="shared" si="57"/>
        <v>115.71157494136175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5.2583333333333373</v>
      </c>
      <c r="AI100" s="13">
        <f>IF('Données projet'!$A$62&gt;35,AI99+AH100-AQ99,IF(A100&lt;'Données projet'!$A$62,$AF$205^A100,IF(A100='Données projet'!$A$62,'Données projet'!$B$62,AI99+AH100-AQ99)))</f>
        <v>203.21923076923051</v>
      </c>
      <c r="AJ100" s="13">
        <f>AI100*VLOOKUP('Données projet'!$B$10,Paramètres!$A$1:$I$89,3,0)*VLOOKUP('Données projet'!$B$10,Paramètres!$A$1:$I$89,5,0)</f>
        <v>183.87275999999974</v>
      </c>
      <c r="AK100" s="13">
        <f t="shared" si="89"/>
        <v>46.182733545341328</v>
      </c>
      <c r="AL100" s="20">
        <f t="shared" si="58"/>
        <v>400.67998459146901</v>
      </c>
      <c r="AM100" s="59">
        <f t="shared" si="59"/>
        <v>694.01331792480232</v>
      </c>
      <c r="AN100" s="59">
        <f ca="1">AVERAGE(OFFSET($AM$3,0,0,'Données projet'!$E$10+1,1))-AVERAGE(OFFSET($H$3,0,0,'Données projet'!$E$10+1,1))</f>
        <v>227.31630731915698</v>
      </c>
      <c r="AO100" s="59">
        <f t="shared" si="90"/>
        <v>143.7533262991908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22.55296313608401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22.55296313608401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45.864000000000104</v>
      </c>
      <c r="D101" s="11">
        <f t="shared" si="86"/>
        <v>13.540311673175431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458.55959888065331</v>
      </c>
      <c r="H101" s="67">
        <f t="shared" si="56"/>
        <v>396.79584283078071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-5.3205440053716299E-14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294.94285920643927</v>
      </c>
      <c r="T101" s="59">
        <f t="shared" si="88"/>
        <v>399.89535338426606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64.993645505798497</v>
      </c>
      <c r="AA101" s="21">
        <f>EXP(-LN(2)/25)*AA100+(1-EXP(-LN(2)/25))/(LN(2)/25)*Calculateur!V101*Calculateur!X101*VLOOKUP('Données projet'!$B$9,Paramètres!$A$1:$I$89,3,0)*0.475*44/12</f>
        <v>48.066615428482059</v>
      </c>
      <c r="AB101" s="21">
        <f>EXP(-LN(2)/2)*AB100+(1-EXP(-LN(2)/2))/(LN(2)/2)*V101*Y101*VLOOKUP('Données projet'!$B$9,Paramètres!$A$1:$I$89,3,0)*0.475*44/12</f>
        <v>5.0499038077581225E-10</v>
      </c>
      <c r="AC101" s="22">
        <f t="shared" si="57"/>
        <v>113.06026093478556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5.2583333333333373</v>
      </c>
      <c r="AI101" s="13">
        <f>IF('Données projet'!$A$62&gt;35,AI100+AH101-AQ100,IF(A101&lt;'Données projet'!$A$62,$AF$205^A101,IF(A101='Données projet'!$A$62,'Données projet'!$B$62,AI100+AH101-AQ100)))</f>
        <v>208.47756410256383</v>
      </c>
      <c r="AJ101" s="13">
        <f>AI101*VLOOKUP('Données projet'!$B$10,Paramètres!$A$1:$I$89,3,0)*VLOOKUP('Données projet'!$B$10,Paramètres!$A$1:$I$89,5,0)</f>
        <v>188.63049999999973</v>
      </c>
      <c r="AK101" s="13">
        <f t="shared" si="89"/>
        <v>47.237048488890842</v>
      </c>
      <c r="AL101" s="20">
        <f t="shared" si="58"/>
        <v>410.80264695148441</v>
      </c>
      <c r="AM101" s="59">
        <f t="shared" si="59"/>
        <v>704.13598028481772</v>
      </c>
      <c r="AN101" s="59">
        <f ca="1">AVERAGE(OFFSET($AM$3,0,0,'Données projet'!$E$10+1,1))-AVERAGE(OFFSET($H$3,0,0,'Données projet'!$E$10+1,1))</f>
        <v>227.31630731915698</v>
      </c>
      <c r="AO101" s="59">
        <f t="shared" si="90"/>
        <v>143.7533262991908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22.110713284934629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22.110713284934629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46.332000000000107</v>
      </c>
      <c r="D102" s="11">
        <f t="shared" si="86"/>
        <v>13.662323315513085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463.11407471624216</v>
      </c>
      <c r="H102" s="67">
        <f t="shared" si="56"/>
        <v>397.82344644118547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-5.3205440053716299E-14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294.94285920643927</v>
      </c>
      <c r="T102" s="59">
        <f t="shared" si="88"/>
        <v>399.89535338426606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63.719159759639204</v>
      </c>
      <c r="AA102" s="21">
        <f>EXP(-LN(2)/25)*AA101+(1-EXP(-LN(2)/25))/(LN(2)/25)*Calculateur!V102*Calculateur!X102*VLOOKUP('Données projet'!$B$9,Paramètres!$A$1:$I$89,3,0)*0.475*44/12</f>
        <v>46.752231301876769</v>
      </c>
      <c r="AB102" s="21">
        <f>EXP(-LN(2)/2)*AB101+(1-EXP(-LN(2)/2))/(LN(2)/2)*V102*Y102*VLOOKUP('Données projet'!$B$9,Paramètres!$A$1:$I$89,3,0)*0.475*44/12</f>
        <v>3.5708212268055359E-10</v>
      </c>
      <c r="AC102" s="22">
        <f t="shared" si="57"/>
        <v>110.47139106187305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5.2583333333333373</v>
      </c>
      <c r="AI102" s="13">
        <f>IF('Données projet'!$A$62&gt;35,AI101+AH102-AQ101,IF(A102&lt;'Données projet'!$A$62,$AF$205^A102,IF(A102='Données projet'!$A$62,'Données projet'!$B$62,AI101+AH102-AQ101)))</f>
        <v>213.73589743589716</v>
      </c>
      <c r="AJ102" s="13">
        <f>AI102*VLOOKUP('Données projet'!$B$10,Paramètres!$A$1:$I$89,3,0)*VLOOKUP('Données projet'!$B$10,Paramètres!$A$1:$I$89,5,0)</f>
        <v>193.38823999999974</v>
      </c>
      <c r="AK102" s="13">
        <f t="shared" si="89"/>
        <v>48.288272258589146</v>
      </c>
      <c r="AL102" s="20">
        <f t="shared" si="58"/>
        <v>420.91992551704237</v>
      </c>
      <c r="AM102" s="59">
        <f t="shared" si="59"/>
        <v>714.25325885037569</v>
      </c>
      <c r="AN102" s="59">
        <f ca="1">AVERAGE(OFFSET($AM$3,0,0,'Données projet'!$E$10+1,1))-AVERAGE(OFFSET($H$3,0,0,'Données projet'!$E$10+1,1))</f>
        <v>227.31630731915698</v>
      </c>
      <c r="AO102" s="59">
        <f t="shared" si="90"/>
        <v>143.7533262991908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21.677135683620513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21.677135683620513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46.800000000000111</v>
      </c>
      <c r="D103" s="11">
        <f t="shared" si="86"/>
        <v>13.784191583461164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467.66744380215727</v>
      </c>
      <c r="H103" s="67">
        <f t="shared" si="56"/>
        <v>398.85080034119505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-5.3205440053716299E-14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294.94285920643927</v>
      </c>
      <c r="T103" s="59">
        <f t="shared" si="88"/>
        <v>399.89535338426606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62.469665901602546</v>
      </c>
      <c r="AA103" s="21">
        <f>EXP(-LN(2)/25)*AA102+(1-EXP(-LN(2)/25))/(LN(2)/25)*Calculateur!V103*Calculateur!X103*VLOOKUP('Données projet'!$B$9,Paramètres!$A$1:$I$89,3,0)*0.475*44/12</f>
        <v>45.473789078333958</v>
      </c>
      <c r="AB103" s="21">
        <f>EXP(-LN(2)/2)*AB102+(1-EXP(-LN(2)/2))/(LN(2)/2)*V103*Y103*VLOOKUP('Données projet'!$B$9,Paramètres!$A$1:$I$89,3,0)*0.475*44/12</f>
        <v>2.5249519038790612E-10</v>
      </c>
      <c r="AC103" s="22">
        <f t="shared" si="57"/>
        <v>107.943454980189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5.2583333333333373</v>
      </c>
      <c r="AI103" s="13">
        <f>IF('Données projet'!$A$62&gt;35,AI102+AH103-AQ102,IF(A103&lt;'Données projet'!$A$62,$AF$205^A103,IF(A103='Données projet'!$A$62,'Données projet'!$B$62,AI102+AH103-AQ102)))</f>
        <v>218.99423076923048</v>
      </c>
      <c r="AJ103" s="13">
        <f>AI103*VLOOKUP('Données projet'!$B$10,Paramètres!$A$1:$I$89,3,0)*VLOOKUP('Données projet'!$B$10,Paramètres!$A$1:$I$89,5,0)</f>
        <v>198.14597999999972</v>
      </c>
      <c r="AK103" s="13">
        <f t="shared" si="89"/>
        <v>49.336489651503598</v>
      </c>
      <c r="AL103" s="20">
        <f t="shared" si="58"/>
        <v>431.03196797636821</v>
      </c>
      <c r="AM103" s="59">
        <f t="shared" si="59"/>
        <v>724.36530130970152</v>
      </c>
      <c r="AN103" s="59">
        <f ca="1">AVERAGE(OFFSET($AM$3,0,0,'Données projet'!$E$10+1,1))-AVERAGE(OFFSET($H$3,0,0,'Données projet'!$E$10+1,1))</f>
        <v>227.31630731915698</v>
      </c>
      <c r="AO103" s="59">
        <f t="shared" si="90"/>
        <v>143.7533262991908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21.252060274611942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21.252060274611942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47.268000000000114</v>
      </c>
      <c r="D104" s="11">
        <f t="shared" si="86"/>
        <v>13.905918076773704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472.21971848737684</v>
      </c>
      <c r="H104" s="67">
        <f t="shared" si="56"/>
        <v>399.87790731704769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294.94285920643927</v>
      </c>
      <c r="T104" s="59">
        <f t="shared" si="88"/>
        <v>399.89535338426606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61.244673856005988</v>
      </c>
      <c r="AA104" s="21">
        <f>EXP(-LN(2)/25)*AA103+(1-EXP(-LN(2)/25))/(LN(2)/25)*Calculateur!V104*Calculateur!X104*VLOOKUP('Données projet'!$B$9,Paramètres!$A$1:$I$89,3,0)*0.475*44/12</f>
        <v>44.230305924624282</v>
      </c>
      <c r="AB104" s="21">
        <f>EXP(-LN(2)/2)*AB103+(1-EXP(-LN(2)/2))/(LN(2)/2)*V104*Y104*VLOOKUP('Données projet'!$B$9,Paramètres!$A$1:$I$89,3,0)*0.475*44/12</f>
        <v>1.7854106134027679E-10</v>
      </c>
      <c r="AC104" s="22">
        <f t="shared" si="57"/>
        <v>105.47497978080881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5.2583333333333373</v>
      </c>
      <c r="AI104" s="13">
        <f>IF('Données projet'!$A$62&gt;35,AI103+AH104-AQ103,IF(A104&lt;'Données projet'!$A$62,$AF$205^A104,IF(A104='Données projet'!$A$62,'Données projet'!$B$62,AI103+AH104-AQ103)))</f>
        <v>224.25256410256381</v>
      </c>
      <c r="AJ104" s="13">
        <f>AI104*VLOOKUP('Données projet'!$B$10,Paramètres!$A$1:$I$89,3,0)*VLOOKUP('Données projet'!$B$10,Paramètres!$A$1:$I$89,5,0)</f>
        <v>202.90371999999974</v>
      </c>
      <c r="AK104" s="13">
        <f t="shared" si="89"/>
        <v>50.381781160298395</v>
      </c>
      <c r="AL104" s="20">
        <f t="shared" si="58"/>
        <v>441.13891452085255</v>
      </c>
      <c r="AM104" s="59">
        <f t="shared" si="59"/>
        <v>734.47224785418587</v>
      </c>
      <c r="AN104" s="59">
        <f ca="1">AVERAGE(OFFSET($AM$3,0,0,'Données projet'!$E$10+1,1))-AVERAGE(OFFSET($H$3,0,0,'Données projet'!$E$10+1,1))</f>
        <v>227.31630731915698</v>
      </c>
      <c r="AO104" s="59">
        <f t="shared" si="90"/>
        <v>143.7533262991908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20.835320335103631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20.835320335103631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47.736000000000118</v>
      </c>
      <c r="D105" s="11">
        <f t="shared" si="86"/>
        <v>14.027504361700455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476.77091086225005</v>
      </c>
      <c r="H105" s="67">
        <f t="shared" si="56"/>
        <v>400.90477009662845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294.94285920643927</v>
      </c>
      <c r="T105" s="59">
        <f t="shared" si="88"/>
        <v>399.89535338426606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60.04370315725221</v>
      </c>
      <c r="AA105" s="21">
        <f>EXP(-LN(2)/25)*AA104+(1-EXP(-LN(2)/25))/(LN(2)/25)*Calculateur!V105*Calculateur!X105*VLOOKUP('Données projet'!$B$9,Paramètres!$A$1:$I$89,3,0)*0.475*44/12</f>
        <v>43.020825883144731</v>
      </c>
      <c r="AB105" s="21">
        <f>EXP(-LN(2)/2)*AB104+(1-EXP(-LN(2)/2))/(LN(2)/2)*V105*Y105*VLOOKUP('Données projet'!$B$9,Paramètres!$A$1:$I$89,3,0)*0.475*44/12</f>
        <v>1.2624759519395306E-10</v>
      </c>
      <c r="AC105" s="22">
        <f t="shared" si="57"/>
        <v>103.06452904052318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5.2583333333333373</v>
      </c>
      <c r="AI105" s="13">
        <f>IF('Données projet'!$A$62&gt;35,AI104+AH105-AQ104,IF(A105&lt;'Données projet'!$A$62,$AF$205^A105,IF(A105='Données projet'!$A$62,'Données projet'!$B$62,AI104+AH105-AQ104)))</f>
        <v>229.51089743589714</v>
      </c>
      <c r="AJ105" s="13">
        <f>AI105*VLOOKUP('Données projet'!$B$10,Paramètres!$A$1:$I$89,3,0)*VLOOKUP('Données projet'!$B$10,Paramètres!$A$1:$I$89,5,0)</f>
        <v>207.66145999999972</v>
      </c>
      <c r="AK105" s="13">
        <f t="shared" si="89"/>
        <v>51.424223287461992</v>
      </c>
      <c r="AL105" s="20">
        <f t="shared" si="58"/>
        <v>451.2408983923292</v>
      </c>
      <c r="AM105" s="59">
        <f t="shared" si="59"/>
        <v>744.57423172566246</v>
      </c>
      <c r="AN105" s="59">
        <f ca="1">AVERAGE(OFFSET($AM$3,0,0,'Données projet'!$E$10+1,1))-AVERAGE(OFFSET($H$3,0,0,'Données projet'!$E$10+1,1))</f>
        <v>227.31630731915698</v>
      </c>
      <c r="AO105" s="59">
        <f t="shared" si="90"/>
        <v>143.7533262991908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20.426752411622815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20.426752411622815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48.204000000000121</v>
      </c>
      <c r="D106" s="11">
        <f t="shared" si="86"/>
        <v>14.148951972010016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481.32103276639413</v>
      </c>
      <c r="H106" s="67">
        <f t="shared" si="56"/>
        <v>401.93139135125097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294.94285920643927</v>
      </c>
      <c r="T106" s="59">
        <f t="shared" si="88"/>
        <v>399.89535338426606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58.866282761381193</v>
      </c>
      <c r="AA106" s="21">
        <f>EXP(-LN(2)/25)*AA105+(1-EXP(-LN(2)/25))/(LN(2)/25)*Calculateur!V106*Calculateur!X106*VLOOKUP('Données projet'!$B$9,Paramètres!$A$1:$I$89,3,0)*0.475*44/12</f>
        <v>41.844419137003229</v>
      </c>
      <c r="AB106" s="21">
        <f>EXP(-LN(2)/2)*AB105+(1-EXP(-LN(2)/2))/(LN(2)/2)*V106*Y106*VLOOKUP('Données projet'!$B$9,Paramètres!$A$1:$I$89,3,0)*0.475*44/12</f>
        <v>8.9270530670138397E-11</v>
      </c>
      <c r="AC106" s="22">
        <f t="shared" si="57"/>
        <v>100.7107018984737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234.76923076923077</v>
      </c>
      <c r="AG106" s="12">
        <f>VLOOKUP(A106,'Données projet'!$A$61:$I$81,9,0)</f>
        <v>5.2583333333333373</v>
      </c>
      <c r="AH106" s="12">
        <f t="array" ref="AH106">INDEX(AG:AG,MIN(IF(ISNUMBER(AG106:AG302),ROW(AG106:AG302),"")))</f>
        <v>5.2583333333333373</v>
      </c>
      <c r="AI106" s="13">
        <f>IF('Données projet'!$A$62&gt;35,AI105+AH106-AQ105,IF(A106&lt;'Données projet'!$A$62,$AF$205^A106,IF(A106='Données projet'!$A$62,'Données projet'!$B$62,AI105+AH106-AQ105)))</f>
        <v>234.76923076923046</v>
      </c>
      <c r="AJ106" s="13">
        <f>AI106*VLOOKUP('Données projet'!$B$10,Paramètres!$A$1:$I$89,3,0)*VLOOKUP('Données projet'!$B$10,Paramètres!$A$1:$I$89,5,0)</f>
        <v>212.41919999999973</v>
      </c>
      <c r="AK106" s="13">
        <f t="shared" si="89"/>
        <v>52.463888829926184</v>
      </c>
      <c r="AL106" s="20">
        <f t="shared" si="58"/>
        <v>461.33804637878757</v>
      </c>
      <c r="AM106" s="59">
        <f t="shared" si="59"/>
        <v>754.67137971212082</v>
      </c>
      <c r="AN106" s="59">
        <f ca="1">AVERAGE(OFFSET($AM$3,0,0,'Données projet'!$E$10+1,1))-AVERAGE(OFFSET($H$3,0,0,'Données projet'!$E$10+1,1))</f>
        <v>227.31630731915698</v>
      </c>
      <c r="AO106" s="59">
        <f t="shared" si="90"/>
        <v>143.7533262991908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39.512820512820511</v>
      </c>
      <c r="AR106" s="16">
        <f>IF(ISNA(VLOOKUP(A106,'Données projet'!$A$61:$I$81,5,0)),0%,VLOOKUP(A106,'Données projet'!$A$61:$I$81,5,0)*VLOOKUP('Données projet'!$B$10,Paramètres!$A$1:$I$89,7,0))</f>
        <v>0.30099999999999999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31.922285938379908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31.922285938379908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48.672000000000125</v>
      </c>
      <c r="D107" s="11">
        <f t="shared" si="86"/>
        <v>14.270262409972092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485.87009579627687</v>
      </c>
      <c r="H107" s="67">
        <f t="shared" si="56"/>
        <v>402.95777369736822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294.94285920643927</v>
      </c>
      <c r="T107" s="59">
        <f t="shared" si="88"/>
        <v>399.89535338426606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57.711950861317682</v>
      </c>
      <c r="AA107" s="21">
        <f>EXP(-LN(2)/25)*AA106+(1-EXP(-LN(2)/25))/(LN(2)/25)*Calculateur!V107*Calculateur!X107*VLOOKUP('Données projet'!$B$9,Paramètres!$A$1:$I$89,3,0)*0.475*44/12</f>
        <v>40.700181295199506</v>
      </c>
      <c r="AB107" s="21">
        <f>EXP(-LN(2)/2)*AB106+(1-EXP(-LN(2)/2))/(LN(2)/2)*V107*Y107*VLOOKUP('Données projet'!$B$9,Paramètres!$A$1:$I$89,3,0)*0.475*44/12</f>
        <v>6.3123797596976531E-11</v>
      </c>
      <c r="AC107" s="22">
        <f t="shared" si="57"/>
        <v>98.412132156580313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5.0961538461538449</v>
      </c>
      <c r="AI107" s="13">
        <f>IF('Données projet'!$A$62&gt;35,AI106+AH107-AQ106,IF(A107&lt;'Données projet'!$A$62,$AF$205^A107,IF(A107='Données projet'!$A$62,'Données projet'!$B$62,AI106+AH107-AQ106)))</f>
        <v>200.3525641025638</v>
      </c>
      <c r="AJ107" s="13">
        <f>AI107*VLOOKUP('Données projet'!$B$10,Paramètres!$A$1:$I$89,3,0)*VLOOKUP('Données projet'!$B$10,Paramètres!$A$1:$I$89,5,0)</f>
        <v>181.27899999999974</v>
      </c>
      <c r="AK107" s="13">
        <f t="shared" si="89"/>
        <v>45.606622736998297</v>
      </c>
      <c r="AL107" s="20">
        <f t="shared" si="58"/>
        <v>395.15912626693824</v>
      </c>
      <c r="AM107" s="59">
        <f t="shared" si="59"/>
        <v>688.49245960027156</v>
      </c>
      <c r="AN107" s="59">
        <f ca="1">AVERAGE(OFFSET($AM$3,0,0,'Données projet'!$E$10+1,1))-AVERAGE(OFFSET($H$3,0,0,'Données projet'!$E$10+1,1))</f>
        <v>227.31630731915698</v>
      </c>
      <c r="AO107" s="59">
        <f t="shared" si="90"/>
        <v>143.7533262991908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31.296309381800132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31.296309381800132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49.140000000000128</v>
      </c>
      <c r="D108" s="11">
        <f t="shared" si="86"/>
        <v>14.3914371473009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490.41811131249915</v>
      </c>
      <c r="H108" s="67">
        <f t="shared" si="56"/>
        <v>403.98391969821591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294.94285920643927</v>
      </c>
      <c r="T108" s="59">
        <f t="shared" si="88"/>
        <v>399.89535338426606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56.580254705741474</v>
      </c>
      <c r="AA108" s="21">
        <f>EXP(-LN(2)/25)*AA107+(1-EXP(-LN(2)/25))/(LN(2)/25)*Calculateur!V108*Calculateur!X108*VLOOKUP('Données projet'!$B$9,Paramètres!$A$1:$I$89,3,0)*0.475*44/12</f>
        <v>39.587232697352761</v>
      </c>
      <c r="AB108" s="21">
        <f>EXP(-LN(2)/2)*AB107+(1-EXP(-LN(2)/2))/(LN(2)/2)*V108*Y108*VLOOKUP('Données projet'!$B$9,Paramètres!$A$1:$I$89,3,0)*0.475*44/12</f>
        <v>4.4635265335069199E-11</v>
      </c>
      <c r="AC108" s="22">
        <f t="shared" si="57"/>
        <v>96.167487403138878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5.0961538461538449</v>
      </c>
      <c r="AI108" s="13">
        <f>IF('Données projet'!$A$62&gt;35,AI107+AH108-AQ107,IF(A108&lt;'Données projet'!$A$62,$AF$205^A108,IF(A108='Données projet'!$A$62,'Données projet'!$B$62,AI107+AH108-AQ107)))</f>
        <v>205.44871794871764</v>
      </c>
      <c r="AJ108" s="13">
        <f>AI108*VLOOKUP('Données projet'!$B$10,Paramètres!$A$1:$I$89,3,0)*VLOOKUP('Données projet'!$B$10,Paramètres!$A$1:$I$89,5,0)</f>
        <v>185.8899999999997</v>
      </c>
      <c r="AK108" s="13">
        <f t="shared" si="89"/>
        <v>46.630136922287527</v>
      </c>
      <c r="AL108" s="20">
        <f t="shared" si="58"/>
        <v>404.97257180631692</v>
      </c>
      <c r="AM108" s="59">
        <f t="shared" si="59"/>
        <v>698.30590513965024</v>
      </c>
      <c r="AN108" s="59">
        <f ca="1">AVERAGE(OFFSET($AM$3,0,0,'Données projet'!$E$10+1,1))-AVERAGE(OFFSET($H$3,0,0,'Données projet'!$E$10+1,1))</f>
        <v>227.31630731915698</v>
      </c>
      <c r="AO108" s="59">
        <f t="shared" si="90"/>
        <v>143.7533262991908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30.682607843686885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30.682607843686885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49.608000000000132</v>
      </c>
      <c r="D109" s="11">
        <f t="shared" si="86"/>
        <v>14.512477626061624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494.96509044679243</v>
      </c>
      <c r="H109" s="67">
        <f t="shared" si="56"/>
        <v>405.00983186539088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294.94285920643927</v>
      </c>
      <c r="T109" s="59">
        <f t="shared" si="88"/>
        <v>399.89535338426606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55.470750421509621</v>
      </c>
      <c r="AA109" s="21">
        <f>EXP(-LN(2)/25)*AA108+(1-EXP(-LN(2)/25))/(LN(2)/25)*Calculateur!V109*Calculateur!X109*VLOOKUP('Données projet'!$B$9,Paramètres!$A$1:$I$89,3,0)*0.475*44/12</f>
        <v>38.50471773744156</v>
      </c>
      <c r="AB109" s="21">
        <f>EXP(-LN(2)/2)*AB108+(1-EXP(-LN(2)/2))/(LN(2)/2)*V109*Y109*VLOOKUP('Données projet'!$B$9,Paramètres!$A$1:$I$89,3,0)*0.475*44/12</f>
        <v>3.1561898798488266E-11</v>
      </c>
      <c r="AC109" s="22">
        <f t="shared" si="57"/>
        <v>93.975468158982736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5.0961538461538449</v>
      </c>
      <c r="AI109" s="13">
        <f>IF('Données projet'!$A$62&gt;35,AI108+AH109-AQ108,IF(A109&lt;'Données projet'!$A$62,$AF$205^A109,IF(A109='Données projet'!$A$62,'Données projet'!$B$62,AI108+AH109-AQ108)))</f>
        <v>210.54487179487148</v>
      </c>
      <c r="AJ109" s="13">
        <f>AI109*VLOOKUP('Données projet'!$B$10,Paramètres!$A$1:$I$89,3,0)*VLOOKUP('Données projet'!$B$10,Paramètres!$A$1:$I$89,5,0)</f>
        <v>190.50099999999969</v>
      </c>
      <c r="AK109" s="13">
        <f t="shared" si="89"/>
        <v>47.65069985627148</v>
      </c>
      <c r="AL109" s="20">
        <f t="shared" si="58"/>
        <v>414.78087724967219</v>
      </c>
      <c r="AM109" s="59">
        <f t="shared" si="59"/>
        <v>708.1142105830055</v>
      </c>
      <c r="AN109" s="59">
        <f ca="1">AVERAGE(OFFSET($AM$3,0,0,'Données projet'!$E$10+1,1))-AVERAGE(OFFSET($H$3,0,0,'Données projet'!$E$10+1,1))</f>
        <v>227.31630731915698</v>
      </c>
      <c r="AO109" s="59">
        <f t="shared" si="90"/>
        <v>143.7533262991908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30.080940618415063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30.080940618415063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50.076000000000136</v>
      </c>
      <c r="D110" s="11">
        <f t="shared" si="86"/>
        <v>14.633385259541638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499.51104410874353</v>
      </c>
      <c r="H110" s="67">
        <f t="shared" si="56"/>
        <v>406.03551266036857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294.94285920643927</v>
      </c>
      <c r="T110" s="59">
        <f t="shared" si="88"/>
        <v>399.89535338426606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54.38300283956076</v>
      </c>
      <c r="AA110" s="21">
        <f>EXP(-LN(2)/25)*AA109+(1-EXP(-LN(2)/25))/(LN(2)/25)*Calculateur!V110*Calculateur!X110*VLOOKUP('Données projet'!$B$9,Paramètres!$A$1:$I$89,3,0)*0.475*44/12</f>
        <v>37.451804206036115</v>
      </c>
      <c r="AB110" s="21">
        <f>EXP(-LN(2)/2)*AB109+(1-EXP(-LN(2)/2))/(LN(2)/2)*V110*Y110*VLOOKUP('Données projet'!$B$9,Paramètres!$A$1:$I$89,3,0)*0.475*44/12</f>
        <v>2.2317632667534599E-11</v>
      </c>
      <c r="AC110" s="22">
        <f t="shared" si="57"/>
        <v>91.834807045619186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5.0961538461538449</v>
      </c>
      <c r="AI110" s="13">
        <f>IF('Données projet'!$A$62&gt;35,AI109+AH110-AQ109,IF(A110&lt;'Données projet'!$A$62,$AF$205^A110,IF(A110='Données projet'!$A$62,'Données projet'!$B$62,AI109+AH110-AQ109)))</f>
        <v>215.64102564102532</v>
      </c>
      <c r="AJ110" s="13">
        <f>AI110*VLOOKUP('Données projet'!$B$10,Paramètres!$A$1:$I$89,3,0)*VLOOKUP('Données projet'!$B$10,Paramètres!$A$1:$I$89,5,0)</f>
        <v>195.11199999999971</v>
      </c>
      <c r="AK110" s="13">
        <f t="shared" si="89"/>
        <v>48.668391191190658</v>
      </c>
      <c r="AL110" s="20">
        <f t="shared" si="58"/>
        <v>424.58418132465653</v>
      </c>
      <c r="AM110" s="59">
        <f t="shared" si="59"/>
        <v>717.91751465798984</v>
      </c>
      <c r="AN110" s="59">
        <f ca="1">AVERAGE(OFFSET($AM$3,0,0,'Données projet'!$E$10+1,1))-AVERAGE(OFFSET($H$3,0,0,'Données projet'!$E$10+1,1))</f>
        <v>227.31630731915698</v>
      </c>
      <c r="AO110" s="59">
        <f t="shared" si="90"/>
        <v>143.7533262991908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29.491071720450051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29.491071720450051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50.544000000000139</v>
      </c>
      <c r="D111" s="11">
        <f t="shared" si="86"/>
        <v>14.754161433088285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504.05598299226153</v>
      </c>
      <c r="H111" s="67">
        <f t="shared" si="56"/>
        <v>407.06096449596231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294.94285920643927</v>
      </c>
      <c r="T111" s="59">
        <f t="shared" si="88"/>
        <v>399.89535338426606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53.316585324233408</v>
      </c>
      <c r="AA111" s="21">
        <f>EXP(-LN(2)/25)*AA110+(1-EXP(-LN(2)/25))/(LN(2)/25)*Calculateur!V111*Calculateur!X111*VLOOKUP('Données projet'!$B$9,Paramètres!$A$1:$I$89,3,0)*0.475*44/12</f>
        <v>36.427682650517269</v>
      </c>
      <c r="AB111" s="21">
        <f>EXP(-LN(2)/2)*AB110+(1-EXP(-LN(2)/2))/(LN(2)/2)*V111*Y111*VLOOKUP('Données projet'!$B$9,Paramètres!$A$1:$I$89,3,0)*0.475*44/12</f>
        <v>1.5780949399244133E-11</v>
      </c>
      <c r="AC111" s="22">
        <f t="shared" si="57"/>
        <v>89.744267974766444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5.0961538461538449</v>
      </c>
      <c r="AI111" s="13">
        <f>IF('Données projet'!$A$62&gt;35,AI110+AH111-AQ110,IF(A111&lt;'Données projet'!$A$62,$AF$205^A111,IF(A111='Données projet'!$A$62,'Données projet'!$B$62,AI110+AH111-AQ110)))</f>
        <v>220.73717948717916</v>
      </c>
      <c r="AJ111" s="13">
        <f>AI111*VLOOKUP('Données projet'!$B$10,Paramètres!$A$1:$I$89,3,0)*VLOOKUP('Données projet'!$B$10,Paramètres!$A$1:$I$89,5,0)</f>
        <v>199.7229999999997</v>
      </c>
      <c r="AK111" s="13">
        <f t="shared" si="89"/>
        <v>49.683286599758986</v>
      </c>
      <c r="AL111" s="20">
        <f t="shared" si="58"/>
        <v>434.38261582791301</v>
      </c>
      <c r="AM111" s="59">
        <f t="shared" si="59"/>
        <v>727.71594916124627</v>
      </c>
      <c r="AN111" s="59">
        <f ca="1">AVERAGE(OFFSET($AM$3,0,0,'Données projet'!$E$10+1,1))-AVERAGE(OFFSET($H$3,0,0,'Données projet'!$E$10+1,1))</f>
        <v>227.31630731915698</v>
      </c>
      <c r="AO111" s="59">
        <f t="shared" si="90"/>
        <v>143.7533262991908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28.912769791789628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28.912769791789628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51.012000000000143</v>
      </c>
      <c r="D112" s="11">
        <f t="shared" si="86"/>
        <v>14.874807504914717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508.59991758179893</v>
      </c>
      <c r="H112" s="67">
        <f t="shared" si="56"/>
        <v>408.08618973772667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294.94285920643927</v>
      </c>
      <c r="T112" s="59">
        <f t="shared" si="88"/>
        <v>399.89535338426606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52.271079605931163</v>
      </c>
      <c r="AA112" s="21">
        <f>EXP(-LN(2)/25)*AA111+(1-EXP(-LN(2)/25))/(LN(2)/25)*Calculateur!V112*Calculateur!X112*VLOOKUP('Données projet'!$B$9,Paramètres!$A$1:$I$89,3,0)*0.475*44/12</f>
        <v>35.431565752790299</v>
      </c>
      <c r="AB112" s="21">
        <f>EXP(-LN(2)/2)*AB111+(1-EXP(-LN(2)/2))/(LN(2)/2)*V112*Y112*VLOOKUP('Données projet'!$B$9,Paramètres!$A$1:$I$89,3,0)*0.475*44/12</f>
        <v>1.11588163337673E-11</v>
      </c>
      <c r="AC112" s="22">
        <f t="shared" si="57"/>
        <v>87.702645358732624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5.0961538461538449</v>
      </c>
      <c r="AI112" s="13">
        <f>IF('Données projet'!$A$62&gt;35,AI111+AH112-AQ111,IF(A112&lt;'Données projet'!$A$62,$AF$205^A112,IF(A112='Données projet'!$A$62,'Données projet'!$B$62,AI111+AH112-AQ111)))</f>
        <v>225.833333333333</v>
      </c>
      <c r="AJ112" s="13">
        <f>AI112*VLOOKUP('Données projet'!$B$10,Paramètres!$A$1:$I$89,3,0)*VLOOKUP('Données projet'!$B$10,Paramètres!$A$1:$I$89,5,0)</f>
        <v>204.33399999999966</v>
      </c>
      <c r="AK112" s="13">
        <f t="shared" si="89"/>
        <v>50.695458061201691</v>
      </c>
      <c r="AL112" s="20">
        <f t="shared" si="58"/>
        <v>444.17630612325894</v>
      </c>
      <c r="AM112" s="59">
        <f t="shared" si="59"/>
        <v>737.50963945659225</v>
      </c>
      <c r="AN112" s="59">
        <f ca="1">AVERAGE(OFFSET($AM$3,0,0,'Données projet'!$E$10+1,1))-AVERAGE(OFFSET($H$3,0,0,'Données projet'!$E$10+1,1))</f>
        <v>227.31630731915698</v>
      </c>
      <c r="AO112" s="59">
        <f t="shared" si="90"/>
        <v>143.7533262991908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28.345808011220889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28.345808011220889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51.480000000000146</v>
      </c>
      <c r="D113" s="11">
        <f t="shared" si="86"/>
        <v>14.995324806875265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513.14285815833648</v>
      </c>
      <c r="H113" s="67">
        <f t="shared" si="56"/>
        <v>409.11119070530799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294.94285920643927</v>
      </c>
      <c r="T113" s="59">
        <f t="shared" si="88"/>
        <v>399.89535338426606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51.246075617069309</v>
      </c>
      <c r="AA113" s="21">
        <f>EXP(-LN(2)/25)*AA112+(1-EXP(-LN(2)/25))/(LN(2)/25)*Calculateur!V113*Calculateur!X113*VLOOKUP('Données projet'!$B$9,Paramètres!$A$1:$I$89,3,0)*0.475*44/12</f>
        <v>34.462687724015183</v>
      </c>
      <c r="AB113" s="21">
        <f>EXP(-LN(2)/2)*AB112+(1-EXP(-LN(2)/2))/(LN(2)/2)*V113*Y113*VLOOKUP('Données projet'!$B$9,Paramètres!$A$1:$I$89,3,0)*0.475*44/12</f>
        <v>7.8904746996220664E-12</v>
      </c>
      <c r="AC113" s="22">
        <f t="shared" si="57"/>
        <v>85.708763341092379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5.0961538461538449</v>
      </c>
      <c r="AI113" s="13">
        <f>IF('Données projet'!$A$62&gt;35,AI112+AH113-AQ112,IF(A113&lt;'Données projet'!$A$62,$AF$205^A113,IF(A113='Données projet'!$A$62,'Données projet'!$B$62,AI112+AH113-AQ112)))</f>
        <v>230.92948717948684</v>
      </c>
      <c r="AJ113" s="13">
        <f>AI113*VLOOKUP('Données projet'!$B$10,Paramètres!$A$1:$I$89,3,0)*VLOOKUP('Données projet'!$B$10,Paramètres!$A$1:$I$89,5,0)</f>
        <v>208.94499999999971</v>
      </c>
      <c r="AK113" s="13">
        <f t="shared" si="89"/>
        <v>51.704974120746144</v>
      </c>
      <c r="AL113" s="20">
        <f t="shared" si="58"/>
        <v>453.96537159363237</v>
      </c>
      <c r="AM113" s="59">
        <f t="shared" si="59"/>
        <v>747.29870492696568</v>
      </c>
      <c r="AN113" s="59">
        <f ca="1">AVERAGE(OFFSET($AM$3,0,0,'Données projet'!$E$10+1,1))-AVERAGE(OFFSET($H$3,0,0,'Données projet'!$E$10+1,1))</f>
        <v>227.31630731915698</v>
      </c>
      <c r="AO113" s="59">
        <f t="shared" si="90"/>
        <v>143.7533262991908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27.789964005356563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27.789964005356563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51.94800000000015</v>
      </c>
      <c r="D114" s="11">
        <f t="shared" si="86"/>
        <v>15.115714645211932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517.68481480514595</v>
      </c>
      <c r="H114" s="67">
        <f t="shared" si="56"/>
        <v>410.13596967374434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294.94285920643927</v>
      </c>
      <c r="T114" s="59">
        <f t="shared" si="88"/>
        <v>399.89535338426606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50.241171331238334</v>
      </c>
      <c r="AA114" s="21">
        <f>EXP(-LN(2)/25)*AA113+(1-EXP(-LN(2)/25))/(LN(2)/25)*Calculateur!V114*Calculateur!X114*VLOOKUP('Données projet'!$B$9,Paramètres!$A$1:$I$89,3,0)*0.475*44/12</f>
        <v>33.520303715888005</v>
      </c>
      <c r="AB114" s="21">
        <f>EXP(-LN(2)/2)*AB113+(1-EXP(-LN(2)/2))/(LN(2)/2)*V114*Y114*VLOOKUP('Données projet'!$B$9,Paramètres!$A$1:$I$89,3,0)*0.475*44/12</f>
        <v>5.5794081668836498E-12</v>
      </c>
      <c r="AC114" s="22">
        <f t="shared" si="57"/>
        <v>83.761475047131924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5.0961538461538449</v>
      </c>
      <c r="AI114" s="13">
        <f>IF('Données projet'!$A$62&gt;35,AI113+AH114-AQ113,IF(A114&lt;'Données projet'!$A$62,$AF$205^A114,IF(A114='Données projet'!$A$62,'Données projet'!$B$62,AI113+AH114-AQ113)))</f>
        <v>236.02564102564068</v>
      </c>
      <c r="AJ114" s="13">
        <f>AI114*VLOOKUP('Données projet'!$B$10,Paramètres!$A$1:$I$89,3,0)*VLOOKUP('Données projet'!$B$10,Paramètres!$A$1:$I$89,5,0)</f>
        <v>213.5559999999997</v>
      </c>
      <c r="AK114" s="13">
        <f t="shared" si="89"/>
        <v>52.71190012556103</v>
      </c>
      <c r="AL114" s="20">
        <f t="shared" si="58"/>
        <v>463.74992605201828</v>
      </c>
      <c r="AM114" s="59">
        <f t="shared" si="59"/>
        <v>757.08325938535154</v>
      </c>
      <c r="AN114" s="59">
        <f ca="1">AVERAGE(OFFSET($AM$3,0,0,'Données projet'!$E$10+1,1))-AVERAGE(OFFSET($H$3,0,0,'Données projet'!$E$10+1,1))</f>
        <v>227.31630731915698</v>
      </c>
      <c r="AO114" s="59">
        <f t="shared" si="90"/>
        <v>143.7533262991908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27.245019761415872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27.245019761415872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52.416000000000153</v>
      </c>
      <c r="D115" s="11">
        <f t="shared" si="86"/>
        <v>15.23597830127307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522.22579741333709</v>
      </c>
      <c r="H115" s="67">
        <f t="shared" si="56"/>
        <v>411.1605288747175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294.94285920643927</v>
      </c>
      <c r="T115" s="59">
        <f t="shared" si="88"/>
        <v>399.89535338426606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49.255972605521407</v>
      </c>
      <c r="AA115" s="21">
        <f>EXP(-LN(2)/25)*AA114+(1-EXP(-LN(2)/25))/(LN(2)/25)*Calculateur!V115*Calculateur!X115*VLOOKUP('Données projet'!$B$9,Paramètres!$A$1:$I$89,3,0)*0.475*44/12</f>
        <v>32.603689248020885</v>
      </c>
      <c r="AB115" s="21">
        <f>EXP(-LN(2)/2)*AB114+(1-EXP(-LN(2)/2))/(LN(2)/2)*V115*Y115*VLOOKUP('Données projet'!$B$9,Paramètres!$A$1:$I$89,3,0)*0.475*44/12</f>
        <v>3.9452373498110332E-12</v>
      </c>
      <c r="AC115" s="22">
        <f t="shared" si="57"/>
        <v>81.859661853546243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5.0961538461538449</v>
      </c>
      <c r="AI115" s="13">
        <f>IF('Données projet'!$A$62&gt;35,AI114+AH115-AQ114,IF(A115&lt;'Données projet'!$A$62,$AF$205^A115,IF(A115='Données projet'!$A$62,'Données projet'!$B$62,AI114+AH115-AQ114)))</f>
        <v>241.12179487179452</v>
      </c>
      <c r="AJ115" s="13">
        <f>AI115*VLOOKUP('Données projet'!$B$10,Paramètres!$A$1:$I$89,3,0)*VLOOKUP('Données projet'!$B$10,Paramètres!$A$1:$I$89,5,0)</f>
        <v>218.16699999999966</v>
      </c>
      <c r="AK115" s="13">
        <f t="shared" si="89"/>
        <v>53.716298439743952</v>
      </c>
      <c r="AL115" s="20">
        <f t="shared" si="58"/>
        <v>473.53007811588674</v>
      </c>
      <c r="AM115" s="59">
        <f t="shared" si="59"/>
        <v>766.86341144922005</v>
      </c>
      <c r="AN115" s="59">
        <f ca="1">AVERAGE(OFFSET($AM$3,0,0,'Données projet'!$E$10+1,1))-AVERAGE(OFFSET($H$3,0,0,'Données projet'!$E$10+1,1))</f>
        <v>227.31630731915698</v>
      </c>
      <c r="AO115" s="59">
        <f t="shared" si="90"/>
        <v>143.7533262991908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26.710761541715687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26.710761541715687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52.884000000000157</v>
      </c>
      <c r="D116" s="11">
        <f t="shared" si="86"/>
        <v>15.356117032205747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526.76581568720349</v>
      </c>
      <c r="H116" s="67">
        <f t="shared" si="56"/>
        <v>412.1848704977586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294.94285920643927</v>
      </c>
      <c r="T116" s="59">
        <f t="shared" si="88"/>
        <v>399.89535338426606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48.290093025903907</v>
      </c>
      <c r="AA116" s="21">
        <f>EXP(-LN(2)/25)*AA115+(1-EXP(-LN(2)/25))/(LN(2)/25)*Calculateur!V116*Calculateur!X116*VLOOKUP('Données projet'!$B$9,Paramètres!$A$1:$I$89,3,0)*0.475*44/12</f>
        <v>31.712139650980252</v>
      </c>
      <c r="AB116" s="21">
        <f>EXP(-LN(2)/2)*AB115+(1-EXP(-LN(2)/2))/(LN(2)/2)*V116*Y116*VLOOKUP('Données projet'!$B$9,Paramètres!$A$1:$I$89,3,0)*0.475*44/12</f>
        <v>2.7897040834418249E-12</v>
      </c>
      <c r="AC116" s="22">
        <f t="shared" si="57"/>
        <v>80.002232676886948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246.21794871794873</v>
      </c>
      <c r="AG116" s="12">
        <f>VLOOKUP(A116,'Données projet'!$A$61:$I$81,9,0)</f>
        <v>5.0961538461538449</v>
      </c>
      <c r="AH116" s="12">
        <f t="array" ref="AH116">INDEX(AG:AG,MIN(IF(ISNUMBER(AG116:AG312),ROW(AG116:AG312),"")))</f>
        <v>5.0961538461538449</v>
      </c>
      <c r="AI116" s="13">
        <f>IF('Données projet'!$A$62&gt;35,AI115+AH116-AQ115,IF(A116&lt;'Données projet'!$A$62,$AF$205^A116,IF(A116='Données projet'!$A$62,'Données projet'!$B$62,AI115+AH116-AQ115)))</f>
        <v>246.21794871794836</v>
      </c>
      <c r="AJ116" s="13">
        <f>AI116*VLOOKUP('Données projet'!$B$10,Paramètres!$A$1:$I$89,3,0)*VLOOKUP('Données projet'!$B$10,Paramètres!$A$1:$I$89,5,0)</f>
        <v>222.77799999999965</v>
      </c>
      <c r="AK116" s="13">
        <f t="shared" si="89"/>
        <v>54.718228640620396</v>
      </c>
      <c r="AL116" s="20">
        <f t="shared" si="58"/>
        <v>483.30593154907984</v>
      </c>
      <c r="AM116" s="59">
        <f t="shared" si="59"/>
        <v>776.63926488241316</v>
      </c>
      <c r="AN116" s="59">
        <f ca="1">AVERAGE(OFFSET($AM$3,0,0,'Données projet'!$E$10+1,1))-AVERAGE(OFFSET($H$3,0,0,'Données projet'!$E$10+1,1))</f>
        <v>227.31630731915698</v>
      </c>
      <c r="AO116" s="59">
        <f t="shared" si="90"/>
        <v>143.7533262991908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31.602564102564099</v>
      </c>
      <c r="AR116" s="16">
        <f>IF(ISNA(VLOOKUP(A116,'Données projet'!$A$61:$I$81,5,0)),0%,VLOOKUP(A116,'Données projet'!$A$61:$I$81,5,0)*VLOOKUP('Données projet'!$B$10,Paramètres!$A$1:$I$89,7,0))</f>
        <v>0.30099999999999999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35.701535629580405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35.701535629580405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53.35200000000016</v>
      </c>
      <c r="D117" s="11">
        <f t="shared" si="86"/>
        <v>15.476132071622883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531.30487914937089</v>
      </c>
      <c r="H117" s="67">
        <f t="shared" si="56"/>
        <v>413.20899669141011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294.94285920643927</v>
      </c>
      <c r="T117" s="59">
        <f t="shared" si="88"/>
        <v>399.89535338426606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47.343153755714333</v>
      </c>
      <c r="AA117" s="21">
        <f>EXP(-LN(2)/25)*AA116+(1-EXP(-LN(2)/25))/(LN(2)/25)*Calculateur!V117*Calculateur!X117*VLOOKUP('Données projet'!$B$9,Paramètres!$A$1:$I$89,3,0)*0.475*44/12</f>
        <v>30.84496952455525</v>
      </c>
      <c r="AB117" s="21">
        <f>EXP(-LN(2)/2)*AB116+(1-EXP(-LN(2)/2))/(LN(2)/2)*V117*Y117*VLOOKUP('Données projet'!$B$9,Paramètres!$A$1:$I$89,3,0)*0.475*44/12</f>
        <v>1.9726186749055166E-12</v>
      </c>
      <c r="AC117" s="22">
        <f t="shared" si="57"/>
        <v>78.188123280271554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5.3066239316239274</v>
      </c>
      <c r="AI117" s="13">
        <f>IF('Données projet'!$A$62&gt;35,AI116+AH117-AQ116,IF(A117&lt;'Données projet'!$A$62,$AF$205^A117,IF(A117='Données projet'!$A$62,'Données projet'!$B$62,AI116+AH117-AQ116)))</f>
        <v>219.9220085470082</v>
      </c>
      <c r="AJ117" s="13">
        <f>AI117*VLOOKUP('Données projet'!$B$10,Paramètres!$A$1:$I$89,3,0)*VLOOKUP('Données projet'!$B$10,Paramètres!$A$1:$I$89,5,0)</f>
        <v>198.98543333333302</v>
      </c>
      <c r="AK117" s="13">
        <f t="shared" si="89"/>
        <v>49.521130725595967</v>
      </c>
      <c r="AL117" s="20">
        <f t="shared" si="58"/>
        <v>432.8155990693013</v>
      </c>
      <c r="AM117" s="59">
        <f t="shared" si="59"/>
        <v>726.14893240263461</v>
      </c>
      <c r="AN117" s="59">
        <f ca="1">AVERAGE(OFFSET($AM$3,0,0,'Données projet'!$E$10+1,1))-AVERAGE(OFFSET($H$3,0,0,'Données projet'!$E$10+1,1))</f>
        <v>227.31630731915698</v>
      </c>
      <c r="AO117" s="59">
        <f t="shared" si="90"/>
        <v>143.7533262991908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35.001450291670885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35.001450291670885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53.820000000000164</v>
      </c>
      <c r="D118" s="11">
        <f t="shared" si="86"/>
        <v>15.596024630246307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535.84299714576218</v>
      </c>
      <c r="H118" s="67">
        <f t="shared" si="56"/>
        <v>414.2329095643459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294.94285920643927</v>
      </c>
      <c r="T118" s="59">
        <f t="shared" si="88"/>
        <v>399.89535338426606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46.414783387037254</v>
      </c>
      <c r="AA118" s="21">
        <f>EXP(-LN(2)/25)*AA117+(1-EXP(-LN(2)/25))/(LN(2)/25)*Calculateur!V118*Calculateur!X118*VLOOKUP('Données projet'!$B$9,Paramètres!$A$1:$I$89,3,0)*0.475*44/12</f>
        <v>30.001512210839838</v>
      </c>
      <c r="AB118" s="21">
        <f>EXP(-LN(2)/2)*AB117+(1-EXP(-LN(2)/2))/(LN(2)/2)*V118*Y118*VLOOKUP('Données projet'!$B$9,Paramètres!$A$1:$I$89,3,0)*0.475*44/12</f>
        <v>1.3948520417209125E-12</v>
      </c>
      <c r="AC118" s="22">
        <f t="shared" si="57"/>
        <v>76.416295597878488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5.3066239316239274</v>
      </c>
      <c r="AI118" s="13">
        <f>IF('Données projet'!$A$62&gt;35,AI117+AH118-AQ117,IF(A118&lt;'Données projet'!$A$62,$AF$205^A118,IF(A118='Données projet'!$A$62,'Données projet'!$B$62,AI117+AH118-AQ117)))</f>
        <v>225.22863247863214</v>
      </c>
      <c r="AJ118" s="13">
        <f>AI118*VLOOKUP('Données projet'!$B$10,Paramètres!$A$1:$I$89,3,0)*VLOOKUP('Données projet'!$B$10,Paramètres!$A$1:$I$89,5,0)</f>
        <v>203.78686666666636</v>
      </c>
      <c r="AK118" s="13">
        <f t="shared" si="89"/>
        <v>50.57549569083951</v>
      </c>
      <c r="AL118" s="20">
        <f t="shared" si="58"/>
        <v>443.01444777265607</v>
      </c>
      <c r="AM118" s="59">
        <f t="shared" si="59"/>
        <v>736.34778110598938</v>
      </c>
      <c r="AN118" s="59">
        <f ca="1">AVERAGE(OFFSET($AM$3,0,0,'Données projet'!$E$10+1,1))-AVERAGE(OFFSET($H$3,0,0,'Données projet'!$E$10+1,1))</f>
        <v>227.31630731915698</v>
      </c>
      <c r="AO118" s="59">
        <f t="shared" si="90"/>
        <v>143.7533262991908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34.315093200227878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34.315093200227878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54.288000000000167</v>
      </c>
      <c r="D119" s="11">
        <f t="shared" si="86"/>
        <v>15.715795896526787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540.38017885038346</v>
      </c>
      <c r="H119" s="67">
        <f t="shared" si="56"/>
        <v>415.2566111864511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294.94285920643927</v>
      </c>
      <c r="T119" s="59">
        <f t="shared" si="88"/>
        <v>399.89535338426606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45.50461779503992</v>
      </c>
      <c r="AA119" s="21">
        <f>EXP(-LN(2)/25)*AA118+(1-EXP(-LN(2)/25))/(LN(2)/25)*Calculateur!V119*Calculateur!X119*VLOOKUP('Données projet'!$B$9,Paramètres!$A$1:$I$89,3,0)*0.475*44/12</f>
        <v>29.181119281723465</v>
      </c>
      <c r="AB119" s="21">
        <f>EXP(-LN(2)/2)*AB118+(1-EXP(-LN(2)/2))/(LN(2)/2)*V119*Y119*VLOOKUP('Données projet'!$B$9,Paramètres!$A$1:$I$89,3,0)*0.475*44/12</f>
        <v>9.863093374527583E-13</v>
      </c>
      <c r="AC119" s="22">
        <f t="shared" si="57"/>
        <v>74.685737076764369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5.3066239316239274</v>
      </c>
      <c r="AI119" s="13">
        <f>IF('Données projet'!$A$62&gt;35,AI118+AH119-AQ118,IF(A119&lt;'Données projet'!$A$62,$AF$205^A119,IF(A119='Données projet'!$A$62,'Données projet'!$B$62,AI118+AH119-AQ118)))</f>
        <v>230.53525641025607</v>
      </c>
      <c r="AJ119" s="13">
        <f>AI119*VLOOKUP('Données projet'!$B$10,Paramètres!$A$1:$I$89,3,0)*VLOOKUP('Données projet'!$B$10,Paramètres!$A$1:$I$89,5,0)</f>
        <v>208.58829999999969</v>
      </c>
      <c r="AK119" s="13">
        <f t="shared" si="89"/>
        <v>51.626972732243416</v>
      </c>
      <c r="AL119" s="20">
        <f t="shared" si="58"/>
        <v>453.20826667532333</v>
      </c>
      <c r="AM119" s="59">
        <f t="shared" si="59"/>
        <v>746.54160000865659</v>
      </c>
      <c r="AN119" s="59">
        <f ca="1">AVERAGE(OFFSET($AM$3,0,0,'Données projet'!$E$10+1,1))-AVERAGE(OFFSET($H$3,0,0,'Données projet'!$E$10+1,1))</f>
        <v>227.31630731915698</v>
      </c>
      <c r="AO119" s="59">
        <f t="shared" si="90"/>
        <v>143.7533262991908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33.642195152711579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33.642195152711579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54.756000000000171</v>
      </c>
      <c r="D120" s="11">
        <f t="shared" si="86"/>
        <v>15.835447037242094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544.91643326994028</v>
      </c>
      <c r="H120" s="67">
        <f t="shared" si="56"/>
        <v>416.28010358986359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294.94285920643927</v>
      </c>
      <c r="T120" s="59">
        <f t="shared" si="88"/>
        <v>399.89535338426606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44.612299995155453</v>
      </c>
      <c r="AA120" s="21">
        <f>EXP(-LN(2)/25)*AA119+(1-EXP(-LN(2)/25))/(LN(2)/25)*Calculateur!V120*Calculateur!X120*VLOOKUP('Données projet'!$B$9,Paramètres!$A$1:$I$89,3,0)*0.475*44/12</f>
        <v>28.383160040396369</v>
      </c>
      <c r="AB120" s="21">
        <f>EXP(-LN(2)/2)*AB119+(1-EXP(-LN(2)/2))/(LN(2)/2)*V120*Y120*VLOOKUP('Données projet'!$B$9,Paramètres!$A$1:$I$89,3,0)*0.475*44/12</f>
        <v>6.9742602086045623E-13</v>
      </c>
      <c r="AC120" s="22">
        <f t="shared" si="57"/>
        <v>72.995460035552512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5.3066239316239274</v>
      </c>
      <c r="AI120" s="13">
        <f>IF('Données projet'!$A$62&gt;35,AI119+AH120-AQ119,IF(A120&lt;'Données projet'!$A$62,$AF$205^A120,IF(A120='Données projet'!$A$62,'Données projet'!$B$62,AI119+AH120-AQ119)))</f>
        <v>235.84188034188</v>
      </c>
      <c r="AJ120" s="13">
        <f>AI120*VLOOKUP('Données projet'!$B$10,Paramètres!$A$1:$I$89,3,0)*VLOOKUP('Données projet'!$B$10,Paramètres!$A$1:$I$89,5,0)</f>
        <v>213.389733333333</v>
      </c>
      <c r="AK120" s="13">
        <f t="shared" si="89"/>
        <v>52.675635977819994</v>
      </c>
      <c r="AL120" s="20">
        <f t="shared" si="58"/>
        <v>463.39718488359148</v>
      </c>
      <c r="AM120" s="59">
        <f t="shared" si="59"/>
        <v>756.73051821692479</v>
      </c>
      <c r="AN120" s="59">
        <f ca="1">AVERAGE(OFFSET($AM$3,0,0,'Données projet'!$E$10+1,1))-AVERAGE(OFFSET($H$3,0,0,'Données projet'!$E$10+1,1))</f>
        <v>227.31630731915698</v>
      </c>
      <c r="AO120" s="59">
        <f t="shared" si="90"/>
        <v>143.7533262991908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32.982492225479795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32.982492225479795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55.224000000000174</v>
      </c>
      <c r="D121" s="11">
        <f t="shared" si="86"/>
        <v>15.954979198073998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549.45176924829184</v>
      </c>
      <c r="H121" s="67">
        <f t="shared" si="56"/>
        <v>417.30338876997916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294.94285920643927</v>
      </c>
      <c r="T121" s="59">
        <f t="shared" si="88"/>
        <v>399.89535338426606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43.737480003066608</v>
      </c>
      <c r="AA121" s="21">
        <f>EXP(-LN(2)/25)*AA120+(1-EXP(-LN(2)/25))/(LN(2)/25)*Calculateur!V121*Calculateur!X121*VLOOKUP('Données projet'!$B$9,Paramètres!$A$1:$I$89,3,0)*0.475*44/12</f>
        <v>27.607021036486213</v>
      </c>
      <c r="AB121" s="21">
        <f>EXP(-LN(2)/2)*AB120+(1-EXP(-LN(2)/2))/(LN(2)/2)*V121*Y121*VLOOKUP('Données projet'!$B$9,Paramètres!$A$1:$I$89,3,0)*0.475*44/12</f>
        <v>4.9315466872637915E-13</v>
      </c>
      <c r="AC121" s="22">
        <f t="shared" si="57"/>
        <v>71.344501039553322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5.3066239316239274</v>
      </c>
      <c r="AI121" s="13">
        <f>IF('Données projet'!$A$62&gt;35,AI120+AH121-AQ120,IF(A121&lt;'Données projet'!$A$62,$AF$205^A121,IF(A121='Données projet'!$A$62,'Données projet'!$B$62,AI120+AH121-AQ120)))</f>
        <v>241.14850427350393</v>
      </c>
      <c r="AJ121" s="13">
        <f>AI121*VLOOKUP('Données projet'!$B$10,Paramètres!$A$1:$I$89,3,0)*VLOOKUP('Données projet'!$B$10,Paramètres!$A$1:$I$89,5,0)</f>
        <v>218.19116666666633</v>
      </c>
      <c r="AK121" s="13">
        <f t="shared" si="89"/>
        <v>53.721556029282723</v>
      </c>
      <c r="AL121" s="20">
        <f t="shared" si="58"/>
        <v>473.58132536211127</v>
      </c>
      <c r="AM121" s="59">
        <f t="shared" si="59"/>
        <v>766.91465869544459</v>
      </c>
      <c r="AN121" s="59">
        <f ca="1">AVERAGE(OFFSET($AM$3,0,0,'Données projet'!$E$10+1,1))-AVERAGE(OFFSET($H$3,0,0,'Données projet'!$E$10+1,1))</f>
        <v>227.31630731915698</v>
      </c>
      <c r="AO121" s="59">
        <f t="shared" si="90"/>
        <v>143.7533262991908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32.33572567027197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32.33572567027197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55.692000000000178</v>
      </c>
      <c r="D122" s="11">
        <f t="shared" si="86"/>
        <v>16.074393504165254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553.98619547075066</v>
      </c>
      <c r="H122" s="67">
        <f t="shared" si="56"/>
        <v>418.32646868642144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294.94285920643927</v>
      </c>
      <c r="T122" s="59">
        <f t="shared" si="88"/>
        <v>399.89535338426606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42.879814697435116</v>
      </c>
      <c r="AA122" s="21">
        <f>EXP(-LN(2)/25)*AA121+(1-EXP(-LN(2)/25))/(LN(2)/25)*Calculateur!V122*Calculateur!X122*VLOOKUP('Données projet'!$B$9,Paramètres!$A$1:$I$89,3,0)*0.475*44/12</f>
        <v>26.852105594453359</v>
      </c>
      <c r="AB122" s="21">
        <f>EXP(-LN(2)/2)*AB121+(1-EXP(-LN(2)/2))/(LN(2)/2)*V122*Y122*VLOOKUP('Données projet'!$B$9,Paramètres!$A$1:$I$89,3,0)*0.475*44/12</f>
        <v>3.4871301043022811E-13</v>
      </c>
      <c r="AC122" s="22">
        <f t="shared" si="57"/>
        <v>69.731920291888827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5.3066239316239274</v>
      </c>
      <c r="AI122" s="13">
        <f>IF('Données projet'!$A$62&gt;35,AI121+AH122-AQ121,IF(A122&lt;'Données projet'!$A$62,$AF$205^A122,IF(A122='Données projet'!$A$62,'Données projet'!$B$62,AI121+AH122-AQ121)))</f>
        <v>246.45512820512786</v>
      </c>
      <c r="AJ122" s="13">
        <f>AI122*VLOOKUP('Données projet'!$B$10,Paramètres!$A$1:$I$89,3,0)*VLOOKUP('Données projet'!$B$10,Paramètres!$A$1:$I$89,5,0)</f>
        <v>222.99259999999967</v>
      </c>
      <c r="AK122" s="13">
        <f t="shared" si="89"/>
        <v>54.764800203643112</v>
      </c>
      <c r="AL122" s="20">
        <f t="shared" si="58"/>
        <v>483.76080535467781</v>
      </c>
      <c r="AM122" s="59">
        <f t="shared" si="59"/>
        <v>777.09413868801107</v>
      </c>
      <c r="AN122" s="59">
        <f ca="1">AVERAGE(OFFSET($AM$3,0,0,'Données projet'!$E$10+1,1))-AVERAGE(OFFSET($H$3,0,0,'Données projet'!$E$10+1,1))</f>
        <v>227.31630731915698</v>
      </c>
      <c r="AO122" s="59">
        <f t="shared" si="90"/>
        <v>143.7533262991908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31.701641812723125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31.701641812723125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56.160000000000181</v>
      </c>
      <c r="D123" s="11">
        <f t="shared" si="86"/>
        <v>16.193691060657081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558.51972046823164</v>
      </c>
      <c r="H123" s="67">
        <f t="shared" si="56"/>
        <v>419.34934526397802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294.94285920643927</v>
      </c>
      <c r="T123" s="59">
        <f t="shared" si="88"/>
        <v>399.89535338426606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42.038967685322874</v>
      </c>
      <c r="AA123" s="21">
        <f>EXP(-LN(2)/25)*AA122+(1-EXP(-LN(2)/25))/(LN(2)/25)*Calculateur!V123*Calculateur!X123*VLOOKUP('Données projet'!$B$9,Paramètres!$A$1:$I$89,3,0)*0.475*44/12</f>
        <v>26.117833354882169</v>
      </c>
      <c r="AB123" s="21">
        <f>EXP(-LN(2)/2)*AB122+(1-EXP(-LN(2)/2))/(LN(2)/2)*V123*Y123*VLOOKUP('Données projet'!$B$9,Paramètres!$A$1:$I$89,3,0)*0.475*44/12</f>
        <v>2.4657733436318957E-13</v>
      </c>
      <c r="AC123" s="22">
        <f t="shared" si="57"/>
        <v>68.156801040205281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5.3066239316239274</v>
      </c>
      <c r="AI123" s="13">
        <f>IF('Données projet'!$A$62&gt;35,AI122+AH123-AQ122,IF(A123&lt;'Données projet'!$A$62,$AF$205^A123,IF(A123='Données projet'!$A$62,'Données projet'!$B$62,AI122+AH123-AQ122)))</f>
        <v>251.7617521367518</v>
      </c>
      <c r="AJ123" s="13">
        <f>AI123*VLOOKUP('Données projet'!$B$10,Paramètres!$A$1:$I$89,3,0)*VLOOKUP('Données projet'!$B$10,Paramètres!$A$1:$I$89,5,0)</f>
        <v>227.794033333333</v>
      </c>
      <c r="AK123" s="13">
        <f t="shared" si="89"/>
        <v>55.805432753411694</v>
      </c>
      <c r="AL123" s="20">
        <f t="shared" si="58"/>
        <v>493.93573676774707</v>
      </c>
      <c r="AM123" s="59">
        <f t="shared" si="59"/>
        <v>787.26907010108039</v>
      </c>
      <c r="AN123" s="59">
        <f ca="1">AVERAGE(OFFSET($AM$3,0,0,'Données projet'!$E$10+1,1))-AVERAGE(OFFSET($H$3,0,0,'Données projet'!$E$10+1,1))</f>
        <v>227.31630731915698</v>
      </c>
      <c r="AO123" s="59">
        <f t="shared" si="90"/>
        <v>143.7533262991908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31.07999195286785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31.07999195286785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56.628000000000185</v>
      </c>
      <c r="D124" s="11">
        <f t="shared" si="86"/>
        <v>16.312872953208569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563.05235262126064</v>
      </c>
      <c r="H124" s="67">
        <f t="shared" si="56"/>
        <v>420.37202039350524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294.94285920643927</v>
      </c>
      <c r="T124" s="59">
        <f t="shared" si="88"/>
        <v>399.89535338426606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41.214609170252118</v>
      </c>
      <c r="AA124" s="21">
        <f>EXP(-LN(2)/25)*AA123+(1-EXP(-LN(2)/25))/(LN(2)/25)*Calculateur!V124*Calculateur!X124*VLOOKUP('Données projet'!$B$9,Paramètres!$A$1:$I$89,3,0)*0.475*44/12</f>
        <v>25.403639828315754</v>
      </c>
      <c r="AB124" s="21">
        <f>EXP(-LN(2)/2)*AB123+(1-EXP(-LN(2)/2))/(LN(2)/2)*V124*Y124*VLOOKUP('Données projet'!$B$9,Paramètres!$A$1:$I$89,3,0)*0.475*44/12</f>
        <v>1.7435650521511406E-13</v>
      </c>
      <c r="AC124" s="22">
        <f t="shared" si="57"/>
        <v>66.618248998568049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5.3066239316239274</v>
      </c>
      <c r="AI124" s="13">
        <f>IF('Données projet'!$A$62&gt;35,AI123+AH124-AQ123,IF(A124&lt;'Données projet'!$A$62,$AF$205^A124,IF(A124='Données projet'!$A$62,'Données projet'!$B$62,AI123+AH124-AQ123)))</f>
        <v>257.0683760683757</v>
      </c>
      <c r="AJ124" s="13">
        <f>AI124*VLOOKUP('Données projet'!$B$10,Paramètres!$A$1:$I$89,3,0)*VLOOKUP('Données projet'!$B$10,Paramètres!$A$1:$I$89,5,0)</f>
        <v>232.59546666666634</v>
      </c>
      <c r="AK124" s="13">
        <f t="shared" si="89"/>
        <v>56.843515067710278</v>
      </c>
      <c r="AL124" s="20">
        <f t="shared" si="58"/>
        <v>504.10622652070589</v>
      </c>
      <c r="AM124" s="59">
        <f t="shared" si="59"/>
        <v>797.4395598540392</v>
      </c>
      <c r="AN124" s="59">
        <f ca="1">AVERAGE(OFFSET($AM$3,0,0,'Données projet'!$E$10+1,1))-AVERAGE(OFFSET($H$3,0,0,'Données projet'!$E$10+1,1))</f>
        <v>227.31630731915698</v>
      </c>
      <c r="AO124" s="59">
        <f t="shared" si="90"/>
        <v>143.7533262991908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30.470532267595363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30.470532267595363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57.096000000000188</v>
      </c>
      <c r="D125" s="11">
        <f t="shared" si="86"/>
        <v>16.431940248498069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567.58410016384607</v>
      </c>
      <c r="H125" s="67">
        <f t="shared" si="56"/>
        <v>421.39449593280108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294.94285920643927</v>
      </c>
      <c r="T125" s="59">
        <f t="shared" si="88"/>
        <v>399.89535338426606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40.406415822852857</v>
      </c>
      <c r="AA125" s="21">
        <f>EXP(-LN(2)/25)*AA124+(1-EXP(-LN(2)/25))/(LN(2)/25)*Calculateur!V125*Calculateur!X125*VLOOKUP('Données projet'!$B$9,Paramètres!$A$1:$I$89,3,0)*0.475*44/12</f>
        <v>24.708975961291102</v>
      </c>
      <c r="AB125" s="21">
        <f>EXP(-LN(2)/2)*AB124+(1-EXP(-LN(2)/2))/(LN(2)/2)*V125*Y125*VLOOKUP('Données projet'!$B$9,Paramètres!$A$1:$I$89,3,0)*0.475*44/12</f>
        <v>1.2328866718159479E-13</v>
      </c>
      <c r="AC125" s="22">
        <f t="shared" si="57"/>
        <v>65.11539178414408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5.3066239316239274</v>
      </c>
      <c r="AI125" s="13">
        <f>IF('Données projet'!$A$62&gt;35,AI124+AH125-AQ124,IF(A125&lt;'Données projet'!$A$62,$AF$205^A125,IF(A125='Données projet'!$A$62,'Données projet'!$B$62,AI124+AH125-AQ124)))</f>
        <v>262.3749999999996</v>
      </c>
      <c r="AJ125" s="13">
        <f>AI125*VLOOKUP('Données projet'!$B$10,Paramètres!$A$1:$I$89,3,0)*VLOOKUP('Données projet'!$B$10,Paramètres!$A$1:$I$89,5,0)</f>
        <v>237.39689999999962</v>
      </c>
      <c r="AK125" s="13">
        <f t="shared" si="89"/>
        <v>57.87910585630879</v>
      </c>
      <c r="AL125" s="20">
        <f t="shared" si="58"/>
        <v>514.27237686640376</v>
      </c>
      <c r="AM125" s="59">
        <f t="shared" si="59"/>
        <v>807.60571019973713</v>
      </c>
      <c r="AN125" s="59">
        <f ca="1">AVERAGE(OFFSET($AM$3,0,0,'Données projet'!$E$10+1,1))-AVERAGE(OFFSET($H$3,0,0,'Données projet'!$E$10+1,1))</f>
        <v>227.31630731915698</v>
      </c>
      <c r="AO125" s="59">
        <f t="shared" si="90"/>
        <v>143.7533262991908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29.873023715017368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29.873023715017368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57.564000000000192</v>
      </c>
      <c r="D126" s="11">
        <f t="shared" si="86"/>
        <v>16.55089399470792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572.11497118722059</v>
      </c>
      <c r="H126" s="67">
        <f t="shared" si="56"/>
        <v>422.41677370744992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294.94285920643927</v>
      </c>
      <c r="T126" s="59">
        <f t="shared" si="88"/>
        <v>399.89535338426606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39.614070654046827</v>
      </c>
      <c r="AA126" s="21">
        <f>EXP(-LN(2)/25)*AA125+(1-EXP(-LN(2)/25))/(LN(2)/25)*Calculateur!V126*Calculateur!X126*VLOOKUP('Données projet'!$B$9,Paramètres!$A$1:$I$89,3,0)*0.475*44/12</f>
        <v>24.033307714241026</v>
      </c>
      <c r="AB126" s="21">
        <f>EXP(-LN(2)/2)*AB125+(1-EXP(-LN(2)/2))/(LN(2)/2)*V126*Y126*VLOOKUP('Données projet'!$B$9,Paramètres!$A$1:$I$89,3,0)*0.475*44/12</f>
        <v>8.7178252607557028E-14</v>
      </c>
      <c r="AC126" s="22">
        <f t="shared" si="57"/>
        <v>63.647378368287939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5.3066239316239274</v>
      </c>
      <c r="AI126" s="13">
        <f>IF('Données projet'!$A$62&gt;35,AI125+AH126-AQ125,IF(A126&lt;'Données projet'!$A$62,$AF$205^A126,IF(A126='Données projet'!$A$62,'Données projet'!$B$62,AI125+AH126-AQ125)))</f>
        <v>267.68162393162351</v>
      </c>
      <c r="AJ126" s="13">
        <f>AI126*VLOOKUP('Données projet'!$B$10,Paramètres!$A$1:$I$89,3,0)*VLOOKUP('Données projet'!$B$10,Paramètres!$A$1:$I$89,5,0)</f>
        <v>242.19833333333295</v>
      </c>
      <c r="AK126" s="13">
        <f t="shared" si="89"/>
        <v>58.912261318352805</v>
      </c>
      <c r="AL126" s="20">
        <f t="shared" si="58"/>
        <v>524.43428568501929</v>
      </c>
      <c r="AM126" s="59">
        <f t="shared" si="59"/>
        <v>817.76761901835266</v>
      </c>
      <c r="AN126" s="59">
        <f ca="1">AVERAGE(OFFSET($AM$3,0,0,'Données projet'!$E$10+1,1))-AVERAGE(OFFSET($H$3,0,0,'Données projet'!$E$10+1,1))</f>
        <v>227.31630731915698</v>
      </c>
      <c r="AO126" s="59">
        <f t="shared" si="90"/>
        <v>143.7533262991908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29.287231940711195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29.287231940711195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58.032000000000195</v>
      </c>
      <c r="D127" s="11">
        <f t="shared" si="86"/>
        <v>16.669735221992848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576.64497364345516</v>
      </c>
      <c r="H127" s="67">
        <f t="shared" si="56"/>
        <v>423.43885551163788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294.94285920643927</v>
      </c>
      <c r="T127" s="59">
        <f t="shared" si="88"/>
        <v>399.89535338426606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38.83726289071825</v>
      </c>
      <c r="AA127" s="21">
        <f>EXP(-LN(2)/25)*AA126+(1-EXP(-LN(2)/25))/(LN(2)/25)*Calculateur!V127*Calculateur!X127*VLOOKUP('Données projet'!$B$9,Paramètres!$A$1:$I$89,3,0)*0.475*44/12</f>
        <v>23.376115650938381</v>
      </c>
      <c r="AB127" s="21">
        <f>EXP(-LN(2)/2)*AB126+(1-EXP(-LN(2)/2))/(LN(2)/2)*V127*Y127*VLOOKUP('Données projet'!$B$9,Paramètres!$A$1:$I$89,3,0)*0.475*44/12</f>
        <v>6.1644333590797394E-14</v>
      </c>
      <c r="AC127" s="22">
        <f t="shared" si="57"/>
        <v>62.213378541656695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5.3066239316239274</v>
      </c>
      <c r="AI127" s="13">
        <f>IF('Données projet'!$A$62&gt;35,AI126+AH127-AQ126,IF(A127&lt;'Données projet'!$A$62,$AF$205^A127,IF(A127='Données projet'!$A$62,'Données projet'!$B$62,AI126+AH127-AQ126)))</f>
        <v>272.98824786324741</v>
      </c>
      <c r="AJ127" s="13">
        <f>AI127*VLOOKUP('Données projet'!$B$10,Paramètres!$A$1:$I$89,3,0)*VLOOKUP('Données projet'!$B$10,Paramètres!$A$1:$I$89,5,0)</f>
        <v>246.99976666666623</v>
      </c>
      <c r="AK127" s="13">
        <f t="shared" si="89"/>
        <v>59.943035297333779</v>
      </c>
      <c r="AL127" s="20">
        <f t="shared" si="58"/>
        <v>534.59204675396666</v>
      </c>
      <c r="AM127" s="59">
        <f t="shared" si="59"/>
        <v>827.92538008730003</v>
      </c>
      <c r="AN127" s="59">
        <f ca="1">AVERAGE(OFFSET($AM$3,0,0,'Données projet'!$E$10+1,1))-AVERAGE(OFFSET($H$3,0,0,'Données projet'!$E$10+1,1))</f>
        <v>227.31630731915698</v>
      </c>
      <c r="AO127" s="59">
        <f t="shared" si="90"/>
        <v>143.7533262991908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28.712927185801462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28.712927185801462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58.500000000000199</v>
      </c>
      <c r="D128" s="11">
        <f t="shared" si="86"/>
        <v>16.788464942932855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581.17411534895689</v>
      </c>
      <c r="H128" s="67">
        <f t="shared" si="56"/>
        <v>424.4607431089417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294.94285920643927</v>
      </c>
      <c r="T128" s="59">
        <f t="shared" si="88"/>
        <v>399.89535338426606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38.075687853822593</v>
      </c>
      <c r="AA128" s="21">
        <f>EXP(-LN(2)/25)*AA127+(1-EXP(-LN(2)/25))/(LN(2)/25)*Calculateur!V128*Calculateur!X128*VLOOKUP('Données projet'!$B$9,Paramètres!$A$1:$I$89,3,0)*0.475*44/12</f>
        <v>22.736894539166975</v>
      </c>
      <c r="AB128" s="21">
        <f>EXP(-LN(2)/2)*AB127+(1-EXP(-LN(2)/2))/(LN(2)/2)*V128*Y128*VLOOKUP('Données projet'!$B$9,Paramètres!$A$1:$I$89,3,0)*0.475*44/12</f>
        <v>4.3589126303778514E-14</v>
      </c>
      <c r="AC128" s="22">
        <f t="shared" si="57"/>
        <v>60.812582392989611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278.29487179487177</v>
      </c>
      <c r="AG128" s="12">
        <f>VLOOKUP(A128,'Données projet'!$A$61:$I$81,9,0)</f>
        <v>5.3066239316239274</v>
      </c>
      <c r="AH128" s="12">
        <f t="array" ref="AH128">INDEX(AG:AG,MIN(IF(ISNUMBER(AG128:AG324),ROW(AG128:AG324),"")))</f>
        <v>5.3066239316239274</v>
      </c>
      <c r="AI128" s="13">
        <f>IF('Données projet'!$A$62&gt;35,AI127+AH128-AQ127,IF(A128&lt;'Données projet'!$A$62,$AF$205^A128,IF(A128='Données projet'!$A$62,'Données projet'!$B$62,AI127+AH128-AQ127)))</f>
        <v>278.29487179487131</v>
      </c>
      <c r="AJ128" s="13">
        <f>AI128*VLOOKUP('Données projet'!$B$10,Paramètres!$A$1:$I$89,3,0)*VLOOKUP('Données projet'!$B$10,Paramètres!$A$1:$I$89,5,0)</f>
        <v>251.80119999999957</v>
      </c>
      <c r="AK128" s="13">
        <f t="shared" si="89"/>
        <v>60.971479423668242</v>
      </c>
      <c r="AL128" s="20">
        <f t="shared" si="58"/>
        <v>544.74574999622132</v>
      </c>
      <c r="AM128" s="59">
        <f t="shared" si="59"/>
        <v>838.07908332955458</v>
      </c>
      <c r="AN128" s="59">
        <f ca="1">AVERAGE(OFFSET($AM$3,0,0,'Données projet'!$E$10+1,1))-AVERAGE(OFFSET($H$3,0,0,'Données projet'!$E$10+1,1))</f>
        <v>227.31630731915698</v>
      </c>
      <c r="AO128" s="59">
        <f t="shared" si="90"/>
        <v>143.7533262991908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48.160256410256409</v>
      </c>
      <c r="AR128" s="16">
        <f>IF(ISNA(VLOOKUP(A128,'Données projet'!$A$61:$I$81,5,0)),0%,VLOOKUP(A128,'Données projet'!$A$61:$I$81,5,0)*VLOOKUP('Données projet'!$B$10,Paramètres!$A$1:$I$89,7,0))</f>
        <v>0.30099999999999999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42.64944970371053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42.64944970371053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58.968000000000202</v>
      </c>
      <c r="D129" s="11">
        <f t="shared" si="86"/>
        <v>16.907084152971169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585.70240398784915</v>
      </c>
      <c r="H129" s="67">
        <f t="shared" si="56"/>
        <v>425.48243823309178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294.94285920643927</v>
      </c>
      <c r="T129" s="59">
        <f t="shared" si="88"/>
        <v>399.89535338426606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37.329046838885553</v>
      </c>
      <c r="AA129" s="21">
        <f>EXP(-LN(2)/25)*AA128+(1-EXP(-LN(2)/25))/(LN(2)/25)*Calculateur!V129*Calculateur!X129*VLOOKUP('Données projet'!$B$9,Paramètres!$A$1:$I$89,3,0)*0.475*44/12</f>
        <v>22.115152962312138</v>
      </c>
      <c r="AB129" s="21">
        <f>EXP(-LN(2)/2)*AB128+(1-EXP(-LN(2)/2))/(LN(2)/2)*V129*Y129*VLOOKUP('Données projet'!$B$9,Paramètres!$A$1:$I$89,3,0)*0.475*44/12</f>
        <v>3.0822166795398697E-14</v>
      </c>
      <c r="AC129" s="22">
        <f t="shared" si="57"/>
        <v>59.444199801197719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5.2446581196581219</v>
      </c>
      <c r="AI129" s="13">
        <f>IF('Données projet'!$A$62&gt;35,AI128+AH129-AQ128,IF(A129&lt;'Données projet'!$A$62,$AF$205^A129,IF(A129='Données projet'!$A$62,'Données projet'!$B$62,AI128+AH129-AQ128)))</f>
        <v>235.37927350427304</v>
      </c>
      <c r="AJ129" s="13">
        <f>AI129*VLOOKUP('Données projet'!$B$10,Paramètres!$A$1:$I$89,3,0)*VLOOKUP('Données projet'!$B$10,Paramètres!$A$1:$I$89,5,0)</f>
        <v>212.97116666666628</v>
      </c>
      <c r="AK129" s="13">
        <f t="shared" si="89"/>
        <v>52.584328525271125</v>
      </c>
      <c r="AL129" s="20">
        <f t="shared" si="58"/>
        <v>462.50915412595759</v>
      </c>
      <c r="AM129" s="59">
        <f t="shared" si="59"/>
        <v>755.84248745929085</v>
      </c>
      <c r="AN129" s="59">
        <f ca="1">AVERAGE(OFFSET($AM$3,0,0,'Données projet'!$E$10+1,1))-AVERAGE(OFFSET($H$3,0,0,'Données projet'!$E$10+1,1))</f>
        <v>227.31630731915698</v>
      </c>
      <c r="AO129" s="59">
        <f t="shared" si="90"/>
        <v>143.7533262991908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41.813120008616458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41.813120008616458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59.436000000000206</v>
      </c>
      <c r="D130" s="11">
        <f t="shared" si="86"/>
        <v>17.025593830837963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590.22984711524202</v>
      </c>
      <c r="H130" s="67">
        <f t="shared" si="56"/>
        <v>426.50394258870983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294.94285920643927</v>
      </c>
      <c r="T130" s="59">
        <f t="shared" si="88"/>
        <v>399.89535338426606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36.597046998845379</v>
      </c>
      <c r="AA130" s="21">
        <f>EXP(-LN(2)/25)*AA129+(1-EXP(-LN(2)/25))/(LN(2)/25)*Calculateur!V130*Calculateur!X130*VLOOKUP('Données projet'!$B$9,Paramètres!$A$1:$I$89,3,0)*0.475*44/12</f>
        <v>21.510412941572362</v>
      </c>
      <c r="AB130" s="21">
        <f>EXP(-LN(2)/2)*AB129+(1-EXP(-LN(2)/2))/(LN(2)/2)*V130*Y130*VLOOKUP('Données projet'!$B$9,Paramètres!$A$1:$I$89,3,0)*0.475*44/12</f>
        <v>2.1794563151889257E-14</v>
      </c>
      <c r="AC130" s="22">
        <f t="shared" si="57"/>
        <v>58.107459940417762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5.2446581196581219</v>
      </c>
      <c r="AI130" s="13">
        <f>IF('Données projet'!$A$62&gt;35,AI129+AH130-AQ129,IF(A130&lt;'Données projet'!$A$62,$AF$205^A130,IF(A130='Données projet'!$A$62,'Données projet'!$B$62,AI129+AH130-AQ129)))</f>
        <v>240.62393162393116</v>
      </c>
      <c r="AJ130" s="13">
        <f>AI130*VLOOKUP('Données projet'!$B$10,Paramètres!$A$1:$I$89,3,0)*VLOOKUP('Données projet'!$B$10,Paramètres!$A$1:$I$89,5,0)</f>
        <v>217.7165333333329</v>
      </c>
      <c r="AK130" s="13">
        <f t="shared" si="89"/>
        <v>53.618284552972121</v>
      </c>
      <c r="AL130" s="20">
        <f t="shared" si="58"/>
        <v>472.57480781864791</v>
      </c>
      <c r="AM130" s="59">
        <f t="shared" si="59"/>
        <v>765.90814115198123</v>
      </c>
      <c r="AN130" s="59">
        <f ca="1">AVERAGE(OFFSET($AM$3,0,0,'Données projet'!$E$10+1,1))-AVERAGE(OFFSET($H$3,0,0,'Données projet'!$E$10+1,1))</f>
        <v>227.31630731915698</v>
      </c>
      <c r="AO130" s="59">
        <f t="shared" si="90"/>
        <v>143.7533262991908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40.993190228732438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40.993190228732438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59.90400000000021</v>
      </c>
      <c r="D131" s="11">
        <f t="shared" si="86"/>
        <v>17.143994938960237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594.75645216039641</v>
      </c>
      <c r="H131" s="67">
        <f t="shared" si="56"/>
        <v>427.52525785202272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294.94285920643927</v>
      </c>
      <c r="T131" s="59">
        <f t="shared" si="88"/>
        <v>399.89535338426606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35.879401229192574</v>
      </c>
      <c r="AA131" s="21">
        <f>EXP(-LN(2)/25)*AA130+(1-EXP(-LN(2)/25))/(LN(2)/25)*Calculateur!V131*Calculateur!X131*VLOOKUP('Données projet'!$B$9,Paramètres!$A$1:$I$89,3,0)*0.475*44/12</f>
        <v>20.922209568501611</v>
      </c>
      <c r="AB131" s="21">
        <f>EXP(-LN(2)/2)*AB130+(1-EXP(-LN(2)/2))/(LN(2)/2)*V131*Y131*VLOOKUP('Données projet'!$B$9,Paramètres!$A$1:$I$89,3,0)*0.475*44/12</f>
        <v>1.5411083397699348E-14</v>
      </c>
      <c r="AC131" s="22">
        <f t="shared" si="57"/>
        <v>56.801610797694195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5.2446581196581219</v>
      </c>
      <c r="AI131" s="13">
        <f>IF('Données projet'!$A$62&gt;35,AI130+AH131-AQ130,IF(A131&lt;'Données projet'!$A$62,$AF$205^A131,IF(A131='Données projet'!$A$62,'Données projet'!$B$62,AI130+AH131-AQ130)))</f>
        <v>245.86858974358927</v>
      </c>
      <c r="AJ131" s="13">
        <f>AI131*VLOOKUP('Données projet'!$B$10,Paramètres!$A$1:$I$89,3,0)*VLOOKUP('Données projet'!$B$10,Paramètres!$A$1:$I$89,5,0)</f>
        <v>222.46189999999956</v>
      </c>
      <c r="AK131" s="13">
        <f t="shared" si="89"/>
        <v>54.649620474067063</v>
      </c>
      <c r="AL131" s="20">
        <f t="shared" si="58"/>
        <v>482.6358981589994</v>
      </c>
      <c r="AM131" s="59">
        <f t="shared" si="59"/>
        <v>775.96923149233271</v>
      </c>
      <c r="AN131" s="59">
        <f ca="1">AVERAGE(OFFSET($AM$3,0,0,'Données projet'!$E$10+1,1))-AVERAGE(OFFSET($H$3,0,0,'Données projet'!$E$10+1,1))</f>
        <v>227.31630731915698</v>
      </c>
      <c r="AO131" s="59">
        <f t="shared" si="90"/>
        <v>143.7533262991908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40.189338771724152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40.189338771724152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60.372000000000213</v>
      </c>
      <c r="D132" s="11">
        <f t="shared" si="86"/>
        <v>17.262288423858621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599.28222642978756</v>
      </c>
      <c r="H132" s="67">
        <f t="shared" ref="H132:H195" si="110">(B132+E132+F132)*44/12+(C132+D132)*0.475*44/12</f>
        <v>428.54638567155416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294.94285920643927</v>
      </c>
      <c r="T132" s="59">
        <f t="shared" si="88"/>
        <v>399.89535338426606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35.175828055361961</v>
      </c>
      <c r="AA132" s="21">
        <f>EXP(-LN(2)/25)*AA131+(1-EXP(-LN(2)/25))/(LN(2)/25)*Calculateur!V132*Calculateur!X132*VLOOKUP('Données projet'!$B$9,Paramètres!$A$1:$I$89,3,0)*0.475*44/12</f>
        <v>20.35009064759975</v>
      </c>
      <c r="AB132" s="21">
        <f>EXP(-LN(2)/2)*AB131+(1-EXP(-LN(2)/2))/(LN(2)/2)*V132*Y132*VLOOKUP('Données projet'!$B$9,Paramètres!$A$1:$I$89,3,0)*0.475*44/12</f>
        <v>1.0897281575944629E-14</v>
      </c>
      <c r="AC132" s="22">
        <f t="shared" ref="AC132:AC153" si="111">SUM(Z132:AB132)</f>
        <v>55.525918702961725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5.2446581196581219</v>
      </c>
      <c r="AI132" s="13">
        <f>IF('Données projet'!$A$62&gt;35,AI131+AH132-AQ131,IF(A132&lt;'Données projet'!$A$62,$AF$205^A132,IF(A132='Données projet'!$A$62,'Données projet'!$B$62,AI131+AH132-AQ131)))</f>
        <v>251.11324786324738</v>
      </c>
      <c r="AJ132" s="13">
        <f>AI132*VLOOKUP('Données projet'!$B$10,Paramètres!$A$1:$I$89,3,0)*VLOOKUP('Données projet'!$B$10,Paramètres!$A$1:$I$89,5,0)</f>
        <v>227.20726666666624</v>
      </c>
      <c r="AK132" s="13">
        <f t="shared" si="89"/>
        <v>55.678398616153615</v>
      </c>
      <c r="AL132" s="20">
        <f t="shared" ref="AL132:AL153" si="112">(AJ132+AK132)*0.475*44/12</f>
        <v>492.69253370091127</v>
      </c>
      <c r="AM132" s="59">
        <f t="shared" ref="AM132:AM195" si="113">AL132+(AD132+AE132)*44/12</f>
        <v>786.02586703424458</v>
      </c>
      <c r="AN132" s="59">
        <f ca="1">AVERAGE(OFFSET($AM$3,0,0,'Données projet'!$E$10+1,1))-AVERAGE(OFFSET($H$3,0,0,'Données projet'!$E$10+1,1))</f>
        <v>227.31630731915698</v>
      </c>
      <c r="AO132" s="59">
        <f t="shared" si="90"/>
        <v>143.7533262991908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39.40125035148683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39.40125035148683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60.840000000000217</v>
      </c>
      <c r="D133" s="11">
        <f t="shared" ref="D133:D196" si="140">IFERROR(EXP(-1.0587+0.8836*LN(C133)+0.284),0)</f>
        <v>17.380475216531508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603.80717711006946</v>
      </c>
      <c r="H133" s="67">
        <f t="shared" si="110"/>
        <v>429.5673276687927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294.94285920643927</v>
      </c>
      <c r="T133" s="59">
        <f t="shared" ref="T133:T196" si="142">$T$3</f>
        <v>399.89535338426606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34.486051522332907</v>
      </c>
      <c r="AA133" s="21">
        <f>EXP(-LN(2)/25)*AA132+(1-EXP(-LN(2)/25))/(LN(2)/25)*Calculateur!V133*Calculateur!X133*VLOOKUP('Données projet'!$B$9,Paramètres!$A$1:$I$89,3,0)*0.475*44/12</f>
        <v>19.793616348676377</v>
      </c>
      <c r="AB133" s="21">
        <f>EXP(-LN(2)/2)*AB132+(1-EXP(-LN(2)/2))/(LN(2)/2)*V133*Y133*VLOOKUP('Données projet'!$B$9,Paramètres!$A$1:$I$89,3,0)*0.475*44/12</f>
        <v>7.7055416988496742E-15</v>
      </c>
      <c r="AC133" s="22">
        <f t="shared" si="111"/>
        <v>54.279667871009288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5.2446581196581219</v>
      </c>
      <c r="AI133" s="13">
        <f>IF('Données projet'!$A$62&gt;35,AI132+AH133-AQ132,IF(A133&lt;'Données projet'!$A$62,$AF$205^A133,IF(A133='Données projet'!$A$62,'Données projet'!$B$62,AI132+AH133-AQ132)))</f>
        <v>256.35790598290549</v>
      </c>
      <c r="AJ133" s="13">
        <f>AI133*VLOOKUP('Données projet'!$B$10,Paramètres!$A$1:$I$89,3,0)*VLOOKUP('Données projet'!$B$10,Paramètres!$A$1:$I$89,5,0)</f>
        <v>231.95263333333287</v>
      </c>
      <c r="AK133" s="13">
        <f t="shared" ref="AK133:AK153" si="143">EXP(-1.0587+0.8836*LN(AJ133)+0.284)</f>
        <v>56.704678554548856</v>
      </c>
      <c r="AL133" s="20">
        <f t="shared" si="112"/>
        <v>502.74481820472732</v>
      </c>
      <c r="AM133" s="59">
        <f t="shared" si="113"/>
        <v>796.07815153806064</v>
      </c>
      <c r="AN133" s="59">
        <f ca="1">AVERAGE(OFFSET($AM$3,0,0,'Données projet'!$E$10+1,1))-AVERAGE(OFFSET($H$3,0,0,'Données projet'!$E$10+1,1))</f>
        <v>227.31630731915698</v>
      </c>
      <c r="AO133" s="59">
        <f t="shared" ref="AO133:AO196" si="144">$AO$3</f>
        <v>143.7533262991908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38.628615864483884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38.628615864483884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61.30800000000022</v>
      </c>
      <c r="D134" s="11">
        <f t="shared" si="140"/>
        <v>17.498556232826935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608.33131127094646</v>
      </c>
      <c r="H134" s="67">
        <f t="shared" si="110"/>
        <v>430.58808543884061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294.94285920643927</v>
      </c>
      <c r="T134" s="59">
        <f t="shared" si="142"/>
        <v>399.89535338426606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33.809801086394408</v>
      </c>
      <c r="AA134" s="21">
        <f>EXP(-LN(2)/25)*AA133+(1-EXP(-LN(2)/25))/(LN(2)/25)*Calculateur!V134*Calculateur!X134*VLOOKUP('Données projet'!$B$9,Paramètres!$A$1:$I$89,3,0)*0.475*44/12</f>
        <v>19.252358868720776</v>
      </c>
      <c r="AB134" s="21">
        <f>EXP(-LN(2)/2)*AB133+(1-EXP(-LN(2)/2))/(LN(2)/2)*V134*Y134*VLOOKUP('Données projet'!$B$9,Paramètres!$A$1:$I$89,3,0)*0.475*44/12</f>
        <v>5.4486407879723143E-15</v>
      </c>
      <c r="AC134" s="22">
        <f t="shared" si="111"/>
        <v>53.062159955115192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5.2446581196581219</v>
      </c>
      <c r="AI134" s="13">
        <f>IF('Données projet'!$A$62&gt;35,AI133+AH134-AQ133,IF(A134&lt;'Données projet'!$A$62,$AF$205^A134,IF(A134='Données projet'!$A$62,'Données projet'!$B$62,AI133+AH134-AQ133)))</f>
        <v>261.60256410256363</v>
      </c>
      <c r="AJ134" s="13">
        <f>AI134*VLOOKUP('Données projet'!$B$10,Paramètres!$A$1:$I$89,3,0)*VLOOKUP('Données projet'!$B$10,Paramètres!$A$1:$I$89,5,0)</f>
        <v>236.69799999999958</v>
      </c>
      <c r="AK134" s="13">
        <f t="shared" si="143"/>
        <v>57.728517287605179</v>
      </c>
      <c r="AL134" s="20">
        <f t="shared" si="112"/>
        <v>512.7928509425783</v>
      </c>
      <c r="AM134" s="59">
        <f t="shared" si="113"/>
        <v>806.12618427591156</v>
      </c>
      <c r="AN134" s="59">
        <f ca="1">AVERAGE(OFFSET($AM$3,0,0,'Données projet'!$E$10+1,1))-AVERAGE(OFFSET($H$3,0,0,'Données projet'!$E$10+1,1))</f>
        <v>227.31630731915698</v>
      </c>
      <c r="AO134" s="59">
        <f t="shared" si="144"/>
        <v>143.7533262991908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37.871132268510564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37.871132268510564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61.776000000000224</v>
      </c>
      <c r="D135" s="11">
        <f t="shared" si="140"/>
        <v>17.616532373802929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612.85463586795424</v>
      </c>
      <c r="H135" s="67">
        <f t="shared" si="110"/>
        <v>431.60866055104043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294.94285920643927</v>
      </c>
      <c r="T135" s="59">
        <f t="shared" si="142"/>
        <v>399.89535338426606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33.146811509032631</v>
      </c>
      <c r="AA135" s="21">
        <f>EXP(-LN(2)/25)*AA134+(1-EXP(-LN(2)/25))/(LN(2)/25)*Calculateur!V135*Calculateur!X135*VLOOKUP('Données projet'!$B$9,Paramètres!$A$1:$I$89,3,0)*0.475*44/12</f>
        <v>18.725902103018054</v>
      </c>
      <c r="AB135" s="21">
        <f>EXP(-LN(2)/2)*AB134+(1-EXP(-LN(2)/2))/(LN(2)/2)*V135*Y135*VLOOKUP('Données projet'!$B$9,Paramètres!$A$1:$I$89,3,0)*0.475*44/12</f>
        <v>3.8527708494248371E-15</v>
      </c>
      <c r="AC135" s="22">
        <f t="shared" si="111"/>
        <v>51.872713612050696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5.2446581196581219</v>
      </c>
      <c r="AI135" s="13">
        <f>IF('Données projet'!$A$62&gt;35,AI134+AH135-AQ134,IF(A135&lt;'Données projet'!$A$62,$AF$205^A135,IF(A135='Données projet'!$A$62,'Données projet'!$B$62,AI134+AH135-AQ134)))</f>
        <v>266.84722222222177</v>
      </c>
      <c r="AJ135" s="13">
        <f>AI135*VLOOKUP('Données projet'!$B$10,Paramètres!$A$1:$I$89,3,0)*VLOOKUP('Données projet'!$B$10,Paramètres!$A$1:$I$89,5,0)</f>
        <v>241.44336666666626</v>
      </c>
      <c r="AK135" s="13">
        <f t="shared" si="143"/>
        <v>58.749969397569316</v>
      </c>
      <c r="AL135" s="20">
        <f t="shared" si="112"/>
        <v>522.83672697854365</v>
      </c>
      <c r="AM135" s="59">
        <f t="shared" si="113"/>
        <v>816.17006031187702</v>
      </c>
      <c r="AN135" s="59">
        <f ca="1">AVERAGE(OFFSET($AM$3,0,0,'Données projet'!$E$10+1,1))-AVERAGE(OFFSET($H$3,0,0,'Données projet'!$E$10+1,1))</f>
        <v>227.31630731915698</v>
      </c>
      <c r="AO135" s="59">
        <f t="shared" si="144"/>
        <v>143.7533262991908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37.128502463834906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37.128502463834906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62.244000000000227</v>
      </c>
      <c r="D136" s="11">
        <f t="shared" si="140"/>
        <v>17.734404526076489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617.37715774515357</v>
      </c>
      <c r="H136" s="67">
        <f t="shared" si="110"/>
        <v>432.6290545495836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294.94285920643927</v>
      </c>
      <c r="T136" s="59">
        <f t="shared" si="142"/>
        <v>399.89535338426606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32.496822752899206</v>
      </c>
      <c r="AA136" s="21">
        <f>EXP(-LN(2)/25)*AA135+(1-EXP(-LN(2)/25))/(LN(2)/25)*Calculateur!V136*Calculateur!X136*VLOOKUP('Données projet'!$B$9,Paramètres!$A$1:$I$89,3,0)*0.475*44/12</f>
        <v>18.213841325258631</v>
      </c>
      <c r="AB136" s="21">
        <f>EXP(-LN(2)/2)*AB135+(1-EXP(-LN(2)/2))/(LN(2)/2)*V136*Y136*VLOOKUP('Données projet'!$B$9,Paramètres!$A$1:$I$89,3,0)*0.475*44/12</f>
        <v>2.7243203939861571E-15</v>
      </c>
      <c r="AC136" s="22">
        <f t="shared" si="111"/>
        <v>50.710664078157834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5.2446581196581219</v>
      </c>
      <c r="AI136" s="13">
        <f>IF('Données projet'!$A$62&gt;35,AI135+AH136-AQ135,IF(A136&lt;'Données projet'!$A$62,$AF$205^A136,IF(A136='Données projet'!$A$62,'Données projet'!$B$62,AI135+AH136-AQ135)))</f>
        <v>272.09188034187991</v>
      </c>
      <c r="AJ136" s="13">
        <f>AI136*VLOOKUP('Données projet'!$B$10,Paramètres!$A$1:$I$89,3,0)*VLOOKUP('Données projet'!$B$10,Paramètres!$A$1:$I$89,5,0)</f>
        <v>246.18873333333292</v>
      </c>
      <c r="AK136" s="13">
        <f t="shared" si="143"/>
        <v>59.769087198438612</v>
      </c>
      <c r="AL136" s="20">
        <f t="shared" si="112"/>
        <v>532.87653742616862</v>
      </c>
      <c r="AM136" s="59">
        <f t="shared" si="113"/>
        <v>826.20987075950188</v>
      </c>
      <c r="AN136" s="59">
        <f ca="1">AVERAGE(OFFSET($AM$3,0,0,'Données projet'!$E$10+1,1))-AVERAGE(OFFSET($H$3,0,0,'Données projet'!$E$10+1,1))</f>
        <v>227.31630731915698</v>
      </c>
      <c r="AO136" s="59">
        <f t="shared" si="144"/>
        <v>143.7533262991908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36.400435176669482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36.400435176669482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62.712000000000231</v>
      </c>
      <c r="D137" s="11">
        <f t="shared" si="140"/>
        <v>17.852173562161887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621.89888363774276</v>
      </c>
      <c r="H137" s="67">
        <f t="shared" si="110"/>
        <v>433.649268954099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294.94285920643927</v>
      </c>
      <c r="T137" s="59">
        <f t="shared" si="142"/>
        <v>399.89535338426606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31.85957987981956</v>
      </c>
      <c r="AA137" s="21">
        <f>EXP(-LN(2)/25)*AA136+(1-EXP(-LN(2)/25))/(LN(2)/25)*Calculateur!V137*Calculateur!X137*VLOOKUP('Données projet'!$B$9,Paramètres!$A$1:$I$89,3,0)*0.475*44/12</f>
        <v>17.715782876395146</v>
      </c>
      <c r="AB137" s="21">
        <f>EXP(-LN(2)/2)*AB136+(1-EXP(-LN(2)/2))/(LN(2)/2)*V137*Y137*VLOOKUP('Données projet'!$B$9,Paramètres!$A$1:$I$89,3,0)*0.475*44/12</f>
        <v>1.9263854247124186E-15</v>
      </c>
      <c r="AC137" s="22">
        <f t="shared" si="111"/>
        <v>49.575362756214702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5.2446581196581219</v>
      </c>
      <c r="AI137" s="13">
        <f>IF('Données projet'!$A$62&gt;35,AI136+AH137-AQ136,IF(A137&lt;'Données projet'!$A$62,$AF$205^A137,IF(A137='Données projet'!$A$62,'Données projet'!$B$62,AI136+AH137-AQ136)))</f>
        <v>277.33653846153805</v>
      </c>
      <c r="AJ137" s="13">
        <f>AI137*VLOOKUP('Données projet'!$B$10,Paramètres!$A$1:$I$89,3,0)*VLOOKUP('Données projet'!$B$10,Paramètres!$A$1:$I$89,5,0)</f>
        <v>250.9340999999996</v>
      </c>
      <c r="AK137" s="13">
        <f t="shared" si="143"/>
        <v>60.785920872094742</v>
      </c>
      <c r="AL137" s="20">
        <f t="shared" si="112"/>
        <v>542.91236968556427</v>
      </c>
      <c r="AM137" s="59">
        <f t="shared" si="113"/>
        <v>836.24570301889753</v>
      </c>
      <c r="AN137" s="59">
        <f ca="1">AVERAGE(OFFSET($AM$3,0,0,'Données projet'!$E$10+1,1))-AVERAGE(OFFSET($H$3,0,0,'Données projet'!$E$10+1,1))</f>
        <v>227.31630731915698</v>
      </c>
      <c r="AO137" s="59">
        <f t="shared" si="144"/>
        <v>143.7533262991908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35.686644844928182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35.686644844928182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63.180000000000234</v>
      </c>
      <c r="D138" s="11">
        <f t="shared" si="140"/>
        <v>17.969840340798424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626.41982017458622</v>
      </c>
      <c r="H138" s="67">
        <f t="shared" si="110"/>
        <v>434.66930526022429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294.94285920643927</v>
      </c>
      <c r="T138" s="59">
        <f t="shared" si="142"/>
        <v>399.89535338426606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31.234832950801231</v>
      </c>
      <c r="AA138" s="21">
        <f>EXP(-LN(2)/25)*AA137+(1-EXP(-LN(2)/25))/(LN(2)/25)*Calculateur!V138*Calculateur!X138*VLOOKUP('Données projet'!$B$9,Paramètres!$A$1:$I$89,3,0)*0.475*44/12</f>
        <v>17.231343862007588</v>
      </c>
      <c r="AB138" s="21">
        <f>EXP(-LN(2)/2)*AB137+(1-EXP(-LN(2)/2))/(LN(2)/2)*V138*Y138*VLOOKUP('Données projet'!$B$9,Paramètres!$A$1:$I$89,3,0)*0.475*44/12</f>
        <v>1.3621601969930786E-15</v>
      </c>
      <c r="AC138" s="22">
        <f t="shared" si="111"/>
        <v>48.466176812808818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5.2446581196581219</v>
      </c>
      <c r="AI138" s="13">
        <f>IF('Données projet'!$A$62&gt;35,AI137+AH138-AQ137,IF(A138&lt;'Données projet'!$A$62,$AF$205^A138,IF(A138='Données projet'!$A$62,'Données projet'!$B$62,AI137+AH138-AQ137)))</f>
        <v>282.5811965811962</v>
      </c>
      <c r="AJ138" s="13">
        <f>AI138*VLOOKUP('Données projet'!$B$10,Paramètres!$A$1:$I$89,3,0)*VLOOKUP('Données projet'!$B$10,Paramètres!$A$1:$I$89,5,0)</f>
        <v>255.67946666666631</v>
      </c>
      <c r="AK138" s="13">
        <f t="shared" si="143"/>
        <v>61.800518593848722</v>
      </c>
      <c r="AL138" s="20">
        <f t="shared" si="112"/>
        <v>552.94430766206358</v>
      </c>
      <c r="AM138" s="59">
        <f t="shared" si="113"/>
        <v>846.27764099539695</v>
      </c>
      <c r="AN138" s="59">
        <f ca="1">AVERAGE(OFFSET($AM$3,0,0,'Données projet'!$E$10+1,1))-AVERAGE(OFFSET($H$3,0,0,'Données projet'!$E$10+1,1))</f>
        <v>227.31630731915698</v>
      </c>
      <c r="AO138" s="59">
        <f t="shared" si="144"/>
        <v>143.7533262991908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34.986851506223211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34.986851506223211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63.648000000000238</v>
      </c>
      <c r="D139" s="11">
        <f t="shared" si="140"/>
        <v>18.087405707268417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630.93997388067032</v>
      </c>
      <c r="H139" s="67">
        <f t="shared" si="110"/>
        <v>435.68916494015957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294.94285920643927</v>
      </c>
      <c r="T139" s="59">
        <f t="shared" si="142"/>
        <v>399.89535338426606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30.622336928002952</v>
      </c>
      <c r="AA139" s="21">
        <f>EXP(-LN(2)/25)*AA138+(1-EXP(-LN(2)/25))/(LN(2)/25)*Calculateur!V139*Calculateur!X139*VLOOKUP('Données projet'!$B$9,Paramètres!$A$1:$I$89,3,0)*0.475*44/12</f>
        <v>16.760151857943999</v>
      </c>
      <c r="AB139" s="21">
        <f>EXP(-LN(2)/2)*AB138+(1-EXP(-LN(2)/2))/(LN(2)/2)*V139*Y139*VLOOKUP('Données projet'!$B$9,Paramètres!$A$1:$I$89,3,0)*0.475*44/12</f>
        <v>9.6319271235620928E-16</v>
      </c>
      <c r="AC139" s="22">
        <f t="shared" si="111"/>
        <v>47.382488785946947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5.2446581196581219</v>
      </c>
      <c r="AI139" s="13">
        <f>IF('Données projet'!$A$62&gt;35,AI138+AH139-AQ138,IF(A139&lt;'Données projet'!$A$62,$AF$205^A139,IF(A139='Données projet'!$A$62,'Données projet'!$B$62,AI138+AH139-AQ138)))</f>
        <v>287.82585470085434</v>
      </c>
      <c r="AJ139" s="13">
        <f>AI139*VLOOKUP('Données projet'!$B$10,Paramètres!$A$1:$I$89,3,0)*VLOOKUP('Données projet'!$B$10,Paramètres!$A$1:$I$89,5,0)</f>
        <v>260.42483333333297</v>
      </c>
      <c r="AK139" s="13">
        <f t="shared" si="143"/>
        <v>62.81292664840214</v>
      </c>
      <c r="AL139" s="20">
        <f t="shared" si="112"/>
        <v>562.97243196818863</v>
      </c>
      <c r="AM139" s="59">
        <f t="shared" si="113"/>
        <v>856.30576530152189</v>
      </c>
      <c r="AN139" s="59">
        <f ca="1">AVERAGE(OFFSET($AM$3,0,0,'Données projet'!$E$10+1,1))-AVERAGE(OFFSET($H$3,0,0,'Données projet'!$E$10+1,1))</f>
        <v>227.31630731915698</v>
      </c>
      <c r="AO139" s="59">
        <f t="shared" si="144"/>
        <v>143.7533262991908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34.300780688058452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34.300780688058452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64.116000000000241</v>
      </c>
      <c r="D140" s="11">
        <f t="shared" si="140"/>
        <v>18.204870493705315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635.45935117948159</v>
      </c>
      <c r="H140" s="67">
        <f t="shared" si="110"/>
        <v>436.7088494432038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294.94285920643927</v>
      </c>
      <c r="T140" s="59">
        <f t="shared" si="142"/>
        <v>399.89535338426606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30.021851578626062</v>
      </c>
      <c r="AA140" s="21">
        <f>EXP(-LN(2)/25)*AA139+(1-EXP(-LN(2)/25))/(LN(2)/25)*Calculateur!V140*Calculateur!X140*VLOOKUP('Données projet'!$B$9,Paramètres!$A$1:$I$89,3,0)*0.475*44/12</f>
        <v>16.301844624010439</v>
      </c>
      <c r="AB140" s="21">
        <f>EXP(-LN(2)/2)*AB139+(1-EXP(-LN(2)/2))/(LN(2)/2)*V140*Y140*VLOOKUP('Données projet'!$B$9,Paramètres!$A$1:$I$89,3,0)*0.475*44/12</f>
        <v>6.8108009849653928E-16</v>
      </c>
      <c r="AC140" s="22">
        <f t="shared" si="111"/>
        <v>46.323696202636498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293.07051282051282</v>
      </c>
      <c r="AG140" s="12">
        <f>VLOOKUP(A140,'Données projet'!$A$61:$I$81,9,0)</f>
        <v>5.2446581196581219</v>
      </c>
      <c r="AH140" s="12">
        <f t="array" ref="AH140">INDEX(AG:AG,MIN(IF(ISNUMBER(AG140:AG336),ROW(AG140:AG336),"")))</f>
        <v>5.2446581196581219</v>
      </c>
      <c r="AI140" s="13">
        <f>IF('Données projet'!$A$62&gt;35,AI139+AH140-AQ139,IF(A140&lt;'Données projet'!$A$62,$AF$205^A140,IF(A140='Données projet'!$A$62,'Données projet'!$B$62,AI139+AH140-AQ139)))</f>
        <v>293.07051282051248</v>
      </c>
      <c r="AJ140" s="13">
        <f>AI140*VLOOKUP('Données projet'!$B$10,Paramètres!$A$1:$I$89,3,0)*VLOOKUP('Données projet'!$B$10,Paramètres!$A$1:$I$89,5,0)</f>
        <v>265.17019999999968</v>
      </c>
      <c r="AK140" s="13">
        <f t="shared" si="143"/>
        <v>63.823189537116463</v>
      </c>
      <c r="AL140" s="20">
        <f t="shared" si="112"/>
        <v>572.9968201104773</v>
      </c>
      <c r="AM140" s="59">
        <f t="shared" si="113"/>
        <v>866.33015344381056</v>
      </c>
      <c r="AN140" s="59">
        <f ca="1">AVERAGE(OFFSET($AM$3,0,0,'Données projet'!$E$10+1,1))-AVERAGE(OFFSET($H$3,0,0,'Données projet'!$E$10+1,1))</f>
        <v>227.31630731915698</v>
      </c>
      <c r="AO140" s="59">
        <f t="shared" si="144"/>
        <v>143.7533262991908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51.160256410256409</v>
      </c>
      <c r="AR140" s="16">
        <f>IF(ISNA(VLOOKUP(A140,'Données projet'!$A$61:$I$81,5,0)),0%,VLOOKUP(A140,'Données projet'!$A$61:$I$81,5,0)*VLOOKUP('Données projet'!$B$10,Paramètres!$A$1:$I$89,7,0))</f>
        <v>0.30099999999999999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49.030936135301836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49.030936135301836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64.584000000000245</v>
      </c>
      <c r="D141" s="11">
        <f t="shared" si="140"/>
        <v>18.322235519392791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639.97795839531466</v>
      </c>
      <c r="H141" s="67">
        <f t="shared" si="110"/>
        <v>437.72836019627618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294.94285920643927</v>
      </c>
      <c r="T141" s="59">
        <f t="shared" si="142"/>
        <v>399.89535338426606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29.433141380690557</v>
      </c>
      <c r="AA141" s="21">
        <f>EXP(-LN(2)/25)*AA140+(1-EXP(-LN(2)/25))/(LN(2)/25)*Calculateur!V141*Calculateur!X141*VLOOKUP('Données projet'!$B$9,Paramètres!$A$1:$I$89,3,0)*0.475*44/12</f>
        <v>15.856069825490122</v>
      </c>
      <c r="AB141" s="21">
        <f>EXP(-LN(2)/2)*AB140+(1-EXP(-LN(2)/2))/(LN(2)/2)*V141*Y141*VLOOKUP('Données projet'!$B$9,Paramètres!$A$1:$I$89,3,0)*0.475*44/12</f>
        <v>4.8159635617810464E-16</v>
      </c>
      <c r="AC141" s="22">
        <f t="shared" si="111"/>
        <v>45.289211206180681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5.1063034188034209</v>
      </c>
      <c r="AI141" s="13">
        <f>IF('Données projet'!$A$62&gt;35,AI140+AH141-AQ140,IF(A141&lt;'Données projet'!$A$62,$AF$205^A141,IF(A141='Données projet'!$A$62,'Données projet'!$B$62,AI140+AH141-AQ140)))</f>
        <v>247.01655982905947</v>
      </c>
      <c r="AJ141" s="13">
        <f>AI141*VLOOKUP('Données projet'!$B$10,Paramètres!$A$1:$I$89,3,0)*VLOOKUP('Données projet'!$B$10,Paramètres!$A$1:$I$89,5,0)</f>
        <v>223.500583333333</v>
      </c>
      <c r="AK141" s="13">
        <f t="shared" si="143"/>
        <v>54.875019768659023</v>
      </c>
      <c r="AL141" s="20">
        <f t="shared" si="112"/>
        <v>484.83750873596932</v>
      </c>
      <c r="AM141" s="59">
        <f t="shared" si="113"/>
        <v>778.17084206930258</v>
      </c>
      <c r="AN141" s="59">
        <f ca="1">AVERAGE(OFFSET($AM$3,0,0,'Données projet'!$E$10+1,1))-AVERAGE(OFFSET($H$3,0,0,'Données projet'!$E$10+1,1))</f>
        <v>227.31630731915698</v>
      </c>
      <c r="AO141" s="59">
        <f t="shared" si="144"/>
        <v>143.7533262991908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48.069469383606645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48.069469383606645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65.052000000000248</v>
      </c>
      <c r="D142" s="11">
        <f t="shared" si="140"/>
        <v>18.439501591054739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644.49580175551216</v>
      </c>
      <c r="H142" s="67">
        <f t="shared" si="110"/>
        <v>438.74769860442075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294.94285920643927</v>
      </c>
      <c r="T142" s="59">
        <f t="shared" si="142"/>
        <v>399.89535338426606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28.855975430658802</v>
      </c>
      <c r="AA142" s="21">
        <f>EXP(-LN(2)/25)*AA141+(1-EXP(-LN(2)/25))/(LN(2)/25)*Calculateur!V142*Calculateur!X142*VLOOKUP('Données projet'!$B$9,Paramètres!$A$1:$I$89,3,0)*0.475*44/12</f>
        <v>15.422484762277623</v>
      </c>
      <c r="AB142" s="21">
        <f>EXP(-LN(2)/2)*AB141+(1-EXP(-LN(2)/2))/(LN(2)/2)*V142*Y142*VLOOKUP('Données projet'!$B$9,Paramètres!$A$1:$I$89,3,0)*0.475*44/12</f>
        <v>3.4054004924826964E-16</v>
      </c>
      <c r="AC142" s="22">
        <f t="shared" si="111"/>
        <v>44.278460192936421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5.1063034188034209</v>
      </c>
      <c r="AI142" s="13">
        <f>IF('Données projet'!$A$62&gt;35,AI141+AH142-AQ141,IF(A142&lt;'Données projet'!$A$62,$AF$205^A142,IF(A142='Données projet'!$A$62,'Données projet'!$B$62,AI141+AH142-AQ141)))</f>
        <v>252.12286324786288</v>
      </c>
      <c r="AJ142" s="13">
        <f>AI142*VLOOKUP('Données projet'!$B$10,Paramètres!$A$1:$I$89,3,0)*VLOOKUP('Données projet'!$B$10,Paramètres!$A$1:$I$89,5,0)</f>
        <v>228.12076666666633</v>
      </c>
      <c r="AK142" s="13">
        <f t="shared" si="143"/>
        <v>55.876153534759418</v>
      </c>
      <c r="AL142" s="20">
        <f t="shared" si="112"/>
        <v>494.62796935081639</v>
      </c>
      <c r="AM142" s="59">
        <f t="shared" si="113"/>
        <v>787.9613026841497</v>
      </c>
      <c r="AN142" s="59">
        <f ca="1">AVERAGE(OFFSET($AM$3,0,0,'Données projet'!$E$10+1,1))-AVERAGE(OFFSET($H$3,0,0,'Données projet'!$E$10+1,1))</f>
        <v>227.31630731915698</v>
      </c>
      <c r="AO142" s="59">
        <f t="shared" si="144"/>
        <v>143.7533262991908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47.126856408475383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47.126856408475383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65.520000000000252</v>
      </c>
      <c r="D143" s="11">
        <f t="shared" si="140"/>
        <v>18.556669503136781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649.01288739263669</v>
      </c>
      <c r="H143" s="67">
        <f t="shared" si="110"/>
        <v>439.76686605129692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294.94285920643927</v>
      </c>
      <c r="T143" s="59">
        <f t="shared" si="142"/>
        <v>399.89535338426606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28.290127352870698</v>
      </c>
      <c r="AA143" s="21">
        <f>EXP(-LN(2)/25)*AA142+(1-EXP(-LN(2)/25))/(LN(2)/25)*Calculateur!V143*Calculateur!X143*VLOOKUP('Données projet'!$B$9,Paramètres!$A$1:$I$89,3,0)*0.475*44/12</f>
        <v>15.000756105419917</v>
      </c>
      <c r="AB143" s="21">
        <f>EXP(-LN(2)/2)*AB142+(1-EXP(-LN(2)/2))/(LN(2)/2)*V143*Y143*VLOOKUP('Données projet'!$B$9,Paramètres!$A$1:$I$89,3,0)*0.475*44/12</f>
        <v>2.4079817808905232E-16</v>
      </c>
      <c r="AC143" s="22">
        <f t="shared" si="111"/>
        <v>43.290883458290615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5.1063034188034209</v>
      </c>
      <c r="AI143" s="13">
        <f>IF('Données projet'!$A$62&gt;35,AI142+AH143-AQ142,IF(A143&lt;'Données projet'!$A$62,$AF$205^A143,IF(A143='Données projet'!$A$62,'Données projet'!$B$62,AI142+AH143-AQ142)))</f>
        <v>257.22916666666629</v>
      </c>
      <c r="AJ143" s="13">
        <f>AI143*VLOOKUP('Données projet'!$B$10,Paramètres!$A$1:$I$89,3,0)*VLOOKUP('Données projet'!$B$10,Paramètres!$A$1:$I$89,5,0)</f>
        <v>232.74094999999966</v>
      </c>
      <c r="AK143" s="13">
        <f t="shared" si="143"/>
        <v>56.874929761004168</v>
      </c>
      <c r="AL143" s="20">
        <f t="shared" si="112"/>
        <v>504.41432391708167</v>
      </c>
      <c r="AM143" s="59">
        <f t="shared" si="113"/>
        <v>797.74765725041493</v>
      </c>
      <c r="AN143" s="59">
        <f ca="1">AVERAGE(OFFSET($AM$3,0,0,'Données projet'!$E$10+1,1))-AVERAGE(OFFSET($H$3,0,0,'Données projet'!$E$10+1,1))</f>
        <v>227.31630731915698</v>
      </c>
      <c r="AO143" s="59">
        <f t="shared" si="144"/>
        <v>143.7533262991908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46.202727498849299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46.202727498849299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65.988000000000255</v>
      </c>
      <c r="D144" s="11">
        <f t="shared" si="140"/>
        <v>18.673740038079515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653.5292213465807</v>
      </c>
      <c r="H144" s="67">
        <f t="shared" si="110"/>
        <v>440.78586389965557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294.94285920643927</v>
      </c>
      <c r="T144" s="59">
        <f t="shared" si="142"/>
        <v>399.89535338426606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27.735375210754771</v>
      </c>
      <c r="AA144" s="21">
        <f>EXP(-LN(2)/25)*AA143+(1-EXP(-LN(2)/25))/(LN(2)/25)*Calculateur!V144*Calculateur!X144*VLOOKUP('Données projet'!$B$9,Paramètres!$A$1:$I$89,3,0)*0.475*44/12</f>
        <v>14.590559640861731</v>
      </c>
      <c r="AB144" s="21">
        <f>EXP(-LN(2)/2)*AB143+(1-EXP(-LN(2)/2))/(LN(2)/2)*V144*Y144*VLOOKUP('Données projet'!$B$9,Paramètres!$A$1:$I$89,3,0)*0.475*44/12</f>
        <v>1.7027002462413482E-16</v>
      </c>
      <c r="AC144" s="22">
        <f t="shared" si="111"/>
        <v>42.325934851616502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5.1063034188034209</v>
      </c>
      <c r="AI144" s="13">
        <f>IF('Données projet'!$A$62&gt;35,AI143+AH144-AQ143,IF(A144&lt;'Données projet'!$A$62,$AF$205^A144,IF(A144='Données projet'!$A$62,'Données projet'!$B$62,AI143+AH144-AQ143)))</f>
        <v>262.33547008546969</v>
      </c>
      <c r="AJ144" s="13">
        <f>AI144*VLOOKUP('Données projet'!$B$10,Paramètres!$A$1:$I$89,3,0)*VLOOKUP('Données projet'!$B$10,Paramètres!$A$1:$I$89,5,0)</f>
        <v>237.36113333333296</v>
      </c>
      <c r="AK144" s="13">
        <f t="shared" si="143"/>
        <v>57.871400641465833</v>
      </c>
      <c r="AL144" s="20">
        <f t="shared" si="112"/>
        <v>514.19666333944122</v>
      </c>
      <c r="AM144" s="59">
        <f t="shared" si="113"/>
        <v>807.52999667277459</v>
      </c>
      <c r="AN144" s="59">
        <f ca="1">AVERAGE(OFFSET($AM$3,0,0,'Données projet'!$E$10+1,1))-AVERAGE(OFFSET($H$3,0,0,'Données projet'!$E$10+1,1))</f>
        <v>227.31630731915698</v>
      </c>
      <c r="AO144" s="59">
        <f t="shared" si="144"/>
        <v>143.7533262991908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45.296720193478009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45.296720193478009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66.456000000000259</v>
      </c>
      <c r="D145" s="11">
        <f t="shared" si="140"/>
        <v>18.790713966583677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658.04480956661291</v>
      </c>
      <c r="H145" s="67">
        <f t="shared" si="110"/>
        <v>441.80469349180032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294.94285920643927</v>
      </c>
      <c r="T145" s="59">
        <f t="shared" si="142"/>
        <v>399.89535338426606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27.191501419780344</v>
      </c>
      <c r="AA145" s="21">
        <f>EXP(-LN(2)/25)*AA144+(1-EXP(-LN(2)/25))/(LN(2)/25)*Calculateur!V145*Calculateur!X145*VLOOKUP('Données projet'!$B$9,Paramètres!$A$1:$I$89,3,0)*0.475*44/12</f>
        <v>14.191580020198183</v>
      </c>
      <c r="AB145" s="21">
        <f>EXP(-LN(2)/2)*AB144+(1-EXP(-LN(2)/2))/(LN(2)/2)*V145*Y145*VLOOKUP('Données projet'!$B$9,Paramètres!$A$1:$I$89,3,0)*0.475*44/12</f>
        <v>1.2039908904452616E-16</v>
      </c>
      <c r="AC145" s="22">
        <f t="shared" si="111"/>
        <v>41.383081439978525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5.1063034188034209</v>
      </c>
      <c r="AI145" s="13">
        <f>IF('Données projet'!$A$62&gt;35,AI144+AH145-AQ144,IF(A145&lt;'Données projet'!$A$62,$AF$205^A145,IF(A145='Données projet'!$A$62,'Données projet'!$B$62,AI144+AH145-AQ144)))</f>
        <v>267.4417735042731</v>
      </c>
      <c r="AJ145" s="13">
        <f>AI145*VLOOKUP('Données projet'!$B$10,Paramètres!$A$1:$I$89,3,0)*VLOOKUP('Données projet'!$B$10,Paramètres!$A$1:$I$89,5,0)</f>
        <v>241.98131666666632</v>
      </c>
      <c r="AK145" s="13">
        <f t="shared" si="143"/>
        <v>58.865616222095206</v>
      </c>
      <c r="AL145" s="20">
        <f t="shared" si="112"/>
        <v>523.97507478125954</v>
      </c>
      <c r="AM145" s="59">
        <f t="shared" si="113"/>
        <v>817.30840811459279</v>
      </c>
      <c r="AN145" s="59">
        <f ca="1">AVERAGE(OFFSET($AM$3,0,0,'Données projet'!$E$10+1,1))-AVERAGE(OFFSET($H$3,0,0,'Données projet'!$E$10+1,1))</f>
        <v>227.31630731915698</v>
      </c>
      <c r="AO145" s="59">
        <f t="shared" si="144"/>
        <v>143.7533262991908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44.408479138755162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44.408479138755162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66.924000000000262</v>
      </c>
      <c r="D146" s="11">
        <f t="shared" si="140"/>
        <v>18.90759204786773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662.559657913367</v>
      </c>
      <c r="H146" s="67">
        <f t="shared" si="110"/>
        <v>442.82335615003672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294.94285920643927</v>
      </c>
      <c r="T146" s="59">
        <f t="shared" si="142"/>
        <v>399.89535338426606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26.658292662116668</v>
      </c>
      <c r="AA146" s="21">
        <f>EXP(-LN(2)/25)*AA145+(1-EXP(-LN(2)/25))/(LN(2)/25)*Calculateur!V146*Calculateur!X146*VLOOKUP('Données projet'!$B$9,Paramètres!$A$1:$I$89,3,0)*0.475*44/12</f>
        <v>13.803510518243106</v>
      </c>
      <c r="AB146" s="21">
        <f>EXP(-LN(2)/2)*AB145+(1-EXP(-LN(2)/2))/(LN(2)/2)*V146*Y146*VLOOKUP('Données projet'!$B$9,Paramètres!$A$1:$I$89,3,0)*0.475*44/12</f>
        <v>8.5135012312067411E-17</v>
      </c>
      <c r="AC146" s="22">
        <f t="shared" si="111"/>
        <v>40.461803180359773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5.1063034188034209</v>
      </c>
      <c r="AI146" s="13">
        <f>IF('Données projet'!$A$62&gt;35,AI145+AH146-AQ145,IF(A146&lt;'Données projet'!$A$62,$AF$205^A146,IF(A146='Données projet'!$A$62,'Données projet'!$B$62,AI145+AH146-AQ145)))</f>
        <v>272.54807692307651</v>
      </c>
      <c r="AJ146" s="13">
        <f>AI146*VLOOKUP('Données projet'!$B$10,Paramètres!$A$1:$I$89,3,0)*VLOOKUP('Données projet'!$B$10,Paramètres!$A$1:$I$89,5,0)</f>
        <v>246.60149999999962</v>
      </c>
      <c r="AK146" s="13">
        <f t="shared" si="143"/>
        <v>59.857624528428133</v>
      </c>
      <c r="AL146" s="20">
        <f t="shared" si="112"/>
        <v>533.74964188701165</v>
      </c>
      <c r="AM146" s="59">
        <f t="shared" si="113"/>
        <v>827.08297522034491</v>
      </c>
      <c r="AN146" s="59">
        <f ca="1">AVERAGE(OFFSET($AM$3,0,0,'Données projet'!$E$10+1,1))-AVERAGE(OFFSET($H$3,0,0,'Données projet'!$E$10+1,1))</f>
        <v>227.31630731915698</v>
      </c>
      <c r="AO146" s="59">
        <f t="shared" si="144"/>
        <v>143.7533262991908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43.537655949341875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43.537655949341875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67.392000000000266</v>
      </c>
      <c r="D147" s="11">
        <f t="shared" si="140"/>
        <v>19.024375029918055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667.07377216077305</v>
      </c>
      <c r="H147" s="67">
        <f t="shared" si="110"/>
        <v>443.84185317710774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294.94285920643927</v>
      </c>
      <c r="T147" s="59">
        <f t="shared" si="142"/>
        <v>399.89535338426606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26.135539802965546</v>
      </c>
      <c r="AA147" s="21">
        <f>EXP(-LN(2)/25)*AA146+(1-EXP(-LN(2)/25))/(LN(2)/25)*Calculateur!V147*Calculateur!X147*VLOOKUP('Données projet'!$B$9,Paramètres!$A$1:$I$89,3,0)*0.475*44/12</f>
        <v>13.42605279722668</v>
      </c>
      <c r="AB147" s="21">
        <f>EXP(-LN(2)/2)*AB146+(1-EXP(-LN(2)/2))/(LN(2)/2)*V147*Y147*VLOOKUP('Données projet'!$B$9,Paramètres!$A$1:$I$89,3,0)*0.475*44/12</f>
        <v>6.019954452226308E-17</v>
      </c>
      <c r="AC147" s="22">
        <f t="shared" si="111"/>
        <v>39.561592600192228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5.1063034188034209</v>
      </c>
      <c r="AI147" s="13">
        <f>IF('Données projet'!$A$62&gt;35,AI146+AH147-AQ146,IF(A147&lt;'Données projet'!$A$62,$AF$205^A147,IF(A147='Données projet'!$A$62,'Données projet'!$B$62,AI146+AH147-AQ146)))</f>
        <v>277.65438034187991</v>
      </c>
      <c r="AJ147" s="13">
        <f>AI147*VLOOKUP('Données projet'!$B$10,Paramètres!$A$1:$I$89,3,0)*VLOOKUP('Données projet'!$B$10,Paramètres!$A$1:$I$89,5,0)</f>
        <v>251.22168333333292</v>
      </c>
      <c r="AK147" s="13">
        <f t="shared" si="143"/>
        <v>60.847471683449903</v>
      </c>
      <c r="AL147" s="20">
        <f t="shared" si="112"/>
        <v>543.52044498756334</v>
      </c>
      <c r="AM147" s="59">
        <f t="shared" si="113"/>
        <v>836.85377832089671</v>
      </c>
      <c r="AN147" s="59">
        <f ca="1">AVERAGE(OFFSET($AM$3,0,0,'Données projet'!$E$10+1,1))-AVERAGE(OFFSET($H$3,0,0,'Données projet'!$E$10+1,1))</f>
        <v>227.31630731915698</v>
      </c>
      <c r="AO147" s="59">
        <f t="shared" si="144"/>
        <v>143.7533262991908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42.683909071523289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42.683909071523289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67.860000000000269</v>
      </c>
      <c r="D148" s="11">
        <f t="shared" si="140"/>
        <v>19.141063649731827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671.58715799793197</v>
      </c>
      <c r="H148" s="67">
        <f t="shared" si="110"/>
        <v>444.86018585661668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294.94285920643927</v>
      </c>
      <c r="T148" s="59">
        <f t="shared" si="142"/>
        <v>399.89535338426606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25.623037808534619</v>
      </c>
      <c r="AA148" s="21">
        <f>EXP(-LN(2)/25)*AA147+(1-EXP(-LN(2)/25))/(LN(2)/25)*Calculateur!V148*Calculateur!X148*VLOOKUP('Données projet'!$B$9,Paramètres!$A$1:$I$89,3,0)*0.475*44/12</f>
        <v>13.058916677441085</v>
      </c>
      <c r="AB148" s="21">
        <f>EXP(-LN(2)/2)*AB147+(1-EXP(-LN(2)/2))/(LN(2)/2)*V148*Y148*VLOOKUP('Données projet'!$B$9,Paramètres!$A$1:$I$89,3,0)*0.475*44/12</f>
        <v>4.2567506156033705E-17</v>
      </c>
      <c r="AC148" s="22">
        <f t="shared" si="111"/>
        <v>38.681954485975702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5.1063034188034209</v>
      </c>
      <c r="AI148" s="13">
        <f>IF('Données projet'!$A$62&gt;35,AI147+AH148-AQ147,IF(A148&lt;'Données projet'!$A$62,$AF$205^A148,IF(A148='Données projet'!$A$62,'Données projet'!$B$62,AI147+AH148-AQ147)))</f>
        <v>282.76068376068332</v>
      </c>
      <c r="AJ148" s="13">
        <f>AI148*VLOOKUP('Données projet'!$B$10,Paramètres!$A$1:$I$89,3,0)*VLOOKUP('Données projet'!$B$10,Paramètres!$A$1:$I$89,5,0)</f>
        <v>255.84186666666628</v>
      </c>
      <c r="AK148" s="13">
        <f t="shared" si="143"/>
        <v>61.83520201654526</v>
      </c>
      <c r="AL148" s="20">
        <f t="shared" si="112"/>
        <v>553.28756128992666</v>
      </c>
      <c r="AM148" s="59">
        <f t="shared" si="113"/>
        <v>846.62089462326003</v>
      </c>
      <c r="AN148" s="59">
        <f ca="1">AVERAGE(OFFSET($AM$3,0,0,'Données projet'!$E$10+1,1))-AVERAGE(OFFSET($H$3,0,0,'Données projet'!$E$10+1,1))</f>
        <v>227.31630731915698</v>
      </c>
      <c r="AO148" s="59">
        <f t="shared" si="144"/>
        <v>143.7533262991908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41.846903649244545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41.846903649244545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68.328000000000273</v>
      </c>
      <c r="D149" s="11">
        <f t="shared" si="140"/>
        <v>19.257658633553223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676.09982103093932</v>
      </c>
      <c r="H149" s="67">
        <f t="shared" si="110"/>
        <v>445.87835545343899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294.94285920643927</v>
      </c>
      <c r="T149" s="59">
        <f t="shared" si="142"/>
        <v>399.89535338426606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25.120585665619132</v>
      </c>
      <c r="AA149" s="21">
        <f>EXP(-LN(2)/25)*AA148+(1-EXP(-LN(2)/25))/(LN(2)/25)*Calculateur!V149*Calculateur!X149*VLOOKUP('Données projet'!$B$9,Paramètres!$A$1:$I$89,3,0)*0.475*44/12</f>
        <v>12.701819914157877</v>
      </c>
      <c r="AB149" s="21">
        <f>EXP(-LN(2)/2)*AB148+(1-EXP(-LN(2)/2))/(LN(2)/2)*V149*Y149*VLOOKUP('Données projet'!$B$9,Paramètres!$A$1:$I$89,3,0)*0.475*44/12</f>
        <v>3.009977226113154E-17</v>
      </c>
      <c r="AC149" s="22">
        <f t="shared" si="111"/>
        <v>37.822405579777012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5.1063034188034209</v>
      </c>
      <c r="AI149" s="13">
        <f>IF('Données projet'!$A$62&gt;35,AI148+AH149-AQ148,IF(A149&lt;'Données projet'!$A$62,$AF$205^A149,IF(A149='Données projet'!$A$62,'Données projet'!$B$62,AI148+AH149-AQ148)))</f>
        <v>287.86698717948673</v>
      </c>
      <c r="AJ149" s="13">
        <f>AI149*VLOOKUP('Données projet'!$B$10,Paramètres!$A$1:$I$89,3,0)*VLOOKUP('Données projet'!$B$10,Paramètres!$A$1:$I$89,5,0)</f>
        <v>260.46204999999958</v>
      </c>
      <c r="AK149" s="13">
        <f t="shared" si="143"/>
        <v>62.820858164354384</v>
      </c>
      <c r="AL149" s="20">
        <f t="shared" si="112"/>
        <v>563.05106505291644</v>
      </c>
      <c r="AM149" s="59">
        <f t="shared" si="113"/>
        <v>856.38439838624981</v>
      </c>
      <c r="AN149" s="59">
        <f ca="1">AVERAGE(OFFSET($AM$3,0,0,'Données projet'!$E$10+1,1))-AVERAGE(OFFSET($H$3,0,0,'Données projet'!$E$10+1,1))</f>
        <v>227.31630731915698</v>
      </c>
      <c r="AO149" s="59">
        <f t="shared" si="144"/>
        <v>143.7533262991908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41.026311392773792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41.026311392773792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68.796000000000276</v>
      </c>
      <c r="D150" s="11">
        <f t="shared" si="140"/>
        <v>19.374160697102795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680.61176678465529</v>
      </c>
      <c r="H150" s="67">
        <f t="shared" si="110"/>
        <v>446.89636321412115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294.94285920643927</v>
      </c>
      <c r="T150" s="59">
        <f t="shared" si="142"/>
        <v>399.89535338426606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24.627986302760672</v>
      </c>
      <c r="AA150" s="21">
        <f>EXP(-LN(2)/25)*AA149+(1-EXP(-LN(2)/25))/(LN(2)/25)*Calculateur!V150*Calculateur!X150*VLOOKUP('Données projet'!$B$9,Paramètres!$A$1:$I$89,3,0)*0.475*44/12</f>
        <v>12.354487980645551</v>
      </c>
      <c r="AB150" s="21">
        <f>EXP(-LN(2)/2)*AB149+(1-EXP(-LN(2)/2))/(LN(2)/2)*V150*Y150*VLOOKUP('Données projet'!$B$9,Paramètres!$A$1:$I$89,3,0)*0.475*44/12</f>
        <v>2.1283753078016853E-17</v>
      </c>
      <c r="AC150" s="22">
        <f t="shared" si="111"/>
        <v>36.982474283406219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5.1063034188034209</v>
      </c>
      <c r="AI150" s="13">
        <f>IF('Données projet'!$A$62&gt;35,AI149+AH150-AQ149,IF(A150&lt;'Données projet'!$A$62,$AF$205^A150,IF(A150='Données projet'!$A$62,'Données projet'!$B$62,AI149+AH150-AQ149)))</f>
        <v>292.97329059829013</v>
      </c>
      <c r="AJ150" s="13">
        <f>AI150*VLOOKUP('Données projet'!$B$10,Paramètres!$A$1:$I$89,3,0)*VLOOKUP('Données projet'!$B$10,Paramètres!$A$1:$I$89,5,0)</f>
        <v>265.08223333333291</v>
      </c>
      <c r="AK150" s="13">
        <f t="shared" si="143"/>
        <v>63.804481164271408</v>
      </c>
      <c r="AL150" s="20">
        <f t="shared" si="112"/>
        <v>572.8110277499942</v>
      </c>
      <c r="AM150" s="59">
        <f t="shared" si="113"/>
        <v>866.14436108332757</v>
      </c>
      <c r="AN150" s="59">
        <f ca="1">AVERAGE(OFFSET($AM$3,0,0,'Données projet'!$E$10+1,1))-AVERAGE(OFFSET($H$3,0,0,'Données projet'!$E$10+1,1))</f>
        <v>227.31630731915698</v>
      </c>
      <c r="AO150" s="59">
        <f t="shared" si="144"/>
        <v>143.7533262991908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40.221810449940577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40.221810449940577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69.26400000000028</v>
      </c>
      <c r="D151" s="11">
        <f t="shared" si="140"/>
        <v>19.490570545800512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685.12300070442723</v>
      </c>
      <c r="H151" s="67">
        <f t="shared" si="110"/>
        <v>447.91421036726967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294.94285920643927</v>
      </c>
      <c r="T151" s="59">
        <f t="shared" si="142"/>
        <v>399.89535338426606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24.145046512951922</v>
      </c>
      <c r="AA151" s="21">
        <f>EXP(-LN(2)/25)*AA150+(1-EXP(-LN(2)/25))/(LN(2)/25)*Calculateur!V151*Calculateur!X151*VLOOKUP('Données projet'!$B$9,Paramètres!$A$1:$I$89,3,0)*0.475*44/12</f>
        <v>12.016653857120513</v>
      </c>
      <c r="AB151" s="21">
        <f>EXP(-LN(2)/2)*AB150+(1-EXP(-LN(2)/2))/(LN(2)/2)*V151*Y151*VLOOKUP('Données projet'!$B$9,Paramètres!$A$1:$I$89,3,0)*0.475*44/12</f>
        <v>1.504988613056577E-17</v>
      </c>
      <c r="AC151" s="22">
        <f t="shared" si="111"/>
        <v>36.161700370072438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5.1063034188034209</v>
      </c>
      <c r="AI151" s="13">
        <f>IF('Données projet'!$A$62&gt;35,AI150+AH151-AQ150,IF(A151&lt;'Données projet'!$A$62,$AF$205^A151,IF(A151='Données projet'!$A$62,'Données projet'!$B$62,AI150+AH151-AQ150)))</f>
        <v>298.07959401709354</v>
      </c>
      <c r="AJ151" s="13">
        <f>AI151*VLOOKUP('Données projet'!$B$10,Paramètres!$A$1:$I$89,3,0)*VLOOKUP('Données projet'!$B$10,Paramètres!$A$1:$I$89,5,0)</f>
        <v>269.70241666666624</v>
      </c>
      <c r="AK151" s="13">
        <f t="shared" si="143"/>
        <v>64.786110541238813</v>
      </c>
      <c r="AL151" s="20">
        <f t="shared" si="112"/>
        <v>582.56751822043464</v>
      </c>
      <c r="AM151" s="59">
        <f t="shared" si="113"/>
        <v>875.90085155376801</v>
      </c>
      <c r="AN151" s="59">
        <f ca="1">AVERAGE(OFFSET($AM$3,0,0,'Données projet'!$E$10+1,1))-AVERAGE(OFFSET($H$3,0,0,'Données projet'!$E$10+1,1))</f>
        <v>227.31630731915698</v>
      </c>
      <c r="AO151" s="59">
        <f t="shared" si="144"/>
        <v>143.7533262991908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39.433085279899196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39.433085279899196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69.732000000000284</v>
      </c>
      <c r="D152" s="11">
        <f t="shared" si="140"/>
        <v>19.606888874982584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689.63352815776261</v>
      </c>
      <c r="H152" s="67">
        <f t="shared" si="110"/>
        <v>448.93189812392848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294.94285920643927</v>
      </c>
      <c r="T152" s="59">
        <f t="shared" si="142"/>
        <v>399.89535338426606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23.671576877857134</v>
      </c>
      <c r="AA152" s="21">
        <f>EXP(-LN(2)/25)*AA151+(1-EXP(-LN(2)/25))/(LN(2)/25)*Calculateur!V152*Calculateur!X152*VLOOKUP('Données projet'!$B$9,Paramètres!$A$1:$I$89,3,0)*0.475*44/12</f>
        <v>11.68805782546919</v>
      </c>
      <c r="AB152" s="21">
        <f>EXP(-LN(2)/2)*AB151+(1-EXP(-LN(2)/2))/(LN(2)/2)*V152*Y152*VLOOKUP('Données projet'!$B$9,Paramètres!$A$1:$I$89,3,0)*0.475*44/12</f>
        <v>1.0641876539008426E-17</v>
      </c>
      <c r="AC152" s="22">
        <f t="shared" si="111"/>
        <v>35.359634703326321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303.18589743589746</v>
      </c>
      <c r="AG152" s="12">
        <f>VLOOKUP(A152,'Données projet'!$A$61:$I$81,9,0)</f>
        <v>5.1063034188034209</v>
      </c>
      <c r="AH152" s="12">
        <f t="array" ref="AH152">INDEX(AG:AG,MIN(IF(ISNUMBER(AG152:AG348),ROW(AG152:AG348),"")))</f>
        <v>5.1063034188034209</v>
      </c>
      <c r="AI152" s="13">
        <f>IF('Données projet'!$A$62&gt;35,AI151+AH152-AQ151,IF(A152&lt;'Données projet'!$A$62,$AF$205^A152,IF(A152='Données projet'!$A$62,'Données projet'!$B$62,AI151+AH152-AQ151)))</f>
        <v>303.18589743589695</v>
      </c>
      <c r="AJ152" s="13">
        <f>AI152*VLOOKUP('Données projet'!$B$10,Paramètres!$A$1:$I$89,3,0)*VLOOKUP('Données projet'!$B$10,Paramètres!$A$1:$I$89,5,0)</f>
        <v>274.32259999999957</v>
      </c>
      <c r="AK152" s="13">
        <f t="shared" si="143"/>
        <v>65.765784388426695</v>
      </c>
      <c r="AL152" s="20">
        <f t="shared" si="112"/>
        <v>592.3206028098424</v>
      </c>
      <c r="AM152" s="59">
        <f t="shared" si="113"/>
        <v>885.65393614317577</v>
      </c>
      <c r="AN152" s="59">
        <f ca="1">AVERAGE(OFFSET($AM$3,0,0,'Données projet'!$E$10+1,1))-AVERAGE(OFFSET($H$3,0,0,'Données projet'!$E$10+1,1))</f>
        <v>227.31630731915698</v>
      </c>
      <c r="AO152" s="59">
        <f t="shared" si="144"/>
        <v>143.7533262991908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120.50641025641026</v>
      </c>
      <c r="AR152" s="16">
        <f>IF(ISNA(VLOOKUP(A152,'Données projet'!$A$61:$I$81,5,0)),0%,VLOOKUP(A152,'Données projet'!$A$61:$I$81,5,0)*VLOOKUP('Données projet'!$B$10,Paramètres!$A$1:$I$89,7,0))</f>
        <v>0.38700000000000001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85.306514891867181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85.306514891867181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70.200000000000287</v>
      </c>
      <c r="D153" s="11">
        <f t="shared" si="140"/>
        <v>19.723116370112255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694.14335443595644</v>
      </c>
      <c r="H153" s="67">
        <f t="shared" si="110"/>
        <v>449.94942767794601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294.94285920643927</v>
      </c>
      <c r="T153" s="59">
        <f t="shared" si="142"/>
        <v>399.89535338426606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23.207391693518595</v>
      </c>
      <c r="AA153" s="21">
        <f>EXP(-LN(2)/25)*AA152+(1-EXP(-LN(2)/25))/(LN(2)/25)*Calculateur!V153*Calculateur!X153*VLOOKUP('Données projet'!$B$9,Paramètres!$A$1:$I$89,3,0)*0.475*44/12</f>
        <v>11.368447269583488</v>
      </c>
      <c r="AB153" s="21">
        <f>EXP(-LN(2)/2)*AB152+(1-EXP(-LN(2)/2))/(LN(2)/2)*V153*Y153*VLOOKUP('Données projet'!$B$9,Paramètres!$A$1:$I$89,3,0)*0.475*44/12</f>
        <v>7.524943065282885E-18</v>
      </c>
      <c r="AC153" s="22">
        <f t="shared" si="111"/>
        <v>34.575838963102086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3.0945512820512704</v>
      </c>
      <c r="AI153" s="13">
        <f>IF('Données projet'!$A$62&gt;35,AI152+AH153-AQ152,IF(A153&lt;'Données projet'!$A$62,$AF$205^A153,IF(A153='Données projet'!$A$62,'Données projet'!$B$62,AI152+AH153-AQ152)))</f>
        <v>185.77403846153794</v>
      </c>
      <c r="AJ153" s="13">
        <f>AI153*VLOOKUP('Données projet'!$B$10,Paramètres!$A$1:$I$89,3,0)*VLOOKUP('Données projet'!$B$10,Paramètres!$A$1:$I$89,5,0)</f>
        <v>168.08834999999954</v>
      </c>
      <c r="AK153" s="13">
        <f t="shared" si="143"/>
        <v>42.661596193999998</v>
      </c>
      <c r="AL153" s="20">
        <f t="shared" si="112"/>
        <v>367.05615628788252</v>
      </c>
      <c r="AM153" s="59">
        <f t="shared" si="113"/>
        <v>660.38948962121583</v>
      </c>
      <c r="AN153" s="59">
        <f ca="1">AVERAGE(OFFSET($AM$3,0,0,'Données projet'!$E$10+1,1))-AVERAGE(OFFSET($H$3,0,0,'Données projet'!$E$10+1,1))</f>
        <v>227.31630731915698</v>
      </c>
      <c r="AO153" s="59">
        <f t="shared" si="144"/>
        <v>143.7533262991908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83.633706166674031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83.633706166674031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70.668000000000291</v>
      </c>
      <c r="D154" s="11">
        <f t="shared" si="140"/>
        <v>19.839253706984934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698.65248475567535</v>
      </c>
      <c r="H154" s="67">
        <f t="shared" si="110"/>
        <v>450.96680020633255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294.94285920643927</v>
      </c>
      <c r="T154" s="59">
        <f t="shared" si="142"/>
        <v>399.89535338426606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22.752308897519928</v>
      </c>
      <c r="AA154" s="21">
        <f>EXP(-LN(2)/25)*AA153+(1-EXP(-LN(2)/25))/(LN(2)/25)*Calculateur!V154*Calculateur!X154*VLOOKUP('Données projet'!$B$9,Paramètres!$A$1:$I$89,3,0)*0.475*44/12</f>
        <v>11.057576481156069</v>
      </c>
      <c r="AB154" s="21">
        <f>EXP(-LN(2)/2)*AB153+(1-EXP(-LN(2)/2))/(LN(2)/2)*V154*Y154*VLOOKUP('Données projet'!$B$9,Paramètres!$A$1:$I$89,3,0)*0.475*44/12</f>
        <v>5.3209382695042132E-18</v>
      </c>
      <c r="AC154" s="22">
        <f t="shared" ref="AC154:AC203" si="163">SUM(Z154:AB154)</f>
        <v>33.809885378676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3.0945512820512704</v>
      </c>
      <c r="AI154" s="13">
        <f>IF('Données projet'!$A$62&gt;35,AI153+AH154-AQ153,IF(A154&lt;'Données projet'!$A$62,$AF$205^A154,IF(A154='Données projet'!$A$62,'Données projet'!$B$62,AI153+AH154-AQ153)))</f>
        <v>188.86858974358921</v>
      </c>
      <c r="AJ154" s="13">
        <f>AI154*VLOOKUP('Données projet'!$B$10,Paramètres!$A$1:$I$89,3,0)*VLOOKUP('Données projet'!$B$10,Paramètres!$A$1:$I$89,5,0)</f>
        <v>170.8882999999995</v>
      </c>
      <c r="AK154" s="13">
        <f t="shared" ref="AK154:AK203" si="164">EXP(-1.0587+0.8836*LN(AJ154)+0.284)</f>
        <v>43.288912849762468</v>
      </c>
      <c r="AL154" s="20">
        <f t="shared" ref="AL154:AL203" si="165">(AJ154+AK154)*0.475*44/12</f>
        <v>373.02531238000211</v>
      </c>
      <c r="AM154" s="59">
        <f t="shared" si="113"/>
        <v>666.35864571333536</v>
      </c>
      <c r="AN154" s="59">
        <f ca="1">AVERAGE(OFFSET($AM$3,0,0,'Données projet'!$E$10+1,1))-AVERAGE(OFFSET($H$3,0,0,'Données projet'!$E$10+1,1))</f>
        <v>227.31630731915698</v>
      </c>
      <c r="AO154" s="59">
        <f t="shared" si="144"/>
        <v>143.7533262991908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81.993700200269345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81.993700200269345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71.136000000000294</v>
      </c>
      <c r="D155" s="11">
        <f t="shared" si="140"/>
        <v>19.955301551927551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703.16092426049556</v>
      </c>
      <c r="H155" s="67">
        <f t="shared" si="110"/>
        <v>451.98401686960767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294.94285920643927</v>
      </c>
      <c r="T155" s="59">
        <f t="shared" si="142"/>
        <v>399.89535338426606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22.306149997577698</v>
      </c>
      <c r="AA155" s="21">
        <f>EXP(-LN(2)/25)*AA154+(1-EXP(-LN(2)/25))/(LN(2)/25)*Calculateur!V155*Calculateur!X155*VLOOKUP('Données projet'!$B$9,Paramètres!$A$1:$I$89,3,0)*0.475*44/12</f>
        <v>10.755206470786181</v>
      </c>
      <c r="AB155" s="21">
        <f>EXP(-LN(2)/2)*AB154+(1-EXP(-LN(2)/2))/(LN(2)/2)*V155*Y155*VLOOKUP('Données projet'!$B$9,Paramètres!$A$1:$I$89,3,0)*0.475*44/12</f>
        <v>3.7624715326414425E-18</v>
      </c>
      <c r="AC155" s="22">
        <f t="shared" si="163"/>
        <v>33.061356468363883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3.0945512820512704</v>
      </c>
      <c r="AI155" s="13">
        <f>IF('Données projet'!$A$62&gt;35,AI154+AH155-AQ154,IF(A155&lt;'Données projet'!$A$62,$AF$205^A155,IF(A155='Données projet'!$A$62,'Données projet'!$B$62,AI154+AH155-AQ154)))</f>
        <v>191.96314102564048</v>
      </c>
      <c r="AJ155" s="13">
        <f>AI155*VLOOKUP('Données projet'!$B$10,Paramètres!$A$1:$I$89,3,0)*VLOOKUP('Données projet'!$B$10,Paramètres!$A$1:$I$89,5,0)</f>
        <v>173.6882499999995</v>
      </c>
      <c r="AK155" s="13">
        <f t="shared" si="164"/>
        <v>43.915034185437626</v>
      </c>
      <c r="AL155" s="20">
        <f t="shared" si="165"/>
        <v>378.99238662296966</v>
      </c>
      <c r="AM155" s="59">
        <f t="shared" si="113"/>
        <v>672.32571995630292</v>
      </c>
      <c r="AN155" s="59">
        <f ca="1">AVERAGE(OFFSET($AM$3,0,0,'Données projet'!$E$10+1,1))-AVERAGE(OFFSET($H$3,0,0,'Données projet'!$E$10+1,1))</f>
        <v>227.31630731915698</v>
      </c>
      <c r="AO155" s="59">
        <f t="shared" si="144"/>
        <v>143.7533262991908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80.385853750560983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80.385853750560983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71.604000000000298</v>
      </c>
      <c r="D156" s="11">
        <f t="shared" si="140"/>
        <v>20.071260561992666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707.66867802240176</v>
      </c>
      <c r="H156" s="67">
        <f t="shared" si="110"/>
        <v>453.00107881213773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294.94285920643927</v>
      </c>
      <c r="T156" s="59">
        <f t="shared" si="142"/>
        <v>399.89535338426606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21.868740001533276</v>
      </c>
      <c r="AA156" s="21">
        <f>EXP(-LN(2)/25)*AA155+(1-EXP(-LN(2)/25))/(LN(2)/25)*Calculateur!V156*Calculateur!X156*VLOOKUP('Données projet'!$B$9,Paramètres!$A$1:$I$89,3,0)*0.475*44/12</f>
        <v>10.461104784250805</v>
      </c>
      <c r="AB156" s="21">
        <f>EXP(-LN(2)/2)*AB155+(1-EXP(-LN(2)/2))/(LN(2)/2)*V156*Y156*VLOOKUP('Données projet'!$B$9,Paramètres!$A$1:$I$89,3,0)*0.475*44/12</f>
        <v>2.6604691347521066E-18</v>
      </c>
      <c r="AC156" s="22">
        <f t="shared" si="163"/>
        <v>32.329844785784083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195.05769230769226</v>
      </c>
      <c r="AG156" s="12">
        <f>VLOOKUP(A156,'Données projet'!$A$61:$I$81,9,0)</f>
        <v>3.0945512820512704</v>
      </c>
      <c r="AH156" s="12">
        <f t="array" ref="AH156">INDEX(AG:AG,MIN(IF(ISNUMBER(AG156:AG352),ROW(AG156:AG352),"")))</f>
        <v>3.0945512820512704</v>
      </c>
      <c r="AI156" s="13">
        <f>IF('Données projet'!$A$62&gt;35,AI155+AH156-AQ155,IF(A156&lt;'Données projet'!$A$62,$AF$205^A156,IF(A156='Données projet'!$A$62,'Données projet'!$B$62,AI155+AH156-AQ155)))</f>
        <v>195.05769230769175</v>
      </c>
      <c r="AJ156" s="13">
        <f>AI156*VLOOKUP('Données projet'!$B$10,Paramètres!$A$1:$I$89,3,0)*VLOOKUP('Données projet'!$B$10,Paramètres!$A$1:$I$89,5,0)</f>
        <v>176.48819999999949</v>
      </c>
      <c r="AK156" s="13">
        <f t="shared" si="164"/>
        <v>44.539981694883714</v>
      </c>
      <c r="AL156" s="20">
        <f t="shared" si="165"/>
        <v>384.95741645192157</v>
      </c>
      <c r="AM156" s="59">
        <f t="shared" si="113"/>
        <v>678.29074978525489</v>
      </c>
      <c r="AN156" s="59">
        <f ca="1">AVERAGE(OFFSET($AM$3,0,0,'Données projet'!$E$10+1,1))-AVERAGE(OFFSET($H$3,0,0,'Données projet'!$E$10+1,1))</f>
        <v>227.31630731915698</v>
      </c>
      <c r="AO156" s="59">
        <f t="shared" si="144"/>
        <v>143.7533262991908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70.115384615384613</v>
      </c>
      <c r="AR156" s="16">
        <f>IF(ISNA(VLOOKUP(A156,'Données projet'!$A$61:$I$81,5,0)),0%,VLOOKUP(A156,'Données projet'!$A$61:$I$81,5,0)*VLOOKUP('Données projet'!$B$10,Paramètres!$A$1:$I$89,7,0))</f>
        <v>0.38700000000000001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105.95042013547638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105.95042013547638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72.072000000000301</v>
      </c>
      <c r="D157" s="11">
        <f t="shared" si="140"/>
        <v>20.18713138514735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712.17575104324499</v>
      </c>
      <c r="H157" s="67">
        <f t="shared" si="110"/>
        <v>454.01798716246549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294.94285920643927</v>
      </c>
      <c r="T157" s="59">
        <f t="shared" si="142"/>
        <v>399.89535338426606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21.439907348717529</v>
      </c>
      <c r="AA157" s="21">
        <f>EXP(-LN(2)/25)*AA156+(1-EXP(-LN(2)/25))/(LN(2)/25)*Calculateur!V157*Calculateur!X157*VLOOKUP('Données projet'!$B$9,Paramètres!$A$1:$I$89,3,0)*0.475*44/12</f>
        <v>10.175045323799875</v>
      </c>
      <c r="AB157" s="21">
        <f>EXP(-LN(2)/2)*AB156+(1-EXP(-LN(2)/2))/(LN(2)/2)*V157*Y157*VLOOKUP('Données projet'!$B$9,Paramètres!$A$1:$I$89,3,0)*0.475*44/12</f>
        <v>1.8812357663207212E-18</v>
      </c>
      <c r="AC157" s="22">
        <f t="shared" si="163"/>
        <v>31.614952672517404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1.8717948717948829</v>
      </c>
      <c r="AI157" s="13">
        <f>IF('Données projet'!$A$62&gt;35,AI156+AH157-AQ156,IF(A157&lt;'Données projet'!$A$62,$AF$205^A157,IF(A157='Données projet'!$A$62,'Données projet'!$B$62,AI156+AH157-AQ156)))</f>
        <v>126.81410256410203</v>
      </c>
      <c r="AJ157" s="13">
        <f>AI157*VLOOKUP('Données projet'!$B$10,Paramètres!$A$1:$I$89,3,0)*VLOOKUP('Données projet'!$B$10,Paramètres!$A$1:$I$89,5,0)</f>
        <v>114.74139999999952</v>
      </c>
      <c r="AK157" s="13">
        <f t="shared" si="164"/>
        <v>30.445336927793726</v>
      </c>
      <c r="AL157" s="20">
        <f t="shared" si="165"/>
        <v>252.86690014923991</v>
      </c>
      <c r="AM157" s="59">
        <f t="shared" si="113"/>
        <v>546.20023348257325</v>
      </c>
      <c r="AN157" s="59">
        <f ca="1">AVERAGE(OFFSET($AM$3,0,0,'Données projet'!$E$10+1,1))-AVERAGE(OFFSET($H$3,0,0,'Données projet'!$E$10+1,1))</f>
        <v>227.31630731915698</v>
      </c>
      <c r="AO157" s="59">
        <f t="shared" si="144"/>
        <v>143.7533262991908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103.87279701999493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103.87279701999493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72.540000000000305</v>
      </c>
      <c r="D158" s="11">
        <f t="shared" si="140"/>
        <v>20.302914660456867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716.68214825616053</v>
      </c>
      <c r="H158" s="67">
        <f t="shared" si="110"/>
        <v>455.03474303362952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294.94285920643927</v>
      </c>
      <c r="T158" s="59">
        <f t="shared" si="142"/>
        <v>399.89535338426606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21.019483842661408</v>
      </c>
      <c r="AA158" s="21">
        <f>EXP(-LN(2)/25)*AA157+(1-EXP(-LN(2)/25))/(LN(2)/25)*Calculateur!V158*Calculateur!X158*VLOOKUP('Données projet'!$B$9,Paramètres!$A$1:$I$89,3,0)*0.475*44/12</f>
        <v>9.8968081743381884</v>
      </c>
      <c r="AB158" s="21">
        <f>EXP(-LN(2)/2)*AB157+(1-EXP(-LN(2)/2))/(LN(2)/2)*V158*Y158*VLOOKUP('Données projet'!$B$9,Paramètres!$A$1:$I$89,3,0)*0.475*44/12</f>
        <v>1.3302345673760533E-18</v>
      </c>
      <c r="AC158" s="22">
        <f t="shared" si="163"/>
        <v>30.916292016999599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1.8717948717948829</v>
      </c>
      <c r="AI158" s="13">
        <f>IF('Données projet'!$A$62&gt;35,AI157+AH158-AQ157,IF(A158&lt;'Données projet'!$A$62,$AF$205^A158,IF(A158='Données projet'!$A$62,'Données projet'!$B$62,AI157+AH158-AQ157)))</f>
        <v>128.68589743589692</v>
      </c>
      <c r="AJ158" s="13">
        <f>AI158*VLOOKUP('Données projet'!$B$10,Paramètres!$A$1:$I$89,3,0)*VLOOKUP('Données projet'!$B$10,Paramètres!$A$1:$I$89,5,0)</f>
        <v>116.43499999999953</v>
      </c>
      <c r="AK158" s="13">
        <f t="shared" si="164"/>
        <v>30.842067793939304</v>
      </c>
      <c r="AL158" s="20">
        <f t="shared" si="165"/>
        <v>256.50755974111013</v>
      </c>
      <c r="AM158" s="59">
        <f t="shared" si="113"/>
        <v>549.84089307444344</v>
      </c>
      <c r="AN158" s="59">
        <f ca="1">AVERAGE(OFFSET($AM$3,0,0,'Données projet'!$E$10+1,1))-AVERAGE(OFFSET($H$3,0,0,'Données projet'!$E$10+1,1))</f>
        <v>227.31630731915698</v>
      </c>
      <c r="AO158" s="59">
        <f t="shared" si="144"/>
        <v>143.7533262991908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101.83591482658312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101.83591482658312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73.008000000000308</v>
      </c>
      <c r="D159" s="11">
        <f t="shared" si="140"/>
        <v>20.418611018263718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721.1878745269504</v>
      </c>
      <c r="H159" s="67">
        <f t="shared" si="110"/>
        <v>456.05134752347647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294.94285920643927</v>
      </c>
      <c r="T159" s="59">
        <f t="shared" si="142"/>
        <v>399.89535338426606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20.60730458512603</v>
      </c>
      <c r="AA159" s="21">
        <f>EXP(-LN(2)/25)*AA158+(1-EXP(-LN(2)/25))/(LN(2)/25)*Calculateur!V159*Calculateur!X159*VLOOKUP('Données projet'!$B$9,Paramètres!$A$1:$I$89,3,0)*0.475*44/12</f>
        <v>9.6261794343603881</v>
      </c>
      <c r="AB159" s="21">
        <f>EXP(-LN(2)/2)*AB158+(1-EXP(-LN(2)/2))/(LN(2)/2)*V159*Y159*VLOOKUP('Données projet'!$B$9,Paramètres!$A$1:$I$89,3,0)*0.475*44/12</f>
        <v>9.4061788316036062E-19</v>
      </c>
      <c r="AC159" s="22">
        <f t="shared" si="163"/>
        <v>30.233484019486419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1.8717948717948829</v>
      </c>
      <c r="AI159" s="13">
        <f>IF('Données projet'!$A$62&gt;35,AI158+AH159-AQ158,IF(A159&lt;'Données projet'!$A$62,$AF$205^A159,IF(A159='Données projet'!$A$62,'Données projet'!$B$62,AI158+AH159-AQ158)))</f>
        <v>130.55769230769181</v>
      </c>
      <c r="AJ159" s="13">
        <f>AI159*VLOOKUP('Données projet'!$B$10,Paramètres!$A$1:$I$89,3,0)*VLOOKUP('Données projet'!$B$10,Paramètres!$A$1:$I$89,5,0)</f>
        <v>118.12859999999955</v>
      </c>
      <c r="AK159" s="13">
        <f t="shared" si="164"/>
        <v>31.238127501943364</v>
      </c>
      <c r="AL159" s="20">
        <f t="shared" si="165"/>
        <v>260.14705039921722</v>
      </c>
      <c r="AM159" s="59">
        <f t="shared" si="113"/>
        <v>553.48038373255054</v>
      </c>
      <c r="AN159" s="59">
        <f ca="1">AVERAGE(OFFSET($AM$3,0,0,'Données projet'!$E$10+1,1))-AVERAGE(OFFSET($H$3,0,0,'Données projet'!$E$10+1,1))</f>
        <v>227.31630731915698</v>
      </c>
      <c r="AO159" s="59">
        <f t="shared" si="144"/>
        <v>143.7533262991908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99.838974650608648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99.838974650608648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73.476000000000312</v>
      </c>
      <c r="D160" s="11">
        <f t="shared" si="140"/>
        <v>20.534221080361753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725.69293465542648</v>
      </c>
      <c r="H160" s="67">
        <f t="shared" si="110"/>
        <v>457.06780171496393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294.94285920643927</v>
      </c>
      <c r="T160" s="59">
        <f t="shared" si="142"/>
        <v>399.89535338426606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20.2032079114264</v>
      </c>
      <c r="AA160" s="21">
        <f>EXP(-LN(2)/25)*AA159+(1-EXP(-LN(2)/25))/(LN(2)/25)*Calculateur!V160*Calculateur!X160*VLOOKUP('Données projet'!$B$9,Paramètres!$A$1:$I$89,3,0)*0.475*44/12</f>
        <v>9.3629510515090271</v>
      </c>
      <c r="AB160" s="21">
        <f>EXP(-LN(2)/2)*AB159+(1-EXP(-LN(2)/2))/(LN(2)/2)*V160*Y160*VLOOKUP('Données projet'!$B$9,Paramètres!$A$1:$I$89,3,0)*0.475*44/12</f>
        <v>6.6511728368802664E-19</v>
      </c>
      <c r="AC160" s="22">
        <f t="shared" si="163"/>
        <v>29.566158962935425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132.42948717948718</v>
      </c>
      <c r="AG160" s="12">
        <f>VLOOKUP(A160,'Données projet'!$A$61:$I$81,9,0)</f>
        <v>1.8717948717948829</v>
      </c>
      <c r="AH160" s="12">
        <f t="array" ref="AH160">INDEX(AG:AG,MIN(IF(ISNUMBER(AG160:AG356),ROW(AG160:AG356),"")))</f>
        <v>1.8717948717948829</v>
      </c>
      <c r="AI160" s="13">
        <f>IF('Données projet'!$A$62&gt;35,AI159+AH160-AQ159,IF(A160&lt;'Données projet'!$A$62,$AF$205^A160,IF(A160='Données projet'!$A$62,'Données projet'!$B$62,AI159+AH160-AQ159)))</f>
        <v>132.4294871794867</v>
      </c>
      <c r="AJ160" s="13">
        <f>AI160*VLOOKUP('Données projet'!$B$10,Paramètres!$A$1:$I$89,3,0)*VLOOKUP('Données projet'!$B$10,Paramètres!$A$1:$I$89,5,0)</f>
        <v>119.82219999999955</v>
      </c>
      <c r="AK160" s="13">
        <f t="shared" si="164"/>
        <v>31.633526785966875</v>
      </c>
      <c r="AL160" s="20">
        <f t="shared" si="165"/>
        <v>263.78539081889153</v>
      </c>
      <c r="AM160" s="59">
        <f t="shared" si="113"/>
        <v>557.11872415222479</v>
      </c>
      <c r="AN160" s="59">
        <f ca="1">AVERAGE(OFFSET($AM$3,0,0,'Données projet'!$E$10+1,1))-AVERAGE(OFFSET($H$3,0,0,'Données projet'!$E$10+1,1))</f>
        <v>227.31630731915698</v>
      </c>
      <c r="AO160" s="59">
        <f t="shared" si="144"/>
        <v>143.7533262991908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45.71153846153846</v>
      </c>
      <c r="AR160" s="16">
        <f>IF(ISNA(VLOOKUP(A160,'Données projet'!$A$61:$I$81,5,0)),0%,VLOOKUP(A160,'Données projet'!$A$61:$I$81,5,0)*VLOOKUP('Données projet'!$B$10,Paramètres!$A$1:$I$89,7,0))</f>
        <v>0.38700000000000001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115.57562033539027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115.57562033539027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73.944000000000315</v>
      </c>
      <c r="D161" s="11">
        <f t="shared" si="140"/>
        <v>20.649745460165789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730.19733337672085</v>
      </c>
      <c r="H161" s="67">
        <f t="shared" si="110"/>
        <v>458.08410667645592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294.94285920643927</v>
      </c>
      <c r="T161" s="59">
        <f t="shared" si="142"/>
        <v>399.89535338426606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19.807035327023385</v>
      </c>
      <c r="AA161" s="21">
        <f>EXP(-LN(2)/25)*AA160+(1-EXP(-LN(2)/25))/(LN(2)/25)*Calculateur!V161*Calculateur!X161*VLOOKUP('Données projet'!$B$9,Paramètres!$A$1:$I$89,3,0)*0.475*44/12</f>
        <v>9.1069206626293155</v>
      </c>
      <c r="AB161" s="21">
        <f>EXP(-LN(2)/2)*AB160+(1-EXP(-LN(2)/2))/(LN(2)/2)*V161*Y161*VLOOKUP('Données projet'!$B$9,Paramètres!$A$1:$I$89,3,0)*0.475*44/12</f>
        <v>4.7030894158018031E-19</v>
      </c>
      <c r="AC161" s="22">
        <f t="shared" si="163"/>
        <v>28.913955989652699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1.1618589743589709</v>
      </c>
      <c r="AI161" s="13">
        <f>IF('Données projet'!$A$62&gt;35,AI160+AH161-AQ160,IF(A161&lt;'Données projet'!$A$62,$AF$205^A161,IF(A161='Données projet'!$A$62,'Données projet'!$B$62,AI160+AH161-AQ160)))</f>
        <v>87.879807692307224</v>
      </c>
      <c r="AJ161" s="13">
        <f>AI161*VLOOKUP('Données projet'!$B$10,Paramètres!$A$1:$I$89,3,0)*VLOOKUP('Données projet'!$B$10,Paramètres!$A$1:$I$89,5,0)</f>
        <v>79.513649999999572</v>
      </c>
      <c r="AK161" s="13">
        <f t="shared" si="164"/>
        <v>22.018226855281608</v>
      </c>
      <c r="AL161" s="20">
        <f t="shared" si="165"/>
        <v>176.83468552294804</v>
      </c>
      <c r="AM161" s="59">
        <f t="shared" si="113"/>
        <v>470.16801885628138</v>
      </c>
      <c r="AN161" s="59">
        <f ca="1">AVERAGE(OFFSET($AM$3,0,0,'Données projet'!$E$10+1,1))-AVERAGE(OFFSET($H$3,0,0,'Données projet'!$E$10+1,1))</f>
        <v>227.31630731915698</v>
      </c>
      <c r="AO161" s="59">
        <f t="shared" si="144"/>
        <v>143.7533262991908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113.30925291478096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113.30925291478096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74.412000000000319</v>
      </c>
      <c r="D162" s="11">
        <f t="shared" si="140"/>
        <v>20.765184762876906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734.70107536256103</v>
      </c>
      <c r="H162" s="67">
        <f t="shared" si="110"/>
        <v>459.10026346201118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294.94285920643927</v>
      </c>
      <c r="T162" s="59">
        <f t="shared" si="142"/>
        <v>399.89535338426606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19.418631445359097</v>
      </c>
      <c r="AA162" s="21">
        <f>EXP(-LN(2)/25)*AA161+(1-EXP(-LN(2)/25))/(LN(2)/25)*Calculateur!V162*Calculateur!X162*VLOOKUP('Données projet'!$B$9,Paramètres!$A$1:$I$89,3,0)*0.475*44/12</f>
        <v>8.8578914381975729</v>
      </c>
      <c r="AB162" s="21">
        <f>EXP(-LN(2)/2)*AB161+(1-EXP(-LN(2)/2))/(LN(2)/2)*V162*Y162*VLOOKUP('Données projet'!$B$9,Paramètres!$A$1:$I$89,3,0)*0.475*44/12</f>
        <v>3.3255864184401332E-19</v>
      </c>
      <c r="AC162" s="22">
        <f t="shared" si="163"/>
        <v>28.27652288355667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1.1618589743589709</v>
      </c>
      <c r="AI162" s="13">
        <f>IF('Données projet'!$A$62&gt;35,AI161+AH162-AQ161,IF(A162&lt;'Données projet'!$A$62,$AF$205^A162,IF(A162='Données projet'!$A$62,'Données projet'!$B$62,AI161+AH162-AQ161)))</f>
        <v>89.041666666666202</v>
      </c>
      <c r="AJ162" s="13">
        <f>AI162*VLOOKUP('Données projet'!$B$10,Paramètres!$A$1:$I$89,3,0)*VLOOKUP('Données projet'!$B$10,Paramètres!$A$1:$I$89,5,0)</f>
        <v>80.564899999999582</v>
      </c>
      <c r="AK162" s="13">
        <f t="shared" si="164"/>
        <v>22.275248501153126</v>
      </c>
      <c r="AL162" s="20">
        <f t="shared" si="165"/>
        <v>179.11325863950762</v>
      </c>
      <c r="AM162" s="59">
        <f t="shared" si="113"/>
        <v>472.44659197284091</v>
      </c>
      <c r="AN162" s="59">
        <f ca="1">AVERAGE(OFFSET($AM$3,0,0,'Données projet'!$E$10+1,1))-AVERAGE(OFFSET($H$3,0,0,'Données projet'!$E$10+1,1))</f>
        <v>227.31630731915698</v>
      </c>
      <c r="AO162" s="59">
        <f t="shared" si="144"/>
        <v>143.7533262991908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111.08732757694216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111.08732757694216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74.880000000000322</v>
      </c>
      <c r="D163" s="11">
        <f t="shared" si="140"/>
        <v>20.880539585643316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739.20416522251242</v>
      </c>
      <c r="H163" s="67">
        <f t="shared" si="110"/>
        <v>460.11627311166262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294.94285920643927</v>
      </c>
      <c r="T163" s="59">
        <f t="shared" si="142"/>
        <v>399.89535338426606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19.037843926911268</v>
      </c>
      <c r="AA163" s="21">
        <f>EXP(-LN(2)/25)*AA162+(1-EXP(-LN(2)/25))/(LN(2)/25)*Calculateur!V163*Calculateur!X163*VLOOKUP('Données projet'!$B$9,Paramètres!$A$1:$I$89,3,0)*0.475*44/12</f>
        <v>8.6156719310037939</v>
      </c>
      <c r="AB163" s="21">
        <f>EXP(-LN(2)/2)*AB162+(1-EXP(-LN(2)/2))/(LN(2)/2)*V163*Y163*VLOOKUP('Données projet'!$B$9,Paramètres!$A$1:$I$89,3,0)*0.475*44/12</f>
        <v>2.3515447079009016E-19</v>
      </c>
      <c r="AC163" s="22">
        <f t="shared" si="163"/>
        <v>27.65351585791506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1.1618589743589709</v>
      </c>
      <c r="AI163" s="13">
        <f>IF('Données projet'!$A$62&gt;35,AI162+AH163-AQ162,IF(A163&lt;'Données projet'!$A$62,$AF$205^A163,IF(A163='Données projet'!$A$62,'Données projet'!$B$62,AI162+AH163-AQ162)))</f>
        <v>90.20352564102518</v>
      </c>
      <c r="AJ163" s="13">
        <f>AI163*VLOOKUP('Données projet'!$B$10,Paramètres!$A$1:$I$89,3,0)*VLOOKUP('Données projet'!$B$10,Paramètres!$A$1:$I$89,5,0)</f>
        <v>81.616149999999578</v>
      </c>
      <c r="AK163" s="13">
        <f t="shared" si="164"/>
        <v>22.531880055892035</v>
      </c>
      <c r="AL163" s="20">
        <f t="shared" si="165"/>
        <v>181.39115234734456</v>
      </c>
      <c r="AM163" s="59">
        <f t="shared" si="113"/>
        <v>474.72448568067784</v>
      </c>
      <c r="AN163" s="59">
        <f ca="1">AVERAGE(OFFSET($AM$3,0,0,'Données projet'!$E$10+1,1))-AVERAGE(OFFSET($H$3,0,0,'Données projet'!$E$10+1,1))</f>
        <v>227.31630731915698</v>
      </c>
      <c r="AO163" s="59">
        <f t="shared" si="144"/>
        <v>143.7533262991908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108.90897283973774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108.90897283973774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75.348000000000326</v>
      </c>
      <c r="D164" s="11">
        <f t="shared" si="140"/>
        <v>20.995810517717125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743.70660750518743</v>
      </c>
      <c r="H164" s="67">
        <f t="shared" si="110"/>
        <v>461.13213665169121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294.94285920643927</v>
      </c>
      <c r="T164" s="59">
        <f t="shared" si="142"/>
        <v>399.89535338426606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18.664523419442752</v>
      </c>
      <c r="AA164" s="21">
        <f>EXP(-LN(2)/25)*AA163+(1-EXP(-LN(2)/25))/(LN(2)/25)*Calculateur!V164*Calculateur!X164*VLOOKUP('Données projet'!$B$9,Paramètres!$A$1:$I$89,3,0)*0.475*44/12</f>
        <v>8.3800759289719995</v>
      </c>
      <c r="AB164" s="21">
        <f>EXP(-LN(2)/2)*AB163+(1-EXP(-LN(2)/2))/(LN(2)/2)*V164*Y164*VLOOKUP('Données projet'!$B$9,Paramètres!$A$1:$I$89,3,0)*0.475*44/12</f>
        <v>1.6627932092200666E-19</v>
      </c>
      <c r="AC164" s="22">
        <f t="shared" si="163"/>
        <v>27.044599348414749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91.365384615384613</v>
      </c>
      <c r="AG164" s="12">
        <f>VLOOKUP(A164,'Données projet'!$A$61:$I$81,9,0)</f>
        <v>1.1618589743589709</v>
      </c>
      <c r="AH164" s="12">
        <f t="array" ref="AH164">INDEX(AG:AG,MIN(IF(ISNUMBER(AG164:AG360),ROW(AG164:AG360),"")))</f>
        <v>1.1618589743589709</v>
      </c>
      <c r="AI164" s="13">
        <f>IF('Données projet'!$A$62&gt;35,AI163+AH164-AQ163,IF(A164&lt;'Données projet'!$A$62,$AF$205^A164,IF(A164='Données projet'!$A$62,'Données projet'!$B$62,AI163+AH164-AQ163)))</f>
        <v>91.365384615384158</v>
      </c>
      <c r="AJ164" s="13">
        <f>AI164*VLOOKUP('Données projet'!$B$10,Paramètres!$A$1:$I$89,3,0)*VLOOKUP('Données projet'!$B$10,Paramètres!$A$1:$I$89,5,0)</f>
        <v>82.667399999999589</v>
      </c>
      <c r="AK164" s="13">
        <f t="shared" si="164"/>
        <v>22.788127124999455</v>
      </c>
      <c r="AL164" s="20">
        <f t="shared" si="165"/>
        <v>183.66837640937331</v>
      </c>
      <c r="AM164" s="59">
        <f t="shared" si="113"/>
        <v>477.00170974270662</v>
      </c>
      <c r="AN164" s="59">
        <f ca="1">AVERAGE(OFFSET($AM$3,0,0,'Données projet'!$E$10+1,1))-AVERAGE(OFFSET($H$3,0,0,'Données projet'!$E$10+1,1))</f>
        <v>227.31630731915698</v>
      </c>
      <c r="AO164" s="59">
        <f t="shared" si="144"/>
        <v>143.7533262991908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91.365384615384613</v>
      </c>
      <c r="AR164" s="16">
        <f>IF(ISNA(VLOOKUP(A164,'Données projet'!$A$61:$I$81,5,0)),0%,VLOOKUP(A164,'Données projet'!$A$61:$I$81,5,0)*VLOOKUP('Données projet'!$B$10,Paramètres!$A$1:$I$89,7,0))</f>
        <v>0.38700000000000001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142.13985642477655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142.13985642477655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75.816000000000329</v>
      </c>
      <c r="D165" s="11">
        <f t="shared" si="140"/>
        <v>21.11099814060724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748.20840669942697</v>
      </c>
      <c r="H165" s="67">
        <f t="shared" si="110"/>
        <v>462.1478550948915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294.94285920643927</v>
      </c>
      <c r="T165" s="59">
        <f t="shared" si="142"/>
        <v>399.89535338426606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18.298523499422664</v>
      </c>
      <c r="AA165" s="21">
        <f>EXP(-LN(2)/25)*AA164+(1-EXP(-LN(2)/25))/(LN(2)/25)*Calculateur!V165*Calculateur!X165*VLOOKUP('Données projet'!$B$9,Paramètres!$A$1:$I$89,3,0)*0.475*44/12</f>
        <v>8.1509223120052194</v>
      </c>
      <c r="AB165" s="21">
        <f>EXP(-LN(2)/2)*AB164+(1-EXP(-LN(2)/2))/(LN(2)/2)*V165*Y165*VLOOKUP('Données projet'!$B$9,Paramètres!$A$1:$I$89,3,0)*0.475*44/12</f>
        <v>1.1757723539504508E-19</v>
      </c>
      <c r="AC165" s="22">
        <f t="shared" si="163"/>
        <v>26.449445811427886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-4.1145540308207271E-13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227.31630731915698</v>
      </c>
      <c r="AO165" s="59">
        <f t="shared" si="144"/>
        <v>143.7533262991908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139.35258053703851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139.35258053703851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76.284000000000333</v>
      </c>
      <c r="D166" s="11">
        <f t="shared" si="140"/>
        <v>21.226103028228163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752.70956723544816</v>
      </c>
      <c r="H166" s="67">
        <f t="shared" si="110"/>
        <v>463.16342944083124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294.94285920643927</v>
      </c>
      <c r="T166" s="59">
        <f t="shared" si="142"/>
        <v>399.89535338426606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17.939700614596262</v>
      </c>
      <c r="AA166" s="21">
        <f>EXP(-LN(2)/25)*AA165+(1-EXP(-LN(2)/25))/(LN(2)/25)*Calculateur!V166*Calculateur!X166*VLOOKUP('Données projet'!$B$9,Paramètres!$A$1:$I$89,3,0)*0.475*44/12</f>
        <v>7.9280349127450611</v>
      </c>
      <c r="AB166" s="21">
        <f>EXP(-LN(2)/2)*AB165+(1-EXP(-LN(2)/2))/(LN(2)/2)*V166*Y166*VLOOKUP('Données projet'!$B$9,Paramètres!$A$1:$I$89,3,0)*0.475*44/12</f>
        <v>8.3139660461003331E-20</v>
      </c>
      <c r="AC166" s="22">
        <f t="shared" si="163"/>
        <v>25.867735527341324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-4.1145540308207271E-13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227.31630731915698</v>
      </c>
      <c r="AO166" s="59">
        <f t="shared" si="144"/>
        <v>143.7533262991908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136.61996142938858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136.61996142938858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76.752000000000336</v>
      </c>
      <c r="D167" s="11">
        <f t="shared" si="140"/>
        <v>21.341125747045204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757.21009348596579</v>
      </c>
      <c r="H167" s="67">
        <f t="shared" si="110"/>
        <v>464.17886067610431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294.94285920643927</v>
      </c>
      <c r="T167" s="59">
        <f t="shared" si="142"/>
        <v>399.89535338426606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17.587914027680959</v>
      </c>
      <c r="AA167" s="21">
        <f>EXP(-LN(2)/25)*AA166+(1-EXP(-LN(2)/25))/(LN(2)/25)*Calculateur!V167*Calculateur!X167*VLOOKUP('Données projet'!$B$9,Paramètres!$A$1:$I$89,3,0)*0.475*44/12</f>
        <v>7.7112423811388116</v>
      </c>
      <c r="AB167" s="21">
        <f>EXP(-LN(2)/2)*AB166+(1-EXP(-LN(2)/2))/(LN(2)/2)*V167*Y167*VLOOKUP('Données projet'!$B$9,Paramètres!$A$1:$I$89,3,0)*0.475*44/12</f>
        <v>5.8788617697522539E-20</v>
      </c>
      <c r="AC167" s="22">
        <f t="shared" si="163"/>
        <v>25.299156408819769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-4.1145540308207271E-13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227.31630731915698</v>
      </c>
      <c r="AO167" s="59">
        <f t="shared" si="144"/>
        <v>143.7533262991908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133.9409273157066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133.9409273157066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77.22000000000034</v>
      </c>
      <c r="D168" s="11">
        <f t="shared" si="140"/>
        <v>21.456066856215958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761.70998976728379</v>
      </c>
      <c r="H168" s="67">
        <f t="shared" si="110"/>
        <v>465.19414977457666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294.94285920643927</v>
      </c>
      <c r="T168" s="59">
        <f t="shared" si="142"/>
        <v>399.89535338426606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17.243025761166432</v>
      </c>
      <c r="AA168" s="21">
        <f>EXP(-LN(2)/25)*AA167+(1-EXP(-LN(2)/25))/(LN(2)/25)*Calculateur!V168*Calculateur!X168*VLOOKUP('Données projet'!$B$9,Paramètres!$A$1:$I$89,3,0)*0.475*44/12</f>
        <v>7.5003780527099586</v>
      </c>
      <c r="AB168" s="21">
        <f>EXP(-LN(2)/2)*AB167+(1-EXP(-LN(2)/2))/(LN(2)/2)*V168*Y168*VLOOKUP('Données projet'!$B$9,Paramètres!$A$1:$I$89,3,0)*0.475*44/12</f>
        <v>4.1569830230501665E-20</v>
      </c>
      <c r="AC168" s="22">
        <f t="shared" si="163"/>
        <v>24.743403813876391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-4.1145540308207271E-13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227.31630731915698</v>
      </c>
      <c r="AO168" s="59">
        <f t="shared" si="144"/>
        <v>143.7533262991908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131.31442742694446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131.31442742694446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77.688000000000343</v>
      </c>
      <c r="D169" s="11">
        <f t="shared" si="140"/>
        <v>21.570926907728293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766.20926034036154</v>
      </c>
      <c r="H169" s="67">
        <f t="shared" si="110"/>
        <v>466.20929769762733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294.94285920643927</v>
      </c>
      <c r="T169" s="59">
        <f t="shared" si="142"/>
        <v>399.89535338426606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16.904900543197186</v>
      </c>
      <c r="AA169" s="21">
        <f>EXP(-LN(2)/25)*AA168+(1-EXP(-LN(2)/25))/(LN(2)/25)*Calculateur!V169*Calculateur!X169*VLOOKUP('Données projet'!$B$9,Paramètres!$A$1:$I$89,3,0)*0.475*44/12</f>
        <v>7.2952798204308653</v>
      </c>
      <c r="AB169" s="21">
        <f>EXP(-LN(2)/2)*AB168+(1-EXP(-LN(2)/2))/(LN(2)/2)*V169*Y169*VLOOKUP('Données projet'!$B$9,Paramètres!$A$1:$I$89,3,0)*0.475*44/12</f>
        <v>2.9394308848761269E-20</v>
      </c>
      <c r="AC169" s="22">
        <f t="shared" si="163"/>
        <v>24.20018036362805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-4.1145540308207271E-13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227.31630731915698</v>
      </c>
      <c r="AO169" s="59">
        <f t="shared" si="144"/>
        <v>143.7533262991908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128.7394315989942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128.7394315989942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78.156000000000347</v>
      </c>
      <c r="D170" s="11">
        <f t="shared" si="140"/>
        <v>21.685706446534894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770.70790941185112</v>
      </c>
      <c r="H170" s="67">
        <f t="shared" si="110"/>
        <v>467.22430539438216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294.94285920643927</v>
      </c>
      <c r="T170" s="59">
        <f t="shared" si="142"/>
        <v>399.89535338426606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16.573405754516298</v>
      </c>
      <c r="AA170" s="21">
        <f>EXP(-LN(2)/25)*AA169+(1-EXP(-LN(2)/25))/(LN(2)/25)*Calculateur!V170*Calculateur!X170*VLOOKUP('Données projet'!$B$9,Paramètres!$A$1:$I$89,3,0)*0.475*44/12</f>
        <v>7.0957900100990914</v>
      </c>
      <c r="AB170" s="21">
        <f>EXP(-LN(2)/2)*AB169+(1-EXP(-LN(2)/2))/(LN(2)/2)*V170*Y170*VLOOKUP('Données projet'!$B$9,Paramètres!$A$1:$I$89,3,0)*0.475*44/12</f>
        <v>2.0784915115250833E-20</v>
      </c>
      <c r="AC170" s="22">
        <f t="shared" si="163"/>
        <v>23.669195764615388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-4.1145540308207271E-13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227.31630731915698</v>
      </c>
      <c r="AO170" s="59">
        <f t="shared" si="144"/>
        <v>143.7533262991908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126.21492986863767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126.21492986863767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78.62400000000035</v>
      </c>
      <c r="D171" s="11">
        <f t="shared" si="140"/>
        <v>21.800406010684551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775.20594113511152</v>
      </c>
      <c r="H171" s="67">
        <f t="shared" si="110"/>
        <v>468.23917380194285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294.94285920643927</v>
      </c>
      <c r="T171" s="59">
        <f t="shared" si="142"/>
        <v>399.89535338426606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16.248411376449585</v>
      </c>
      <c r="AA171" s="21">
        <f>EXP(-LN(2)/25)*AA170+(1-EXP(-LN(2)/25))/(LN(2)/25)*Calculateur!V171*Calculateur!X171*VLOOKUP('Données projet'!$B$9,Paramètres!$A$1:$I$89,3,0)*0.475*44/12</f>
        <v>6.9017552591215532</v>
      </c>
      <c r="AB171" s="21">
        <f>EXP(-LN(2)/2)*AB170+(1-EXP(-LN(2)/2))/(LN(2)/2)*V171*Y171*VLOOKUP('Données projet'!$B$9,Paramètres!$A$1:$I$89,3,0)*0.475*44/12</f>
        <v>1.4697154424380635E-20</v>
      </c>
      <c r="AC171" s="22">
        <f t="shared" si="163"/>
        <v>23.150166635571139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-4.1145540308207271E-13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227.31630731915698</v>
      </c>
      <c r="AO171" s="59">
        <f t="shared" si="144"/>
        <v>143.7533262991908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123.73993207741941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123.73993207741941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79.092000000000354</v>
      </c>
      <c r="D172" s="11">
        <f t="shared" si="140"/>
        <v>21.915026131450077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779.70335961119633</v>
      </c>
      <c r="H172" s="67">
        <f t="shared" si="110"/>
        <v>469.25390384560944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294.94285920643927</v>
      </c>
      <c r="T172" s="59">
        <f t="shared" si="142"/>
        <v>399.89535338426606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15.929789939909762</v>
      </c>
      <c r="AA172" s="21">
        <f>EXP(-LN(2)/25)*AA171+(1-EXP(-LN(2)/25))/(LN(2)/25)*Calculateur!V172*Calculateur!X172*VLOOKUP('Données projet'!$B$9,Paramètres!$A$1:$I$89,3,0)*0.475*44/12</f>
        <v>6.7130263986133398</v>
      </c>
      <c r="AB172" s="21">
        <f>EXP(-LN(2)/2)*AB171+(1-EXP(-LN(2)/2))/(LN(2)/2)*V172*Y172*VLOOKUP('Données projet'!$B$9,Paramètres!$A$1:$I$89,3,0)*0.475*44/12</f>
        <v>1.0392457557625416E-20</v>
      </c>
      <c r="AC172" s="22">
        <f t="shared" si="163"/>
        <v>22.642816338523101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-4.1145540308207271E-13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227.31630731915698</v>
      </c>
      <c r="AO172" s="59">
        <f t="shared" si="144"/>
        <v>143.7533262991908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121.31346748328735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121.31346748328735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79.560000000000358</v>
      </c>
      <c r="D173" s="11">
        <f t="shared" si="140"/>
        <v>22.0295673334534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784.20016888981854</v>
      </c>
      <c r="H173" s="67">
        <f t="shared" si="110"/>
        <v>470.26849643909861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294.94285920643927</v>
      </c>
      <c r="T173" s="59">
        <f t="shared" si="142"/>
        <v>399.89535338426606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15.617416475400599</v>
      </c>
      <c r="AA173" s="21">
        <f>EXP(-LN(2)/25)*AA172+(1-EXP(-LN(2)/25))/(LN(2)/25)*Calculateur!V173*Calculateur!X173*VLOOKUP('Données projet'!$B$9,Paramètres!$A$1:$I$89,3,0)*0.475*44/12</f>
        <v>6.5294583387205423</v>
      </c>
      <c r="AB173" s="21">
        <f>EXP(-LN(2)/2)*AB172+(1-EXP(-LN(2)/2))/(LN(2)/2)*V173*Y173*VLOOKUP('Données projet'!$B$9,Paramètres!$A$1:$I$89,3,0)*0.475*44/12</f>
        <v>7.3485772121903174E-21</v>
      </c>
      <c r="AC173" s="22">
        <f t="shared" si="163"/>
        <v>22.146874814121141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-4.1145540308207271E-13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227.31630731915698</v>
      </c>
      <c r="AO173" s="59">
        <f t="shared" si="144"/>
        <v>143.7533262991908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118.93458437984896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118.93458437984896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80.028000000000361</v>
      </c>
      <c r="D174" s="11">
        <f t="shared" si="140"/>
        <v>22.144030134787236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788.69637297029021</v>
      </c>
      <c r="H174" s="67">
        <f t="shared" si="110"/>
        <v>471.28295248475501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294.94285920643927</v>
      </c>
      <c r="T174" s="59">
        <f t="shared" si="142"/>
        <v>399.89535338426606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15.31116846400146</v>
      </c>
      <c r="AA174" s="21">
        <f>EXP(-LN(2)/25)*AA173+(1-EXP(-LN(2)/25))/(LN(2)/25)*Calculateur!V174*Calculateur!X174*VLOOKUP('Données projet'!$B$9,Paramètres!$A$1:$I$89,3,0)*0.475*44/12</f>
        <v>6.3509099570789385</v>
      </c>
      <c r="AB174" s="21">
        <f>EXP(-LN(2)/2)*AB173+(1-EXP(-LN(2)/2))/(LN(2)/2)*V174*Y174*VLOOKUP('Données projet'!$B$9,Paramètres!$A$1:$I$89,3,0)*0.475*44/12</f>
        <v>5.1962287788127082E-21</v>
      </c>
      <c r="AC174" s="22">
        <f t="shared" si="163"/>
        <v>21.662078421080398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-4.1145540308207271E-13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227.31630731915698</v>
      </c>
      <c r="AO174" s="59">
        <f t="shared" si="144"/>
        <v>143.7533262991908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116.60234972309357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116.60234972309357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80.496000000000365</v>
      </c>
      <c r="D175" s="11">
        <f t="shared" si="140"/>
        <v>22.258415047134207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793.19197580244236</v>
      </c>
      <c r="H175" s="67">
        <f t="shared" si="110"/>
        <v>472.29727287375937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294.94285920643927</v>
      </c>
      <c r="T175" s="59">
        <f t="shared" si="142"/>
        <v>399.89535338426606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15.010925789313015</v>
      </c>
      <c r="AA175" s="21">
        <f>EXP(-LN(2)/25)*AA174+(1-EXP(-LN(2)/25))/(LN(2)/25)*Calculateur!V175*Calculateur!X175*VLOOKUP('Données projet'!$B$9,Paramètres!$A$1:$I$89,3,0)*0.475*44/12</f>
        <v>6.1772439903227756</v>
      </c>
      <c r="AB175" s="21">
        <f>EXP(-LN(2)/2)*AB174+(1-EXP(-LN(2)/2))/(LN(2)/2)*V175*Y175*VLOOKUP('Données projet'!$B$9,Paramètres!$A$1:$I$89,3,0)*0.475*44/12</f>
        <v>3.6742886060951587E-21</v>
      </c>
      <c r="AC175" s="22">
        <f t="shared" si="163"/>
        <v>21.188169779635793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-4.1145540308207271E-13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227.31630731915698</v>
      </c>
      <c r="AO175" s="59">
        <f t="shared" si="144"/>
        <v>143.7533262991908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114.31584876543448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114.31584876543448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80.964000000000368</v>
      </c>
      <c r="D176" s="11">
        <f t="shared" si="140"/>
        <v>22.372722575882829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797.68698128751942</v>
      </c>
      <c r="H176" s="67">
        <f t="shared" si="110"/>
        <v>473.31145848632991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294.94285920643927</v>
      </c>
      <c r="T176" s="59">
        <f t="shared" si="142"/>
        <v>399.89535338426606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14.716570690345263</v>
      </c>
      <c r="AA176" s="21">
        <f>EXP(-LN(2)/25)*AA175+(1-EXP(-LN(2)/25))/(LN(2)/25)*Calculateur!V176*Calculateur!X176*VLOOKUP('Données projet'!$B$9,Paramètres!$A$1:$I$89,3,0)*0.475*44/12</f>
        <v>6.0083269285602565</v>
      </c>
      <c r="AB176" s="21">
        <f>EXP(-LN(2)/2)*AB175+(1-EXP(-LN(2)/2))/(LN(2)/2)*V176*Y176*VLOOKUP('Données projet'!$B$9,Paramètres!$A$1:$I$89,3,0)*0.475*44/12</f>
        <v>2.5981143894063541E-21</v>
      </c>
      <c r="AC176" s="22">
        <f t="shared" si="163"/>
        <v>20.724897618905519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-4.1145540308207271E-13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227.31630731915698</v>
      </c>
      <c r="AO176" s="59">
        <f t="shared" si="144"/>
        <v>143.7533262991908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112.0741846969272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112.0741846969272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81.432000000000372</v>
      </c>
      <c r="D177" s="11">
        <f t="shared" si="140"/>
        <v>22.486953220240959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802.18139327905601</v>
      </c>
      <c r="H177" s="67">
        <f t="shared" si="110"/>
        <v>474.32551019192033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294.94285920643927</v>
      </c>
      <c r="T177" s="59">
        <f t="shared" si="142"/>
        <v>399.89535338426606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14.427987715329385</v>
      </c>
      <c r="AA177" s="21">
        <f>EXP(-LN(2)/25)*AA176+(1-EXP(-LN(2)/25))/(LN(2)/25)*Calculateur!V177*Calculateur!X177*VLOOKUP('Données projet'!$B$9,Paramètres!$A$1:$I$89,3,0)*0.475*44/12</f>
        <v>5.8440289127345952</v>
      </c>
      <c r="AB177" s="21">
        <f>EXP(-LN(2)/2)*AB176+(1-EXP(-LN(2)/2))/(LN(2)/2)*V177*Y177*VLOOKUP('Données projet'!$B$9,Paramètres!$A$1:$I$89,3,0)*0.475*44/12</f>
        <v>1.8371443030475793E-21</v>
      </c>
      <c r="AC177" s="22">
        <f t="shared" si="163"/>
        <v>20.27201662806398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-4.1145540308207271E-13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227.31630731915698</v>
      </c>
      <c r="AO177" s="59">
        <f t="shared" si="144"/>
        <v>143.7533262991908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109.87647829352329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109.87647829352329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81.900000000000375</v>
      </c>
      <c r="D178" s="11">
        <f t="shared" si="140"/>
        <v>22.601107473346421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806.67521558372971</v>
      </c>
      <c r="H178" s="67">
        <f t="shared" si="110"/>
        <v>475.33942884941229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294.94285920643927</v>
      </c>
      <c r="T178" s="59">
        <f t="shared" si="142"/>
        <v>399.89535338426606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14.145063676435335</v>
      </c>
      <c r="AA178" s="21">
        <f>EXP(-LN(2)/25)*AA177+(1-EXP(-LN(2)/25))/(LN(2)/25)*Calculateur!V178*Calculateur!X178*VLOOKUP('Données projet'!$B$9,Paramètres!$A$1:$I$89,3,0)*0.475*44/12</f>
        <v>5.6842236347917439</v>
      </c>
      <c r="AB178" s="21">
        <f>EXP(-LN(2)/2)*AB177+(1-EXP(-LN(2)/2))/(LN(2)/2)*V178*Y178*VLOOKUP('Données projet'!$B$9,Paramètres!$A$1:$I$89,3,0)*0.475*44/12</f>
        <v>1.299057194703177E-21</v>
      </c>
      <c r="AC178" s="22">
        <f t="shared" si="163"/>
        <v>19.829287311227077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-4.1145540308207271E-13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227.31630731915698</v>
      </c>
      <c r="AO178" s="59">
        <f t="shared" si="144"/>
        <v>143.7533262991908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107.72186757222158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107.72186757222158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82.368000000000379</v>
      </c>
      <c r="D179" s="11">
        <f t="shared" si="140"/>
        <v>22.715185822375016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811.16845196219617</v>
      </c>
      <c r="H179" s="67">
        <f t="shared" si="110"/>
        <v>476.3532153073038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294.94285920643927</v>
      </c>
      <c r="T179" s="59">
        <f t="shared" si="142"/>
        <v>399.89535338426606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13.867687605377371</v>
      </c>
      <c r="AA179" s="21">
        <f>EXP(-LN(2)/25)*AA178+(1-EXP(-LN(2)/25))/(LN(2)/25)*Calculateur!V179*Calculateur!X179*VLOOKUP('Données projet'!$B$9,Paramètres!$A$1:$I$89,3,0)*0.475*44/12</f>
        <v>5.5287882405780344</v>
      </c>
      <c r="AB179" s="21">
        <f>EXP(-LN(2)/2)*AB178+(1-EXP(-LN(2)/2))/(LN(2)/2)*V179*Y179*VLOOKUP('Données projet'!$B$9,Paramètres!$A$1:$I$89,3,0)*0.475*44/12</f>
        <v>9.1857215152378967E-22</v>
      </c>
      <c r="AC179" s="22">
        <f t="shared" si="163"/>
        <v>19.396475845955408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-4.1145540308207271E-13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227.31630731915698</v>
      </c>
      <c r="AO179" s="59">
        <f t="shared" si="144"/>
        <v>143.7533262991908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105.60950745298182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105.60950745298182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82.836000000000382</v>
      </c>
      <c r="D180" s="11">
        <f t="shared" si="140"/>
        <v>22.829188748646111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815.66110612990281</v>
      </c>
      <c r="H180" s="67">
        <f t="shared" si="110"/>
        <v>477.36687040389262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294.94285920643927</v>
      </c>
      <c r="T180" s="59">
        <f t="shared" si="142"/>
        <v>399.89535338426606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13.595750709890158</v>
      </c>
      <c r="AA180" s="21">
        <f>EXP(-LN(2)/25)*AA179+(1-EXP(-LN(2)/25))/(LN(2)/25)*Calculateur!V180*Calculateur!X180*VLOOKUP('Données projet'!$B$9,Paramètres!$A$1:$I$89,3,0)*0.475*44/12</f>
        <v>5.3776032353930905</v>
      </c>
      <c r="AB180" s="21">
        <f>EXP(-LN(2)/2)*AB179+(1-EXP(-LN(2)/2))/(LN(2)/2)*V180*Y180*VLOOKUP('Données projet'!$B$9,Paramètres!$A$1:$I$89,3,0)*0.475*44/12</f>
        <v>6.4952859735158852E-22</v>
      </c>
      <c r="AC180" s="22">
        <f t="shared" si="163"/>
        <v>18.97335394528325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-4.1145540308207271E-13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227.31630731915698</v>
      </c>
      <c r="AO180" s="59">
        <f t="shared" si="144"/>
        <v>143.7533262991908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103.53856942726789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103.53856942726789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83.304000000000386</v>
      </c>
      <c r="D181" s="11">
        <f t="shared" si="140"/>
        <v>22.943116727725723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820.15318175788582</v>
      </c>
      <c r="H181" s="67">
        <f t="shared" si="110"/>
        <v>478.38039496745625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294.94285920643927</v>
      </c>
      <c r="T181" s="59">
        <f t="shared" si="142"/>
        <v>399.89535338426606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13.32914633105832</v>
      </c>
      <c r="AA181" s="21">
        <f>EXP(-LN(2)/25)*AA180+(1-EXP(-LN(2)/25))/(LN(2)/25)*Calculateur!V181*Calculateur!X181*VLOOKUP('Données projet'!$B$9,Paramètres!$A$1:$I$89,3,0)*0.475*44/12</f>
        <v>5.2305523921254027</v>
      </c>
      <c r="AB181" s="21">
        <f>EXP(-LN(2)/2)*AB180+(1-EXP(-LN(2)/2))/(LN(2)/2)*V181*Y181*VLOOKUP('Données projet'!$B$9,Paramètres!$A$1:$I$89,3,0)*0.475*44/12</f>
        <v>4.5928607576189484E-22</v>
      </c>
      <c r="AC181" s="22">
        <f t="shared" si="163"/>
        <v>18.559698723183722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-4.1145540308207271E-13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227.31630731915698</v>
      </c>
      <c r="AO181" s="59">
        <f t="shared" si="144"/>
        <v>143.7533262991908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101.50824123309074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101.50824123309074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83.772000000000389</v>
      </c>
      <c r="D182" s="11">
        <f t="shared" si="140"/>
        <v>23.056970229527188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824.64468247354625</v>
      </c>
      <c r="H182" s="67">
        <f t="shared" si="110"/>
        <v>479.39378981642722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294.94285920643927</v>
      </c>
      <c r="T182" s="59">
        <f t="shared" si="142"/>
        <v>399.89535338426606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13.067769901482761</v>
      </c>
      <c r="AA182" s="21">
        <f>EXP(-LN(2)/25)*AA181+(1-EXP(-LN(2)/25))/(LN(2)/25)*Calculateur!V182*Calculateur!X182*VLOOKUP('Données projet'!$B$9,Paramètres!$A$1:$I$89,3,0)*0.475*44/12</f>
        <v>5.0875226618999374</v>
      </c>
      <c r="AB182" s="21">
        <f>EXP(-LN(2)/2)*AB181+(1-EXP(-LN(2)/2))/(LN(2)/2)*V182*Y182*VLOOKUP('Données projet'!$B$9,Paramètres!$A$1:$I$89,3,0)*0.475*44/12</f>
        <v>3.2476429867579426E-22</v>
      </c>
      <c r="AC182" s="22">
        <f t="shared" si="163"/>
        <v>18.155292563382698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-4.1145540308207271E-13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227.31630731915698</v>
      </c>
      <c r="AO182" s="59">
        <f t="shared" si="144"/>
        <v>143.7533262991908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99.517726536423496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99.517726536423496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84.240000000000393</v>
      </c>
      <c r="D183" s="11">
        <f t="shared" si="140"/>
        <v>23.170749718409571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829.13561186141033</v>
      </c>
      <c r="H183" s="67">
        <f t="shared" si="110"/>
        <v>480.40705575956395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294.94285920643927</v>
      </c>
      <c r="T183" s="59">
        <f t="shared" si="142"/>
        <v>399.89535338426606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12.811518904267297</v>
      </c>
      <c r="AA183" s="21">
        <f>EXP(-LN(2)/25)*AA182+(1-EXP(-LN(2)/25))/(LN(2)/25)*Calculateur!V183*Calculateur!X183*VLOOKUP('Données projet'!$B$9,Paramètres!$A$1:$I$89,3,0)*0.475*44/12</f>
        <v>4.9484040871690942</v>
      </c>
      <c r="AB183" s="21">
        <f>EXP(-LN(2)/2)*AB182+(1-EXP(-LN(2)/2))/(LN(2)/2)*V183*Y183*VLOOKUP('Données projet'!$B$9,Paramètres!$A$1:$I$89,3,0)*0.475*44/12</f>
        <v>2.2964303788094742E-22</v>
      </c>
      <c r="AC183" s="22">
        <f t="shared" si="163"/>
        <v>17.75992299143639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-4.1145540308207271E-13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227.31630731915698</v>
      </c>
      <c r="AO183" s="59">
        <f t="shared" si="144"/>
        <v>143.7533262991908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97.566244618863806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97.566244618863806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84.708000000000396</v>
      </c>
      <c r="D184" s="11">
        <f t="shared" si="140"/>
        <v>23.284455653273778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833.62597346387076</v>
      </c>
      <c r="H184" s="67">
        <f t="shared" si="110"/>
        <v>481.42019359611913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294.94285920643927</v>
      </c>
      <c r="T184" s="59">
        <f t="shared" si="142"/>
        <v>399.89535338426606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12.560292832809553</v>
      </c>
      <c r="AA184" s="21">
        <f>EXP(-LN(2)/25)*AA183+(1-EXP(-LN(2)/25))/(LN(2)/25)*Calculateur!V184*Calculateur!X184*VLOOKUP('Données projet'!$B$9,Paramètres!$A$1:$I$89,3,0)*0.475*44/12</f>
        <v>4.8130897171801941</v>
      </c>
      <c r="AB184" s="21">
        <f>EXP(-LN(2)/2)*AB183+(1-EXP(-LN(2)/2))/(LN(2)/2)*V184*Y184*VLOOKUP('Données projet'!$B$9,Paramètres!$A$1:$I$89,3,0)*0.475*44/12</f>
        <v>1.6238214933789713E-22</v>
      </c>
      <c r="AC184" s="22">
        <f t="shared" si="163"/>
        <v>17.373382549989749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-4.1145540308207271E-13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227.31630731915698</v>
      </c>
      <c r="AO184" s="59">
        <f t="shared" si="144"/>
        <v>143.7533262991908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95.653030071421028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95.653030071421028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85.1760000000004</v>
      </c>
      <c r="D185" s="11">
        <f t="shared" si="140"/>
        <v>23.398088487656537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838.11577078191328</v>
      </c>
      <c r="H185" s="67">
        <f t="shared" si="110"/>
        <v>482.43320411600246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294.94285920643927</v>
      </c>
      <c r="T185" s="59">
        <f t="shared" si="142"/>
        <v>399.89535338426606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12.313993151380323</v>
      </c>
      <c r="AA185" s="21">
        <f>EXP(-LN(2)/25)*AA184+(1-EXP(-LN(2)/25))/(LN(2)/25)*Calculateur!V185*Calculateur!X185*VLOOKUP('Données projet'!$B$9,Paramètres!$A$1:$I$89,3,0)*0.475*44/12</f>
        <v>4.6814755257545135</v>
      </c>
      <c r="AB185" s="21">
        <f>EXP(-LN(2)/2)*AB184+(1-EXP(-LN(2)/2))/(LN(2)/2)*V185*Y185*VLOOKUP('Données projet'!$B$9,Paramètres!$A$1:$I$89,3,0)*0.475*44/12</f>
        <v>1.1482151894047371E-22</v>
      </c>
      <c r="AC185" s="22">
        <f t="shared" si="163"/>
        <v>16.995468677134838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-4.1145540308207271E-13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227.31630731915698</v>
      </c>
      <c r="AO185" s="59">
        <f t="shared" si="144"/>
        <v>143.7533262991908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93.777332494307956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93.777332494307956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85.644000000000403</v>
      </c>
      <c r="D186" s="11">
        <f t="shared" si="140"/>
        <v>23.511648669822165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842.60500727582337</v>
      </c>
      <c r="H186" s="67">
        <f t="shared" si="110"/>
        <v>483.44608809994094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294.94285920643927</v>
      </c>
      <c r="T186" s="59">
        <f t="shared" si="142"/>
        <v>399.89535338426606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12.072523256475948</v>
      </c>
      <c r="AA186" s="21">
        <f>EXP(-LN(2)/25)*AA185+(1-EXP(-LN(2)/25))/(LN(2)/25)*Calculateur!V186*Calculateur!X186*VLOOKUP('Données projet'!$B$9,Paramètres!$A$1:$I$89,3,0)*0.475*44/12</f>
        <v>4.5534603313146578</v>
      </c>
      <c r="AB186" s="21">
        <f>EXP(-LN(2)/2)*AB185+(1-EXP(-LN(2)/2))/(LN(2)/2)*V186*Y186*VLOOKUP('Données projet'!$B$9,Paramètres!$A$1:$I$89,3,0)*0.475*44/12</f>
        <v>8.1191074668948565E-23</v>
      </c>
      <c r="AC186" s="22">
        <f t="shared" si="163"/>
        <v>16.625983587790607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-4.1145540308207271E-13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227.31630731915698</v>
      </c>
      <c r="AO186" s="59">
        <f t="shared" si="144"/>
        <v>143.7533262991908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91.938416202619507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91.938416202619507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86.112000000000407</v>
      </c>
      <c r="D187" s="11">
        <f t="shared" si="140"/>
        <v>23.625136642852389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847.09368636588124</v>
      </c>
      <c r="H187" s="67">
        <f t="shared" si="110"/>
        <v>484.4588463196352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294.94285920643927</v>
      </c>
      <c r="T187" s="59">
        <f t="shared" si="142"/>
        <v>399.89535338426606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11.835788438928555</v>
      </c>
      <c r="AA187" s="21">
        <f>EXP(-LN(2)/25)*AA186+(1-EXP(-LN(2)/25))/(LN(2)/25)*Calculateur!V187*Calculateur!X187*VLOOKUP('Données projet'!$B$9,Paramètres!$A$1:$I$89,3,0)*0.475*44/12</f>
        <v>4.4289457190987864</v>
      </c>
      <c r="AB187" s="21">
        <f>EXP(-LN(2)/2)*AB186+(1-EXP(-LN(2)/2))/(LN(2)/2)*V187*Y187*VLOOKUP('Données projet'!$B$9,Paramètres!$A$1:$I$89,3,0)*0.475*44/12</f>
        <v>5.7410759470236854E-23</v>
      </c>
      <c r="AC187" s="22">
        <f t="shared" si="163"/>
        <v>16.264734158027341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-4.1145540308207271E-13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227.31630731915698</v>
      </c>
      <c r="AO187" s="59">
        <f t="shared" si="144"/>
        <v>143.7533262991908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90.135559937782887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90.135559937782887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86.58000000000041</v>
      </c>
      <c r="D188" s="11">
        <f t="shared" si="140"/>
        <v>23.73855284473407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851.58181143303818</v>
      </c>
      <c r="H188" s="67">
        <f t="shared" si="110"/>
        <v>485.4714795379125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294.94285920643927</v>
      </c>
      <c r="T188" s="59">
        <f t="shared" si="142"/>
        <v>399.89535338426606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11.603695846759285</v>
      </c>
      <c r="AA188" s="21">
        <f>EXP(-LN(2)/25)*AA187+(1-EXP(-LN(2)/25))/(LN(2)/25)*Calculateur!V188*Calculateur!X188*VLOOKUP('Données projet'!$B$9,Paramètres!$A$1:$I$89,3,0)*0.475*44/12</f>
        <v>4.307835965501897</v>
      </c>
      <c r="AB188" s="21">
        <f>EXP(-LN(2)/2)*AB187+(1-EXP(-LN(2)/2))/(LN(2)/2)*V188*Y188*VLOOKUP('Données projet'!$B$9,Paramètres!$A$1:$I$89,3,0)*0.475*44/12</f>
        <v>4.0595537334474283E-23</v>
      </c>
      <c r="AC188" s="22">
        <f t="shared" si="163"/>
        <v>15.911531812261181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-4.1145540308207271E-13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227.31630731915698</v>
      </c>
      <c r="AO188" s="59">
        <f t="shared" si="144"/>
        <v>143.7533262991908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88.368056584665979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88.368056584665979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87.048000000000414</v>
      </c>
      <c r="D189" s="11">
        <f t="shared" si="140"/>
        <v>23.851897708444977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856.06938581957854</v>
      </c>
      <c r="H189" s="67">
        <f t="shared" si="110"/>
        <v>486.48398850887571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294.94285920643927</v>
      </c>
      <c r="T189" s="59">
        <f t="shared" si="142"/>
        <v>399.89535338426606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11.376154448759952</v>
      </c>
      <c r="AA189" s="21">
        <f>EXP(-LN(2)/25)*AA188+(1-EXP(-LN(2)/25))/(LN(2)/25)*Calculateur!V189*Calculateur!X189*VLOOKUP('Données projet'!$B$9,Paramètres!$A$1:$I$89,3,0)*0.475*44/12</f>
        <v>4.1900379644859997</v>
      </c>
      <c r="AB189" s="21">
        <f>EXP(-LN(2)/2)*AB188+(1-EXP(-LN(2)/2))/(LN(2)/2)*V189*Y189*VLOOKUP('Données projet'!$B$9,Paramètres!$A$1:$I$89,3,0)*0.475*44/12</f>
        <v>2.8705379735118427E-23</v>
      </c>
      <c r="AC189" s="22">
        <f t="shared" si="163"/>
        <v>15.56619241324595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-4.1145540308207271E-13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227.31630731915698</v>
      </c>
      <c r="AO189" s="59">
        <f t="shared" si="144"/>
        <v>143.7533262991908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86.635212894233092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86.635212894233092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87.516000000000417</v>
      </c>
      <c r="D190" s="11">
        <f t="shared" si="140"/>
        <v>23.96517166203774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860.55641282976819</v>
      </c>
      <c r="H190" s="67">
        <f t="shared" si="110"/>
        <v>487.49637397804975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294.94285920643927</v>
      </c>
      <c r="T190" s="59">
        <f t="shared" si="142"/>
        <v>399.89535338426606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11.153074998788837</v>
      </c>
      <c r="AA190" s="21">
        <f>EXP(-LN(2)/25)*AA189+(1-EXP(-LN(2)/25))/(LN(2)/25)*Calculateur!V190*Calculateur!X190*VLOOKUP('Données projet'!$B$9,Paramètres!$A$1:$I$89,3,0)*0.475*44/12</f>
        <v>4.0754611560026097</v>
      </c>
      <c r="AB190" s="21">
        <f>EXP(-LN(2)/2)*AB189+(1-EXP(-LN(2)/2))/(LN(2)/2)*V190*Y190*VLOOKUP('Données projet'!$B$9,Paramètres!$A$1:$I$89,3,0)*0.475*44/12</f>
        <v>2.0297768667237141E-23</v>
      </c>
      <c r="AC190" s="22">
        <f t="shared" si="163"/>
        <v>15.228536154791446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-4.1145540308207271E-13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227.31630731915698</v>
      </c>
      <c r="AO190" s="59">
        <f t="shared" si="144"/>
        <v>143.7533262991908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84.93634921163931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84.93634921163931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87.984000000000421</v>
      </c>
      <c r="D191" s="11">
        <f t="shared" si="140"/>
        <v>24.078375128721891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865.042895730488</v>
      </c>
      <c r="H191" s="67">
        <f t="shared" si="110"/>
        <v>488.50863668252464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294.94285920643927</v>
      </c>
      <c r="T191" s="59">
        <f t="shared" si="142"/>
        <v>399.89535338426606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10.934370000766625</v>
      </c>
      <c r="AA191" s="21">
        <f>EXP(-LN(2)/25)*AA190+(1-EXP(-LN(2)/25))/(LN(2)/25)*Calculateur!V191*Calculateur!X191*VLOOKUP('Données projet'!$B$9,Paramètres!$A$1:$I$89,3,0)*0.475*44/12</f>
        <v>3.9640174563725306</v>
      </c>
      <c r="AB191" s="21">
        <f>EXP(-LN(2)/2)*AB190+(1-EXP(-LN(2)/2))/(LN(2)/2)*V191*Y191*VLOOKUP('Données projet'!$B$9,Paramètres!$A$1:$I$89,3,0)*0.475*44/12</f>
        <v>1.4352689867559214E-23</v>
      </c>
      <c r="AC191" s="22">
        <f t="shared" si="163"/>
        <v>14.898387457139156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-4.1145540308207271E-13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227.31630731915698</v>
      </c>
      <c r="AO191" s="59">
        <f t="shared" si="144"/>
        <v>143.7533262991908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83.270799209656658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83.270799209656658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88.452000000000425</v>
      </c>
      <c r="D192" s="11">
        <f t="shared" si="140"/>
        <v>24.191508526944062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869.52883775185228</v>
      </c>
      <c r="H192" s="67">
        <f t="shared" si="110"/>
        <v>489.52077735109492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294.94285920643927</v>
      </c>
      <c r="T192" s="59">
        <f t="shared" si="142"/>
        <v>399.89535338426606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10.719953674358752</v>
      </c>
      <c r="AA192" s="21">
        <f>EXP(-LN(2)/25)*AA191+(1-EXP(-LN(2)/25))/(LN(2)/25)*Calculateur!V192*Calculateur!X192*VLOOKUP('Données projet'!$B$9,Paramètres!$A$1:$I$89,3,0)*0.475*44/12</f>
        <v>3.8556211905694058</v>
      </c>
      <c r="AB192" s="21">
        <f>EXP(-LN(2)/2)*AB191+(1-EXP(-LN(2)/2))/(LN(2)/2)*V192*Y192*VLOOKUP('Données projet'!$B$9,Paramètres!$A$1:$I$89,3,0)*0.475*44/12</f>
        <v>1.0148884333618571E-23</v>
      </c>
      <c r="AC192" s="22">
        <f t="shared" si="163"/>
        <v>14.575574864928157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-4.1145540308207271E-13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227.31630731915698</v>
      </c>
      <c r="AO192" s="59">
        <f t="shared" si="144"/>
        <v>143.7533262991908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81.637909627327701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81.637909627327701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88.920000000000428</v>
      </c>
      <c r="D193" s="11">
        <f t="shared" si="140"/>
        <v>24.304572270466586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874.01424208781555</v>
      </c>
      <c r="H193" s="67">
        <f t="shared" si="110"/>
        <v>490.53279670439667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294.94285920643927</v>
      </c>
      <c r="T193" s="59">
        <f t="shared" si="142"/>
        <v>399.89535338426606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10.509741921330694</v>
      </c>
      <c r="AA193" s="21">
        <f>EXP(-LN(2)/25)*AA192+(1-EXP(-LN(2)/25))/(LN(2)/25)*Calculateur!V193*Calculateur!X193*VLOOKUP('Données projet'!$B$9,Paramètres!$A$1:$I$89,3,0)*0.475*44/12</f>
        <v>3.7501890263549793</v>
      </c>
      <c r="AB193" s="21">
        <f>EXP(-LN(2)/2)*AB192+(1-EXP(-LN(2)/2))/(LN(2)/2)*V193*Y193*VLOOKUP('Données projet'!$B$9,Paramètres!$A$1:$I$89,3,0)*0.475*44/12</f>
        <v>7.1763449337796068E-24</v>
      </c>
      <c r="AC193" s="22">
        <f t="shared" si="163"/>
        <v>14.259930947685673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-4.1145540308207271E-13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227.31630731915698</v>
      </c>
      <c r="AO193" s="59">
        <f t="shared" si="144"/>
        <v>143.7533262991908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80.037040013743905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80.037040013743905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89.388000000000432</v>
      </c>
      <c r="D194" s="11">
        <f t="shared" si="140"/>
        <v>24.417566768444267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878.49911189676607</v>
      </c>
      <c r="H194" s="67">
        <f t="shared" si="110"/>
        <v>491.54469545504116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294.94285920643927</v>
      </c>
      <c r="T194" s="59">
        <f t="shared" si="142"/>
        <v>399.89535338426606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10.303652292563005</v>
      </c>
      <c r="AA194" s="21">
        <f>EXP(-LN(2)/25)*AA193+(1-EXP(-LN(2)/25))/(LN(2)/25)*Calculateur!V194*Calculateur!X194*VLOOKUP('Données projet'!$B$9,Paramètres!$A$1:$I$89,3,0)*0.475*44/12</f>
        <v>3.6476399102154327</v>
      </c>
      <c r="AB194" s="21">
        <f>EXP(-LN(2)/2)*AB193+(1-EXP(-LN(2)/2))/(LN(2)/2)*V194*Y194*VLOOKUP('Données projet'!$B$9,Paramètres!$A$1:$I$89,3,0)*0.475*44/12</f>
        <v>5.0744421668092853E-24</v>
      </c>
      <c r="AC194" s="22">
        <f t="shared" si="163"/>
        <v>13.951292202778436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-4.1145540308207271E-13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227.31630731915698</v>
      </c>
      <c r="AO194" s="59">
        <f t="shared" si="144"/>
        <v>143.7533262991908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78.467562476848443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78.467562476848443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89.856000000000435</v>
      </c>
      <c r="D195" s="11">
        <f t="shared" si="140"/>
        <v>24.530492425499521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882.98345030210487</v>
      </c>
      <c r="H195" s="67">
        <f t="shared" si="110"/>
        <v>492.5564743077457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294.94285920643927</v>
      </c>
      <c r="T195" s="59">
        <f t="shared" si="142"/>
        <v>399.89535338426606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10.101603955713189</v>
      </c>
      <c r="AA195" s="21">
        <f>EXP(-LN(2)/25)*AA194+(1-EXP(-LN(2)/25))/(LN(2)/25)*Calculateur!V195*Calculateur!X195*VLOOKUP('Données projet'!$B$9,Paramètres!$A$1:$I$89,3,0)*0.475*44/12</f>
        <v>3.5478950050495457</v>
      </c>
      <c r="AB195" s="21">
        <f>EXP(-LN(2)/2)*AB194+(1-EXP(-LN(2)/2))/(LN(2)/2)*V195*Y195*VLOOKUP('Données projet'!$B$9,Paramètres!$A$1:$I$89,3,0)*0.475*44/12</f>
        <v>3.5881724668898034E-24</v>
      </c>
      <c r="AC195" s="22">
        <f t="shared" si="163"/>
        <v>13.649498960762735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-4.1145540308207271E-13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227.31630731915698</v>
      </c>
      <c r="AO195" s="59">
        <f t="shared" si="144"/>
        <v>143.7533262991908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76.928861437164727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76.928861437164727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90.324000000000439</v>
      </c>
      <c r="D196" s="11">
        <f t="shared" si="140"/>
        <v>24.643349641795954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887.4672603928143</v>
      </c>
      <c r="H196" s="67">
        <f t="shared" ref="H196:H203" si="192">(B196+E196+F196)*44/12+(C196+D196)*0.475*44/12</f>
        <v>493.56813395946199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294.94285920643927</v>
      </c>
      <c r="T196" s="59">
        <f t="shared" si="142"/>
        <v>399.89535338426606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9.9035176635116819</v>
      </c>
      <c r="AA196" s="21">
        <f>EXP(-LN(2)/25)*AA195+(1-EXP(-LN(2)/25))/(LN(2)/25)*Calculateur!V196*Calculateur!X196*VLOOKUP('Données projet'!$B$9,Paramètres!$A$1:$I$89,3,0)*0.475*44/12</f>
        <v>3.4508776295607766</v>
      </c>
      <c r="AB196" s="21">
        <f>EXP(-LN(2)/2)*AB195+(1-EXP(-LN(2)/2))/(LN(2)/2)*V196*Y196*VLOOKUP('Données projet'!$B$9,Paramètres!$A$1:$I$89,3,0)*0.475*44/12</f>
        <v>2.5372210834046427E-24</v>
      </c>
      <c r="AC196" s="22">
        <f t="shared" si="163"/>
        <v>13.354395293072459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-4.1145540308207271E-13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227.31630731915698</v>
      </c>
      <c r="AO196" s="59">
        <f t="shared" si="144"/>
        <v>143.7533262991908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75.420333386354244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75.420333386354244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90.792000000000442</v>
      </c>
      <c r="D197" s="11">
        <f t="shared" ref="D197:D203" si="202">IFERROR(EXP(-1.0587+0.8836*LN(C197)+0.284),0)</f>
        <v>24.756138813110294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891.95054522401279</v>
      </c>
      <c r="H197" s="67">
        <f t="shared" si="192"/>
        <v>494.57967509950117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294.94285920643927</v>
      </c>
      <c r="T197" s="59">
        <f t="shared" ref="T197:T203" si="204">$T$3</f>
        <v>399.89535338426606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9.7093157226795377</v>
      </c>
      <c r="AA197" s="21">
        <f>EXP(-LN(2)/25)*AA196+(1-EXP(-LN(2)/25))/(LN(2)/25)*Calculateur!V197*Calculateur!X197*VLOOKUP('Données projet'!$B$9,Paramètres!$A$1:$I$89,3,0)*0.475*44/12</f>
        <v>3.3565131993066699</v>
      </c>
      <c r="AB197" s="21">
        <f>EXP(-LN(2)/2)*AB196+(1-EXP(-LN(2)/2))/(LN(2)/2)*V197*Y197*VLOOKUP('Données projet'!$B$9,Paramètres!$A$1:$I$89,3,0)*0.475*44/12</f>
        <v>1.7940862334449017E-24</v>
      </c>
      <c r="AC197" s="22">
        <f t="shared" si="163"/>
        <v>13.065828921986208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-4.1145540308207271E-13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227.31630731915698</v>
      </c>
      <c r="AO197" s="59">
        <f t="shared" ref="AO197:AO203" si="205">$AO$3</f>
        <v>143.7533262991908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73.941386650508903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73.941386650508903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91.260000000000446</v>
      </c>
      <c r="D198" s="11">
        <f t="shared" si="202"/>
        <v>24.868860330902901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896.43330781749955</v>
      </c>
      <c r="H198" s="67">
        <f t="shared" si="192"/>
        <v>495.59109840965664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294.94285920643927</v>
      </c>
      <c r="T198" s="59">
        <f t="shared" si="204"/>
        <v>399.89535338426606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9.5189219634556235</v>
      </c>
      <c r="AA198" s="21">
        <f>EXP(-LN(2)/25)*AA197+(1-EXP(-LN(2)/25))/(LN(2)/25)*Calculateur!V198*Calculateur!X198*VLOOKUP('Données projet'!$B$9,Paramètres!$A$1:$I$89,3,0)*0.475*44/12</f>
        <v>3.2647291693602711</v>
      </c>
      <c r="AB198" s="21">
        <f>EXP(-LN(2)/2)*AB197+(1-EXP(-LN(2)/2))/(LN(2)/2)*V198*Y198*VLOOKUP('Données projet'!$B$9,Paramètres!$A$1:$I$89,3,0)*0.475*44/12</f>
        <v>1.2686105417023213E-24</v>
      </c>
      <c r="AC198" s="22">
        <f t="shared" si="163"/>
        <v>12.783651132815894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-4.1145540308207271E-13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227.31630731915698</v>
      </c>
      <c r="AO198" s="59">
        <f t="shared" si="205"/>
        <v>143.7533262991908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72.491441158085053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72.491441158085053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91.728000000000449</v>
      </c>
      <c r="D199" s="11">
        <f t="shared" si="202"/>
        <v>24.981514582386662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900.91555116228653</v>
      </c>
      <c r="H199" s="67">
        <f t="shared" si="192"/>
        <v>496.60240456432416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294.94285920643927</v>
      </c>
      <c r="T199" s="59">
        <f t="shared" si="204"/>
        <v>399.89535338426606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9.3322617097213652</v>
      </c>
      <c r="AA199" s="21">
        <f>EXP(-LN(2)/25)*AA198+(1-EXP(-LN(2)/25))/(LN(2)/25)*Calculateur!V199*Calculateur!X199*VLOOKUP('Données projet'!$B$9,Paramètres!$A$1:$I$89,3,0)*0.475*44/12</f>
        <v>3.1754549785394692</v>
      </c>
      <c r="AB199" s="21">
        <f>EXP(-LN(2)/2)*AB198+(1-EXP(-LN(2)/2))/(LN(2)/2)*V199*Y199*VLOOKUP('Données projet'!$B$9,Paramètres!$A$1:$I$89,3,0)*0.475*44/12</f>
        <v>8.9704311672245085E-25</v>
      </c>
      <c r="AC199" s="22">
        <f t="shared" si="163"/>
        <v>12.507716688260835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-4.1145540308207271E-13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227.31630731915698</v>
      </c>
      <c r="AO199" s="59">
        <f t="shared" si="205"/>
        <v>143.7533262991908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71.069928212388206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71.069928212388206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92.196000000000453</v>
      </c>
      <c r="D200" s="11">
        <f t="shared" si="202"/>
        <v>25.094101950594609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905.39727821511985</v>
      </c>
      <c r="H200" s="67">
        <f t="shared" si="192"/>
        <v>497.6135942306197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294.94285920643927</v>
      </c>
      <c r="T200" s="59">
        <f t="shared" si="204"/>
        <v>399.89535338426606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9.1492617497113216</v>
      </c>
      <c r="AA200" s="21">
        <f>EXP(-LN(2)/25)*AA199+(1-EXP(-LN(2)/25))/(LN(2)/25)*Calculateur!V200*Calculateur!X200*VLOOKUP('Données projet'!$B$9,Paramètres!$A$1:$I$89,3,0)*0.475*44/12</f>
        <v>3.0886219951613878</v>
      </c>
      <c r="AB200" s="21">
        <f>EXP(-LN(2)/2)*AB199+(1-EXP(-LN(2)/2))/(LN(2)/2)*V200*Y200*VLOOKUP('Données projet'!$B$9,Paramètres!$A$1:$I$89,3,0)*0.475*44/12</f>
        <v>6.3430527085116066E-25</v>
      </c>
      <c r="AC200" s="22">
        <f t="shared" si="163"/>
        <v>12.237883744872709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-4.1145540308207271E-13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227.31630731915698</v>
      </c>
      <c r="AO200" s="59">
        <f t="shared" si="205"/>
        <v>143.7533262991908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69.676290268519182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69.676290268519182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92.664000000000456</v>
      </c>
      <c r="D201" s="11">
        <f t="shared" si="202"/>
        <v>25.206622814445883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909.87849190098939</v>
      </c>
      <c r="H201" s="67">
        <f t="shared" si="192"/>
        <v>498.62466806849403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294.94285920643927</v>
      </c>
      <c r="T201" s="59">
        <f t="shared" si="204"/>
        <v>399.89535338426606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8.9698503072981222</v>
      </c>
      <c r="AA201" s="21">
        <f>EXP(-LN(2)/25)*AA200+(1-EXP(-LN(2)/25))/(LN(2)/25)*Calculateur!V201*Calculateur!X201*VLOOKUP('Données projet'!$B$9,Paramètres!$A$1:$I$89,3,0)*0.475*44/12</f>
        <v>3.0041634642801283</v>
      </c>
      <c r="AB201" s="21">
        <f>EXP(-LN(2)/2)*AB200+(1-EXP(-LN(2)/2))/(LN(2)/2)*V201*Y201*VLOOKUP('Données projet'!$B$9,Paramètres!$A$1:$I$89,3,0)*0.475*44/12</f>
        <v>4.4852155836122542E-25</v>
      </c>
      <c r="AC201" s="22">
        <f t="shared" si="163"/>
        <v>11.97401377157825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-4.1145540308207271E-13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227.31630731915698</v>
      </c>
      <c r="AO201" s="59">
        <f t="shared" si="205"/>
        <v>143.7533262991908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68.30998071469422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68.30998071469422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93.13200000000046</v>
      </c>
      <c r="D202" s="11">
        <f t="shared" si="202"/>
        <v>25.319077548810565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914.35919511362908</v>
      </c>
      <c r="H202" s="67">
        <f t="shared" si="192"/>
        <v>499.63562673084584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294.94285920643927</v>
      </c>
      <c r="T202" s="59">
        <f t="shared" si="204"/>
        <v>399.89535338426606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8.7939570138404708</v>
      </c>
      <c r="AA202" s="21">
        <f>EXP(-LN(2)/25)*AA201+(1-EXP(-LN(2)/25))/(LN(2)/25)*Calculateur!V202*Calculateur!X202*VLOOKUP('Données projet'!$B$9,Paramètres!$A$1:$I$89,3,0)*0.475*44/12</f>
        <v>2.9220144563672976</v>
      </c>
      <c r="AB202" s="21">
        <f>EXP(-LN(2)/2)*AB201+(1-EXP(-LN(2)/2))/(LN(2)/2)*V202*Y202*VLOOKUP('Données projet'!$B$9,Paramètres!$A$1:$I$89,3,0)*0.475*44/12</f>
        <v>3.1715263542558033E-25</v>
      </c>
      <c r="AC202" s="22">
        <f t="shared" si="163"/>
        <v>11.715971470207769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-4.1145540308207271E-13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227.31630731915698</v>
      </c>
      <c r="AO202" s="59">
        <f t="shared" si="205"/>
        <v>143.7533262991908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66.97046365785323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66.97046365785323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93.600000000000463</v>
      </c>
      <c r="D203" s="11">
        <f t="shared" si="202"/>
        <v>25.43146652457305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918.83939071600616</v>
      </c>
      <c r="H203" s="67">
        <f t="shared" si="192"/>
        <v>500.6464708636322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294.94285920643927</v>
      </c>
      <c r="T203" s="59">
        <f t="shared" si="204"/>
        <v>399.89535338426606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8.6215128805832073</v>
      </c>
      <c r="AA203" s="21">
        <f>EXP(-LN(2)/25)*AA202+(1-EXP(-LN(2)/25))/(LN(2)/25)*Calculateur!V203*Calculateur!X203*VLOOKUP('Données projet'!$B$9,Paramètres!$A$1:$I$89,3,0)*0.475*44/12</f>
        <v>2.8421118173958719</v>
      </c>
      <c r="AB203" s="21">
        <f>EXP(-LN(2)/2)*AB202+(1-EXP(-LN(2)/2))/(LN(2)/2)*V203*Y203*VLOOKUP('Données projet'!$B$9,Paramètres!$A$1:$I$89,3,0)*0.475*44/12</f>
        <v>2.2426077918061271E-25</v>
      </c>
      <c r="AC203" s="22">
        <f t="shared" si="163"/>
        <v>11.463624697979078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-4.1145540308207271E-13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227.31630731915698</v>
      </c>
      <c r="AO203" s="59">
        <f t="shared" si="205"/>
        <v>143.7533262991908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65.65721371347216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65.65721371347216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1.3179806292130023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1.1608269964373037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2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.75" thickBot="1" x14ac:dyDescent="0.3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2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.75" thickBot="1" x14ac:dyDescent="0.3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.75" thickBot="1" x14ac:dyDescent="0.3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25">
      <c r="A93" s="122" t="s">
        <v>68</v>
      </c>
    </row>
    <row r="94" spans="1:14" x14ac:dyDescent="0.25">
      <c r="A94" s="122" t="s">
        <v>69</v>
      </c>
    </row>
    <row r="95" spans="1:14" x14ac:dyDescent="0.2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Epicéa de Sitka</v>
      </c>
      <c r="B6" s="146">
        <f>'Données projet'!D9</f>
        <v>5.6550000000000002</v>
      </c>
      <c r="C6" s="147">
        <f ca="1">IF(OR('Données projet'!B9="",'Données projet'!C9="",'Données projet'!C9=0%),0,Calculateur!S3)</f>
        <v>294.94285920643927</v>
      </c>
      <c r="D6" s="147">
        <f>IF(OR('Données projet'!B9="",'Données projet'!C9="",'Données projet'!C9=0%),0,Calculateur!T3)</f>
        <v>399.89535338426606</v>
      </c>
      <c r="E6" s="147">
        <f ca="1">MIN(C6,D6)</f>
        <v>294.94285920643927</v>
      </c>
      <c r="F6" s="147">
        <f ca="1">E6*B6</f>
        <v>1667.901868812414</v>
      </c>
      <c r="G6" s="147">
        <f ca="1">F6*(100%-'Données projet'!$C$24)*(100%-'Données projet'!$C$25)*(100%-'Données projet'!$C$26)*(100%-'Données projet'!$C$27)</f>
        <v>1426.0560978346139</v>
      </c>
      <c r="H6" s="148">
        <f>IF(OR('Données projet'!B9="",'Données projet'!C9="",'Données projet'!C9=0%),0,AVERAGE(Calculateur!$AC$3:$AC$33)*B6)</f>
        <v>86.631615700798278</v>
      </c>
      <c r="I6" s="149">
        <f>H6*(100%-'Données projet'!$C$24)*(100%-'Données projet'!$C$25)*(100%-'Données projet'!$C$26)*(100%-'Données projet'!$C$27)</f>
        <v>74.070031424182531</v>
      </c>
      <c r="J6" s="150">
        <f>IF(OR('Données projet'!B9="",'Données projet'!C9="",'Données projet'!C9=0%),0,SUM(Calculateur!$V$3:$V$33)*VLOOKUP('Données projet'!$B$9,Paramètres!$A$1:$I$89,9,0)*B6)</f>
        <v>542.25795000000005</v>
      </c>
      <c r="K6" s="151">
        <f>J6*(100%-'Données projet'!$C$24)*(100%-'Données projet'!$C$25)*(100%-'Données projet'!$C$26)*(100%-'Données projet'!$C$27)</f>
        <v>463.63054725000001</v>
      </c>
      <c r="L6" s="152">
        <f ca="1">G6+I6+K6</f>
        <v>1963.7566765087965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6.5000000000000002E-2</v>
      </c>
      <c r="C7" s="147">
        <f ca="1">IF(OR('Données projet'!B10="",'Données projet'!C10="",'Données projet'!C10=0%),0,Calculateur!AN3)</f>
        <v>227.31630731915698</v>
      </c>
      <c r="D7" s="147">
        <f>IF(OR('Données projet'!B10="",'Données projet'!C10="",'Données projet'!C10=0%),0,Calculateur!AO3)</f>
        <v>143.7533262991908</v>
      </c>
      <c r="E7" s="147">
        <f t="shared" ref="E7:E15" ca="1" si="0">MIN(C7,D7)</f>
        <v>143.7533262991908</v>
      </c>
      <c r="F7" s="147">
        <f t="shared" ref="F7:F15" ca="1" si="1">E7*B7</f>
        <v>9.3439662094474016</v>
      </c>
      <c r="G7" s="147">
        <f ca="1">F7*(100%-'Données projet'!$C$24)*(100%-'Données projet'!$C$25)*(100%-'Données projet'!$C$26)*(100%-'Données projet'!$C$27)</f>
        <v>7.9890911090775276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7.9890911090775276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1677.2458350218615</v>
      </c>
      <c r="G16" s="166">
        <f t="shared" ca="1" si="3"/>
        <v>1434.0451889436913</v>
      </c>
      <c r="H16" s="167">
        <f t="shared" si="3"/>
        <v>86.631615700798278</v>
      </c>
      <c r="I16" s="167">
        <f t="shared" si="3"/>
        <v>74.070031424182531</v>
      </c>
      <c r="J16" s="168">
        <f t="shared" si="3"/>
        <v>542.25795000000005</v>
      </c>
      <c r="K16" s="168">
        <f t="shared" si="3"/>
        <v>463.63054725000001</v>
      </c>
      <c r="L16" s="169">
        <f t="shared" ca="1" si="3"/>
        <v>1971.745767617874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Epicéa de Sitka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" zoomScale="80" zoomScaleNormal="80" workbookViewId="0">
      <selection activeCell="C55" sqref="C55:C6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Epicéa de Sitka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-172.47896517451341</v>
      </c>
      <c r="U10" s="178">
        <f>'Données projet'!D9</f>
        <v>5.6550000000000002</v>
      </c>
      <c r="V10" s="177">
        <f>U10*T10</f>
        <v>-975.3685480618733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190.27212130150008</v>
      </c>
      <c r="U11" s="178">
        <f>'Données projet'!D10</f>
        <v>6.5000000000000002E-2</v>
      </c>
      <c r="V11" s="177">
        <f t="shared" ref="V11" si="0">U11*T11</f>
        <v>12.367687884597505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15</v>
      </c>
      <c r="B14" s="174" t="str">
        <f>IF('Données projet'!$B$9="","",'Données projet'!$B$9)</f>
        <v>Epicéa de Sitka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20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600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10410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18</v>
      </c>
      <c r="B23" s="181">
        <f>'Données projet'!D36</f>
        <v>48</v>
      </c>
      <c r="C23" s="193">
        <v>19.413793103448281</v>
      </c>
      <c r="D23" s="182">
        <f>B23*C23</f>
        <v>931.86206896551744</v>
      </c>
      <c r="E23" s="193">
        <v>1856</v>
      </c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-65714.197032426076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21</v>
      </c>
      <c r="B24" s="181">
        <f>'Données projet'!D37</f>
        <v>45</v>
      </c>
      <c r="C24" s="193">
        <v>17.295454545454547</v>
      </c>
      <c r="D24" s="182">
        <f t="shared" ref="D24:D42" si="2">B24*C24</f>
        <v>778.29545454545462</v>
      </c>
      <c r="E24" s="193">
        <v>2112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1617.1071527698798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24</v>
      </c>
      <c r="B25" s="181">
        <f>'Données projet'!D38</f>
        <v>50</v>
      </c>
      <c r="C25" s="193">
        <v>30.431578947368418</v>
      </c>
      <c r="D25" s="182">
        <f t="shared" si="2"/>
        <v>1521.5789473684208</v>
      </c>
      <c r="E25" s="193">
        <v>1824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-67331.304185195957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28</v>
      </c>
      <c r="B26" s="181">
        <f>'Données projet'!D39</f>
        <v>80</v>
      </c>
      <c r="C26" s="193">
        <v>30.687096774193545</v>
      </c>
      <c r="D26" s="182">
        <f t="shared" si="2"/>
        <v>2454.9677419354834</v>
      </c>
      <c r="E26" s="193">
        <v>1984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32</v>
      </c>
      <c r="B27" s="181">
        <f>'Données projet'!D40</f>
        <v>56</v>
      </c>
      <c r="C27" s="193">
        <v>28.799999999999994</v>
      </c>
      <c r="D27" s="182">
        <f t="shared" si="2"/>
        <v>1612.7999999999997</v>
      </c>
      <c r="E27" s="193">
        <v>2496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36</v>
      </c>
      <c r="B28" s="181">
        <f>'Données projet'!D41</f>
        <v>78</v>
      </c>
      <c r="C28" s="193">
        <v>38</v>
      </c>
      <c r="D28" s="182">
        <f t="shared" si="2"/>
        <v>2964</v>
      </c>
      <c r="E28" s="193">
        <v>2048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42</v>
      </c>
      <c r="B29" s="181">
        <f>'Données projet'!D42</f>
        <v>79</v>
      </c>
      <c r="C29" s="193">
        <v>38</v>
      </c>
      <c r="D29" s="182">
        <f t="shared" si="2"/>
        <v>3002</v>
      </c>
      <c r="E29" s="193">
        <v>1760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47</v>
      </c>
      <c r="B30" s="181">
        <f>'Données projet'!D43</f>
        <v>834</v>
      </c>
      <c r="C30" s="193">
        <v>38</v>
      </c>
      <c r="D30" s="182">
        <f t="shared" si="2"/>
        <v>31692</v>
      </c>
      <c r="E30" s="193">
        <v>27136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17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>
        <v>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44</v>
      </c>
      <c r="B55" s="181">
        <f>'Données projet'!D63</f>
        <v>64.416666666666657</v>
      </c>
      <c r="C55" s="191">
        <v>10</v>
      </c>
      <c r="D55" s="179">
        <f t="shared" ref="D55:D73" si="4">B55*C55</f>
        <v>644.16666666666652</v>
      </c>
      <c r="E55" s="193">
        <v>1011.6923076923076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51</v>
      </c>
      <c r="B56" s="181">
        <f>'Données projet'!D64</f>
        <v>37.685897435897431</v>
      </c>
      <c r="C56" s="191">
        <v>10</v>
      </c>
      <c r="D56" s="179">
        <f t="shared" si="4"/>
        <v>376.85897435897431</v>
      </c>
      <c r="E56" s="193">
        <v>1446.3589743589744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59</v>
      </c>
      <c r="B57" s="181">
        <f>'Données projet'!D65</f>
        <v>38.942307692307693</v>
      </c>
      <c r="C57" s="191">
        <v>10</v>
      </c>
      <c r="D57" s="179">
        <f t="shared" si="4"/>
        <v>389.42307692307691</v>
      </c>
      <c r="E57" s="193">
        <v>1673.0256410256411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67</v>
      </c>
      <c r="B58" s="181">
        <f>'Données projet'!D66</f>
        <v>31.993589743589741</v>
      </c>
      <c r="C58" s="191">
        <v>10</v>
      </c>
      <c r="D58" s="179">
        <f t="shared" si="4"/>
        <v>319.9358974358974</v>
      </c>
      <c r="E58" s="193">
        <v>1518.9743589743589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75</v>
      </c>
      <c r="B59" s="181">
        <f>'Données projet'!D67</f>
        <v>30.916666666666664</v>
      </c>
      <c r="C59" s="191">
        <v>162.6</v>
      </c>
      <c r="D59" s="179">
        <f t="shared" si="4"/>
        <v>5027.0499999999993</v>
      </c>
      <c r="E59" s="193">
        <v>1732.5128205128203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84</v>
      </c>
      <c r="B60" s="181">
        <f>'Données projet'!D68</f>
        <v>35.083333333333329</v>
      </c>
      <c r="C60" s="191">
        <v>162.6</v>
      </c>
      <c r="D60" s="179">
        <f t="shared" si="4"/>
        <v>5704.5499999999993</v>
      </c>
      <c r="E60" s="193">
        <v>1687.5897435897434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93</v>
      </c>
      <c r="B61" s="181">
        <f>'Données projet'!D69</f>
        <v>30.083333333333332</v>
      </c>
      <c r="C61" s="191">
        <v>162.6</v>
      </c>
      <c r="D61" s="179">
        <f t="shared" si="4"/>
        <v>4891.5499999999993</v>
      </c>
      <c r="E61" s="193">
        <v>1291.8974358974358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103</v>
      </c>
      <c r="B62" s="181">
        <f>'Données projet'!D70</f>
        <v>39.512820512820511</v>
      </c>
      <c r="C62" s="191">
        <v>162.6</v>
      </c>
      <c r="D62" s="179">
        <f t="shared" si="4"/>
        <v>6424.7846153846149</v>
      </c>
      <c r="E62" s="193">
        <v>1513.8461538461538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113</v>
      </c>
      <c r="B63" s="181">
        <f>'Données projet'!D71</f>
        <v>31.602564102564099</v>
      </c>
      <c r="C63" s="191">
        <v>162.6</v>
      </c>
      <c r="D63" s="179">
        <f t="shared" si="4"/>
        <v>5138.576923076922</v>
      </c>
      <c r="E63" s="193">
        <v>2041.6410256410256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125</v>
      </c>
      <c r="B64" s="181">
        <f>'Données projet'!D72</f>
        <v>48.160256410256409</v>
      </c>
      <c r="C64" s="191">
        <v>162.59999999999997</v>
      </c>
      <c r="D64" s="179">
        <f t="shared" si="4"/>
        <v>7830.8576923076907</v>
      </c>
      <c r="E64" s="193">
        <v>1601.6410256410256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137</v>
      </c>
      <c r="B65" s="181">
        <f>'Données projet'!D73</f>
        <v>51.160256410256409</v>
      </c>
      <c r="C65" s="191">
        <v>162.6</v>
      </c>
      <c r="D65" s="179">
        <f t="shared" si="4"/>
        <v>8318.6576923076918</v>
      </c>
      <c r="E65" s="193">
        <v>1437.7435897435898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149</v>
      </c>
      <c r="B66" s="181">
        <f>'Données projet'!D74</f>
        <v>120.50641025641026</v>
      </c>
      <c r="C66" s="191">
        <v>206.20000000000002</v>
      </c>
      <c r="D66" s="179">
        <f t="shared" si="4"/>
        <v>24848.4217948718</v>
      </c>
      <c r="E66" s="193">
        <v>1644.1025641025642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153</v>
      </c>
      <c r="B67" s="181">
        <f>'Données projet'!D75</f>
        <v>70.115384615384613</v>
      </c>
      <c r="C67" s="191">
        <v>206.20000000000002</v>
      </c>
      <c r="D67" s="179">
        <f t="shared" si="4"/>
        <v>14457.792307692309</v>
      </c>
      <c r="E67" s="193">
        <v>1614.9743589743589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157</v>
      </c>
      <c r="B68" s="181">
        <f>'Données projet'!D76</f>
        <v>45.71153846153846</v>
      </c>
      <c r="C68" s="191">
        <v>206.19999999999996</v>
      </c>
      <c r="D68" s="179">
        <f t="shared" si="4"/>
        <v>9425.7192307692294</v>
      </c>
      <c r="E68" s="193">
        <v>5596.1025641025635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161</v>
      </c>
      <c r="B69" s="181">
        <f>'Données projet'!D77</f>
        <v>91.365384615384613</v>
      </c>
      <c r="C69" s="191">
        <v>206.20000000000002</v>
      </c>
      <c r="D69" s="179">
        <f t="shared" si="4"/>
        <v>18839.542307692307</v>
      </c>
      <c r="E69" s="193">
        <v>3368.4102564102564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18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str">
        <f>IF(O80+1&lt;=MIN('Données projet'!$E$9:$E$18),O80+1,"STOP")</f>
        <v>STOP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>
        <v>10</v>
      </c>
      <c r="D86" s="179">
        <f t="shared" ref="D86:D104" si="6">B86*C86</f>
        <v>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>
        <v>10</v>
      </c>
      <c r="D87" s="179">
        <f t="shared" si="6"/>
        <v>0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>
        <v>15</v>
      </c>
      <c r="D88" s="179">
        <f t="shared" si="6"/>
        <v>0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>
        <v>15</v>
      </c>
      <c r="D89" s="179">
        <f t="shared" si="6"/>
        <v>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>
        <v>50</v>
      </c>
      <c r="D90" s="179">
        <f t="shared" si="6"/>
        <v>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>
        <v>50</v>
      </c>
      <c r="D91" s="179">
        <f t="shared" si="6"/>
        <v>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>
        <v>50</v>
      </c>
      <c r="D92" s="179">
        <f t="shared" si="6"/>
        <v>0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>
        <v>50</v>
      </c>
      <c r="D93" s="179">
        <f t="shared" si="6"/>
        <v>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>
        <v>50</v>
      </c>
      <c r="D94" s="179">
        <f t="shared" si="6"/>
        <v>0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>
        <v>50</v>
      </c>
      <c r="D95" s="179">
        <f t="shared" si="6"/>
        <v>0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>
        <v>50</v>
      </c>
      <c r="D96" s="179">
        <f t="shared" si="6"/>
        <v>0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>
        <v>10</v>
      </c>
      <c r="D117" s="179">
        <f t="shared" ref="D117:D135" si="8">B117*C117</f>
        <v>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>
        <v>10</v>
      </c>
      <c r="D118" s="179">
        <f t="shared" si="8"/>
        <v>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>
        <v>50</v>
      </c>
      <c r="D119" s="179">
        <f t="shared" si="8"/>
        <v>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>
        <v>50</v>
      </c>
      <c r="D120" s="179">
        <f t="shared" si="8"/>
        <v>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>
        <v>50</v>
      </c>
      <c r="D121" s="179">
        <f t="shared" si="8"/>
        <v>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>
        <v>100</v>
      </c>
      <c r="D122" s="179">
        <f t="shared" si="8"/>
        <v>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>
        <v>100</v>
      </c>
      <c r="D123" s="179">
        <f t="shared" si="8"/>
        <v>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>
        <v>150</v>
      </c>
      <c r="D124" s="179">
        <f t="shared" si="8"/>
        <v>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>
        <v>150</v>
      </c>
      <c r="D125" s="179">
        <f t="shared" si="8"/>
        <v>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>
        <v>150</v>
      </c>
      <c r="D126" s="179">
        <f t="shared" si="8"/>
        <v>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>
        <v>200</v>
      </c>
      <c r="D127" s="179">
        <f t="shared" si="8"/>
        <v>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>
        <v>200</v>
      </c>
      <c r="D128" s="179">
        <f t="shared" si="8"/>
        <v>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>
        <v>200</v>
      </c>
      <c r="D129" s="179">
        <f t="shared" si="8"/>
        <v>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>
        <v>200</v>
      </c>
      <c r="D130" s="179">
        <f t="shared" si="8"/>
        <v>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>
        <v>200</v>
      </c>
      <c r="D131" s="179">
        <f t="shared" si="8"/>
        <v>0</v>
      </c>
      <c r="E131" s="193">
        <v>150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BC00F618-3F81-40B1-935D-AB4595486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2025-09-17T10:08:58Z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