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sers\olivier.gleizes\Documents\Olivier\Forest CO2\C6 &amp; C7 - Projets carbone\69 - La Poste BSCC (Marc Berchoud)\Dossier labellisation\"/>
    </mc:Choice>
  </mc:AlternateContent>
  <bookViews>
    <workbookView xWindow="0" yWindow="0" windowWidth="20490" windowHeight="7155" activeTab="1"/>
  </bookViews>
  <sheets>
    <sheet name="Production" sheetId="2" r:id="rId1"/>
    <sheet name="Quantification C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R2" i="1" l="1"/>
  <c r="Q3" i="1" l="1"/>
  <c r="Q4" i="1"/>
  <c r="Q5" i="1"/>
  <c r="Q6" i="1" s="1"/>
  <c r="Q7" i="1" s="1"/>
  <c r="O21" i="1"/>
  <c r="N21" i="1"/>
  <c r="P3" i="1"/>
  <c r="R3" i="1" s="1"/>
  <c r="U6" i="1"/>
  <c r="G21" i="1"/>
  <c r="F2" i="1"/>
  <c r="G2" i="1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U3" i="1" s="1"/>
  <c r="P4" i="1" l="1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H21" i="1"/>
  <c r="I21" i="1" s="1"/>
  <c r="J21" i="1" s="1"/>
  <c r="F9" i="1"/>
  <c r="F10" i="1"/>
  <c r="G10" i="1" s="1"/>
  <c r="F11" i="1"/>
  <c r="G11" i="1" s="1"/>
  <c r="F12" i="1"/>
  <c r="G12" i="1" s="1"/>
  <c r="F13" i="1"/>
  <c r="G13" i="1" s="1"/>
  <c r="H13" i="1" s="1"/>
  <c r="I13" i="1" s="1"/>
  <c r="J13" i="1" s="1"/>
  <c r="F14" i="1"/>
  <c r="G14" i="1" s="1"/>
  <c r="H14" i="1" s="1"/>
  <c r="F15" i="1"/>
  <c r="G15" i="1" s="1"/>
  <c r="F16" i="1"/>
  <c r="G16" i="1" s="1"/>
  <c r="F17" i="1"/>
  <c r="G17" i="1" s="1"/>
  <c r="F18" i="1"/>
  <c r="G18" i="1" s="1"/>
  <c r="F19" i="1"/>
  <c r="G19" i="1" s="1"/>
  <c r="H19" i="1" s="1"/>
  <c r="I19" i="1" s="1"/>
  <c r="J19" i="1" s="1"/>
  <c r="F20" i="1"/>
  <c r="H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" i="1"/>
  <c r="R4" i="1" l="1"/>
  <c r="P5" i="1"/>
  <c r="G20" i="1"/>
  <c r="H20" i="1" s="1"/>
  <c r="I20" i="1" s="1"/>
  <c r="J20" i="1" s="1"/>
  <c r="U9" i="1"/>
  <c r="G9" i="1"/>
  <c r="H9" i="1" s="1"/>
  <c r="I9" i="1" s="1"/>
  <c r="J9" i="1" s="1"/>
  <c r="F8" i="1"/>
  <c r="H18" i="1"/>
  <c r="I18" i="1" s="1"/>
  <c r="J18" i="1" s="1"/>
  <c r="H10" i="1"/>
  <c r="I10" i="1" s="1"/>
  <c r="J10" i="1" s="1"/>
  <c r="I2" i="1"/>
  <c r="J2" i="1" s="1"/>
  <c r="H17" i="1"/>
  <c r="I17" i="1" s="1"/>
  <c r="J17" i="1" s="1"/>
  <c r="H16" i="1"/>
  <c r="I16" i="1" s="1"/>
  <c r="J16" i="1" s="1"/>
  <c r="H12" i="1"/>
  <c r="I12" i="1" s="1"/>
  <c r="J12" i="1" s="1"/>
  <c r="H15" i="1"/>
  <c r="I15" i="1" s="1"/>
  <c r="J15" i="1" s="1"/>
  <c r="H11" i="1"/>
  <c r="I11" i="1" s="1"/>
  <c r="J11" i="1" s="1"/>
  <c r="I14" i="1"/>
  <c r="J14" i="1" s="1"/>
  <c r="R5" i="1" l="1"/>
  <c r="P6" i="1"/>
  <c r="G8" i="1"/>
  <c r="H8" i="1" s="1"/>
  <c r="I8" i="1" s="1"/>
  <c r="J8" i="1" s="1"/>
  <c r="F6" i="1"/>
  <c r="G6" i="1" s="1"/>
  <c r="H6" i="1" s="1"/>
  <c r="I6" i="1" s="1"/>
  <c r="J6" i="1" s="1"/>
  <c r="F7" i="1"/>
  <c r="G7" i="1" s="1"/>
  <c r="H7" i="1" s="1"/>
  <c r="I7" i="1" s="1"/>
  <c r="J7" i="1" s="1"/>
  <c r="F5" i="1"/>
  <c r="G5" i="1" s="1"/>
  <c r="H5" i="1" s="1"/>
  <c r="I5" i="1" s="1"/>
  <c r="J5" i="1" s="1"/>
  <c r="F4" i="1"/>
  <c r="G4" i="1" s="1"/>
  <c r="H4" i="1" s="1"/>
  <c r="I4" i="1" s="1"/>
  <c r="J4" i="1" s="1"/>
  <c r="K5" i="1" s="1"/>
  <c r="F3" i="1"/>
  <c r="G3" i="1" s="1"/>
  <c r="H3" i="1" s="1"/>
  <c r="I3" i="1" s="1"/>
  <c r="J3" i="1" s="1"/>
  <c r="K14" i="1"/>
  <c r="K20" i="1"/>
  <c r="K19" i="1" l="1"/>
  <c r="K12" i="1"/>
  <c r="K7" i="1"/>
  <c r="P7" i="1"/>
  <c r="R6" i="1"/>
  <c r="U2" i="1"/>
  <c r="U4" i="1" s="1"/>
  <c r="U8" i="1" s="1"/>
  <c r="K18" i="1"/>
  <c r="K10" i="1"/>
  <c r="K11" i="1"/>
  <c r="K4" i="1"/>
  <c r="K13" i="1"/>
  <c r="K17" i="1"/>
  <c r="K9" i="1"/>
  <c r="K3" i="1"/>
  <c r="K15" i="1"/>
  <c r="K21" i="1"/>
  <c r="K16" i="1"/>
  <c r="K8" i="1"/>
  <c r="K6" i="1"/>
  <c r="K2" i="1"/>
  <c r="P8" i="1" l="1"/>
  <c r="R7" i="1"/>
  <c r="P9" i="1" l="1"/>
  <c r="R8" i="1"/>
  <c r="P10" i="1" l="1"/>
  <c r="R9" i="1"/>
  <c r="P11" i="1" l="1"/>
  <c r="R10" i="1"/>
  <c r="P12" i="1" l="1"/>
  <c r="R11" i="1"/>
  <c r="P13" i="1" l="1"/>
  <c r="R12" i="1"/>
  <c r="P14" i="1" l="1"/>
  <c r="R13" i="1"/>
  <c r="P15" i="1" l="1"/>
  <c r="R14" i="1"/>
  <c r="P16" i="1" l="1"/>
  <c r="R15" i="1"/>
  <c r="P17" i="1" l="1"/>
  <c r="R16" i="1"/>
  <c r="P18" i="1" l="1"/>
  <c r="R17" i="1"/>
  <c r="P19" i="1" l="1"/>
  <c r="R18" i="1"/>
  <c r="P20" i="1" l="1"/>
  <c r="R19" i="1"/>
  <c r="P21" i="1" l="1"/>
  <c r="R20" i="1"/>
  <c r="P22" i="1" l="1"/>
  <c r="R21" i="1"/>
  <c r="P23" i="1" l="1"/>
  <c r="R22" i="1"/>
  <c r="P24" i="1" l="1"/>
  <c r="R23" i="1"/>
  <c r="P25" i="1" l="1"/>
  <c r="R24" i="1"/>
  <c r="P26" i="1" l="1"/>
  <c r="R25" i="1"/>
  <c r="P27" i="1" l="1"/>
  <c r="R26" i="1"/>
  <c r="P28" i="1" l="1"/>
  <c r="R27" i="1"/>
  <c r="P29" i="1" l="1"/>
  <c r="R28" i="1"/>
  <c r="P30" i="1" l="1"/>
  <c r="R29" i="1"/>
  <c r="P31" i="1" l="1"/>
  <c r="R30" i="1"/>
  <c r="P32" i="1" l="1"/>
  <c r="R32" i="1" s="1"/>
  <c r="U12" i="1" s="1"/>
  <c r="R31" i="1"/>
</calcChain>
</file>

<file path=xl/sharedStrings.xml><?xml version="1.0" encoding="utf-8"?>
<sst xmlns="http://schemas.openxmlformats.org/spreadsheetml/2006/main" count="66" uniqueCount="40">
  <si>
    <t>C (cm)</t>
  </si>
  <si>
    <t>D (cm)</t>
  </si>
  <si>
    <t>Années</t>
  </si>
  <si>
    <t>Biomasse 
aérienne et 
racinaire (tMS/ha)</t>
  </si>
  <si>
    <t>Biomasse carbone séquestrée 
(tC/ha)</t>
  </si>
  <si>
    <t>V total 
(m³/ha)</t>
  </si>
  <si>
    <t>V BIBE 
(m³/ha)</t>
  </si>
  <si>
    <r>
      <t>V BO 
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</si>
  <si>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Biomasse aérienne 
(tMS/ha)</t>
  </si>
  <si>
    <r>
      <t>Carbone  séquestré peuplier 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</si>
  <si>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r>
      <t>Carbone 
moyen 
séquestré peuplier 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</si>
  <si>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Carbone prairie (tCO₂/ha)</t>
  </si>
  <si>
    <t>CO₂ moyen sur 18 ans</t>
  </si>
  <si>
    <t>CO₂ moyen</t>
  </si>
  <si>
    <t>Gain dans le sol</t>
  </si>
  <si>
    <t>Forêt et prairie ont toutes les deux 70 tC/ha</t>
  </si>
  <si>
    <t>Gain dans la litière</t>
  </si>
  <si>
    <t>Gain dans le bois mort</t>
  </si>
  <si>
    <t>REA générables forêt</t>
  </si>
  <si>
    <t>Gain en CO₂ (Ba + Br)</t>
  </si>
  <si>
    <t>REA produits bois</t>
  </si>
  <si>
    <t>Récolte finale (m³/ha)</t>
  </si>
  <si>
    <t>Coefficient de substitution</t>
  </si>
  <si>
    <t>Stock sciages</t>
  </si>
  <si>
    <t>Stock panneaux</t>
  </si>
  <si>
    <t>V éclairci sciages (m³/ha)</t>
  </si>
  <si>
    <t>V éclairci panneaux (m³/ha)</t>
  </si>
  <si>
    <t>H déc. diam. en cm</t>
  </si>
  <si>
    <t>D.M.M.circ. en cm/m</t>
  </si>
  <si>
    <t>Station</t>
  </si>
  <si>
    <t>Age</t>
  </si>
  <si>
    <t>C 1.30 m en cm valeurs modèle</t>
  </si>
  <si>
    <t>H Gr BO en m</t>
  </si>
  <si>
    <t>Vol BO 204 en m3/ha</t>
  </si>
  <si>
    <t>Vol BEBI 204 en m3/ha</t>
  </si>
  <si>
    <t>Vol tot 204 en m3/ha</t>
  </si>
  <si>
    <t>riche fraîche</t>
  </si>
  <si>
    <t>La prairie n'a pas de litière</t>
  </si>
  <si>
    <t>Stock produits bois</t>
  </si>
  <si>
    <t>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</si>
</sst>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Carbone  séquestré peuplier 
(tCO₂/ha)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C'!$A$2:$A$33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'Quantification C'!$J$2:$J$33</c:f>
              <c:numCache>
                <c:formatCode>0.0</c:formatCode>
                <c:ptCount val="32"/>
                <c:pt idx="0" formatCode="0.00">
                  <c:v>0.38346738317069873</c:v>
                </c:pt>
                <c:pt idx="1">
                  <c:v>3.6572790744484736</c:v>
                </c:pt>
                <c:pt idx="2">
                  <c:v>6.8107402672923554</c:v>
                </c:pt>
                <c:pt idx="3">
                  <c:v>9.9160658166542479</c:v>
                </c:pt>
                <c:pt idx="4">
                  <c:v>12.991028509723625</c:v>
                </c:pt>
                <c:pt idx="5">
                  <c:v>16.043962101590797</c:v>
                </c:pt>
                <c:pt idx="6">
                  <c:v>19.079698458752915</c:v>
                </c:pt>
                <c:pt idx="7">
                  <c:v>22.101383099128981</c:v>
                </c:pt>
                <c:pt idx="8">
                  <c:v>45.215456027420906</c:v>
                </c:pt>
                <c:pt idx="9">
                  <c:v>71.775220393421577</c:v>
                </c:pt>
                <c:pt idx="10">
                  <c:v>98.078355484210988</c:v>
                </c:pt>
                <c:pt idx="11">
                  <c:v>127.92534733019652</c:v>
                </c:pt>
                <c:pt idx="12">
                  <c:v>155.7520705317321</c:v>
                </c:pt>
                <c:pt idx="13">
                  <c:v>185.30392529463447</c:v>
                </c:pt>
                <c:pt idx="14">
                  <c:v>211.0707004559026</c:v>
                </c:pt>
                <c:pt idx="15">
                  <c:v>236.76490231036971</c:v>
                </c:pt>
                <c:pt idx="16">
                  <c:v>260.56670544941977</c:v>
                </c:pt>
                <c:pt idx="17">
                  <c:v>284.31940650585398</c:v>
                </c:pt>
                <c:pt idx="18">
                  <c:v>304.38298314101712</c:v>
                </c:pt>
                <c:pt idx="19" formatCode="General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'Quantification C'!$K$1</c:f>
              <c:strCache>
                <c:ptCount val="1"/>
                <c:pt idx="0">
                  <c:v>Carbone 
moyen 
séquestré peuplier (tCO₂/ha)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'Quantification C'!$A$2:$A$33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'Quantification C'!$K$2:$K$33</c:f>
              <c:numCache>
                <c:formatCode>0.0</c:formatCode>
                <c:ptCount val="32"/>
                <c:pt idx="0">
                  <c:v>103.60693488174709</c:v>
                </c:pt>
                <c:pt idx="1">
                  <c:v>103.60693488174709</c:v>
                </c:pt>
                <c:pt idx="2">
                  <c:v>103.60693488174709</c:v>
                </c:pt>
                <c:pt idx="3">
                  <c:v>103.60693488174709</c:v>
                </c:pt>
                <c:pt idx="4">
                  <c:v>103.60693488174709</c:v>
                </c:pt>
                <c:pt idx="5">
                  <c:v>103.60693488174709</c:v>
                </c:pt>
                <c:pt idx="6">
                  <c:v>103.60693488174709</c:v>
                </c:pt>
                <c:pt idx="7">
                  <c:v>103.60693488174709</c:v>
                </c:pt>
                <c:pt idx="8">
                  <c:v>103.60693488174709</c:v>
                </c:pt>
                <c:pt idx="9">
                  <c:v>103.60693488174709</c:v>
                </c:pt>
                <c:pt idx="10">
                  <c:v>103.60693488174709</c:v>
                </c:pt>
                <c:pt idx="11">
                  <c:v>103.60693488174709</c:v>
                </c:pt>
                <c:pt idx="12">
                  <c:v>103.60693488174709</c:v>
                </c:pt>
                <c:pt idx="13">
                  <c:v>103.60693488174709</c:v>
                </c:pt>
                <c:pt idx="14">
                  <c:v>103.60693488174709</c:v>
                </c:pt>
                <c:pt idx="15">
                  <c:v>103.60693488174709</c:v>
                </c:pt>
                <c:pt idx="16">
                  <c:v>103.60693488174709</c:v>
                </c:pt>
                <c:pt idx="17">
                  <c:v>103.60693488174709</c:v>
                </c:pt>
                <c:pt idx="18">
                  <c:v>103.60693488174709</c:v>
                </c:pt>
                <c:pt idx="19">
                  <c:v>103.60693488174709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'Quantification C'!$L$1</c:f>
              <c:strCache>
                <c:ptCount val="1"/>
                <c:pt idx="0">
                  <c:v>Carbone prairie (tCO₂/ha)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C'!$A$2:$A$34</c:f>
              <c:numCache>
                <c:formatCode>General</c:formatCode>
                <c:ptCount val="3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'Quantification C'!$L$2:$L$34</c:f>
              <c:numCache>
                <c:formatCode>0.0</c:formatCode>
                <c:ptCount val="33"/>
                <c:pt idx="0">
                  <c:v>18.333333333333332</c:v>
                </c:pt>
                <c:pt idx="1">
                  <c:v>18.333333333333332</c:v>
                </c:pt>
                <c:pt idx="2">
                  <c:v>18.333333333333332</c:v>
                </c:pt>
                <c:pt idx="3">
                  <c:v>18.333333333333332</c:v>
                </c:pt>
                <c:pt idx="4">
                  <c:v>18.333333333333332</c:v>
                </c:pt>
                <c:pt idx="5">
                  <c:v>18.333333333333332</c:v>
                </c:pt>
                <c:pt idx="6">
                  <c:v>18.333333333333332</c:v>
                </c:pt>
                <c:pt idx="7">
                  <c:v>18.333333333333332</c:v>
                </c:pt>
                <c:pt idx="8">
                  <c:v>18.333333333333332</c:v>
                </c:pt>
                <c:pt idx="9">
                  <c:v>18.333333333333332</c:v>
                </c:pt>
                <c:pt idx="10">
                  <c:v>18.333333333333332</c:v>
                </c:pt>
                <c:pt idx="11">
                  <c:v>18.333333333333332</c:v>
                </c:pt>
                <c:pt idx="12">
                  <c:v>18.333333333333332</c:v>
                </c:pt>
                <c:pt idx="13">
                  <c:v>18.333333333333332</c:v>
                </c:pt>
                <c:pt idx="14">
                  <c:v>18.333333333333332</c:v>
                </c:pt>
                <c:pt idx="15">
                  <c:v>18.333333333333332</c:v>
                </c:pt>
                <c:pt idx="16">
                  <c:v>18.333333333333332</c:v>
                </c:pt>
                <c:pt idx="17">
                  <c:v>18.333333333333332</c:v>
                </c:pt>
                <c:pt idx="18">
                  <c:v>18.333333333333332</c:v>
                </c:pt>
                <c:pt idx="19">
                  <c:v>18.333333333333332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180064"/>
        <c:axId val="241180624"/>
      </c:scatterChart>
      <c:valAx>
        <c:axId val="241180064"/>
        <c:scaling>
          <c:orientation val="minMax"/>
          <c:max val="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1180624"/>
        <c:crosses val="autoZero"/>
        <c:crossBetween val="midCat"/>
      </c:valAx>
      <c:valAx>
        <c:axId val="241180624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1180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508973540469601E-2"/>
          <c:y val="0.86699019187859905"/>
          <c:w val="0.9"/>
          <c:h val="0.1118359751797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952500</xdr:colOff>
      <xdr:row>18</xdr:row>
      <xdr:rowOff>100011</xdr:rowOff>
    </xdr:from>
    <xdr:to>
      <xdr:col>27</xdr:col>
      <xdr:colOff>66675</xdr:colOff>
      <xdr:row>41</xdr:row>
      <xdr:rowOff>104774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workbookViewId="0">
      <selection activeCell="H2" sqref="H2"/>
    </sheetView>
  </sheetViews>
  <sheetFormatPr baseColWidth="10" defaultRowHeight="15" x14ac:dyDescent="0.25"/>
  <cols>
    <col min="3" max="3" width="11.85546875" bestFit="1" customWidth="1"/>
  </cols>
  <sheetData>
    <row r="2" spans="1:9" ht="45" x14ac:dyDescent="0.25">
      <c r="A2" s="16" t="s">
        <v>27</v>
      </c>
      <c r="B2" s="16" t="s">
        <v>28</v>
      </c>
      <c r="C2" s="16" t="s">
        <v>29</v>
      </c>
      <c r="D2" s="16" t="s">
        <v>30</v>
      </c>
      <c r="E2" s="16" t="s">
        <v>31</v>
      </c>
      <c r="F2" s="16" t="s">
        <v>32</v>
      </c>
      <c r="G2" s="16" t="s">
        <v>33</v>
      </c>
      <c r="H2" s="16" t="s">
        <v>34</v>
      </c>
      <c r="I2" s="16" t="s">
        <v>35</v>
      </c>
    </row>
    <row r="3" spans="1:9" x14ac:dyDescent="0.25">
      <c r="A3" s="3">
        <v>22</v>
      </c>
      <c r="B3" s="8">
        <v>5.497787143782138</v>
      </c>
      <c r="C3" s="3" t="s">
        <v>36</v>
      </c>
      <c r="D3" s="3">
        <v>0</v>
      </c>
      <c r="E3" s="9">
        <v>8</v>
      </c>
      <c r="F3" s="8">
        <v>0</v>
      </c>
      <c r="G3" s="9">
        <v>0</v>
      </c>
      <c r="H3" s="9">
        <v>0</v>
      </c>
      <c r="I3" s="9">
        <v>0</v>
      </c>
    </row>
    <row r="4" spans="1:9" x14ac:dyDescent="0.25">
      <c r="A4" s="3">
        <v>22</v>
      </c>
      <c r="B4" s="8">
        <v>5.497787143782138</v>
      </c>
      <c r="C4" s="3" t="s">
        <v>36</v>
      </c>
      <c r="D4" s="3">
        <v>1</v>
      </c>
      <c r="E4" s="9">
        <v>11.15</v>
      </c>
      <c r="F4" s="8">
        <v>0</v>
      </c>
      <c r="G4" s="9">
        <v>0</v>
      </c>
      <c r="H4" s="9">
        <v>0</v>
      </c>
      <c r="I4" s="9">
        <v>0</v>
      </c>
    </row>
    <row r="5" spans="1:9" x14ac:dyDescent="0.25">
      <c r="A5" s="3">
        <v>22</v>
      </c>
      <c r="B5" s="8">
        <v>5.497787143782138</v>
      </c>
      <c r="C5" s="3" t="s">
        <v>36</v>
      </c>
      <c r="D5" s="3">
        <v>2</v>
      </c>
      <c r="E5" s="9">
        <v>18.89</v>
      </c>
      <c r="F5" s="8">
        <v>0</v>
      </c>
      <c r="G5" s="9">
        <v>0</v>
      </c>
      <c r="H5" s="9">
        <v>0</v>
      </c>
      <c r="I5" s="9">
        <v>0</v>
      </c>
    </row>
    <row r="6" spans="1:9" x14ac:dyDescent="0.25">
      <c r="A6" s="3">
        <v>22</v>
      </c>
      <c r="B6" s="8">
        <v>5.497787143782138</v>
      </c>
      <c r="C6" s="3" t="s">
        <v>36</v>
      </c>
      <c r="D6" s="3">
        <v>3</v>
      </c>
      <c r="E6" s="9">
        <v>29.26</v>
      </c>
      <c r="F6" s="8">
        <v>0</v>
      </c>
      <c r="G6" s="9">
        <v>0</v>
      </c>
      <c r="H6" s="9">
        <v>0</v>
      </c>
      <c r="I6" s="9">
        <v>0</v>
      </c>
    </row>
    <row r="7" spans="1:9" x14ac:dyDescent="0.25">
      <c r="A7" s="3">
        <v>22</v>
      </c>
      <c r="B7" s="8">
        <v>5.497787143782138</v>
      </c>
      <c r="C7" s="3" t="s">
        <v>36</v>
      </c>
      <c r="D7" s="3">
        <v>4</v>
      </c>
      <c r="E7" s="9">
        <v>40.94</v>
      </c>
      <c r="F7" s="8">
        <v>0</v>
      </c>
      <c r="G7" s="9">
        <v>0</v>
      </c>
      <c r="H7" s="9">
        <v>0</v>
      </c>
      <c r="I7" s="9">
        <v>0</v>
      </c>
    </row>
    <row r="8" spans="1:9" x14ac:dyDescent="0.25">
      <c r="A8" s="3">
        <v>22</v>
      </c>
      <c r="B8" s="8">
        <v>5.497787143782138</v>
      </c>
      <c r="C8" s="3" t="s">
        <v>36</v>
      </c>
      <c r="D8" s="3">
        <v>5</v>
      </c>
      <c r="E8" s="9">
        <v>53.03</v>
      </c>
      <c r="F8" s="8">
        <v>0</v>
      </c>
      <c r="G8" s="9">
        <v>0</v>
      </c>
      <c r="H8" s="9">
        <v>0</v>
      </c>
      <c r="I8" s="9">
        <v>0</v>
      </c>
    </row>
    <row r="9" spans="1:9" x14ac:dyDescent="0.25">
      <c r="A9" s="3">
        <v>22</v>
      </c>
      <c r="B9" s="8">
        <v>5.497787143782138</v>
      </c>
      <c r="C9" s="3" t="s">
        <v>36</v>
      </c>
      <c r="D9" s="3">
        <v>6</v>
      </c>
      <c r="E9" s="9">
        <v>64.94</v>
      </c>
      <c r="F9" s="8">
        <v>0.32</v>
      </c>
      <c r="G9" s="9">
        <v>4.08</v>
      </c>
      <c r="H9" s="9">
        <v>1.1424000000000001</v>
      </c>
      <c r="I9" s="9">
        <v>5.2224000000000004</v>
      </c>
    </row>
    <row r="10" spans="1:9" x14ac:dyDescent="0.25">
      <c r="A10" s="3">
        <v>22</v>
      </c>
      <c r="B10" s="8">
        <v>5.497787143782138</v>
      </c>
      <c r="C10" s="3" t="s">
        <v>36</v>
      </c>
      <c r="D10" s="3">
        <v>7</v>
      </c>
      <c r="E10" s="9">
        <v>76.3</v>
      </c>
      <c r="F10" s="8">
        <v>2.58</v>
      </c>
      <c r="G10" s="9">
        <v>22.44</v>
      </c>
      <c r="H10" s="9">
        <v>6.2832000000000008</v>
      </c>
      <c r="I10" s="9">
        <v>28.723200000000002</v>
      </c>
    </row>
    <row r="11" spans="1:9" x14ac:dyDescent="0.25">
      <c r="A11" s="3">
        <v>22</v>
      </c>
      <c r="B11" s="8">
        <v>5.497787143782138</v>
      </c>
      <c r="C11" s="3" t="s">
        <v>36</v>
      </c>
      <c r="D11" s="3">
        <v>8</v>
      </c>
      <c r="E11" s="9">
        <v>86.9</v>
      </c>
      <c r="F11" s="8">
        <v>4.6900000000000004</v>
      </c>
      <c r="G11" s="9">
        <v>46.92</v>
      </c>
      <c r="H11" s="9">
        <v>13.137600000000003</v>
      </c>
      <c r="I11" s="9">
        <v>60.057600000000008</v>
      </c>
    </row>
    <row r="12" spans="1:9" x14ac:dyDescent="0.25">
      <c r="A12" s="3">
        <v>22</v>
      </c>
      <c r="B12" s="8">
        <v>5.497787143782138</v>
      </c>
      <c r="C12" s="3" t="s">
        <v>36</v>
      </c>
      <c r="D12" s="3">
        <v>9</v>
      </c>
      <c r="E12" s="9">
        <v>96.64</v>
      </c>
      <c r="F12" s="8">
        <v>6.63</v>
      </c>
      <c r="G12" s="9">
        <v>75.48</v>
      </c>
      <c r="H12" s="9">
        <v>21.134400000000003</v>
      </c>
      <c r="I12" s="9">
        <v>96.614400000000003</v>
      </c>
    </row>
    <row r="13" spans="1:9" x14ac:dyDescent="0.25">
      <c r="A13" s="3">
        <v>22</v>
      </c>
      <c r="B13" s="8">
        <v>5.497787143782138</v>
      </c>
      <c r="C13" s="3" t="s">
        <v>36</v>
      </c>
      <c r="D13" s="3">
        <v>10</v>
      </c>
      <c r="E13" s="9">
        <v>105.46</v>
      </c>
      <c r="F13" s="8">
        <v>8.3800000000000008</v>
      </c>
      <c r="G13" s="9">
        <v>104.04</v>
      </c>
      <c r="H13" s="9">
        <v>29.131200000000003</v>
      </c>
      <c r="I13" s="9">
        <v>133.1712</v>
      </c>
    </row>
    <row r="14" spans="1:9" x14ac:dyDescent="0.25">
      <c r="A14" s="3">
        <v>22</v>
      </c>
      <c r="B14" s="8">
        <v>5.497787143782138</v>
      </c>
      <c r="C14" s="3" t="s">
        <v>36</v>
      </c>
      <c r="D14" s="3">
        <v>11</v>
      </c>
      <c r="E14" s="9">
        <v>113.4</v>
      </c>
      <c r="F14" s="8">
        <v>9.9600000000000009</v>
      </c>
      <c r="G14" s="9">
        <v>136.68</v>
      </c>
      <c r="H14" s="9">
        <v>38.270400000000002</v>
      </c>
      <c r="I14" s="9">
        <v>174.9504</v>
      </c>
    </row>
    <row r="15" spans="1:9" x14ac:dyDescent="0.25">
      <c r="A15" s="3">
        <v>22</v>
      </c>
      <c r="B15" s="8">
        <v>5.497787143782138</v>
      </c>
      <c r="C15" s="3" t="s">
        <v>36</v>
      </c>
      <c r="D15" s="3">
        <v>12</v>
      </c>
      <c r="E15" s="9">
        <v>120.47</v>
      </c>
      <c r="F15" s="8">
        <v>11.37</v>
      </c>
      <c r="G15" s="9">
        <v>167.28</v>
      </c>
      <c r="H15" s="9">
        <v>46.838400000000007</v>
      </c>
      <c r="I15" s="9">
        <v>214.11840000000001</v>
      </c>
    </row>
    <row r="16" spans="1:9" x14ac:dyDescent="0.25">
      <c r="A16" s="3">
        <v>22</v>
      </c>
      <c r="B16" s="8">
        <v>5.497787143782138</v>
      </c>
      <c r="C16" s="3" t="s">
        <v>36</v>
      </c>
      <c r="D16" s="3">
        <v>13</v>
      </c>
      <c r="E16" s="9">
        <v>126.74</v>
      </c>
      <c r="F16" s="8">
        <v>12.61</v>
      </c>
      <c r="G16" s="9">
        <v>199.92</v>
      </c>
      <c r="H16" s="9">
        <v>55.977600000000002</v>
      </c>
      <c r="I16" s="9">
        <v>255.89759999999998</v>
      </c>
    </row>
    <row r="17" spans="1:9" x14ac:dyDescent="0.25">
      <c r="A17" s="3">
        <v>22</v>
      </c>
      <c r="B17" s="8">
        <v>5.497787143782138</v>
      </c>
      <c r="C17" s="3" t="s">
        <v>36</v>
      </c>
      <c r="D17" s="3">
        <v>14</v>
      </c>
      <c r="E17" s="9">
        <v>132.27000000000001</v>
      </c>
      <c r="F17" s="8">
        <v>13.71</v>
      </c>
      <c r="G17" s="9">
        <v>228.48</v>
      </c>
      <c r="H17" s="9">
        <v>63.974400000000003</v>
      </c>
      <c r="I17" s="9">
        <v>292.45439999999996</v>
      </c>
    </row>
    <row r="18" spans="1:9" x14ac:dyDescent="0.25">
      <c r="A18" s="3">
        <v>22</v>
      </c>
      <c r="B18" s="8">
        <v>5.497787143782138</v>
      </c>
      <c r="C18" s="3" t="s">
        <v>36</v>
      </c>
      <c r="D18" s="3">
        <v>15</v>
      </c>
      <c r="E18" s="9">
        <v>137.13</v>
      </c>
      <c r="F18" s="8">
        <v>14.68</v>
      </c>
      <c r="G18" s="9">
        <v>257.04000000000002</v>
      </c>
      <c r="H18" s="9">
        <v>71.97120000000001</v>
      </c>
      <c r="I18" s="9">
        <v>329.01120000000003</v>
      </c>
    </row>
    <row r="19" spans="1:9" x14ac:dyDescent="0.25">
      <c r="A19" s="3">
        <v>22</v>
      </c>
      <c r="B19" s="8">
        <v>5.497787143782138</v>
      </c>
      <c r="C19" s="3" t="s">
        <v>36</v>
      </c>
      <c r="D19" s="3">
        <v>16</v>
      </c>
      <c r="E19" s="9">
        <v>141.38</v>
      </c>
      <c r="F19" s="8">
        <v>15.53</v>
      </c>
      <c r="G19" s="9">
        <v>283.56</v>
      </c>
      <c r="H19" s="9">
        <v>79.396800000000013</v>
      </c>
      <c r="I19" s="9">
        <v>362.95680000000004</v>
      </c>
    </row>
    <row r="20" spans="1:9" x14ac:dyDescent="0.25">
      <c r="A20" s="3">
        <v>22</v>
      </c>
      <c r="B20" s="8">
        <v>5.497787143782138</v>
      </c>
      <c r="C20" s="3" t="s">
        <v>36</v>
      </c>
      <c r="D20" s="3">
        <v>17</v>
      </c>
      <c r="E20" s="9">
        <v>145.1</v>
      </c>
      <c r="F20" s="8">
        <v>16.27</v>
      </c>
      <c r="G20" s="9">
        <v>310.08</v>
      </c>
      <c r="H20" s="9">
        <v>86.822400000000002</v>
      </c>
      <c r="I20" s="9">
        <v>396.9024</v>
      </c>
    </row>
    <row r="21" spans="1:9" x14ac:dyDescent="0.25">
      <c r="A21" s="3">
        <v>22</v>
      </c>
      <c r="B21" s="8">
        <v>5.497787143782138</v>
      </c>
      <c r="C21" s="3" t="s">
        <v>36</v>
      </c>
      <c r="D21" s="3">
        <v>18</v>
      </c>
      <c r="E21" s="9">
        <v>148.34</v>
      </c>
      <c r="F21" s="8">
        <v>16.91</v>
      </c>
      <c r="G21" s="9">
        <v>332.52</v>
      </c>
      <c r="H21" s="9">
        <v>93.10560000000001</v>
      </c>
      <c r="I21" s="9">
        <v>425.62559999999996</v>
      </c>
    </row>
    <row r="22" spans="1:9" x14ac:dyDescent="0.25">
      <c r="A22" s="3">
        <v>22</v>
      </c>
      <c r="B22" s="8">
        <v>5.497787143782138</v>
      </c>
      <c r="C22" s="3" t="s">
        <v>36</v>
      </c>
      <c r="D22" s="3">
        <v>19</v>
      </c>
      <c r="E22" s="9">
        <v>151.16</v>
      </c>
      <c r="F22" s="8">
        <v>17.48</v>
      </c>
      <c r="G22" s="9">
        <v>350.88</v>
      </c>
      <c r="H22" s="9">
        <v>98.246400000000008</v>
      </c>
      <c r="I22" s="9">
        <v>449.12639999999999</v>
      </c>
    </row>
    <row r="23" spans="1:9" x14ac:dyDescent="0.25">
      <c r="A23" s="3">
        <v>22</v>
      </c>
      <c r="B23" s="8">
        <v>5.497787143782138</v>
      </c>
      <c r="C23" s="3" t="s">
        <v>36</v>
      </c>
      <c r="D23" s="3">
        <v>20</v>
      </c>
      <c r="E23" s="9">
        <v>153.6</v>
      </c>
      <c r="F23" s="8">
        <v>17.96</v>
      </c>
      <c r="G23" s="9">
        <v>369.24</v>
      </c>
      <c r="H23" s="9">
        <v>103.38720000000001</v>
      </c>
      <c r="I23" s="9">
        <v>472.62720000000002</v>
      </c>
    </row>
    <row r="24" spans="1:9" x14ac:dyDescent="0.25">
      <c r="A24" s="3">
        <v>22</v>
      </c>
      <c r="B24" s="8">
        <v>5.497787143782138</v>
      </c>
      <c r="C24" s="3" t="s">
        <v>36</v>
      </c>
      <c r="D24" s="3">
        <v>21</v>
      </c>
      <c r="E24" s="9">
        <v>155.72</v>
      </c>
      <c r="F24" s="8">
        <v>18.38</v>
      </c>
      <c r="G24" s="9">
        <v>385.56</v>
      </c>
      <c r="H24" s="9">
        <v>107.95680000000002</v>
      </c>
      <c r="I24" s="9">
        <v>493.51679999999999</v>
      </c>
    </row>
    <row r="25" spans="1:9" x14ac:dyDescent="0.25">
      <c r="A25" s="3">
        <v>22</v>
      </c>
      <c r="B25" s="8">
        <v>5.497787143782138</v>
      </c>
      <c r="C25" s="3" t="s">
        <v>36</v>
      </c>
      <c r="D25" s="3">
        <v>22</v>
      </c>
      <c r="E25" s="9">
        <v>157.56</v>
      </c>
      <c r="F25" s="8">
        <v>18.739999999999998</v>
      </c>
      <c r="G25" s="9">
        <v>399.84</v>
      </c>
      <c r="H25" s="9">
        <v>111.9552</v>
      </c>
      <c r="I25" s="9">
        <v>511.79519999999997</v>
      </c>
    </row>
    <row r="26" spans="1:9" x14ac:dyDescent="0.25">
      <c r="A26" s="3">
        <v>22</v>
      </c>
      <c r="B26" s="8">
        <v>5.497787143782138</v>
      </c>
      <c r="C26" s="3" t="s">
        <v>36</v>
      </c>
      <c r="D26" s="3">
        <v>23</v>
      </c>
      <c r="E26" s="9">
        <v>159.15</v>
      </c>
      <c r="F26" s="8">
        <v>19.059999999999999</v>
      </c>
      <c r="G26" s="9">
        <v>414.12</v>
      </c>
      <c r="H26" s="9">
        <v>115.95360000000001</v>
      </c>
      <c r="I26" s="9">
        <v>530.07360000000006</v>
      </c>
    </row>
    <row r="27" spans="1:9" x14ac:dyDescent="0.25">
      <c r="A27" s="3">
        <v>22</v>
      </c>
      <c r="B27" s="8">
        <v>5.497787143782138</v>
      </c>
      <c r="C27" s="3" t="s">
        <v>36</v>
      </c>
      <c r="D27" s="3">
        <v>24</v>
      </c>
      <c r="E27" s="9">
        <v>160.53</v>
      </c>
      <c r="F27" s="8">
        <v>19.34</v>
      </c>
      <c r="G27" s="9">
        <v>424.32</v>
      </c>
      <c r="H27" s="9">
        <v>118.8096</v>
      </c>
      <c r="I27" s="9">
        <v>543.12959999999998</v>
      </c>
    </row>
    <row r="28" spans="1:9" x14ac:dyDescent="0.25">
      <c r="A28" s="3">
        <v>22</v>
      </c>
      <c r="B28" s="8">
        <v>5.497787143782138</v>
      </c>
      <c r="C28" s="3" t="s">
        <v>36</v>
      </c>
      <c r="D28" s="3">
        <v>25</v>
      </c>
      <c r="E28" s="9">
        <v>161.72</v>
      </c>
      <c r="F28" s="8">
        <v>19.579999999999998</v>
      </c>
      <c r="G28" s="9">
        <v>434.52</v>
      </c>
      <c r="H28" s="9">
        <v>121.66560000000001</v>
      </c>
      <c r="I28" s="9">
        <v>556.18560000000002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H1" workbookViewId="0">
      <selection activeCell="U12" sqref="U12"/>
    </sheetView>
  </sheetViews>
  <sheetFormatPr baseColWidth="10" defaultRowHeight="15" x14ac:dyDescent="0.25"/>
  <cols>
    <col min="1" max="1" width="7.7109375" bestFit="1" customWidth="1"/>
    <col min="2" max="2" width="6.5703125" bestFit="1" customWidth="1"/>
    <col min="3" max="3" width="6.7109375" bestFit="1" customWidth="1"/>
    <col min="4" max="6" width="7.85546875" bestFit="1" customWidth="1"/>
    <col min="7" max="7" width="9.42578125" bestFit="1" customWidth="1"/>
    <col min="8" max="8" width="11.28515625" bestFit="1" customWidth="1"/>
    <col min="9" max="10" width="11" bestFit="1" customWidth="1"/>
    <col min="11" max="11" width="9.85546875" bestFit="1" customWidth="1"/>
    <col min="13" max="13" width="7.7109375" bestFit="1" customWidth="1"/>
    <col min="16" max="16" width="7.28515625" bestFit="1" customWidth="1"/>
    <col min="17" max="17" width="9.7109375" bestFit="1" customWidth="1"/>
    <col min="18" max="19" width="9.7109375" customWidth="1"/>
    <col min="20" max="20" width="25" bestFit="1" customWidth="1"/>
  </cols>
  <sheetData>
    <row r="1" spans="1:22" ht="75" x14ac:dyDescent="0.25">
      <c r="A1" s="5" t="s">
        <v>2</v>
      </c>
      <c r="B1" s="5" t="s">
        <v>0</v>
      </c>
      <c r="C1" s="5" t="s">
        <v>1</v>
      </c>
      <c r="D1" s="6" t="s">
        <v>7</v>
      </c>
      <c r="E1" s="6" t="s">
        <v>6</v>
      </c>
      <c r="F1" s="6" t="s">
        <v>5</v>
      </c>
      <c r="G1" s="6" t="s">
        <v>8</v>
      </c>
      <c r="H1" s="6" t="s">
        <v>3</v>
      </c>
      <c r="I1" s="6" t="s">
        <v>4</v>
      </c>
      <c r="J1" s="6" t="s">
        <v>9</v>
      </c>
      <c r="K1" s="6" t="s">
        <v>10</v>
      </c>
      <c r="L1" s="6" t="s">
        <v>11</v>
      </c>
      <c r="M1" s="5" t="s">
        <v>2</v>
      </c>
      <c r="N1" s="6" t="s">
        <v>25</v>
      </c>
      <c r="O1" s="6" t="s">
        <v>26</v>
      </c>
      <c r="P1" s="6" t="s">
        <v>23</v>
      </c>
      <c r="Q1" s="6" t="s">
        <v>24</v>
      </c>
      <c r="R1" s="6" t="s">
        <v>38</v>
      </c>
      <c r="S1" s="6"/>
    </row>
    <row r="2" spans="1:22" x14ac:dyDescent="0.25">
      <c r="A2" s="3">
        <v>0</v>
      </c>
      <c r="B2" s="3">
        <v>8</v>
      </c>
      <c r="C2" s="8">
        <f>B2/PI()</f>
        <v>2.5464790894703255</v>
      </c>
      <c r="D2" s="3">
        <v>0</v>
      </c>
      <c r="E2" s="3">
        <v>0</v>
      </c>
      <c r="F2" s="4">
        <f>204*4*(0.01*B2)^2/(4*PI()*(1-1.3/4)^2)*(0.522+0.661*SQRT(0.01*B2)/4-0.002*4/(0.01*B2))</f>
        <v>0.42754764119001226</v>
      </c>
      <c r="G2" s="7">
        <f t="shared" ref="G2:G21" si="0">F2*0.326</f>
        <v>0.13938053102794401</v>
      </c>
      <c r="H2" s="2">
        <f>IF(G2=0,0,G2+EXP(-1.0587+0.8836*LN(G2)+0.284))</f>
        <v>0.22017266019370263</v>
      </c>
      <c r="I2" s="2">
        <f>H2*0.475</f>
        <v>0.10458201359200875</v>
      </c>
      <c r="J2" s="2">
        <f>I2*44/12</f>
        <v>0.38346738317069873</v>
      </c>
      <c r="K2" s="7">
        <f>AVERAGE($J$2:$J$33)</f>
        <v>103.60693488174709</v>
      </c>
      <c r="L2" s="7">
        <f>5*44/12</f>
        <v>18.333333333333332</v>
      </c>
      <c r="M2" s="3">
        <v>0</v>
      </c>
      <c r="N2" s="4"/>
      <c r="O2" s="4"/>
      <c r="P2" s="1">
        <v>0</v>
      </c>
      <c r="Q2" s="3">
        <v>0</v>
      </c>
      <c r="R2" s="3">
        <f>P2+Q2</f>
        <v>0</v>
      </c>
      <c r="S2" s="3"/>
      <c r="T2" s="3" t="s">
        <v>12</v>
      </c>
      <c r="U2" s="4">
        <f>AVERAGE(J2:J20)</f>
        <v>109.05993145447061</v>
      </c>
    </row>
    <row r="3" spans="1:22" x14ac:dyDescent="0.25">
      <c r="A3" s="3">
        <v>1</v>
      </c>
      <c r="B3" s="3">
        <v>10.1</v>
      </c>
      <c r="C3" s="8">
        <f t="shared" ref="C3:C20" si="1">B3/PI()</f>
        <v>3.214929850456286</v>
      </c>
      <c r="D3" s="3">
        <v>0</v>
      </c>
      <c r="E3" s="3">
        <v>0</v>
      </c>
      <c r="F3" s="8">
        <f>$F$2+(A3-$A$2)*($F$8-$F$2)/($A$8-$A$2)</f>
        <v>4.4697836924485816</v>
      </c>
      <c r="G3" s="7">
        <f t="shared" si="0"/>
        <v>1.4571494837382377</v>
      </c>
      <c r="H3" s="7">
        <f t="shared" ref="H3:H21" si="2">IF(G3=0,0,G3+EXP(-1.0587+0.8836*LN(G3)+0.284))</f>
        <v>2.099873152793382</v>
      </c>
      <c r="I3" s="7">
        <f t="shared" ref="I3:I21" si="3">H3*0.475</f>
        <v>0.99743974757685638</v>
      </c>
      <c r="J3" s="7">
        <f t="shared" ref="J3:J21" si="4">I3*44/12</f>
        <v>3.6572790744484736</v>
      </c>
      <c r="K3" s="7">
        <f t="shared" ref="K3:K21" si="5">AVERAGE($J$2:$J$33)</f>
        <v>103.60693488174709</v>
      </c>
      <c r="L3" s="7">
        <f t="shared" ref="L3:L21" si="6">5*44/12</f>
        <v>18.333333333333332</v>
      </c>
      <c r="M3" s="3">
        <v>1</v>
      </c>
      <c r="N3" s="8"/>
      <c r="O3" s="8"/>
      <c r="P3" s="7">
        <f t="shared" ref="P3:P22" si="7">EXP(-LN(2)/35)*P2+(1-EXP(-LN(2)/35))/(LN(2)/35)*N3*0.326*0.475*44/12</f>
        <v>0</v>
      </c>
      <c r="Q3" s="8">
        <f t="shared" ref="Q3:Q21" si="8">EXP(-LN(2)/25)*Q2+(1-EXP(-LN(2)/25))/(LN(2)/25)*O3*0.326*0.475*44/12</f>
        <v>0</v>
      </c>
      <c r="R3" s="3">
        <f t="shared" ref="R3:R32" si="9">P3+Q3</f>
        <v>0</v>
      </c>
      <c r="S3" s="3"/>
      <c r="T3" s="3" t="s">
        <v>13</v>
      </c>
      <c r="U3" s="8">
        <f>L2</f>
        <v>18.333333333333332</v>
      </c>
    </row>
    <row r="4" spans="1:22" x14ac:dyDescent="0.25">
      <c r="A4" s="3">
        <v>2</v>
      </c>
      <c r="B4" s="3">
        <v>16.5</v>
      </c>
      <c r="C4" s="8">
        <f t="shared" si="1"/>
        <v>5.2521131220325463</v>
      </c>
      <c r="D4" s="3">
        <v>0</v>
      </c>
      <c r="E4" s="3">
        <v>0</v>
      </c>
      <c r="F4" s="8">
        <f t="shared" ref="F4:F6" si="10">$F$2+(A4-$A$2)*($F$8-$F$2)/($A$8-$A$2)</f>
        <v>8.5120197437071514</v>
      </c>
      <c r="G4" s="7">
        <f t="shared" si="0"/>
        <v>2.7749184364485315</v>
      </c>
      <c r="H4" s="7">
        <f t="shared" si="2"/>
        <v>3.9104728807420219</v>
      </c>
      <c r="I4" s="7">
        <f t="shared" si="3"/>
        <v>1.8574746183524604</v>
      </c>
      <c r="J4" s="7">
        <f t="shared" si="4"/>
        <v>6.8107402672923554</v>
      </c>
      <c r="K4" s="7">
        <f t="shared" si="5"/>
        <v>103.60693488174709</v>
      </c>
      <c r="L4" s="7">
        <f t="shared" si="6"/>
        <v>18.333333333333332</v>
      </c>
      <c r="M4" s="3">
        <v>2</v>
      </c>
      <c r="N4" s="8"/>
      <c r="O4" s="8"/>
      <c r="P4" s="7">
        <f t="shared" si="7"/>
        <v>0</v>
      </c>
      <c r="Q4" s="8">
        <f t="shared" si="8"/>
        <v>0</v>
      </c>
      <c r="R4" s="3">
        <f t="shared" si="9"/>
        <v>0</v>
      </c>
      <c r="S4" s="3"/>
      <c r="T4" s="5" t="s">
        <v>19</v>
      </c>
      <c r="U4" s="11">
        <f>U2-U3</f>
        <v>90.726598121137286</v>
      </c>
    </row>
    <row r="5" spans="1:22" x14ac:dyDescent="0.25">
      <c r="A5" s="3">
        <v>3</v>
      </c>
      <c r="B5" s="3">
        <v>25.9</v>
      </c>
      <c r="C5" s="8">
        <f t="shared" si="1"/>
        <v>8.2442260521601778</v>
      </c>
      <c r="D5" s="3">
        <v>0</v>
      </c>
      <c r="E5" s="3">
        <v>0</v>
      </c>
      <c r="F5" s="8">
        <f t="shared" si="10"/>
        <v>12.554255794965721</v>
      </c>
      <c r="G5" s="7">
        <f t="shared" si="0"/>
        <v>4.0926873891588249</v>
      </c>
      <c r="H5" s="7">
        <f t="shared" si="2"/>
        <v>5.693434918653157</v>
      </c>
      <c r="I5" s="7">
        <f t="shared" si="3"/>
        <v>2.7043815863602494</v>
      </c>
      <c r="J5" s="7">
        <f t="shared" si="4"/>
        <v>9.9160658166542479</v>
      </c>
      <c r="K5" s="7">
        <f t="shared" si="5"/>
        <v>103.60693488174709</v>
      </c>
      <c r="L5" s="7">
        <f t="shared" si="6"/>
        <v>18.333333333333332</v>
      </c>
      <c r="M5" s="3">
        <v>3</v>
      </c>
      <c r="N5" s="8"/>
      <c r="O5" s="8"/>
      <c r="P5" s="7">
        <f t="shared" si="7"/>
        <v>0</v>
      </c>
      <c r="Q5" s="8">
        <f t="shared" si="8"/>
        <v>0</v>
      </c>
      <c r="R5" s="3">
        <f t="shared" si="9"/>
        <v>0</v>
      </c>
      <c r="S5" s="3"/>
      <c r="T5" s="5" t="s">
        <v>14</v>
      </c>
      <c r="U5" s="5">
        <v>0</v>
      </c>
      <c r="V5" t="s">
        <v>15</v>
      </c>
    </row>
    <row r="6" spans="1:22" x14ac:dyDescent="0.25">
      <c r="A6" s="3">
        <v>4</v>
      </c>
      <c r="B6" s="3">
        <v>37</v>
      </c>
      <c r="C6" s="8">
        <f t="shared" si="1"/>
        <v>11.777465788800255</v>
      </c>
      <c r="D6" s="3">
        <v>0</v>
      </c>
      <c r="E6" s="3">
        <v>0</v>
      </c>
      <c r="F6" s="8">
        <f t="shared" si="10"/>
        <v>16.596491846224293</v>
      </c>
      <c r="G6" s="7">
        <f t="shared" si="0"/>
        <v>5.4104563418691196</v>
      </c>
      <c r="H6" s="7">
        <f t="shared" si="2"/>
        <v>7.4589637376403584</v>
      </c>
      <c r="I6" s="7">
        <f t="shared" si="3"/>
        <v>3.54300777537917</v>
      </c>
      <c r="J6" s="7">
        <f t="shared" si="4"/>
        <v>12.991028509723625</v>
      </c>
      <c r="K6" s="7">
        <f t="shared" si="5"/>
        <v>103.60693488174709</v>
      </c>
      <c r="L6" s="7">
        <f t="shared" si="6"/>
        <v>18.333333333333332</v>
      </c>
      <c r="M6" s="3">
        <v>4</v>
      </c>
      <c r="N6" s="8"/>
      <c r="O6" s="8"/>
      <c r="P6" s="7">
        <f t="shared" si="7"/>
        <v>0</v>
      </c>
      <c r="Q6" s="8">
        <f t="shared" si="8"/>
        <v>0</v>
      </c>
      <c r="R6" s="3">
        <f t="shared" si="9"/>
        <v>0</v>
      </c>
      <c r="S6" s="3"/>
      <c r="T6" s="5" t="s">
        <v>16</v>
      </c>
      <c r="U6" s="11">
        <f>30*10/30*44/12</f>
        <v>36.666666666666664</v>
      </c>
      <c r="V6" t="s">
        <v>37</v>
      </c>
    </row>
    <row r="7" spans="1:22" x14ac:dyDescent="0.25">
      <c r="A7" s="3">
        <v>5</v>
      </c>
      <c r="B7" s="8">
        <v>48.9</v>
      </c>
      <c r="C7" s="8">
        <f t="shared" si="1"/>
        <v>15.565353434387363</v>
      </c>
      <c r="D7" s="3">
        <v>0</v>
      </c>
      <c r="E7" s="3">
        <v>0</v>
      </c>
      <c r="F7" s="8">
        <f>$F$2+(A7-$A$2)*($F$8-$F$2)/($A$8-$A$2)</f>
        <v>20.638727897482863</v>
      </c>
      <c r="G7" s="7">
        <f t="shared" si="0"/>
        <v>6.7282252945794134</v>
      </c>
      <c r="H7" s="7">
        <f t="shared" si="2"/>
        <v>9.211844268855959</v>
      </c>
      <c r="I7" s="7">
        <f t="shared" si="3"/>
        <v>4.3756260277065806</v>
      </c>
      <c r="J7" s="7">
        <f t="shared" si="4"/>
        <v>16.043962101590797</v>
      </c>
      <c r="K7" s="7">
        <f t="shared" si="5"/>
        <v>103.60693488174709</v>
      </c>
      <c r="L7" s="7">
        <f t="shared" si="6"/>
        <v>18.333333333333332</v>
      </c>
      <c r="M7" s="3">
        <v>5</v>
      </c>
      <c r="N7" s="8"/>
      <c r="O7" s="8"/>
      <c r="P7" s="7">
        <f t="shared" si="7"/>
        <v>0</v>
      </c>
      <c r="Q7" s="8">
        <f t="shared" si="8"/>
        <v>0</v>
      </c>
      <c r="R7" s="3">
        <f t="shared" si="9"/>
        <v>0</v>
      </c>
      <c r="S7" s="3"/>
      <c r="T7" s="5" t="s">
        <v>17</v>
      </c>
      <c r="U7" s="5">
        <v>0</v>
      </c>
    </row>
    <row r="8" spans="1:22" x14ac:dyDescent="0.25">
      <c r="A8" s="3">
        <v>6</v>
      </c>
      <c r="B8" s="8">
        <v>60.9</v>
      </c>
      <c r="C8" s="8">
        <f t="shared" si="1"/>
        <v>19.385072068592851</v>
      </c>
      <c r="D8" s="10">
        <v>4.08</v>
      </c>
      <c r="E8" s="10">
        <v>1.1424000000000001</v>
      </c>
      <c r="F8" s="8">
        <f t="shared" ref="F8" si="11">$F$2+(A8-$A$2)*($F$9-$F$2)/($A$9-$A$2)</f>
        <v>24.680963948741432</v>
      </c>
      <c r="G8" s="7">
        <f t="shared" si="0"/>
        <v>8.0459942472897072</v>
      </c>
      <c r="H8" s="7">
        <f t="shared" si="2"/>
        <v>10.954850789714593</v>
      </c>
      <c r="I8" s="7">
        <f t="shared" si="3"/>
        <v>5.2035541251144313</v>
      </c>
      <c r="J8" s="7">
        <f t="shared" si="4"/>
        <v>19.079698458752915</v>
      </c>
      <c r="K8" s="7">
        <f t="shared" si="5"/>
        <v>103.60693488174709</v>
      </c>
      <c r="L8" s="7">
        <f t="shared" si="6"/>
        <v>18.333333333333332</v>
      </c>
      <c r="M8" s="3">
        <v>6</v>
      </c>
      <c r="N8" s="8"/>
      <c r="O8" s="8"/>
      <c r="P8" s="7">
        <f t="shared" si="7"/>
        <v>0</v>
      </c>
      <c r="Q8" s="8">
        <f t="shared" si="8"/>
        <v>0</v>
      </c>
      <c r="R8" s="3">
        <f t="shared" si="9"/>
        <v>0</v>
      </c>
      <c r="S8" s="3"/>
      <c r="T8" s="14" t="s">
        <v>18</v>
      </c>
      <c r="U8" s="15">
        <f>SUM(U4:U7)</f>
        <v>127.39326478780396</v>
      </c>
    </row>
    <row r="9" spans="1:22" x14ac:dyDescent="0.25">
      <c r="A9" s="3">
        <v>7</v>
      </c>
      <c r="B9" s="8">
        <v>72.616</v>
      </c>
      <c r="C9" s="8">
        <f t="shared" si="1"/>
        <v>23.114390695122143</v>
      </c>
      <c r="D9" s="10">
        <v>22.44</v>
      </c>
      <c r="E9" s="10">
        <v>6.2832000000000008</v>
      </c>
      <c r="F9" s="8">
        <f t="shared" ref="F9:F20" si="12">D9+E9</f>
        <v>28.723200000000002</v>
      </c>
      <c r="G9" s="7">
        <f t="shared" si="0"/>
        <v>9.3637632000000011</v>
      </c>
      <c r="H9" s="7">
        <f t="shared" si="2"/>
        <v>12.689789339212812</v>
      </c>
      <c r="I9" s="7">
        <f t="shared" si="3"/>
        <v>6.0276499361260854</v>
      </c>
      <c r="J9" s="7">
        <f t="shared" si="4"/>
        <v>22.101383099128981</v>
      </c>
      <c r="K9" s="7">
        <f t="shared" si="5"/>
        <v>103.60693488174709</v>
      </c>
      <c r="L9" s="7">
        <f t="shared" si="6"/>
        <v>18.333333333333332</v>
      </c>
      <c r="M9" s="3">
        <v>7</v>
      </c>
      <c r="N9" s="3"/>
      <c r="O9" s="3"/>
      <c r="P9" s="7">
        <f t="shared" si="7"/>
        <v>0</v>
      </c>
      <c r="Q9" s="8">
        <f t="shared" si="8"/>
        <v>0</v>
      </c>
      <c r="R9" s="3">
        <f t="shared" si="9"/>
        <v>0</v>
      </c>
      <c r="S9" s="3"/>
      <c r="T9" s="3" t="s">
        <v>21</v>
      </c>
      <c r="U9" s="7">
        <f>F20</f>
        <v>425.62559999999996</v>
      </c>
    </row>
    <row r="10" spans="1:22" x14ac:dyDescent="0.25">
      <c r="A10" s="3">
        <v>8</v>
      </c>
      <c r="B10" s="8">
        <v>83.539000000000001</v>
      </c>
      <c r="C10" s="8">
        <f t="shared" si="1"/>
        <v>26.591289581907692</v>
      </c>
      <c r="D10" s="10">
        <v>46.92</v>
      </c>
      <c r="E10" s="10">
        <v>13.137600000000003</v>
      </c>
      <c r="F10" s="8">
        <f t="shared" si="12"/>
        <v>60.057600000000008</v>
      </c>
      <c r="G10" s="7">
        <f t="shared" si="0"/>
        <v>19.578777600000002</v>
      </c>
      <c r="H10" s="7">
        <f t="shared" si="2"/>
        <v>25.961027384165114</v>
      </c>
      <c r="I10" s="7">
        <f t="shared" si="3"/>
        <v>12.331488007478429</v>
      </c>
      <c r="J10" s="7">
        <f t="shared" si="4"/>
        <v>45.215456027420906</v>
      </c>
      <c r="K10" s="7">
        <f t="shared" si="5"/>
        <v>103.60693488174709</v>
      </c>
      <c r="L10" s="7">
        <f t="shared" si="6"/>
        <v>18.333333333333332</v>
      </c>
      <c r="M10" s="3">
        <v>8</v>
      </c>
      <c r="N10" s="3"/>
      <c r="O10" s="3"/>
      <c r="P10" s="7">
        <f t="shared" si="7"/>
        <v>0</v>
      </c>
      <c r="Q10" s="8">
        <f t="shared" si="8"/>
        <v>0</v>
      </c>
      <c r="R10" s="3">
        <f t="shared" si="9"/>
        <v>0</v>
      </c>
      <c r="S10" s="3"/>
      <c r="T10" s="3" t="s">
        <v>22</v>
      </c>
      <c r="U10" s="1">
        <v>1.03</v>
      </c>
    </row>
    <row r="11" spans="1:22" x14ac:dyDescent="0.25">
      <c r="A11" s="3">
        <v>9</v>
      </c>
      <c r="B11" s="8">
        <v>93.765000000000001</v>
      </c>
      <c r="C11" s="8">
        <f t="shared" si="1"/>
        <v>29.846326478023133</v>
      </c>
      <c r="D11" s="10">
        <v>75.48</v>
      </c>
      <c r="E11" s="10">
        <v>21.134400000000003</v>
      </c>
      <c r="F11" s="8">
        <f t="shared" si="12"/>
        <v>96.614400000000003</v>
      </c>
      <c r="G11" s="7">
        <f t="shared" si="0"/>
        <v>31.496294400000004</v>
      </c>
      <c r="H11" s="7">
        <f t="shared" si="2"/>
        <v>41.21065285746694</v>
      </c>
      <c r="I11" s="7">
        <f t="shared" si="3"/>
        <v>19.575060107296796</v>
      </c>
      <c r="J11" s="7">
        <f t="shared" si="4"/>
        <v>71.775220393421577</v>
      </c>
      <c r="K11" s="7">
        <f t="shared" si="5"/>
        <v>103.60693488174709</v>
      </c>
      <c r="L11" s="7">
        <f t="shared" si="6"/>
        <v>18.333333333333332</v>
      </c>
      <c r="M11" s="3">
        <v>9</v>
      </c>
      <c r="N11" s="3"/>
      <c r="O11" s="3"/>
      <c r="P11" s="7">
        <f t="shared" si="7"/>
        <v>0</v>
      </c>
      <c r="Q11" s="8">
        <f t="shared" si="8"/>
        <v>0</v>
      </c>
      <c r="R11" s="3">
        <f t="shared" si="9"/>
        <v>0</v>
      </c>
      <c r="S11" s="3"/>
      <c r="T11" s="12" t="s">
        <v>39</v>
      </c>
      <c r="U11" s="13">
        <f>U9*U10</f>
        <v>438.39436799999999</v>
      </c>
    </row>
    <row r="12" spans="1:22" x14ac:dyDescent="0.25">
      <c r="A12" s="3">
        <v>10</v>
      </c>
      <c r="B12" s="8">
        <v>103.096</v>
      </c>
      <c r="C12" s="8">
        <f t="shared" si="1"/>
        <v>32.816476026004082</v>
      </c>
      <c r="D12" s="10">
        <v>104.04</v>
      </c>
      <c r="E12" s="10">
        <v>29.131200000000003</v>
      </c>
      <c r="F12" s="8">
        <f t="shared" si="12"/>
        <v>133.1712</v>
      </c>
      <c r="G12" s="7">
        <f t="shared" si="0"/>
        <v>43.413811199999998</v>
      </c>
      <c r="H12" s="7">
        <f t="shared" si="2"/>
        <v>56.312931378494355</v>
      </c>
      <c r="I12" s="7">
        <f t="shared" si="3"/>
        <v>26.748642404784817</v>
      </c>
      <c r="J12" s="7">
        <f t="shared" si="4"/>
        <v>98.078355484210988</v>
      </c>
      <c r="K12" s="7">
        <f t="shared" si="5"/>
        <v>103.60693488174709</v>
      </c>
      <c r="L12" s="7">
        <f t="shared" si="6"/>
        <v>18.333333333333332</v>
      </c>
      <c r="M12" s="3">
        <v>10</v>
      </c>
      <c r="N12" s="3"/>
      <c r="O12" s="3"/>
      <c r="P12" s="7">
        <f t="shared" si="7"/>
        <v>0</v>
      </c>
      <c r="Q12" s="8">
        <f t="shared" si="8"/>
        <v>0</v>
      </c>
      <c r="R12" s="3">
        <f t="shared" si="9"/>
        <v>0</v>
      </c>
      <c r="S12" s="3"/>
      <c r="T12" s="12" t="s">
        <v>20</v>
      </c>
      <c r="U12" s="13">
        <f>AVERAGE(R2:R32)</f>
        <v>82.455684586882668</v>
      </c>
    </row>
    <row r="13" spans="1:22" x14ac:dyDescent="0.25">
      <c r="A13" s="3">
        <v>11</v>
      </c>
      <c r="B13" s="8">
        <v>111.3129</v>
      </c>
      <c r="C13" s="8">
        <f t="shared" si="1"/>
        <v>35.431996529787675</v>
      </c>
      <c r="D13" s="10">
        <v>136.68</v>
      </c>
      <c r="E13" s="10">
        <v>38.270400000000002</v>
      </c>
      <c r="F13" s="8">
        <f t="shared" si="12"/>
        <v>174.9504</v>
      </c>
      <c r="G13" s="7">
        <f t="shared" si="0"/>
        <v>57.033830399999999</v>
      </c>
      <c r="H13" s="7">
        <f t="shared" si="2"/>
        <v>73.44996018958652</v>
      </c>
      <c r="I13" s="7">
        <f t="shared" si="3"/>
        <v>34.888731090053597</v>
      </c>
      <c r="J13" s="7">
        <f t="shared" si="4"/>
        <v>127.92534733019652</v>
      </c>
      <c r="K13" s="7">
        <f t="shared" si="5"/>
        <v>103.60693488174709</v>
      </c>
      <c r="L13" s="7">
        <f t="shared" si="6"/>
        <v>18.333333333333332</v>
      </c>
      <c r="M13" s="3">
        <v>11</v>
      </c>
      <c r="N13" s="3"/>
      <c r="O13" s="3"/>
      <c r="P13" s="7">
        <f t="shared" si="7"/>
        <v>0</v>
      </c>
      <c r="Q13" s="8">
        <f t="shared" si="8"/>
        <v>0</v>
      </c>
      <c r="R13" s="3">
        <f t="shared" si="9"/>
        <v>0</v>
      </c>
      <c r="S13" s="3"/>
    </row>
    <row r="14" spans="1:22" x14ac:dyDescent="0.25">
      <c r="A14" s="3">
        <v>12</v>
      </c>
      <c r="B14" s="8">
        <v>118.7159</v>
      </c>
      <c r="C14" s="8">
        <f t="shared" si="1"/>
        <v>37.788444617206281</v>
      </c>
      <c r="D14" s="10">
        <v>167.28</v>
      </c>
      <c r="E14" s="10">
        <v>46.838400000000007</v>
      </c>
      <c r="F14" s="8">
        <f t="shared" si="12"/>
        <v>214.11840000000001</v>
      </c>
      <c r="G14" s="7">
        <f t="shared" si="0"/>
        <v>69.802598400000008</v>
      </c>
      <c r="H14" s="7">
        <f t="shared" si="2"/>
        <v>89.427026142621315</v>
      </c>
      <c r="I14" s="7">
        <f t="shared" si="3"/>
        <v>42.477837417745121</v>
      </c>
      <c r="J14" s="7">
        <f t="shared" si="4"/>
        <v>155.7520705317321</v>
      </c>
      <c r="K14" s="7">
        <f t="shared" si="5"/>
        <v>103.60693488174709</v>
      </c>
      <c r="L14" s="7">
        <f t="shared" si="6"/>
        <v>18.333333333333332</v>
      </c>
      <c r="M14" s="3">
        <v>12</v>
      </c>
      <c r="N14" s="3"/>
      <c r="O14" s="3"/>
      <c r="P14" s="7">
        <f t="shared" si="7"/>
        <v>0</v>
      </c>
      <c r="Q14" s="8">
        <f t="shared" si="8"/>
        <v>0</v>
      </c>
      <c r="R14" s="3">
        <f t="shared" si="9"/>
        <v>0</v>
      </c>
      <c r="S14" s="3"/>
      <c r="T14" s="3"/>
    </row>
    <row r="15" spans="1:22" x14ac:dyDescent="0.25">
      <c r="A15" s="3">
        <v>13</v>
      </c>
      <c r="B15" s="8">
        <v>125.4192</v>
      </c>
      <c r="C15" s="8">
        <f t="shared" si="1"/>
        <v>39.92217127726208</v>
      </c>
      <c r="D15" s="10">
        <v>199.92</v>
      </c>
      <c r="E15" s="10">
        <v>55.977600000000002</v>
      </c>
      <c r="F15" s="8">
        <f t="shared" si="12"/>
        <v>255.89759999999998</v>
      </c>
      <c r="G15" s="7">
        <f t="shared" si="0"/>
        <v>83.422617599999995</v>
      </c>
      <c r="H15" s="7">
        <f t="shared" si="2"/>
        <v>106.39459825529251</v>
      </c>
      <c r="I15" s="7">
        <f t="shared" si="3"/>
        <v>50.537434171263939</v>
      </c>
      <c r="J15" s="7">
        <f t="shared" si="4"/>
        <v>185.30392529463447</v>
      </c>
      <c r="K15" s="7">
        <f t="shared" si="5"/>
        <v>103.60693488174709</v>
      </c>
      <c r="L15" s="7">
        <f t="shared" si="6"/>
        <v>18.333333333333332</v>
      </c>
      <c r="M15" s="3">
        <v>13</v>
      </c>
      <c r="N15" s="3"/>
      <c r="O15" s="3"/>
      <c r="P15" s="7">
        <f t="shared" si="7"/>
        <v>0</v>
      </c>
      <c r="Q15" s="8">
        <f t="shared" si="8"/>
        <v>0</v>
      </c>
      <c r="R15" s="3">
        <f t="shared" si="9"/>
        <v>0</v>
      </c>
      <c r="S15" s="3"/>
    </row>
    <row r="16" spans="1:22" x14ac:dyDescent="0.25">
      <c r="A16" s="3">
        <v>14</v>
      </c>
      <c r="B16" s="8">
        <v>131.22219999999999</v>
      </c>
      <c r="C16" s="8">
        <f t="shared" si="1"/>
        <v>41.769323546786616</v>
      </c>
      <c r="D16" s="10">
        <v>228.48</v>
      </c>
      <c r="E16" s="10">
        <v>63.974400000000003</v>
      </c>
      <c r="F16" s="8">
        <f t="shared" si="12"/>
        <v>292.45439999999996</v>
      </c>
      <c r="G16" s="7">
        <f t="shared" si="0"/>
        <v>95.340134399999997</v>
      </c>
      <c r="H16" s="7">
        <f t="shared" si="2"/>
        <v>121.18891892204934</v>
      </c>
      <c r="I16" s="7">
        <f t="shared" si="3"/>
        <v>57.564736487973434</v>
      </c>
      <c r="J16" s="7">
        <f t="shared" si="4"/>
        <v>211.0707004559026</v>
      </c>
      <c r="K16" s="7">
        <f t="shared" si="5"/>
        <v>103.60693488174709</v>
      </c>
      <c r="L16" s="7">
        <f t="shared" si="6"/>
        <v>18.333333333333332</v>
      </c>
      <c r="M16" s="3">
        <v>14</v>
      </c>
      <c r="N16" s="3"/>
      <c r="O16" s="3"/>
      <c r="P16" s="7">
        <f t="shared" si="7"/>
        <v>0</v>
      </c>
      <c r="Q16" s="8">
        <f t="shared" si="8"/>
        <v>0</v>
      </c>
      <c r="R16" s="3">
        <f t="shared" si="9"/>
        <v>0</v>
      </c>
      <c r="S16" s="3"/>
    </row>
    <row r="17" spans="1:19" x14ac:dyDescent="0.25">
      <c r="A17" s="3">
        <v>15</v>
      </c>
      <c r="B17" s="8">
        <v>136.3253</v>
      </c>
      <c r="C17" s="8">
        <f t="shared" si="1"/>
        <v>43.393690726971123</v>
      </c>
      <c r="D17" s="10">
        <v>257.04000000000002</v>
      </c>
      <c r="E17" s="10">
        <v>71.97120000000001</v>
      </c>
      <c r="F17" s="8">
        <f t="shared" si="12"/>
        <v>329.01120000000003</v>
      </c>
      <c r="G17" s="7">
        <f t="shared" si="0"/>
        <v>107.25765120000001</v>
      </c>
      <c r="H17" s="7">
        <f t="shared" si="2"/>
        <v>135.94157070451848</v>
      </c>
      <c r="I17" s="7">
        <f t="shared" si="3"/>
        <v>64.572246084646281</v>
      </c>
      <c r="J17" s="7">
        <f t="shared" si="4"/>
        <v>236.76490231036971</v>
      </c>
      <c r="K17" s="7">
        <f t="shared" si="5"/>
        <v>103.60693488174709</v>
      </c>
      <c r="L17" s="7">
        <f t="shared" si="6"/>
        <v>18.333333333333332</v>
      </c>
      <c r="M17" s="3">
        <v>15</v>
      </c>
      <c r="N17" s="3"/>
      <c r="O17" s="3"/>
      <c r="P17" s="7">
        <f t="shared" si="7"/>
        <v>0</v>
      </c>
      <c r="Q17" s="8">
        <f t="shared" si="8"/>
        <v>0</v>
      </c>
      <c r="R17" s="3">
        <f t="shared" si="9"/>
        <v>0</v>
      </c>
      <c r="S17" s="3"/>
    </row>
    <row r="18" spans="1:19" x14ac:dyDescent="0.25">
      <c r="A18" s="3">
        <v>16</v>
      </c>
      <c r="B18" s="8">
        <v>140.72790000000001</v>
      </c>
      <c r="C18" s="8">
        <f t="shared" si="1"/>
        <v>44.795081831883877</v>
      </c>
      <c r="D18" s="10">
        <v>283.56</v>
      </c>
      <c r="E18" s="10">
        <v>79.396800000000013</v>
      </c>
      <c r="F18" s="8">
        <f t="shared" si="12"/>
        <v>362.95680000000004</v>
      </c>
      <c r="G18" s="7">
        <f t="shared" si="0"/>
        <v>118.32391680000002</v>
      </c>
      <c r="H18" s="7">
        <f t="shared" si="2"/>
        <v>149.60767777000177</v>
      </c>
      <c r="I18" s="7">
        <f t="shared" si="3"/>
        <v>71.063646940750843</v>
      </c>
      <c r="J18" s="7">
        <f t="shared" si="4"/>
        <v>260.56670544941977</v>
      </c>
      <c r="K18" s="7">
        <f t="shared" si="5"/>
        <v>103.60693488174709</v>
      </c>
      <c r="L18" s="7">
        <f t="shared" si="6"/>
        <v>18.333333333333332</v>
      </c>
      <c r="M18" s="3">
        <v>16</v>
      </c>
      <c r="N18" s="3"/>
      <c r="O18" s="3"/>
      <c r="P18" s="7">
        <f t="shared" si="7"/>
        <v>0</v>
      </c>
      <c r="Q18" s="8">
        <f t="shared" si="8"/>
        <v>0</v>
      </c>
      <c r="R18" s="3">
        <f t="shared" si="9"/>
        <v>0</v>
      </c>
      <c r="S18" s="3"/>
    </row>
    <row r="19" spans="1:19" x14ac:dyDescent="0.25">
      <c r="A19" s="3">
        <v>17</v>
      </c>
      <c r="B19" s="8">
        <v>144.63059999999999</v>
      </c>
      <c r="C19" s="8">
        <f t="shared" si="1"/>
        <v>46.037349824693351</v>
      </c>
      <c r="D19" s="10">
        <v>310.08</v>
      </c>
      <c r="E19" s="10">
        <v>86.822400000000002</v>
      </c>
      <c r="F19" s="8">
        <f t="shared" si="12"/>
        <v>396.9024</v>
      </c>
      <c r="G19" s="7">
        <f t="shared" si="0"/>
        <v>129.39018240000001</v>
      </c>
      <c r="H19" s="7">
        <f t="shared" si="2"/>
        <v>163.24559225216495</v>
      </c>
      <c r="I19" s="7">
        <f t="shared" si="3"/>
        <v>77.541656319778355</v>
      </c>
      <c r="J19" s="7">
        <f t="shared" si="4"/>
        <v>284.31940650585398</v>
      </c>
      <c r="K19" s="7">
        <f t="shared" si="5"/>
        <v>103.60693488174709</v>
      </c>
      <c r="L19" s="7">
        <f t="shared" si="6"/>
        <v>18.333333333333332</v>
      </c>
      <c r="M19" s="3">
        <v>17</v>
      </c>
      <c r="N19" s="3"/>
      <c r="O19" s="3"/>
      <c r="P19" s="7">
        <f t="shared" si="7"/>
        <v>0</v>
      </c>
      <c r="Q19" s="8">
        <f t="shared" si="8"/>
        <v>0</v>
      </c>
      <c r="R19" s="3">
        <f t="shared" si="9"/>
        <v>0</v>
      </c>
      <c r="S19" s="3"/>
    </row>
    <row r="20" spans="1:19" x14ac:dyDescent="0.25">
      <c r="A20" s="3">
        <v>18</v>
      </c>
      <c r="B20" s="8">
        <v>148.03280000000001</v>
      </c>
      <c r="C20" s="8">
        <f t="shared" si="1"/>
        <v>47.120303719467856</v>
      </c>
      <c r="D20" s="10">
        <v>332.52</v>
      </c>
      <c r="E20" s="10">
        <v>93.10560000000001</v>
      </c>
      <c r="F20" s="8">
        <f t="shared" si="12"/>
        <v>425.62559999999996</v>
      </c>
      <c r="G20" s="7">
        <f t="shared" si="0"/>
        <v>138.75394559999998</v>
      </c>
      <c r="H20" s="7">
        <f t="shared" si="2"/>
        <v>174.76534917187587</v>
      </c>
      <c r="I20" s="7">
        <f t="shared" si="3"/>
        <v>83.013540856641029</v>
      </c>
      <c r="J20" s="7">
        <f t="shared" si="4"/>
        <v>304.38298314101712</v>
      </c>
      <c r="K20" s="7">
        <f t="shared" si="5"/>
        <v>103.60693488174709</v>
      </c>
      <c r="L20" s="7">
        <f t="shared" si="6"/>
        <v>18.333333333333332</v>
      </c>
      <c r="M20" s="3">
        <v>18</v>
      </c>
      <c r="N20" s="3"/>
      <c r="O20" s="3"/>
      <c r="P20" s="7">
        <f t="shared" si="7"/>
        <v>0</v>
      </c>
      <c r="Q20" s="8">
        <f t="shared" si="8"/>
        <v>0</v>
      </c>
      <c r="R20" s="3">
        <f t="shared" si="9"/>
        <v>0</v>
      </c>
      <c r="S20" s="3"/>
    </row>
    <row r="21" spans="1:19" x14ac:dyDescent="0.25">
      <c r="A21" s="3">
        <v>18</v>
      </c>
      <c r="F21" s="1">
        <v>0</v>
      </c>
      <c r="G21" s="7">
        <f t="shared" si="0"/>
        <v>0</v>
      </c>
      <c r="H21" s="1">
        <f t="shared" si="2"/>
        <v>0</v>
      </c>
      <c r="I21" s="1">
        <f t="shared" si="3"/>
        <v>0</v>
      </c>
      <c r="J21" s="1">
        <f t="shared" si="4"/>
        <v>0</v>
      </c>
      <c r="K21" s="7">
        <f t="shared" si="5"/>
        <v>103.60693488174709</v>
      </c>
      <c r="L21" s="7">
        <f t="shared" si="6"/>
        <v>18.333333333333332</v>
      </c>
      <c r="M21" s="3">
        <v>19</v>
      </c>
      <c r="N21" s="10">
        <f>D20</f>
        <v>332.52</v>
      </c>
      <c r="O21" s="10">
        <f>E20</f>
        <v>93.10560000000001</v>
      </c>
      <c r="P21" s="7">
        <f t="shared" si="7"/>
        <v>186.94208435190396</v>
      </c>
      <c r="Q21" s="8">
        <f t="shared" si="8"/>
        <v>52.137686197881756</v>
      </c>
      <c r="R21" s="8">
        <f t="shared" si="9"/>
        <v>239.07977054978571</v>
      </c>
      <c r="S21" s="8"/>
    </row>
    <row r="22" spans="1:19" x14ac:dyDescent="0.25">
      <c r="A22" s="3">
        <v>19</v>
      </c>
      <c r="B22" s="3"/>
      <c r="C22" s="4"/>
      <c r="D22" s="3"/>
      <c r="E22" s="3"/>
      <c r="F22" s="4"/>
      <c r="G22" s="7"/>
      <c r="H22" s="7"/>
      <c r="I22" s="7"/>
      <c r="J22" s="7"/>
      <c r="K22" s="7"/>
      <c r="L22" s="7"/>
      <c r="M22" s="3">
        <v>20</v>
      </c>
      <c r="N22" s="7"/>
      <c r="O22" s="7"/>
      <c r="P22" s="7">
        <f t="shared" si="7"/>
        <v>183.27626410117571</v>
      </c>
      <c r="Q22" s="8">
        <f t="shared" ref="Q22:Q32" si="13">EXP(-LN(2)/25)*Q21+(1-EXP(-LN(2)/25))/(LN(2)/25)*O22*0.326*0.475*44/12</f>
        <v>50.711978426998925</v>
      </c>
      <c r="R22" s="8">
        <f t="shared" si="9"/>
        <v>233.98824252817462</v>
      </c>
      <c r="S22" s="7"/>
    </row>
    <row r="23" spans="1:19" x14ac:dyDescent="0.25">
      <c r="A23" s="3">
        <v>20</v>
      </c>
      <c r="B23" s="8"/>
      <c r="C23" s="8"/>
      <c r="D23" s="3"/>
      <c r="E23" s="3"/>
      <c r="F23" s="8"/>
      <c r="G23" s="7"/>
      <c r="H23" s="7"/>
      <c r="I23" s="7"/>
      <c r="J23" s="7"/>
      <c r="K23" s="7"/>
      <c r="L23" s="7"/>
      <c r="M23" s="3">
        <v>21</v>
      </c>
      <c r="N23" s="7"/>
      <c r="O23" s="7"/>
      <c r="P23" s="7">
        <f t="shared" ref="P23:P32" si="14">EXP(-LN(2)/35)*P22+(1-EXP(-LN(2)/35))/(LN(2)/35)*N23*0.326*0.475*44/12</f>
        <v>179.68232834963467</v>
      </c>
      <c r="Q23" s="8">
        <f t="shared" si="13"/>
        <v>49.325256710085597</v>
      </c>
      <c r="R23" s="8">
        <f t="shared" si="9"/>
        <v>229.00758505972027</v>
      </c>
    </row>
    <row r="24" spans="1:19" x14ac:dyDescent="0.25">
      <c r="A24" s="3">
        <v>21</v>
      </c>
      <c r="B24" s="8"/>
      <c r="C24" s="8"/>
      <c r="D24" s="3"/>
      <c r="E24" s="3"/>
      <c r="F24" s="8"/>
      <c r="G24" s="7"/>
      <c r="H24" s="7"/>
      <c r="I24" s="7"/>
      <c r="J24" s="7"/>
      <c r="K24" s="7"/>
      <c r="L24" s="7"/>
      <c r="M24" s="3">
        <v>22</v>
      </c>
      <c r="N24" s="7"/>
      <c r="O24" s="7"/>
      <c r="P24" s="7">
        <f t="shared" si="14"/>
        <v>176.15886748609699</v>
      </c>
      <c r="Q24" s="8">
        <f t="shared" si="13"/>
        <v>47.97645497144579</v>
      </c>
      <c r="R24" s="8">
        <f t="shared" si="9"/>
        <v>224.13532245754277</v>
      </c>
    </row>
    <row r="25" spans="1:19" x14ac:dyDescent="0.25">
      <c r="A25" s="3">
        <v>22</v>
      </c>
      <c r="B25" s="8"/>
      <c r="C25" s="8"/>
      <c r="D25" s="3"/>
      <c r="E25" s="3"/>
      <c r="F25" s="8"/>
      <c r="G25" s="7"/>
      <c r="H25" s="7"/>
      <c r="I25" s="7"/>
      <c r="J25" s="7"/>
      <c r="K25" s="7"/>
      <c r="L25" s="7"/>
      <c r="M25" s="3">
        <v>23</v>
      </c>
      <c r="N25" s="7"/>
      <c r="O25" s="7"/>
      <c r="P25" s="7">
        <f t="shared" si="14"/>
        <v>172.70449954099436</v>
      </c>
      <c r="Q25" s="8">
        <f t="shared" si="13"/>
        <v>46.664536287279489</v>
      </c>
      <c r="R25" s="8">
        <f t="shared" si="9"/>
        <v>219.36903582827387</v>
      </c>
    </row>
    <row r="26" spans="1:19" x14ac:dyDescent="0.25">
      <c r="A26" s="3">
        <v>23</v>
      </c>
      <c r="B26" s="8"/>
      <c r="C26" s="8"/>
      <c r="D26" s="3"/>
      <c r="E26" s="3"/>
      <c r="F26" s="8"/>
      <c r="G26" s="7"/>
      <c r="H26" s="7"/>
      <c r="I26" s="7"/>
      <c r="J26" s="7"/>
      <c r="K26" s="7"/>
      <c r="L26" s="7"/>
      <c r="M26" s="3">
        <v>24</v>
      </c>
      <c r="N26" s="7"/>
      <c r="O26" s="7"/>
      <c r="P26" s="7">
        <f t="shared" si="14"/>
        <v>169.3178696443388</v>
      </c>
      <c r="Q26" s="8">
        <f t="shared" si="13"/>
        <v>45.388492088522518</v>
      </c>
      <c r="R26" s="8">
        <f t="shared" si="9"/>
        <v>214.70636173286132</v>
      </c>
    </row>
    <row r="27" spans="1:19" x14ac:dyDescent="0.25">
      <c r="A27" s="3">
        <v>24</v>
      </c>
      <c r="B27" s="8"/>
      <c r="C27" s="8"/>
      <c r="D27" s="3"/>
      <c r="E27" s="3"/>
      <c r="F27" s="8"/>
      <c r="G27" s="7"/>
      <c r="H27" s="7"/>
      <c r="I27" s="7"/>
      <c r="J27" s="7"/>
      <c r="K27" s="7"/>
      <c r="L27" s="7"/>
      <c r="M27" s="3">
        <v>25</v>
      </c>
      <c r="N27" s="7"/>
      <c r="O27" s="7"/>
      <c r="P27" s="7">
        <f t="shared" si="14"/>
        <v>165.99764949431636</v>
      </c>
      <c r="Q27" s="8">
        <f t="shared" si="13"/>
        <v>44.147341385484808</v>
      </c>
      <c r="R27" s="8">
        <f t="shared" si="9"/>
        <v>210.14499087980118</v>
      </c>
    </row>
    <row r="28" spans="1:19" x14ac:dyDescent="0.25">
      <c r="A28" s="3">
        <v>25</v>
      </c>
      <c r="B28" s="8"/>
      <c r="C28" s="8"/>
      <c r="D28" s="3"/>
      <c r="E28" s="3"/>
      <c r="F28" s="8"/>
      <c r="G28" s="7"/>
      <c r="H28" s="7"/>
      <c r="I28" s="7"/>
      <c r="J28" s="7"/>
      <c r="K28" s="7"/>
      <c r="L28" s="7"/>
      <c r="M28" s="3">
        <v>26</v>
      </c>
      <c r="N28" s="7"/>
      <c r="O28" s="7"/>
      <c r="P28" s="7">
        <f t="shared" si="14"/>
        <v>162.74253683630155</v>
      </c>
      <c r="Q28" s="8">
        <f t="shared" si="13"/>
        <v>42.94013001369094</v>
      </c>
      <c r="R28" s="8">
        <f t="shared" si="9"/>
        <v>205.6826668499925</v>
      </c>
    </row>
    <row r="29" spans="1:19" x14ac:dyDescent="0.25">
      <c r="A29" s="3">
        <v>26</v>
      </c>
      <c r="B29" s="8"/>
      <c r="C29" s="8"/>
      <c r="D29" s="3"/>
      <c r="E29" s="3"/>
      <c r="F29" s="3"/>
      <c r="G29" s="7"/>
      <c r="H29" s="7"/>
      <c r="I29" s="7"/>
      <c r="J29" s="7"/>
      <c r="K29" s="7"/>
      <c r="L29" s="7"/>
      <c r="M29" s="3">
        <v>27</v>
      </c>
      <c r="N29" s="7"/>
      <c r="O29" s="7"/>
      <c r="P29" s="7">
        <f t="shared" si="14"/>
        <v>159.55125495208773</v>
      </c>
      <c r="Q29" s="8">
        <f t="shared" si="13"/>
        <v>41.765929900343266</v>
      </c>
      <c r="R29" s="8">
        <f t="shared" si="9"/>
        <v>201.31718485243101</v>
      </c>
    </row>
    <row r="30" spans="1:19" x14ac:dyDescent="0.25">
      <c r="A30" s="3">
        <v>27</v>
      </c>
      <c r="B30" s="8"/>
      <c r="C30" s="8"/>
      <c r="D30" s="3"/>
      <c r="E30" s="3"/>
      <c r="F30" s="3"/>
      <c r="G30" s="7"/>
      <c r="H30" s="7"/>
      <c r="I30" s="7"/>
      <c r="J30" s="7"/>
      <c r="K30" s="7"/>
      <c r="L30" s="7"/>
      <c r="M30" s="3">
        <v>28</v>
      </c>
      <c r="N30" s="7"/>
      <c r="O30" s="7"/>
      <c r="P30" s="7">
        <f t="shared" si="14"/>
        <v>156.4225521591336</v>
      </c>
      <c r="Q30" s="8">
        <f t="shared" si="13"/>
        <v>40.623838350843585</v>
      </c>
      <c r="R30" s="8">
        <f t="shared" si="9"/>
        <v>197.04639050997719</v>
      </c>
    </row>
    <row r="31" spans="1:19" x14ac:dyDescent="0.25">
      <c r="A31" s="3">
        <v>28</v>
      </c>
      <c r="B31" s="8"/>
      <c r="C31" s="8"/>
      <c r="D31" s="3"/>
      <c r="E31" s="3"/>
      <c r="F31" s="3"/>
      <c r="G31" s="7"/>
      <c r="H31" s="7"/>
      <c r="I31" s="7"/>
      <c r="J31" s="7"/>
      <c r="K31" s="7"/>
      <c r="L31" s="7"/>
      <c r="M31" s="3">
        <v>29</v>
      </c>
      <c r="N31" s="7"/>
      <c r="O31" s="7"/>
      <c r="P31" s="7">
        <f t="shared" si="14"/>
        <v>153.35520131962903</v>
      </c>
      <c r="Q31" s="8">
        <f t="shared" si="13"/>
        <v>39.512977354824955</v>
      </c>
      <c r="R31" s="8">
        <f t="shared" si="9"/>
        <v>192.86817867445399</v>
      </c>
    </row>
    <row r="32" spans="1:19" x14ac:dyDescent="0.25">
      <c r="A32" s="3">
        <v>29</v>
      </c>
      <c r="B32" s="8"/>
      <c r="C32" s="8"/>
      <c r="D32" s="3"/>
      <c r="E32" s="3"/>
      <c r="F32" s="3"/>
      <c r="G32" s="7"/>
      <c r="H32" s="7"/>
      <c r="I32" s="7"/>
      <c r="J32" s="7"/>
      <c r="K32" s="7"/>
      <c r="L32" s="7"/>
      <c r="M32" s="3">
        <v>30</v>
      </c>
      <c r="N32" s="7"/>
      <c r="O32" s="7"/>
      <c r="P32" s="7">
        <f t="shared" si="14"/>
        <v>150.34799935918787</v>
      </c>
      <c r="Q32" s="8">
        <f t="shared" si="13"/>
        <v>38.432492911160097</v>
      </c>
      <c r="R32" s="8">
        <f t="shared" si="9"/>
        <v>188.78049227034796</v>
      </c>
    </row>
    <row r="33" spans="1:18" x14ac:dyDescent="0.25">
      <c r="A33" s="3">
        <v>30</v>
      </c>
      <c r="B33" s="8"/>
      <c r="C33" s="8"/>
      <c r="D33" s="3"/>
      <c r="E33" s="3"/>
      <c r="F33" s="3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8"/>
    </row>
    <row r="34" spans="1:18" x14ac:dyDescent="0.25">
      <c r="B34" s="8"/>
      <c r="C34" s="8"/>
      <c r="D34" s="3"/>
      <c r="E34" s="3"/>
      <c r="F34" s="3"/>
      <c r="G34" s="7"/>
      <c r="H34" s="7"/>
      <c r="I34" s="7"/>
      <c r="J34" s="7"/>
      <c r="K34" s="7"/>
      <c r="L34" s="7"/>
      <c r="M34" s="7"/>
      <c r="N34" s="7"/>
      <c r="O34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Production</vt:lpstr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Gleizes</dc:creator>
  <cp:lastModifiedBy>Olivier</cp:lastModifiedBy>
  <dcterms:created xsi:type="dcterms:W3CDTF">2018-08-17T08:51:32Z</dcterms:created>
  <dcterms:modified xsi:type="dcterms:W3CDTF">2019-09-16T07:40:41Z</dcterms:modified>
</cp:coreProperties>
</file>