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69 - La Poste BSCC (Marc Berchoud)\Dossier labellisation\"/>
    </mc:Choice>
  </mc:AlternateContent>
  <bookViews>
    <workbookView xWindow="360" yWindow="345" windowWidth="13335" windowHeight="5820" activeTab="2"/>
  </bookViews>
  <sheets>
    <sheet name="Données entrée" sheetId="4" r:id="rId1"/>
    <sheet name="d e affichage" sheetId="8" state="hidden" r:id="rId2"/>
    <sheet name="Modèle" sheetId="3" r:id="rId3"/>
    <sheet name="Paramètres" sheetId="6" r:id="rId4"/>
    <sheet name="Interpolation linéaire" sheetId="9" r:id="rId5"/>
  </sheets>
  <externalReferences>
    <externalReference r:id="rId6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 localSheetId="3">Paramètres!$A$4:$A$59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M6" i="3" l="1"/>
  <c r="M7" i="3" s="1"/>
  <c r="M3" i="3" l="1"/>
  <c r="M17" i="3" l="1"/>
  <c r="M12" i="3"/>
  <c r="M11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G34" i="3" l="1"/>
  <c r="G35" i="3"/>
  <c r="H35" i="3" s="1"/>
  <c r="G36" i="3"/>
  <c r="H36" i="3" s="1"/>
  <c r="G37" i="3"/>
  <c r="H37" i="3" s="1"/>
  <c r="G38" i="3"/>
  <c r="G39" i="3"/>
  <c r="H39" i="3" s="1"/>
  <c r="G40" i="3"/>
  <c r="H40" i="3" s="1"/>
  <c r="G41" i="3"/>
  <c r="H41" i="3" s="1"/>
  <c r="G42" i="3"/>
  <c r="G43" i="3"/>
  <c r="H43" i="3" s="1"/>
  <c r="G44" i="3"/>
  <c r="H44" i="3" s="1"/>
  <c r="G45" i="3"/>
  <c r="H45" i="3" s="1"/>
  <c r="G46" i="3"/>
  <c r="G47" i="3"/>
  <c r="H47" i="3" s="1"/>
  <c r="G48" i="3"/>
  <c r="H48" i="3" s="1"/>
  <c r="G49" i="3"/>
  <c r="H49" i="3" s="1"/>
  <c r="G50" i="3"/>
  <c r="G51" i="3"/>
  <c r="H51" i="3" s="1"/>
  <c r="G52" i="3"/>
  <c r="H52" i="3" s="1"/>
  <c r="G53" i="3"/>
  <c r="H53" i="3" s="1"/>
  <c r="G54" i="3"/>
  <c r="G55" i="3"/>
  <c r="H55" i="3" s="1"/>
  <c r="G56" i="3"/>
  <c r="H56" i="3" s="1"/>
  <c r="G57" i="3"/>
  <c r="H57" i="3" s="1"/>
  <c r="G58" i="3"/>
  <c r="G59" i="3"/>
  <c r="H59" i="3" s="1"/>
  <c r="G60" i="3"/>
  <c r="H60" i="3" s="1"/>
  <c r="G61" i="3"/>
  <c r="H61" i="3" s="1"/>
  <c r="G62" i="3"/>
  <c r="G63" i="3"/>
  <c r="H63" i="3" s="1"/>
  <c r="G64" i="3"/>
  <c r="H64" i="3" s="1"/>
  <c r="G65" i="3"/>
  <c r="H65" i="3" s="1"/>
  <c r="G66" i="3"/>
  <c r="G67" i="3"/>
  <c r="H67" i="3" s="1"/>
  <c r="G68" i="3"/>
  <c r="H68" i="3" s="1"/>
  <c r="G69" i="3"/>
  <c r="H69" i="3" s="1"/>
  <c r="G70" i="3"/>
  <c r="G71" i="3"/>
  <c r="H71" i="3" s="1"/>
  <c r="G72" i="3"/>
  <c r="H72" i="3" s="1"/>
  <c r="G73" i="3"/>
  <c r="H73" i="3" s="1"/>
  <c r="G74" i="3"/>
  <c r="G75" i="3"/>
  <c r="H75" i="3" s="1"/>
  <c r="G76" i="3"/>
  <c r="H76" i="3" s="1"/>
  <c r="G77" i="3"/>
  <c r="H77" i="3" s="1"/>
  <c r="G78" i="3"/>
  <c r="G79" i="3"/>
  <c r="H79" i="3" s="1"/>
  <c r="G80" i="3"/>
  <c r="H80" i="3" s="1"/>
  <c r="G81" i="3"/>
  <c r="H81" i="3" s="1"/>
  <c r="G82" i="3"/>
  <c r="G83" i="3"/>
  <c r="H83" i="3" s="1"/>
  <c r="G84" i="3"/>
  <c r="H84" i="3" s="1"/>
  <c r="G85" i="3"/>
  <c r="H85" i="3" s="1"/>
  <c r="G86" i="3"/>
  <c r="G87" i="3"/>
  <c r="H87" i="3" s="1"/>
  <c r="G88" i="3"/>
  <c r="H88" i="3" s="1"/>
  <c r="G89" i="3"/>
  <c r="H89" i="3" s="1"/>
  <c r="G90" i="3"/>
  <c r="G91" i="3"/>
  <c r="H91" i="3" s="1"/>
  <c r="G92" i="3"/>
  <c r="H92" i="3" s="1"/>
  <c r="G93" i="3"/>
  <c r="H93" i="3" s="1"/>
  <c r="G94" i="3"/>
  <c r="G95" i="3"/>
  <c r="H95" i="3" s="1"/>
  <c r="G96" i="3"/>
  <c r="H96" i="3" s="1"/>
  <c r="G97" i="3"/>
  <c r="H97" i="3" s="1"/>
  <c r="G98" i="3"/>
  <c r="G99" i="3"/>
  <c r="H99" i="3" s="1"/>
  <c r="G100" i="3"/>
  <c r="H100" i="3" s="1"/>
  <c r="G101" i="3"/>
  <c r="H101" i="3" s="1"/>
  <c r="G102" i="3"/>
  <c r="G103" i="3"/>
  <c r="H103" i="3" s="1"/>
  <c r="G104" i="3"/>
  <c r="H104" i="3" s="1"/>
  <c r="G105" i="3"/>
  <c r="H105" i="3" s="1"/>
  <c r="G106" i="3"/>
  <c r="G107" i="3"/>
  <c r="H107" i="3" s="1"/>
  <c r="G108" i="3"/>
  <c r="I108" i="3" s="1"/>
  <c r="J108" i="3" s="1"/>
  <c r="G3" i="3"/>
  <c r="I98" i="3" l="1"/>
  <c r="J98" i="3" s="1"/>
  <c r="I58" i="3"/>
  <c r="J58" i="3" s="1"/>
  <c r="H106" i="3"/>
  <c r="I106" i="3" s="1"/>
  <c r="J106" i="3" s="1"/>
  <c r="H102" i="3"/>
  <c r="I102" i="3" s="1"/>
  <c r="J102" i="3" s="1"/>
  <c r="H98" i="3"/>
  <c r="H94" i="3"/>
  <c r="I94" i="3" s="1"/>
  <c r="J94" i="3" s="1"/>
  <c r="H90" i="3"/>
  <c r="I90" i="3" s="1"/>
  <c r="J90" i="3" s="1"/>
  <c r="H86" i="3"/>
  <c r="I86" i="3" s="1"/>
  <c r="J86" i="3" s="1"/>
  <c r="H82" i="3"/>
  <c r="I82" i="3" s="1"/>
  <c r="J82" i="3" s="1"/>
  <c r="H78" i="3"/>
  <c r="I78" i="3" s="1"/>
  <c r="J78" i="3" s="1"/>
  <c r="H74" i="3"/>
  <c r="I74" i="3" s="1"/>
  <c r="J74" i="3" s="1"/>
  <c r="H70" i="3"/>
  <c r="I70" i="3" s="1"/>
  <c r="J70" i="3" s="1"/>
  <c r="H66" i="3"/>
  <c r="I66" i="3" s="1"/>
  <c r="J66" i="3" s="1"/>
  <c r="H62" i="3"/>
  <c r="I62" i="3" s="1"/>
  <c r="J62" i="3" s="1"/>
  <c r="H58" i="3"/>
  <c r="H54" i="3"/>
  <c r="I54" i="3" s="1"/>
  <c r="J54" i="3" s="1"/>
  <c r="H50" i="3"/>
  <c r="I50" i="3" s="1"/>
  <c r="J50" i="3" s="1"/>
  <c r="H46" i="3"/>
  <c r="I46" i="3" s="1"/>
  <c r="J46" i="3" s="1"/>
  <c r="H42" i="3"/>
  <c r="I42" i="3" s="1"/>
  <c r="J42" i="3" s="1"/>
  <c r="H38" i="3"/>
  <c r="I38" i="3" s="1"/>
  <c r="J38" i="3" s="1"/>
  <c r="H34" i="3"/>
  <c r="I34" i="3" s="1"/>
  <c r="J34" i="3" s="1"/>
  <c r="I105" i="3"/>
  <c r="J105" i="3" s="1"/>
  <c r="I101" i="3"/>
  <c r="J101" i="3" s="1"/>
  <c r="I97" i="3"/>
  <c r="J97" i="3" s="1"/>
  <c r="I93" i="3"/>
  <c r="J93" i="3" s="1"/>
  <c r="I89" i="3"/>
  <c r="J89" i="3" s="1"/>
  <c r="I85" i="3"/>
  <c r="J85" i="3" s="1"/>
  <c r="I81" i="3"/>
  <c r="J81" i="3" s="1"/>
  <c r="I77" i="3"/>
  <c r="J77" i="3" s="1"/>
  <c r="I73" i="3"/>
  <c r="J73" i="3" s="1"/>
  <c r="I69" i="3"/>
  <c r="J69" i="3" s="1"/>
  <c r="I65" i="3"/>
  <c r="J65" i="3" s="1"/>
  <c r="I61" i="3"/>
  <c r="J61" i="3" s="1"/>
  <c r="I57" i="3"/>
  <c r="J57" i="3" s="1"/>
  <c r="I53" i="3"/>
  <c r="J53" i="3" s="1"/>
  <c r="I49" i="3"/>
  <c r="J49" i="3" s="1"/>
  <c r="I45" i="3"/>
  <c r="J45" i="3" s="1"/>
  <c r="I41" i="3"/>
  <c r="J41" i="3" s="1"/>
  <c r="I37" i="3"/>
  <c r="J37" i="3" s="1"/>
  <c r="I104" i="3"/>
  <c r="J104" i="3" s="1"/>
  <c r="I100" i="3"/>
  <c r="J100" i="3" s="1"/>
  <c r="I96" i="3"/>
  <c r="J96" i="3" s="1"/>
  <c r="I92" i="3"/>
  <c r="J92" i="3" s="1"/>
  <c r="I88" i="3"/>
  <c r="J88" i="3" s="1"/>
  <c r="I84" i="3"/>
  <c r="J84" i="3" s="1"/>
  <c r="I80" i="3"/>
  <c r="J80" i="3" s="1"/>
  <c r="I76" i="3"/>
  <c r="J76" i="3" s="1"/>
  <c r="I72" i="3"/>
  <c r="J72" i="3" s="1"/>
  <c r="I68" i="3"/>
  <c r="J68" i="3" s="1"/>
  <c r="I64" i="3"/>
  <c r="J64" i="3" s="1"/>
  <c r="I60" i="3"/>
  <c r="J60" i="3" s="1"/>
  <c r="I56" i="3"/>
  <c r="J56" i="3" s="1"/>
  <c r="I52" i="3"/>
  <c r="J52" i="3" s="1"/>
  <c r="I48" i="3"/>
  <c r="J48" i="3" s="1"/>
  <c r="I44" i="3"/>
  <c r="J44" i="3" s="1"/>
  <c r="I40" i="3"/>
  <c r="J40" i="3" s="1"/>
  <c r="I36" i="3"/>
  <c r="J36" i="3" s="1"/>
  <c r="I107" i="3"/>
  <c r="J107" i="3" s="1"/>
  <c r="I103" i="3"/>
  <c r="J103" i="3" s="1"/>
  <c r="I99" i="3"/>
  <c r="J99" i="3" s="1"/>
  <c r="I95" i="3"/>
  <c r="J95" i="3" s="1"/>
  <c r="I91" i="3"/>
  <c r="J91" i="3" s="1"/>
  <c r="I87" i="3"/>
  <c r="J87" i="3" s="1"/>
  <c r="I83" i="3"/>
  <c r="J83" i="3" s="1"/>
  <c r="I79" i="3"/>
  <c r="J79" i="3" s="1"/>
  <c r="I75" i="3"/>
  <c r="J75" i="3" s="1"/>
  <c r="I71" i="3"/>
  <c r="J71" i="3" s="1"/>
  <c r="I67" i="3"/>
  <c r="J67" i="3" s="1"/>
  <c r="I63" i="3"/>
  <c r="J63" i="3" s="1"/>
  <c r="I59" i="3"/>
  <c r="J59" i="3" s="1"/>
  <c r="I55" i="3"/>
  <c r="J55" i="3" s="1"/>
  <c r="I51" i="3"/>
  <c r="J51" i="3" s="1"/>
  <c r="I47" i="3"/>
  <c r="J47" i="3" s="1"/>
  <c r="I43" i="3"/>
  <c r="J43" i="3" s="1"/>
  <c r="I39" i="3"/>
  <c r="J39" i="3" s="1"/>
  <c r="I35" i="3"/>
  <c r="J3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M9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" i="3"/>
  <c r="M4" i="3" s="1"/>
  <c r="D108" i="9" l="1"/>
  <c r="D107" i="9"/>
  <c r="B103" i="9"/>
  <c r="B104" i="9"/>
  <c r="B105" i="9"/>
  <c r="B106" i="9"/>
  <c r="B102" i="9"/>
  <c r="C103" i="9"/>
  <c r="C104" i="9"/>
  <c r="C105" i="9"/>
  <c r="C102" i="9"/>
  <c r="B97" i="9"/>
  <c r="B98" i="9"/>
  <c r="B99" i="9"/>
  <c r="B100" i="9"/>
  <c r="B96" i="9"/>
  <c r="C97" i="9"/>
  <c r="C98" i="9"/>
  <c r="C99" i="9"/>
  <c r="C96" i="9"/>
  <c r="B91" i="9"/>
  <c r="B92" i="9"/>
  <c r="B93" i="9"/>
  <c r="B94" i="9"/>
  <c r="B90" i="9"/>
  <c r="C91" i="9"/>
  <c r="C92" i="9"/>
  <c r="C93" i="9"/>
  <c r="C90" i="9"/>
  <c r="C84" i="9"/>
  <c r="B84" i="9" s="1"/>
  <c r="C83" i="9"/>
  <c r="B78" i="9"/>
  <c r="C79" i="9"/>
  <c r="B79" i="9" s="1"/>
  <c r="C80" i="9"/>
  <c r="B80" i="9" s="1"/>
  <c r="C81" i="9"/>
  <c r="B81" i="9" s="1"/>
  <c r="C78" i="9"/>
  <c r="B72" i="9"/>
  <c r="C73" i="9"/>
  <c r="B73" i="9" s="1"/>
  <c r="C74" i="9"/>
  <c r="B74" i="9" s="1"/>
  <c r="C75" i="9"/>
  <c r="B76" i="9" s="1"/>
  <c r="C72" i="9"/>
  <c r="B66" i="9"/>
  <c r="C67" i="9"/>
  <c r="B68" i="9" s="1"/>
  <c r="C68" i="9"/>
  <c r="C69" i="9"/>
  <c r="B70" i="9" s="1"/>
  <c r="C66" i="9"/>
  <c r="B61" i="9"/>
  <c r="B60" i="9"/>
  <c r="C61" i="9"/>
  <c r="C62" i="9"/>
  <c r="B63" i="9" s="1"/>
  <c r="C63" i="9"/>
  <c r="B64" i="9" s="1"/>
  <c r="C60" i="9"/>
  <c r="B54" i="9"/>
  <c r="C55" i="9"/>
  <c r="B56" i="9" s="1"/>
  <c r="C56" i="9"/>
  <c r="C57" i="9"/>
  <c r="B57" i="9" s="1"/>
  <c r="C54" i="9"/>
  <c r="B52" i="9"/>
  <c r="B48" i="9"/>
  <c r="C49" i="9"/>
  <c r="B49" i="9" s="1"/>
  <c r="C50" i="9"/>
  <c r="B50" i="9" s="1"/>
  <c r="C51" i="9"/>
  <c r="B51" i="9" s="1"/>
  <c r="C48" i="9"/>
  <c r="B42" i="9"/>
  <c r="C43" i="9"/>
  <c r="B43" i="9" s="1"/>
  <c r="C44" i="9"/>
  <c r="C45" i="9"/>
  <c r="B46" i="9" s="1"/>
  <c r="C42" i="9"/>
  <c r="C89" i="9"/>
  <c r="C95" i="9"/>
  <c r="C101" i="9"/>
  <c r="F106" i="9"/>
  <c r="E106" i="9"/>
  <c r="F100" i="9"/>
  <c r="E100" i="9"/>
  <c r="E58" i="9"/>
  <c r="E64" i="9"/>
  <c r="E70" i="9"/>
  <c r="C71" i="9" s="1"/>
  <c r="E76" i="9"/>
  <c r="E82" i="9"/>
  <c r="E88" i="9"/>
  <c r="F94" i="9"/>
  <c r="E94" i="9"/>
  <c r="F88" i="9"/>
  <c r="F82" i="9"/>
  <c r="C77" i="9"/>
  <c r="F76" i="9"/>
  <c r="C65" i="9"/>
  <c r="F70" i="9"/>
  <c r="F64" i="9"/>
  <c r="C59" i="9"/>
  <c r="F58" i="9"/>
  <c r="C53" i="9"/>
  <c r="F52" i="9"/>
  <c r="E52" i="9"/>
  <c r="C47" i="9"/>
  <c r="F46" i="9"/>
  <c r="C41" i="9"/>
  <c r="F40" i="9"/>
  <c r="E40" i="9"/>
  <c r="B44" i="9" l="1"/>
  <c r="B75" i="9"/>
  <c r="B82" i="9"/>
  <c r="B45" i="9"/>
  <c r="B55" i="9"/>
  <c r="B62" i="9"/>
  <c r="B69" i="9"/>
  <c r="B58" i="9"/>
  <c r="B67" i="9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F34" i="9" l="1"/>
  <c r="E34" i="9"/>
  <c r="C35" i="9" s="1"/>
  <c r="F28" i="9"/>
  <c r="E28" i="9"/>
  <c r="C29" i="9" s="1"/>
  <c r="F22" i="9"/>
  <c r="E22" i="9"/>
  <c r="C23" i="9" s="1"/>
  <c r="C38" i="9" l="1"/>
  <c r="C39" i="9"/>
  <c r="B40" i="9" s="1"/>
  <c r="C37" i="9"/>
  <c r="B37" i="9" s="1"/>
  <c r="C36" i="9"/>
  <c r="B36" i="9" s="1"/>
  <c r="C33" i="9"/>
  <c r="C30" i="9"/>
  <c r="B30" i="9" s="1"/>
  <c r="C31" i="9"/>
  <c r="C32" i="9"/>
  <c r="C26" i="9"/>
  <c r="C24" i="9"/>
  <c r="B24" i="9" s="1"/>
  <c r="C27" i="9"/>
  <c r="C25" i="9"/>
  <c r="Q30" i="6"/>
  <c r="S30" i="6"/>
  <c r="R30" i="6"/>
  <c r="P30" i="6"/>
  <c r="B6" i="8"/>
  <c r="C6" i="8"/>
  <c r="A7" i="8"/>
  <c r="B7" i="8"/>
  <c r="C7" i="8"/>
  <c r="A8" i="8"/>
  <c r="B8" i="8"/>
  <c r="B5" i="8"/>
  <c r="A5" i="8"/>
  <c r="B2" i="8"/>
  <c r="B3" i="8"/>
  <c r="C3" i="8"/>
  <c r="A1" i="8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3" i="6"/>
  <c r="H24" i="6"/>
  <c r="H25" i="6"/>
  <c r="H26" i="6"/>
  <c r="H27" i="6"/>
  <c r="H28" i="6"/>
  <c r="H29" i="6"/>
  <c r="H30" i="6"/>
  <c r="H31" i="6"/>
  <c r="H32" i="6"/>
  <c r="H33" i="6"/>
  <c r="H34" i="6"/>
  <c r="H5" i="6"/>
  <c r="H6" i="6"/>
  <c r="H7" i="6"/>
  <c r="H4" i="6"/>
  <c r="AJ3" i="6"/>
  <c r="K10" i="6" s="1"/>
  <c r="K4" i="6"/>
  <c r="K5" i="6"/>
  <c r="K6" i="6"/>
  <c r="K7" i="6"/>
  <c r="K8" i="6"/>
  <c r="K9" i="6"/>
  <c r="C11" i="6"/>
  <c r="D11" i="6"/>
  <c r="E11" i="6"/>
  <c r="F11" i="6"/>
  <c r="K11" i="6"/>
  <c r="C12" i="6"/>
  <c r="D12" i="6"/>
  <c r="E12" i="6"/>
  <c r="F12" i="6"/>
  <c r="K12" i="6"/>
  <c r="C13" i="6"/>
  <c r="D13" i="6"/>
  <c r="E13" i="6"/>
  <c r="F13" i="6"/>
  <c r="K13" i="6"/>
  <c r="C14" i="6"/>
  <c r="D14" i="6"/>
  <c r="E14" i="6"/>
  <c r="F14" i="6"/>
  <c r="K14" i="6"/>
  <c r="C15" i="6"/>
  <c r="D15" i="6"/>
  <c r="E15" i="6"/>
  <c r="F15" i="6"/>
  <c r="K15" i="6"/>
  <c r="C16" i="6"/>
  <c r="D16" i="6"/>
  <c r="E16" i="6"/>
  <c r="F16" i="6"/>
  <c r="K16" i="6"/>
  <c r="C17" i="6"/>
  <c r="D17" i="6"/>
  <c r="E17" i="6"/>
  <c r="F17" i="6"/>
  <c r="K17" i="6"/>
  <c r="K18" i="6"/>
  <c r="C19" i="6"/>
  <c r="D19" i="6"/>
  <c r="E19" i="6"/>
  <c r="F19" i="6"/>
  <c r="K19" i="6"/>
  <c r="C20" i="6"/>
  <c r="D20" i="6"/>
  <c r="E20" i="6"/>
  <c r="F20" i="6"/>
  <c r="K20" i="6"/>
  <c r="C21" i="6"/>
  <c r="D21" i="6"/>
  <c r="E21" i="6"/>
  <c r="F21" i="6"/>
  <c r="K21" i="6"/>
  <c r="C22" i="6"/>
  <c r="D22" i="6"/>
  <c r="E22" i="6"/>
  <c r="F22" i="6"/>
  <c r="C23" i="6"/>
  <c r="D23" i="6"/>
  <c r="E23" i="6"/>
  <c r="F23" i="6"/>
  <c r="K23" i="6"/>
  <c r="C24" i="6"/>
  <c r="D24" i="6"/>
  <c r="E24" i="6"/>
  <c r="F24" i="6"/>
  <c r="K24" i="6"/>
  <c r="C25" i="6"/>
  <c r="D25" i="6"/>
  <c r="E25" i="6"/>
  <c r="F25" i="6"/>
  <c r="K25" i="6"/>
  <c r="C26" i="6"/>
  <c r="D26" i="6"/>
  <c r="E26" i="6"/>
  <c r="F26" i="6"/>
  <c r="K26" i="6"/>
  <c r="C27" i="6"/>
  <c r="D27" i="6"/>
  <c r="E27" i="6"/>
  <c r="F27" i="6"/>
  <c r="K27" i="6"/>
  <c r="C28" i="6"/>
  <c r="D28" i="6"/>
  <c r="E28" i="6"/>
  <c r="F28" i="6"/>
  <c r="K28" i="6"/>
  <c r="C29" i="6"/>
  <c r="D29" i="6"/>
  <c r="E29" i="6"/>
  <c r="F29" i="6"/>
  <c r="K29" i="6"/>
  <c r="C30" i="6"/>
  <c r="D30" i="6"/>
  <c r="E30" i="6"/>
  <c r="F30" i="6"/>
  <c r="K30" i="6"/>
  <c r="C31" i="6"/>
  <c r="D31" i="6"/>
  <c r="E31" i="6"/>
  <c r="F31" i="6"/>
  <c r="K31" i="6"/>
  <c r="C32" i="6"/>
  <c r="D32" i="6"/>
  <c r="E32" i="6"/>
  <c r="F32" i="6"/>
  <c r="K32" i="6"/>
  <c r="C33" i="6"/>
  <c r="D33" i="6"/>
  <c r="E33" i="6"/>
  <c r="F33" i="6"/>
  <c r="K33" i="6"/>
  <c r="C34" i="6"/>
  <c r="D34" i="6"/>
  <c r="E34" i="6"/>
  <c r="F34" i="6"/>
  <c r="K34" i="6"/>
  <c r="C36" i="6"/>
  <c r="D36" i="6"/>
  <c r="E36" i="6"/>
  <c r="F36" i="6"/>
  <c r="K36" i="6"/>
  <c r="C37" i="6"/>
  <c r="D37" i="6"/>
  <c r="E37" i="6"/>
  <c r="F37" i="6"/>
  <c r="K37" i="6"/>
  <c r="C38" i="6"/>
  <c r="D38" i="6"/>
  <c r="E38" i="6"/>
  <c r="F38" i="6"/>
  <c r="K38" i="6"/>
  <c r="K39" i="6"/>
  <c r="C40" i="6"/>
  <c r="D40" i="6"/>
  <c r="E40" i="6"/>
  <c r="F40" i="6"/>
  <c r="K40" i="6"/>
  <c r="C41" i="6"/>
  <c r="D41" i="6"/>
  <c r="E41" i="6"/>
  <c r="F41" i="6"/>
  <c r="K41" i="6"/>
  <c r="C42" i="6"/>
  <c r="D42" i="6"/>
  <c r="E42" i="6"/>
  <c r="F42" i="6"/>
  <c r="K42" i="6"/>
  <c r="C43" i="6"/>
  <c r="D43" i="6"/>
  <c r="E43" i="6"/>
  <c r="F43" i="6"/>
  <c r="K43" i="6"/>
  <c r="C44" i="6"/>
  <c r="D44" i="6"/>
  <c r="E44" i="6"/>
  <c r="F44" i="6"/>
  <c r="K44" i="6"/>
  <c r="C45" i="6"/>
  <c r="D45" i="6"/>
  <c r="E45" i="6"/>
  <c r="F45" i="6"/>
  <c r="K45" i="6"/>
  <c r="C46" i="6"/>
  <c r="D46" i="6"/>
  <c r="E46" i="6"/>
  <c r="F46" i="6"/>
  <c r="K46" i="6"/>
  <c r="C47" i="6"/>
  <c r="D47" i="6"/>
  <c r="E47" i="6"/>
  <c r="F47" i="6"/>
  <c r="K47" i="6"/>
  <c r="C48" i="6"/>
  <c r="D48" i="6"/>
  <c r="E48" i="6"/>
  <c r="F48" i="6"/>
  <c r="K48" i="6"/>
  <c r="C49" i="6"/>
  <c r="D49" i="6"/>
  <c r="E49" i="6"/>
  <c r="F49" i="6"/>
  <c r="K49" i="6"/>
  <c r="I3" i="3" l="1"/>
  <c r="J3" i="3" s="1"/>
  <c r="B39" i="9"/>
  <c r="B38" i="9"/>
  <c r="B31" i="9"/>
  <c r="B32" i="9"/>
  <c r="B33" i="9"/>
  <c r="B34" i="9"/>
  <c r="B26" i="9"/>
  <c r="B25" i="9"/>
  <c r="B28" i="9"/>
  <c r="B27" i="9"/>
  <c r="G4" i="3"/>
  <c r="F4" i="3"/>
  <c r="H4" i="3" l="1"/>
  <c r="I4" i="3" s="1"/>
  <c r="J4" i="3" s="1"/>
  <c r="G5" i="3"/>
  <c r="H5" i="3" l="1"/>
  <c r="I5" i="3" s="1"/>
  <c r="J5" i="3" s="1"/>
  <c r="F5" i="3"/>
  <c r="G6" i="3" l="1"/>
  <c r="H6" i="3" s="1"/>
  <c r="I6" i="3" s="1"/>
  <c r="J6" i="3" s="1"/>
  <c r="F6" i="3" l="1"/>
  <c r="G7" i="3" l="1"/>
  <c r="H7" i="3" s="1"/>
  <c r="I7" i="3" s="1"/>
  <c r="J7" i="3" s="1"/>
  <c r="F7" i="3" l="1"/>
  <c r="G8" i="3" l="1"/>
  <c r="H8" i="3" s="1"/>
  <c r="I8" i="3" s="1"/>
  <c r="J8" i="3" s="1"/>
  <c r="F8" i="3" l="1"/>
  <c r="G9" i="3" s="1"/>
  <c r="H9" i="3" l="1"/>
  <c r="I9" i="3" s="1"/>
  <c r="J9" i="3" s="1"/>
  <c r="F9" i="3" l="1"/>
  <c r="G10" i="3" s="1"/>
  <c r="H10" i="3" l="1"/>
  <c r="I10" i="3" s="1"/>
  <c r="J10" i="3" s="1"/>
  <c r="F10" i="3" l="1"/>
  <c r="G11" i="3" s="1"/>
  <c r="H11" i="3" l="1"/>
  <c r="I11" i="3" s="1"/>
  <c r="J11" i="3" s="1"/>
  <c r="F11" i="3" l="1"/>
  <c r="G12" i="3" s="1"/>
  <c r="H12" i="3" l="1"/>
  <c r="I12" i="3" s="1"/>
  <c r="J12" i="3" s="1"/>
  <c r="F12" i="3" l="1"/>
  <c r="G13" i="3" s="1"/>
  <c r="H13" i="3" l="1"/>
  <c r="I13" i="3" s="1"/>
  <c r="J13" i="3" s="1"/>
  <c r="F13" i="3" l="1"/>
  <c r="G14" i="3" s="1"/>
  <c r="H14" i="3" l="1"/>
  <c r="I14" i="3" s="1"/>
  <c r="J14" i="3" s="1"/>
  <c r="F14" i="3" l="1"/>
  <c r="G15" i="3" s="1"/>
  <c r="H15" i="3" l="1"/>
  <c r="I15" i="3" s="1"/>
  <c r="J15" i="3" s="1"/>
  <c r="F15" i="3" l="1"/>
  <c r="G16" i="3" s="1"/>
  <c r="H16" i="3" l="1"/>
  <c r="I16" i="3" s="1"/>
  <c r="J16" i="3" s="1"/>
  <c r="F16" i="3" l="1"/>
  <c r="G17" i="3" s="1"/>
  <c r="H17" i="3" l="1"/>
  <c r="I17" i="3" s="1"/>
  <c r="J17" i="3" s="1"/>
  <c r="F17" i="3" l="1"/>
  <c r="G18" i="3" s="1"/>
  <c r="H18" i="3" l="1"/>
  <c r="I18" i="3" s="1"/>
  <c r="J18" i="3" s="1"/>
  <c r="F18" i="3" l="1"/>
  <c r="G19" i="3" s="1"/>
  <c r="H19" i="3" l="1"/>
  <c r="I19" i="3" s="1"/>
  <c r="J19" i="3" s="1"/>
  <c r="F19" i="3" l="1"/>
  <c r="G20" i="3" s="1"/>
  <c r="H20" i="3" l="1"/>
  <c r="I20" i="3" s="1"/>
  <c r="J20" i="3" s="1"/>
  <c r="F20" i="3" l="1"/>
  <c r="G21" i="3" s="1"/>
  <c r="H21" i="3" l="1"/>
  <c r="I21" i="3" s="1"/>
  <c r="J21" i="3" s="1"/>
  <c r="F21" i="3" l="1"/>
  <c r="G22" i="3" l="1"/>
  <c r="H22" i="3" l="1"/>
  <c r="I22" i="3" s="1"/>
  <c r="J22" i="3" s="1"/>
  <c r="F22" i="3"/>
  <c r="G23" i="3" l="1"/>
  <c r="H23" i="3" l="1"/>
  <c r="I23" i="3" s="1"/>
  <c r="J23" i="3" s="1"/>
  <c r="G24" i="3" l="1"/>
  <c r="G25" i="3"/>
  <c r="H25" i="3" l="1"/>
  <c r="I25" i="3" s="1"/>
  <c r="J25" i="3" s="1"/>
  <c r="H24" i="3"/>
  <c r="I24" i="3" s="1"/>
  <c r="J24" i="3" s="1"/>
  <c r="G26" i="3"/>
  <c r="H26" i="3" l="1"/>
  <c r="I26" i="3" s="1"/>
  <c r="J26" i="3" s="1"/>
  <c r="G27" i="3" l="1"/>
  <c r="H27" i="3" l="1"/>
  <c r="I27" i="3" s="1"/>
  <c r="J27" i="3" s="1"/>
  <c r="G28" i="3"/>
  <c r="H28" i="3" l="1"/>
  <c r="I28" i="3" s="1"/>
  <c r="J28" i="3" s="1"/>
  <c r="G29" i="3"/>
  <c r="H29" i="3" l="1"/>
  <c r="I29" i="3" s="1"/>
  <c r="J29" i="3" s="1"/>
  <c r="G30" i="3"/>
  <c r="H30" i="3" l="1"/>
  <c r="I30" i="3" s="1"/>
  <c r="J30" i="3" s="1"/>
  <c r="G31" i="3" l="1"/>
  <c r="C87" i="9"/>
  <c r="C86" i="9"/>
  <c r="B86" i="9" s="1"/>
  <c r="C85" i="9"/>
  <c r="B85" i="9" s="1"/>
  <c r="H31" i="3" l="1"/>
  <c r="I31" i="3" s="1"/>
  <c r="J31" i="3" s="1"/>
  <c r="G32" i="3"/>
  <c r="B87" i="9"/>
  <c r="B88" i="9"/>
  <c r="H32" i="3" l="1"/>
  <c r="I32" i="3" s="1"/>
  <c r="J32" i="3" s="1"/>
  <c r="G33" i="3" l="1"/>
  <c r="M14" i="3"/>
  <c r="H33" i="3" l="1"/>
  <c r="I33" i="3" s="1"/>
  <c r="J33" i="3" s="1"/>
  <c r="M5" i="3" l="1"/>
</calcChain>
</file>

<file path=xl/comments1.xml><?xml version="1.0" encoding="utf-8"?>
<comments xmlns="http://schemas.openxmlformats.org/spreadsheetml/2006/main">
  <authors>
    <author>S. Martel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Valeur théorique qui peut être liée au dépérissement d'un peuplement. Peut être de 0 dans un cas où le dépérissement est faible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Attention, doit correspondre à l'âge de la coupe définitive dans l'itinéraire technique ci-dessous</t>
        </r>
      </text>
    </comment>
  </commentList>
</comments>
</file>

<file path=xl/comments2.xml><?xml version="1.0" encoding="utf-8"?>
<comments xmlns="http://schemas.openxmlformats.org/spreadsheetml/2006/main">
  <authors>
    <author>S. Martel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<sst xmlns="http://schemas.openxmlformats.org/spreadsheetml/2006/main" count="375" uniqueCount="167">
  <si>
    <t>Pin sylvestre</t>
  </si>
  <si>
    <t>Douglas</t>
  </si>
  <si>
    <t>Hêtre</t>
  </si>
  <si>
    <t>a</t>
  </si>
  <si>
    <t>b</t>
  </si>
  <si>
    <t>g</t>
  </si>
  <si>
    <t>d</t>
  </si>
  <si>
    <t>Abies</t>
  </si>
  <si>
    <t>Acer</t>
  </si>
  <si>
    <t>Alnus</t>
  </si>
  <si>
    <t>Betula</t>
  </si>
  <si>
    <t>Carpinus betulus</t>
  </si>
  <si>
    <t>Castanea sativa</t>
  </si>
  <si>
    <t>Fagus sylvatica</t>
  </si>
  <si>
    <t>Fraxinus</t>
  </si>
  <si>
    <t>Juglans</t>
  </si>
  <si>
    <t>Larix decidua</t>
  </si>
  <si>
    <t>Moyenne feuillus (Carbofor, 2004)</t>
  </si>
  <si>
    <t>Moyenne résineux (Carbofor, 2004)</t>
  </si>
  <si>
    <t>Chêne sessile</t>
  </si>
  <si>
    <t>Infradensité (t/m3)</t>
  </si>
  <si>
    <t>Picea abies</t>
  </si>
  <si>
    <t>Pinus pinaster</t>
  </si>
  <si>
    <t>Pinus strobus</t>
  </si>
  <si>
    <t>Pinus sylvestris</t>
  </si>
  <si>
    <t>Populus</t>
  </si>
  <si>
    <t>Prunus</t>
  </si>
  <si>
    <t>Pseudotsuga menziesii</t>
  </si>
  <si>
    <t>Quercus</t>
  </si>
  <si>
    <t>Salix</t>
  </si>
  <si>
    <t>Tilia</t>
  </si>
  <si>
    <t>Pins</t>
  </si>
  <si>
    <t>Sapin</t>
  </si>
  <si>
    <t>Données</t>
  </si>
  <si>
    <t>Validité</t>
  </si>
  <si>
    <t>Valeur</t>
  </si>
  <si>
    <t>unité</t>
  </si>
  <si>
    <t>source</t>
  </si>
  <si>
    <t>taux de carbone</t>
  </si>
  <si>
    <t>Général</t>
  </si>
  <si>
    <t>Carbofor 2004</t>
  </si>
  <si>
    <t>K : facteur d'écorce</t>
  </si>
  <si>
    <t>facteur expansion racines</t>
  </si>
  <si>
    <t>Résineux</t>
  </si>
  <si>
    <t>Durée vie apparente avec recyclage</t>
  </si>
  <si>
    <t>Construction</t>
  </si>
  <si>
    <t>ans</t>
  </si>
  <si>
    <t>Vallet, 2005</t>
  </si>
  <si>
    <t>Durée vie apparente avec recyclaget</t>
  </si>
  <si>
    <t>Ameublement</t>
  </si>
  <si>
    <t>Emballage</t>
  </si>
  <si>
    <t>Chêne pédonculé</t>
  </si>
  <si>
    <t>Papier-carton</t>
  </si>
  <si>
    <t>Bois-énergie</t>
  </si>
  <si>
    <t>coefficient de subsitution</t>
  </si>
  <si>
    <t>BE</t>
  </si>
  <si>
    <t>teqC/m3 bois rond</t>
  </si>
  <si>
    <t>Martel, 2010</t>
  </si>
  <si>
    <t>bois de construction</t>
  </si>
  <si>
    <t>Saule</t>
  </si>
  <si>
    <t>Peuplier cultivé</t>
  </si>
  <si>
    <t>Orme</t>
  </si>
  <si>
    <t>Noyer</t>
  </si>
  <si>
    <t>Noisetier</t>
  </si>
  <si>
    <t>Frêne</t>
  </si>
  <si>
    <t>Autre fruitier</t>
  </si>
  <si>
    <t>Robinier faux-acacia</t>
  </si>
  <si>
    <t>Mélèze exotique</t>
  </si>
  <si>
    <t>Sapin de Nordmann</t>
  </si>
  <si>
    <t>Sapin pectiné</t>
  </si>
  <si>
    <t>chêne rouge d'amérique</t>
  </si>
  <si>
    <r>
      <t xml:space="preserve">Espèce ou genre </t>
    </r>
    <r>
      <rPr>
        <sz val="9"/>
        <rFont val="Arial"/>
        <family val="2"/>
      </rPr>
      <t xml:space="preserve"> </t>
    </r>
  </si>
  <si>
    <t>Année</t>
  </si>
  <si>
    <t>Châtaignier</t>
  </si>
  <si>
    <t>Scénario baseline</t>
  </si>
  <si>
    <t>Essence</t>
  </si>
  <si>
    <t>Accroissement baseline</t>
  </si>
  <si>
    <t>Données issues de la littérature</t>
  </si>
  <si>
    <t>2. Infradensités</t>
  </si>
  <si>
    <t>1. Données par essence</t>
  </si>
  <si>
    <t>Essence assimilée équation allométrique</t>
  </si>
  <si>
    <t>Genre ou espèce infradensité</t>
  </si>
  <si>
    <t>Infradensités (GIEC)</t>
  </si>
  <si>
    <t>Epicéa commun</t>
  </si>
  <si>
    <t>Picea Abies</t>
  </si>
  <si>
    <t>3. Données générales</t>
  </si>
  <si>
    <t>Feuillu divers</t>
  </si>
  <si>
    <t>Alisier torminal</t>
  </si>
  <si>
    <t>Alisier blanc</t>
  </si>
  <si>
    <t>Aulne glutineux</t>
  </si>
  <si>
    <t>alnus</t>
  </si>
  <si>
    <t>Bouleau</t>
  </si>
  <si>
    <t>Cèdre</t>
  </si>
  <si>
    <t>abies</t>
  </si>
  <si>
    <t>Charme</t>
  </si>
  <si>
    <t>Chêne chevelu</t>
  </si>
  <si>
    <t>Chêne pubescent</t>
  </si>
  <si>
    <t>Chêne tauzin</t>
  </si>
  <si>
    <t>Erable champêtre</t>
  </si>
  <si>
    <t>Erable sycomore</t>
  </si>
  <si>
    <t>Mélèze d'Europe</t>
  </si>
  <si>
    <t>Merisier</t>
  </si>
  <si>
    <t>Mort</t>
  </si>
  <si>
    <t>Pin laricio</t>
  </si>
  <si>
    <t>Pin maritime</t>
  </si>
  <si>
    <t>Pin noir d'Autriche</t>
  </si>
  <si>
    <t>Tilleul</t>
  </si>
  <si>
    <t>Tremble</t>
  </si>
  <si>
    <t>%</t>
  </si>
  <si>
    <t>m3/ha/an</t>
  </si>
  <si>
    <t>Volume initial</t>
  </si>
  <si>
    <t>m3/ha</t>
  </si>
  <si>
    <t>Feuillu/résineux</t>
  </si>
  <si>
    <t>Feuillu</t>
  </si>
  <si>
    <t>résineux</t>
  </si>
  <si>
    <t>facteur expansion branches</t>
  </si>
  <si>
    <t>Feuillus divers</t>
  </si>
  <si>
    <t>Accroissement</t>
  </si>
  <si>
    <t>Scénario de référence</t>
  </si>
  <si>
    <t>Coupe</t>
  </si>
  <si>
    <t>Type de coupe</t>
  </si>
  <si>
    <t>éclaircie</t>
  </si>
  <si>
    <t>Taux de prélévement en volume (%)</t>
  </si>
  <si>
    <t>Volume extrait (m3)</t>
  </si>
  <si>
    <t>Age peuplement</t>
  </si>
  <si>
    <t>Diminution annuelle de l'accroissement</t>
  </si>
  <si>
    <t>4. Données produits bois</t>
  </si>
  <si>
    <t>Sciage</t>
  </si>
  <si>
    <t>Papier</t>
  </si>
  <si>
    <t>demi-vie</t>
  </si>
  <si>
    <t>k</t>
  </si>
  <si>
    <t>Part papier (%)</t>
  </si>
  <si>
    <t>Panneaux bois</t>
  </si>
  <si>
    <t>Part panneaux (%)</t>
  </si>
  <si>
    <t>Part bois sciage (%)</t>
  </si>
  <si>
    <t>Part bois énergie (%)</t>
  </si>
  <si>
    <t>Volume déclencheur de coupe</t>
  </si>
  <si>
    <t>Scénario projet</t>
  </si>
  <si>
    <t>Proportion essence</t>
  </si>
  <si>
    <t>Accroissement moyen essence</t>
  </si>
  <si>
    <t>Durée de révolution</t>
  </si>
  <si>
    <t>PROJET</t>
  </si>
  <si>
    <t>Part bois énergie</t>
  </si>
  <si>
    <t>Part bois d'œuvre</t>
  </si>
  <si>
    <t>Itinéraire sylvicole du scénario projet</t>
  </si>
  <si>
    <t>Carbone séquestré chêne rouge (tCO₂/ha)</t>
  </si>
  <si>
    <t>Biomasse totale BA (tC/ha)</t>
  </si>
  <si>
    <t>Carbone séquestré prairie (tCO₂/ha)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</si>
  <si>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</si>
  <si>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</si>
  <si>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</si>
  <si>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</si>
  <si>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en CO₂ (Ba + Br)</t>
  </si>
  <si>
    <t>Gain dans le sol</t>
  </si>
  <si>
    <t>Forêt et prairie ont toutes les deux 70 tC/ha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</si>
  <si>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</si>
  <si>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</si>
  <si>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</si>
  <si>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</si>
  <si>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</si>
  <si>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</si>
  <si>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</si>
  <si>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</si>
  <si>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Gain CO₂ moyen long terme prairie</t>
  </si>
  <si>
    <t>Différence de stock moyen de long terme</t>
  </si>
  <si>
    <t>Différence de stock à 30 ans</t>
  </si>
  <si>
    <t>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</si>
</sst>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center"/>
    </xf>
    <xf numFmtId="0" fontId="7" fillId="0" borderId="2" xfId="0" applyFont="1" applyBorder="1"/>
    <xf numFmtId="0" fontId="0" fillId="0" borderId="0" xfId="0" applyBorder="1"/>
    <xf numFmtId="1" fontId="3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Border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4" borderId="4" xfId="0" applyFill="1" applyBorder="1"/>
    <xf numFmtId="0" fontId="0" fillId="3" borderId="0" xfId="0" applyFill="1" applyAlignment="1">
      <alignment vertical="center"/>
    </xf>
    <xf numFmtId="0" fontId="0" fillId="4" borderId="5" xfId="0" applyFill="1" applyBorder="1"/>
    <xf numFmtId="0" fontId="0" fillId="4" borderId="6" xfId="0" applyFill="1" applyBorder="1"/>
    <xf numFmtId="0" fontId="0" fillId="3" borderId="6" xfId="0" applyFill="1" applyBorder="1"/>
    <xf numFmtId="0" fontId="0" fillId="3" borderId="6" xfId="0" applyFill="1" applyBorder="1" applyAlignment="1"/>
    <xf numFmtId="0" fontId="0" fillId="3" borderId="1" xfId="0" applyFill="1" applyBorder="1"/>
    <xf numFmtId="0" fontId="7" fillId="3" borderId="7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3" borderId="5" xfId="0" applyFill="1" applyBorder="1"/>
    <xf numFmtId="0" fontId="0" fillId="4" borderId="6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3" fillId="0" borderId="0" xfId="0" applyFont="1" applyBorder="1"/>
    <xf numFmtId="0" fontId="10" fillId="0" borderId="0" xfId="0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3" fontId="0" fillId="0" borderId="0" xfId="0" applyNumberFormat="1" applyFill="1"/>
    <xf numFmtId="164" fontId="3" fillId="0" borderId="0" xfId="0" applyNumberFormat="1" applyFont="1" applyFill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2" borderId="3" xfId="1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0" fillId="7" borderId="3" xfId="0" applyFill="1" applyBorder="1"/>
    <xf numFmtId="9" fontId="0" fillId="0" borderId="0" xfId="1" applyFont="1"/>
    <xf numFmtId="0" fontId="0" fillId="8" borderId="0" xfId="0" applyFill="1"/>
    <xf numFmtId="9" fontId="0" fillId="8" borderId="0" xfId="1" applyFont="1" applyFill="1"/>
    <xf numFmtId="10" fontId="0" fillId="8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1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164" fontId="14" fillId="8" borderId="0" xfId="0" applyNumberFormat="1" applyFont="1" applyFill="1" applyAlignment="1">
      <alignment horizontal="center"/>
    </xf>
    <xf numFmtId="9" fontId="9" fillId="2" borderId="3" xfId="1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8" borderId="0" xfId="0" applyFont="1" applyFill="1" applyAlignment="1">
      <alignment horizontal="center"/>
    </xf>
    <xf numFmtId="164" fontId="17" fillId="8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lineChart>
        <c:grouping val="standard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Carbone séquestré chêne rouge (tCO₂/ha)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Modèle!$A$3:$A$33</c:f>
              <c:numCache>
                <c:formatCode>0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Modèle!$J$3:$J$33</c:f>
              <c:numCache>
                <c:formatCode>0.0</c:formatCode>
                <c:ptCount val="31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Modèle!#REF!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Modèle!$A$3:$A$33</c:f>
              <c:numCache>
                <c:formatCode>0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Modèle!$C$2</c:f>
              <c:strCache>
                <c:ptCount val="1"/>
                <c:pt idx="0">
                  <c:v>Carbone séquestré prairie (tCO₂/ha)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Modèle!$A$3:$A$33</c:f>
              <c:numCache>
                <c:formatCode>0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Modèle!$C$3:$C$33</c:f>
              <c:numCache>
                <c:formatCode>0.0</c:formatCode>
                <c:ptCount val="31"/>
                <c:pt idx="0">
                  <c:v>18.333333333333332</c:v>
                </c:pt>
                <c:pt idx="1">
                  <c:v>18.333333333333332</c:v>
                </c:pt>
                <c:pt idx="2">
                  <c:v>18.333333333333332</c:v>
                </c:pt>
                <c:pt idx="3">
                  <c:v>18.333333333333332</c:v>
                </c:pt>
                <c:pt idx="4">
                  <c:v>18.333333333333332</c:v>
                </c:pt>
                <c:pt idx="5">
                  <c:v>18.333333333333332</c:v>
                </c:pt>
                <c:pt idx="6">
                  <c:v>18.333333333333332</c:v>
                </c:pt>
                <c:pt idx="7">
                  <c:v>18.333333333333332</c:v>
                </c:pt>
                <c:pt idx="8">
                  <c:v>18.333333333333332</c:v>
                </c:pt>
                <c:pt idx="9">
                  <c:v>18.333333333333332</c:v>
                </c:pt>
                <c:pt idx="10">
                  <c:v>18.333333333333332</c:v>
                </c:pt>
                <c:pt idx="11">
                  <c:v>18.333333333333332</c:v>
                </c:pt>
                <c:pt idx="12">
                  <c:v>18.333333333333332</c:v>
                </c:pt>
                <c:pt idx="13">
                  <c:v>18.333333333333332</c:v>
                </c:pt>
                <c:pt idx="14">
                  <c:v>18.333333333333332</c:v>
                </c:pt>
                <c:pt idx="15">
                  <c:v>18.333333333333332</c:v>
                </c:pt>
                <c:pt idx="16">
                  <c:v>18.333333333333332</c:v>
                </c:pt>
                <c:pt idx="17">
                  <c:v>18.333333333333332</c:v>
                </c:pt>
                <c:pt idx="18">
                  <c:v>18.333333333333332</c:v>
                </c:pt>
                <c:pt idx="19">
                  <c:v>18.333333333333332</c:v>
                </c:pt>
                <c:pt idx="20">
                  <c:v>18.333333333333332</c:v>
                </c:pt>
                <c:pt idx="21">
                  <c:v>18.333333333333332</c:v>
                </c:pt>
                <c:pt idx="22">
                  <c:v>18.333333333333332</c:v>
                </c:pt>
                <c:pt idx="23">
                  <c:v>18.333333333333332</c:v>
                </c:pt>
                <c:pt idx="24">
                  <c:v>18.333333333333332</c:v>
                </c:pt>
                <c:pt idx="25">
                  <c:v>18.333333333333332</c:v>
                </c:pt>
                <c:pt idx="26">
                  <c:v>18.333333333333332</c:v>
                </c:pt>
                <c:pt idx="27">
                  <c:v>18.333333333333332</c:v>
                </c:pt>
                <c:pt idx="28">
                  <c:v>18.333333333333332</c:v>
                </c:pt>
                <c:pt idx="29">
                  <c:v>18.333333333333332</c:v>
                </c:pt>
                <c:pt idx="30">
                  <c:v>18.333333333333332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Modèle!#REF!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 cmpd="sng">
              <a:solidFill>
                <a:srgbClr val="92D050"/>
              </a:solidFill>
              <a:prstDash val="dash"/>
            </a:ln>
          </c:spPr>
          <c:marker>
            <c:symbol val="none"/>
          </c:marker>
          <c:cat>
            <c:numRef>
              <c:f>Modèle!$A$3:$A$33</c:f>
              <c:numCache>
                <c:formatCode>0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96639424"/>
        <c:axId val="-1896637248"/>
      </c:lineChart>
      <c:catAx>
        <c:axId val="-189663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0879828326180245"/>
              <c:y val="0.877647472894106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8966372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-18966372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89663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Liberation Serif" panose="02020603050405020304" pitchFamily="18" charset="0"/>
              <a:ea typeface="Liberation Serif" panose="02020603050405020304" pitchFamily="18" charset="0"/>
              <a:cs typeface="Liberation Serif" panose="02020603050405020304" pitchFamily="18" charset="0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Modèle!$A$3:$A$103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Modèle!$J$3:$J$103</c:f>
              <c:numCache>
                <c:formatCode>0.0</c:formatCode>
                <c:ptCount val="101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  <c:pt idx="31">
                  <c:v>243.45315837795934</c:v>
                </c:pt>
                <c:pt idx="32">
                  <c:v>261.29736721640791</c:v>
                </c:pt>
                <c:pt idx="33">
                  <c:v>203.26907123098991</c:v>
                </c:pt>
                <c:pt idx="34">
                  <c:v>219.92806307536296</c:v>
                </c:pt>
                <c:pt idx="35">
                  <c:v>236.55808044428508</c:v>
                </c:pt>
                <c:pt idx="36">
                  <c:v>253.16144710765533</c:v>
                </c:pt>
                <c:pt idx="37">
                  <c:v>269.74015697851786</c:v>
                </c:pt>
                <c:pt idx="38">
                  <c:v>286.29593876612068</c:v>
                </c:pt>
                <c:pt idx="39">
                  <c:v>229.97213730997649</c:v>
                </c:pt>
                <c:pt idx="40">
                  <c:v>245.01959722679601</c:v>
                </c:pt>
                <c:pt idx="41">
                  <c:v>260.0460645487633</c:v>
                </c:pt>
                <c:pt idx="42">
                  <c:v>275.05292326713243</c:v>
                </c:pt>
                <c:pt idx="43">
                  <c:v>290.04139396546566</c:v>
                </c:pt>
                <c:pt idx="44">
                  <c:v>305.01256073997382</c:v>
                </c:pt>
                <c:pt idx="45">
                  <c:v>253.47447536439981</c:v>
                </c:pt>
                <c:pt idx="46">
                  <c:v>266.92656506820367</c:v>
                </c:pt>
                <c:pt idx="47">
                  <c:v>280.36338431358689</c:v>
                </c:pt>
                <c:pt idx="48">
                  <c:v>293.78576822908889</c:v>
                </c:pt>
                <c:pt idx="49">
                  <c:v>307.19446937538345</c:v>
                </c:pt>
                <c:pt idx="50">
                  <c:v>320.59016923293365</c:v>
                </c:pt>
                <c:pt idx="51">
                  <c:v>272.24057270166469</c:v>
                </c:pt>
                <c:pt idx="52">
                  <c:v>284.42280077304105</c:v>
                </c:pt>
                <c:pt idx="53">
                  <c:v>296.59334905146255</c:v>
                </c:pt>
                <c:pt idx="54">
                  <c:v>308.75276451593004</c:v>
                </c:pt>
                <c:pt idx="55">
                  <c:v>320.90154752800976</c:v>
                </c:pt>
                <c:pt idx="56">
                  <c:v>333.0401574570293</c:v>
                </c:pt>
                <c:pt idx="57">
                  <c:v>289.41722692891403</c:v>
                </c:pt>
                <c:pt idx="58">
                  <c:v>300.02403249547757</c:v>
                </c:pt>
                <c:pt idx="59">
                  <c:v>310.62248816136616</c:v>
                </c:pt>
                <c:pt idx="60">
                  <c:v>321.21291913664703</c:v>
                </c:pt>
                <c:pt idx="61">
                  <c:v>331.79562742491447</c:v>
                </c:pt>
                <c:pt idx="62">
                  <c:v>342.37089418257477</c:v>
                </c:pt>
                <c:pt idx="63">
                  <c:v>303.45384214677318</c:v>
                </c:pt>
                <c:pt idx="64">
                  <c:v>312.80351675757174</c:v>
                </c:pt>
                <c:pt idx="65">
                  <c:v>322.14699391797183</c:v>
                </c:pt>
                <c:pt idx="66">
                  <c:v>331.48447884420858</c:v>
                </c:pt>
                <c:pt idx="67">
                  <c:v>340.81616423982365</c:v>
                </c:pt>
                <c:pt idx="68">
                  <c:v>350.14223138776873</c:v>
                </c:pt>
                <c:pt idx="69">
                  <c:v>315.9186873454837</c:v>
                </c:pt>
                <c:pt idx="70">
                  <c:v>324.01496394256736</c:v>
                </c:pt>
                <c:pt idx="71">
                  <c:v>332.10676956966137</c:v>
                </c:pt>
                <c:pt idx="72">
                  <c:v>340.19422861744891</c:v>
                </c:pt>
                <c:pt idx="73">
                  <c:v>348.27745907481875</c:v>
                </c:pt>
                <c:pt idx="74">
                  <c:v>356.35657300253297</c:v>
                </c:pt>
                <c:pt idx="75">
                  <c:v>325.26014493454323</c:v>
                </c:pt>
                <c:pt idx="76">
                  <c:v>332.41790528534432</c:v>
                </c:pt>
                <c:pt idx="77">
                  <c:v>339.57226797673195</c:v>
                </c:pt>
                <c:pt idx="78">
                  <c:v>346.72331475971595</c:v>
                </c:pt>
                <c:pt idx="79">
                  <c:v>353.87112373479096</c:v>
                </c:pt>
                <c:pt idx="80">
                  <c:v>361.01576958702663</c:v>
                </c:pt>
                <c:pt idx="81">
                  <c:v>334.59567585759874</c:v>
                </c:pt>
                <c:pt idx="82">
                  <c:v>340.81616423982365</c:v>
                </c:pt>
                <c:pt idx="83">
                  <c:v>347.03415583786756</c:v>
                </c:pt>
                <c:pt idx="84">
                  <c:v>353.24970174806907</c:v>
                </c:pt>
                <c:pt idx="85">
                  <c:v>359.46285112001948</c:v>
                </c:pt>
                <c:pt idx="86">
                  <c:v>365.67365126385283</c:v>
                </c:pt>
                <c:pt idx="87">
                  <c:v>342.37089418257477</c:v>
                </c:pt>
                <c:pt idx="88">
                  <c:v>347.65581965898065</c:v>
                </c:pt>
                <c:pt idx="89">
                  <c:v>352.93898177127249</c:v>
                </c:pt>
                <c:pt idx="90">
                  <c:v>358.22041067213968</c:v>
                </c:pt>
                <c:pt idx="91">
                  <c:v>363.5001355515472</c:v>
                </c:pt>
                <c:pt idx="92">
                  <c:v>368.77818468132654</c:v>
                </c:pt>
                <c:pt idx="93">
                  <c:v>348.58826964633107</c:v>
                </c:pt>
                <c:pt idx="94">
                  <c:v>353.24970174806907</c:v>
                </c:pt>
                <c:pt idx="95">
                  <c:v>357.90978583474595</c:v>
                </c:pt>
                <c:pt idx="96">
                  <c:v>362.56854195764805</c:v>
                </c:pt>
                <c:pt idx="97">
                  <c:v>367.22598961006497</c:v>
                </c:pt>
                <c:pt idx="98">
                  <c:v>371.88214774985948</c:v>
                </c:pt>
                <c:pt idx="99">
                  <c:v>353.24970174806907</c:v>
                </c:pt>
                <c:pt idx="100">
                  <c:v>357.59915509549666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Modèle!$A$3:$A$103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6638336"/>
        <c:axId val="-1738180144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Modèle!$A$3:$A$114</c:f>
              <c:numCache>
                <c:formatCode>0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96638336"/>
        <c:axId val="-1738180144"/>
      </c:lineChart>
      <c:catAx>
        <c:axId val="-189663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7381801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17381801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89663833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 linéaire'!$A$2:$A$106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</c:numCache>
            </c:numRef>
          </c:xVal>
          <c:yVal>
            <c:numRef>
              <c:f>'Interpolation linéaire'!$C$2:$C$106</c:f>
              <c:numCache>
                <c:formatCode>General</c:formatCode>
                <c:ptCount val="10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2.5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18</c:v>
                </c:pt>
                <c:pt idx="10">
                  <c:v>24</c:v>
                </c:pt>
                <c:pt idx="11">
                  <c:v>32</c:v>
                </c:pt>
                <c:pt idx="12">
                  <c:v>41</c:v>
                </c:pt>
                <c:pt idx="13">
                  <c:v>51</c:v>
                </c:pt>
                <c:pt idx="14">
                  <c:v>62</c:v>
                </c:pt>
                <c:pt idx="15">
                  <c:v>73</c:v>
                </c:pt>
                <c:pt idx="16">
                  <c:v>84.5</c:v>
                </c:pt>
                <c:pt idx="17">
                  <c:v>96</c:v>
                </c:pt>
                <c:pt idx="18">
                  <c:v>108</c:v>
                </c:pt>
                <c:pt idx="19">
                  <c:v>120</c:v>
                </c:pt>
                <c:pt idx="20">
                  <c:v>132</c:v>
                </c:pt>
                <c:pt idx="21">
                  <c:v>82</c:v>
                </c:pt>
                <c:pt idx="22">
                  <c:v>94.2</c:v>
                </c:pt>
                <c:pt idx="23">
                  <c:v>106.4</c:v>
                </c:pt>
                <c:pt idx="24">
                  <c:v>118.6</c:v>
                </c:pt>
                <c:pt idx="25">
                  <c:v>130.80000000000001</c:v>
                </c:pt>
                <c:pt idx="26">
                  <c:v>143</c:v>
                </c:pt>
                <c:pt idx="27">
                  <c:v>106</c:v>
                </c:pt>
                <c:pt idx="28">
                  <c:v>117.4</c:v>
                </c:pt>
                <c:pt idx="29">
                  <c:v>128.80000000000001</c:v>
                </c:pt>
                <c:pt idx="30">
                  <c:v>140.19999999999999</c:v>
                </c:pt>
                <c:pt idx="31">
                  <c:v>151.6</c:v>
                </c:pt>
                <c:pt idx="32">
                  <c:v>163</c:v>
                </c:pt>
                <c:pt idx="33">
                  <c:v>126</c:v>
                </c:pt>
                <c:pt idx="34">
                  <c:v>136.6</c:v>
                </c:pt>
                <c:pt idx="35">
                  <c:v>147.19999999999999</c:v>
                </c:pt>
                <c:pt idx="36">
                  <c:v>157.80000000000001</c:v>
                </c:pt>
                <c:pt idx="37">
                  <c:v>168.4</c:v>
                </c:pt>
                <c:pt idx="38">
                  <c:v>179</c:v>
                </c:pt>
                <c:pt idx="39">
                  <c:v>143</c:v>
                </c:pt>
                <c:pt idx="40">
                  <c:v>152.6</c:v>
                </c:pt>
                <c:pt idx="41">
                  <c:v>162.19999999999999</c:v>
                </c:pt>
                <c:pt idx="42">
                  <c:v>171.8</c:v>
                </c:pt>
                <c:pt idx="43">
                  <c:v>181.4</c:v>
                </c:pt>
                <c:pt idx="44">
                  <c:v>191</c:v>
                </c:pt>
                <c:pt idx="45">
                  <c:v>158</c:v>
                </c:pt>
                <c:pt idx="46">
                  <c:v>166.6</c:v>
                </c:pt>
                <c:pt idx="47">
                  <c:v>175.2</c:v>
                </c:pt>
                <c:pt idx="48">
                  <c:v>183.8</c:v>
                </c:pt>
                <c:pt idx="49">
                  <c:v>192.4</c:v>
                </c:pt>
                <c:pt idx="50">
                  <c:v>201</c:v>
                </c:pt>
                <c:pt idx="51">
                  <c:v>170</c:v>
                </c:pt>
                <c:pt idx="52">
                  <c:v>177.8</c:v>
                </c:pt>
                <c:pt idx="53">
                  <c:v>185.6</c:v>
                </c:pt>
                <c:pt idx="54">
                  <c:v>193.4</c:v>
                </c:pt>
                <c:pt idx="55">
                  <c:v>201.2</c:v>
                </c:pt>
                <c:pt idx="56">
                  <c:v>209</c:v>
                </c:pt>
                <c:pt idx="57">
                  <c:v>181</c:v>
                </c:pt>
                <c:pt idx="58">
                  <c:v>187.8</c:v>
                </c:pt>
                <c:pt idx="59">
                  <c:v>194.6</c:v>
                </c:pt>
                <c:pt idx="60">
                  <c:v>201.4</c:v>
                </c:pt>
                <c:pt idx="61">
                  <c:v>208.2</c:v>
                </c:pt>
                <c:pt idx="62">
                  <c:v>215</c:v>
                </c:pt>
                <c:pt idx="63">
                  <c:v>190</c:v>
                </c:pt>
                <c:pt idx="64">
                  <c:v>196</c:v>
                </c:pt>
                <c:pt idx="65">
                  <c:v>202</c:v>
                </c:pt>
                <c:pt idx="66">
                  <c:v>208</c:v>
                </c:pt>
                <c:pt idx="67">
                  <c:v>214</c:v>
                </c:pt>
                <c:pt idx="68">
                  <c:v>220</c:v>
                </c:pt>
                <c:pt idx="69">
                  <c:v>198</c:v>
                </c:pt>
                <c:pt idx="70">
                  <c:v>203.2</c:v>
                </c:pt>
                <c:pt idx="71">
                  <c:v>208.4</c:v>
                </c:pt>
                <c:pt idx="72">
                  <c:v>213.6</c:v>
                </c:pt>
                <c:pt idx="73">
                  <c:v>218.8</c:v>
                </c:pt>
                <c:pt idx="74">
                  <c:v>224</c:v>
                </c:pt>
                <c:pt idx="75">
                  <c:v>204</c:v>
                </c:pt>
                <c:pt idx="76">
                  <c:v>208.6</c:v>
                </c:pt>
                <c:pt idx="77">
                  <c:v>213.2</c:v>
                </c:pt>
                <c:pt idx="78">
                  <c:v>217.8</c:v>
                </c:pt>
                <c:pt idx="79">
                  <c:v>222.4</c:v>
                </c:pt>
                <c:pt idx="80">
                  <c:v>227</c:v>
                </c:pt>
                <c:pt idx="81">
                  <c:v>210</c:v>
                </c:pt>
                <c:pt idx="82">
                  <c:v>214</c:v>
                </c:pt>
                <c:pt idx="83">
                  <c:v>218</c:v>
                </c:pt>
                <c:pt idx="84">
                  <c:v>222</c:v>
                </c:pt>
                <c:pt idx="85">
                  <c:v>226</c:v>
                </c:pt>
                <c:pt idx="86">
                  <c:v>230</c:v>
                </c:pt>
                <c:pt idx="87">
                  <c:v>215</c:v>
                </c:pt>
                <c:pt idx="88">
                  <c:v>218.4</c:v>
                </c:pt>
                <c:pt idx="89">
                  <c:v>221.8</c:v>
                </c:pt>
                <c:pt idx="90">
                  <c:v>225.2</c:v>
                </c:pt>
                <c:pt idx="91">
                  <c:v>228.6</c:v>
                </c:pt>
                <c:pt idx="92">
                  <c:v>232</c:v>
                </c:pt>
                <c:pt idx="93">
                  <c:v>219</c:v>
                </c:pt>
                <c:pt idx="94">
                  <c:v>222</c:v>
                </c:pt>
                <c:pt idx="95">
                  <c:v>225</c:v>
                </c:pt>
                <c:pt idx="96">
                  <c:v>228</c:v>
                </c:pt>
                <c:pt idx="97">
                  <c:v>231</c:v>
                </c:pt>
                <c:pt idx="98">
                  <c:v>234</c:v>
                </c:pt>
                <c:pt idx="99">
                  <c:v>222</c:v>
                </c:pt>
                <c:pt idx="100">
                  <c:v>224.8</c:v>
                </c:pt>
                <c:pt idx="101">
                  <c:v>227.6</c:v>
                </c:pt>
                <c:pt idx="102">
                  <c:v>230.4</c:v>
                </c:pt>
                <c:pt idx="103">
                  <c:v>233.2</c:v>
                </c:pt>
                <c:pt idx="104">
                  <c:v>236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38177424"/>
        <c:axId val="-1738179600"/>
      </c:scatterChart>
      <c:valAx>
        <c:axId val="-173817742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8179600"/>
        <c:crosses val="autoZero"/>
        <c:crossBetween val="midCat"/>
      </c:valAx>
      <c:valAx>
        <c:axId val="-17381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8177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 linéaire'!$A$2:$A$106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</c:numCache>
            </c:numRef>
          </c:xVal>
          <c:yVal>
            <c:numRef>
              <c:f>'Interpolation linéaire'!$B$3:$B$106</c:f>
              <c:numCache>
                <c:formatCode>General</c:formatCode>
                <c:ptCount val="10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11.5</c:v>
                </c:pt>
                <c:pt idx="16">
                  <c:v>11.5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1">
                  <c:v>12.200000000000003</c:v>
                </c:pt>
                <c:pt idx="22">
                  <c:v>12.200000000000003</c:v>
                </c:pt>
                <c:pt idx="23">
                  <c:v>12.199999999999989</c:v>
                </c:pt>
                <c:pt idx="24">
                  <c:v>12.200000000000017</c:v>
                </c:pt>
                <c:pt idx="25">
                  <c:v>12.199999999999989</c:v>
                </c:pt>
                <c:pt idx="27">
                  <c:v>11.400000000000006</c:v>
                </c:pt>
                <c:pt idx="28">
                  <c:v>11.400000000000006</c:v>
                </c:pt>
                <c:pt idx="29">
                  <c:v>11.399999999999977</c:v>
                </c:pt>
                <c:pt idx="30">
                  <c:v>11.400000000000006</c:v>
                </c:pt>
                <c:pt idx="31">
                  <c:v>11.400000000000006</c:v>
                </c:pt>
                <c:pt idx="33">
                  <c:v>10.599999999999994</c:v>
                </c:pt>
                <c:pt idx="34">
                  <c:v>10.599999999999994</c:v>
                </c:pt>
                <c:pt idx="35">
                  <c:v>10.600000000000023</c:v>
                </c:pt>
                <c:pt idx="36">
                  <c:v>10.599999999999994</c:v>
                </c:pt>
                <c:pt idx="37">
                  <c:v>10.599999999999994</c:v>
                </c:pt>
                <c:pt idx="39">
                  <c:v>9.5999999999999943</c:v>
                </c:pt>
                <c:pt idx="40">
                  <c:v>9.5999999999999943</c:v>
                </c:pt>
                <c:pt idx="41">
                  <c:v>9.6000000000000227</c:v>
                </c:pt>
                <c:pt idx="42">
                  <c:v>9.5999999999999943</c:v>
                </c:pt>
                <c:pt idx="43">
                  <c:v>9.5999999999999943</c:v>
                </c:pt>
                <c:pt idx="45">
                  <c:v>8.5999999999999943</c:v>
                </c:pt>
                <c:pt idx="46">
                  <c:v>8.5999999999999943</c:v>
                </c:pt>
                <c:pt idx="47">
                  <c:v>8.6000000000000227</c:v>
                </c:pt>
                <c:pt idx="48">
                  <c:v>8.5999999999999943</c:v>
                </c:pt>
                <c:pt idx="49">
                  <c:v>8.5999999999999943</c:v>
                </c:pt>
                <c:pt idx="51">
                  <c:v>7.8000000000000114</c:v>
                </c:pt>
                <c:pt idx="52">
                  <c:v>7.7999999999999829</c:v>
                </c:pt>
                <c:pt idx="53">
                  <c:v>7.8000000000000114</c:v>
                </c:pt>
                <c:pt idx="54">
                  <c:v>7.7999999999999829</c:v>
                </c:pt>
                <c:pt idx="55">
                  <c:v>7.8000000000000114</c:v>
                </c:pt>
                <c:pt idx="57">
                  <c:v>6.8000000000000114</c:v>
                </c:pt>
                <c:pt idx="58">
                  <c:v>6.7999999999999829</c:v>
                </c:pt>
                <c:pt idx="59">
                  <c:v>6.8000000000000114</c:v>
                </c:pt>
                <c:pt idx="60">
                  <c:v>6.7999999999999829</c:v>
                </c:pt>
                <c:pt idx="61">
                  <c:v>6.8000000000000114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9">
                  <c:v>5.1999999999999886</c:v>
                </c:pt>
                <c:pt idx="70">
                  <c:v>5.2000000000000171</c:v>
                </c:pt>
                <c:pt idx="71">
                  <c:v>5.1999999999999886</c:v>
                </c:pt>
                <c:pt idx="72">
                  <c:v>5.2000000000000171</c:v>
                </c:pt>
                <c:pt idx="73">
                  <c:v>5.1999999999999886</c:v>
                </c:pt>
                <c:pt idx="75">
                  <c:v>4.5999999999999943</c:v>
                </c:pt>
                <c:pt idx="76">
                  <c:v>4.5999999999999943</c:v>
                </c:pt>
                <c:pt idx="77">
                  <c:v>4.6000000000000227</c:v>
                </c:pt>
                <c:pt idx="78">
                  <c:v>4.5999999999999943</c:v>
                </c:pt>
                <c:pt idx="79">
                  <c:v>4.5999999999999943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7">
                  <c:v>3.4000000000000057</c:v>
                </c:pt>
                <c:pt idx="88">
                  <c:v>3.4000000000000057</c:v>
                </c:pt>
                <c:pt idx="89">
                  <c:v>3.3999999999999773</c:v>
                </c:pt>
                <c:pt idx="90">
                  <c:v>3.4000000000000057</c:v>
                </c:pt>
                <c:pt idx="91">
                  <c:v>3.4000000000000057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9">
                  <c:v>2.8000000000000114</c:v>
                </c:pt>
                <c:pt idx="100">
                  <c:v>2.7999999999999829</c:v>
                </c:pt>
                <c:pt idx="101">
                  <c:v>2.8000000000000114</c:v>
                </c:pt>
                <c:pt idx="102">
                  <c:v>2.7999999999999829</c:v>
                </c:pt>
                <c:pt idx="103">
                  <c:v>2.8000000000000114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38176880"/>
        <c:axId val="-1738179056"/>
      </c:scatterChart>
      <c:valAx>
        <c:axId val="-173817688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8179056"/>
        <c:crosses val="autoZero"/>
        <c:crossBetween val="midCat"/>
      </c:valAx>
      <c:valAx>
        <c:axId val="-173817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817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383381</xdr:colOff>
      <xdr:row>20</xdr:row>
      <xdr:rowOff>111370</xdr:rowOff>
    </xdr:from>
    <xdr:to>
      <xdr:col>18</xdr:col>
      <xdr:colOff>483577</xdr:colOff>
      <xdr:row>44</xdr:row>
      <xdr:rowOff>43961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0</xdr:rowOff>
    </xdr:from>
    <xdr:to>
      <xdr:col>21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23812</xdr:rowOff>
    </xdr:from>
    <xdr:to>
      <xdr:col>13</xdr:col>
      <xdr:colOff>428625</xdr:colOff>
      <xdr:row>18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171449</xdr:colOff>
      <xdr:row>18</xdr:row>
      <xdr:rowOff>138111</xdr:rowOff>
    </xdr:from>
    <xdr:to>
      <xdr:col>13</xdr:col>
      <xdr:colOff>428624</xdr:colOff>
      <xdr:row>38</xdr:row>
      <xdr:rowOff>28574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6"/>
  <sheetViews>
    <sheetView workbookViewId="0">
      <selection activeCell="E19" sqref="E19"/>
    </sheetView>
  </sheetViews>
  <sheetFormatPr baseColWidth="10" defaultRowHeight="12.75" x14ac:dyDescent="0.2"/>
  <cols>
    <col min="1" max="1" width="34.28515625" bestFit="1" customWidth="1"/>
    <col min="2" max="2" width="7.85546875" bestFit="1" customWidth="1"/>
    <col min="3" max="3" width="8.7109375" bestFit="1" customWidth="1"/>
    <col min="4" max="4" width="37.5703125" bestFit="1" customWidth="1"/>
    <col min="5" max="5" width="14.7109375" bestFit="1" customWidth="1"/>
    <col min="6" max="7" width="10" bestFit="1" customWidth="1"/>
    <col min="12" max="12" width="24.140625" customWidth="1"/>
    <col min="13" max="13" width="28.28515625" customWidth="1"/>
    <col min="14" max="14" width="16.28515625" customWidth="1"/>
    <col min="15" max="15" width="22.140625" customWidth="1"/>
    <col min="18" max="18" width="7.7109375" customWidth="1"/>
    <col min="19" max="19" width="15.42578125" customWidth="1"/>
    <col min="21" max="21" width="6.7109375" customWidth="1"/>
    <col min="22" max="22" width="3.5703125" customWidth="1"/>
    <col min="23" max="23" width="17" hidden="1" customWidth="1"/>
  </cols>
  <sheetData>
    <row r="1" spans="1:23" x14ac:dyDescent="0.2">
      <c r="A1" s="116" t="s">
        <v>137</v>
      </c>
      <c r="B1" s="116"/>
      <c r="C1" s="116"/>
      <c r="D1" s="116" t="s">
        <v>74</v>
      </c>
      <c r="E1" s="116"/>
      <c r="F1" s="116"/>
      <c r="L1" s="57"/>
      <c r="M1" s="57"/>
      <c r="N1" s="58"/>
      <c r="O1" s="58"/>
      <c r="P1" s="58"/>
      <c r="Q1" s="58"/>
      <c r="R1" s="58"/>
      <c r="W1" s="26" t="s">
        <v>88</v>
      </c>
    </row>
    <row r="2" spans="1:23" x14ac:dyDescent="0.2">
      <c r="A2" s="73" t="s">
        <v>75</v>
      </c>
      <c r="B2" s="29" t="s">
        <v>70</v>
      </c>
      <c r="C2" s="76"/>
      <c r="D2" s="74" t="s">
        <v>75</v>
      </c>
      <c r="E2" s="77" t="s">
        <v>19</v>
      </c>
      <c r="F2" s="78"/>
      <c r="L2" s="57"/>
      <c r="M2" s="57"/>
      <c r="N2" s="57"/>
      <c r="O2" s="57"/>
      <c r="P2" s="57"/>
      <c r="Q2" s="57"/>
      <c r="R2" s="57"/>
      <c r="W2" s="25" t="s">
        <v>87</v>
      </c>
    </row>
    <row r="3" spans="1:23" x14ac:dyDescent="0.2">
      <c r="A3" s="73" t="s">
        <v>138</v>
      </c>
      <c r="B3" s="79">
        <v>100</v>
      </c>
      <c r="C3" s="80" t="s">
        <v>108</v>
      </c>
      <c r="D3" s="74" t="s">
        <v>76</v>
      </c>
      <c r="E3" s="81">
        <v>1</v>
      </c>
      <c r="F3" s="82" t="s">
        <v>109</v>
      </c>
      <c r="L3" s="58"/>
      <c r="M3" s="58"/>
      <c r="N3" s="58"/>
      <c r="O3" s="58"/>
      <c r="P3" s="58"/>
      <c r="Q3" s="59"/>
      <c r="R3" s="60"/>
      <c r="W3" s="26" t="s">
        <v>89</v>
      </c>
    </row>
    <row r="4" spans="1:23" x14ac:dyDescent="0.2">
      <c r="A4" s="73" t="s">
        <v>139</v>
      </c>
      <c r="B4" s="79"/>
      <c r="C4" s="80" t="s">
        <v>109</v>
      </c>
      <c r="D4" s="74" t="s">
        <v>125</v>
      </c>
      <c r="E4" s="81">
        <v>0</v>
      </c>
      <c r="F4" s="82" t="s">
        <v>108</v>
      </c>
      <c r="L4" s="58"/>
      <c r="M4" s="58"/>
      <c r="N4" s="58"/>
      <c r="O4" s="58"/>
      <c r="P4" s="58"/>
      <c r="Q4" s="59"/>
      <c r="R4" s="60"/>
      <c r="W4" s="25" t="s">
        <v>65</v>
      </c>
    </row>
    <row r="5" spans="1:23" x14ac:dyDescent="0.2">
      <c r="A5" s="73" t="s">
        <v>140</v>
      </c>
      <c r="B5" s="79"/>
      <c r="C5" s="80" t="s">
        <v>46</v>
      </c>
      <c r="D5" s="74" t="s">
        <v>110</v>
      </c>
      <c r="E5" s="81"/>
      <c r="F5" s="82" t="s">
        <v>111</v>
      </c>
      <c r="L5" s="58"/>
      <c r="M5" s="58"/>
      <c r="N5" s="58"/>
      <c r="O5" s="58"/>
      <c r="P5" s="58"/>
      <c r="Q5" s="58"/>
      <c r="R5" s="60"/>
      <c r="W5" s="25" t="s">
        <v>91</v>
      </c>
    </row>
    <row r="6" spans="1:23" x14ac:dyDescent="0.2">
      <c r="A6" s="9"/>
      <c r="B6" s="83"/>
      <c r="C6" s="9"/>
      <c r="D6" s="74" t="s">
        <v>136</v>
      </c>
      <c r="E6" s="81">
        <v>200</v>
      </c>
      <c r="F6" s="82" t="s">
        <v>111</v>
      </c>
      <c r="L6" s="58"/>
      <c r="M6" s="58"/>
      <c r="N6" s="58"/>
      <c r="O6" s="58"/>
      <c r="P6" s="58"/>
      <c r="Q6" s="58"/>
      <c r="R6" s="60"/>
      <c r="W6" s="25" t="s">
        <v>92</v>
      </c>
    </row>
    <row r="7" spans="1:23" x14ac:dyDescent="0.2">
      <c r="A7" s="37"/>
      <c r="B7" s="56"/>
      <c r="C7" s="37"/>
      <c r="D7" s="74" t="s">
        <v>142</v>
      </c>
      <c r="E7" s="81"/>
      <c r="F7" s="85" t="s">
        <v>108</v>
      </c>
      <c r="L7" s="58"/>
      <c r="M7" s="58"/>
      <c r="N7" s="58"/>
      <c r="O7" s="58"/>
      <c r="P7" s="58"/>
      <c r="Q7" s="59"/>
      <c r="R7" s="60"/>
      <c r="W7" s="25" t="s">
        <v>94</v>
      </c>
    </row>
    <row r="8" spans="1:23" ht="13.5" customHeight="1" x14ac:dyDescent="0.2">
      <c r="D8" s="74" t="s">
        <v>143</v>
      </c>
      <c r="E8" s="81"/>
      <c r="F8" s="85" t="s">
        <v>108</v>
      </c>
      <c r="L8" s="58"/>
      <c r="M8" s="58"/>
      <c r="N8" s="58"/>
      <c r="O8" s="58"/>
      <c r="P8" s="58"/>
      <c r="Q8" s="58"/>
      <c r="R8" s="60"/>
      <c r="W8" s="38" t="s">
        <v>19</v>
      </c>
    </row>
    <row r="9" spans="1:23" ht="13.5" customHeight="1" x14ac:dyDescent="0.2">
      <c r="D9" s="86"/>
      <c r="E9" s="83"/>
      <c r="F9" s="87"/>
      <c r="L9" s="58"/>
      <c r="M9" s="58"/>
      <c r="N9" s="58"/>
      <c r="O9" s="58"/>
      <c r="P9" s="58"/>
      <c r="Q9" s="58"/>
      <c r="R9" s="60"/>
      <c r="W9" s="38"/>
    </row>
    <row r="10" spans="1:23" ht="13.5" customHeight="1" x14ac:dyDescent="0.2">
      <c r="D10" s="86"/>
      <c r="E10" s="83"/>
      <c r="F10" s="87"/>
      <c r="L10" s="58"/>
      <c r="M10" s="58"/>
      <c r="N10" s="58"/>
      <c r="O10" s="58"/>
      <c r="P10" s="58"/>
      <c r="Q10" s="58"/>
      <c r="R10" s="60"/>
      <c r="W10" s="38"/>
    </row>
    <row r="11" spans="1:23" x14ac:dyDescent="0.2">
      <c r="A11" s="117" t="s">
        <v>144</v>
      </c>
      <c r="B11" s="117"/>
      <c r="C11" s="117"/>
      <c r="D11" s="117"/>
      <c r="E11" s="118"/>
      <c r="F11" s="118"/>
      <c r="L11" s="58"/>
      <c r="M11" s="58"/>
      <c r="N11" s="58"/>
      <c r="O11" s="58"/>
      <c r="P11" s="58"/>
      <c r="Q11" s="58"/>
      <c r="R11" s="60"/>
      <c r="W11" s="29" t="s">
        <v>97</v>
      </c>
    </row>
    <row r="12" spans="1:23" x14ac:dyDescent="0.2">
      <c r="A12" s="73" t="s">
        <v>72</v>
      </c>
      <c r="B12" s="75">
        <v>20</v>
      </c>
      <c r="C12" s="75">
        <v>25</v>
      </c>
      <c r="D12" s="75">
        <v>30</v>
      </c>
      <c r="E12" s="75">
        <v>35</v>
      </c>
      <c r="F12" s="75"/>
      <c r="G12" s="75"/>
      <c r="H12" s="75"/>
      <c r="M12" s="29" t="s">
        <v>1</v>
      </c>
    </row>
    <row r="13" spans="1:23" x14ac:dyDescent="0.2">
      <c r="A13" s="73" t="s">
        <v>120</v>
      </c>
      <c r="B13" s="75" t="s">
        <v>121</v>
      </c>
      <c r="C13" s="75" t="s">
        <v>121</v>
      </c>
      <c r="D13" s="75" t="s">
        <v>121</v>
      </c>
      <c r="E13" s="75" t="s">
        <v>121</v>
      </c>
      <c r="F13" s="75"/>
      <c r="G13" s="75"/>
      <c r="H13" s="75"/>
      <c r="M13" s="29" t="s">
        <v>83</v>
      </c>
    </row>
    <row r="14" spans="1:23" x14ac:dyDescent="0.2">
      <c r="A14" s="73" t="s">
        <v>119</v>
      </c>
      <c r="B14" s="73">
        <v>1</v>
      </c>
      <c r="C14" s="73">
        <v>2</v>
      </c>
      <c r="D14" s="73">
        <v>3</v>
      </c>
      <c r="E14" s="88">
        <v>4</v>
      </c>
      <c r="F14" s="88"/>
      <c r="G14" s="73"/>
      <c r="H14" s="88"/>
      <c r="M14" s="36" t="s">
        <v>98</v>
      </c>
    </row>
    <row r="15" spans="1:23" x14ac:dyDescent="0.2">
      <c r="A15" s="73" t="s">
        <v>122</v>
      </c>
      <c r="B15" s="75">
        <v>37.880000000000003</v>
      </c>
      <c r="C15" s="75">
        <v>25.87</v>
      </c>
      <c r="D15" s="75">
        <v>22.7</v>
      </c>
      <c r="E15" s="89">
        <v>20</v>
      </c>
      <c r="F15" s="89"/>
      <c r="G15" s="75"/>
      <c r="H15" s="89"/>
      <c r="M15" s="36" t="s">
        <v>99</v>
      </c>
    </row>
    <row r="16" spans="1:23" x14ac:dyDescent="0.2">
      <c r="A16" s="73" t="s">
        <v>134</v>
      </c>
      <c r="B16" s="103">
        <v>0</v>
      </c>
      <c r="C16" s="103">
        <v>0</v>
      </c>
      <c r="D16" s="103">
        <v>0</v>
      </c>
      <c r="E16" s="89"/>
      <c r="F16" s="89"/>
      <c r="G16" s="90"/>
      <c r="H16" s="89"/>
      <c r="M16" s="29" t="s">
        <v>116</v>
      </c>
    </row>
    <row r="17" spans="1:23" x14ac:dyDescent="0.2">
      <c r="A17" s="73" t="s">
        <v>133</v>
      </c>
      <c r="B17" s="84"/>
      <c r="C17" s="84"/>
      <c r="D17" s="84"/>
      <c r="E17" s="89"/>
      <c r="F17" s="89"/>
      <c r="G17" s="90"/>
      <c r="H17" s="89"/>
      <c r="M17" s="29" t="s">
        <v>64</v>
      </c>
    </row>
    <row r="18" spans="1:23" x14ac:dyDescent="0.2">
      <c r="A18" s="73" t="s">
        <v>131</v>
      </c>
      <c r="B18" s="84"/>
      <c r="C18" s="84"/>
      <c r="D18" s="84"/>
      <c r="E18" s="89"/>
      <c r="F18" s="89"/>
      <c r="G18" s="90"/>
      <c r="H18" s="89"/>
      <c r="M18" s="36" t="s">
        <v>2</v>
      </c>
    </row>
    <row r="19" spans="1:23" x14ac:dyDescent="0.2">
      <c r="A19" s="73" t="s">
        <v>135</v>
      </c>
      <c r="B19" s="103">
        <v>1</v>
      </c>
      <c r="C19" s="103">
        <v>1</v>
      </c>
      <c r="D19" s="103">
        <v>1</v>
      </c>
      <c r="E19" s="89"/>
      <c r="F19" s="89"/>
      <c r="G19" s="90"/>
      <c r="H19" s="89"/>
      <c r="M19" s="36" t="s">
        <v>100</v>
      </c>
    </row>
    <row r="20" spans="1:23" x14ac:dyDescent="0.2">
      <c r="L20" s="58"/>
      <c r="M20" s="58"/>
      <c r="N20" s="58"/>
      <c r="O20" s="58"/>
      <c r="P20" s="58"/>
      <c r="Q20" s="58"/>
      <c r="R20" s="60"/>
      <c r="W20" s="25" t="s">
        <v>67</v>
      </c>
    </row>
    <row r="21" spans="1:23" x14ac:dyDescent="0.2">
      <c r="L21" s="58"/>
      <c r="M21" s="58"/>
      <c r="N21" s="58"/>
      <c r="O21" s="58"/>
      <c r="P21" s="58"/>
      <c r="Q21" s="58"/>
      <c r="R21" s="60"/>
      <c r="W21" s="25" t="s">
        <v>101</v>
      </c>
    </row>
    <row r="22" spans="1:23" x14ac:dyDescent="0.2">
      <c r="L22" s="58"/>
      <c r="M22" s="58"/>
      <c r="N22" s="58"/>
      <c r="O22" s="58"/>
      <c r="P22" s="58"/>
      <c r="Q22" s="58"/>
      <c r="R22" s="60"/>
      <c r="W22" s="25" t="s">
        <v>102</v>
      </c>
    </row>
    <row r="23" spans="1:23" x14ac:dyDescent="0.2">
      <c r="L23" s="58"/>
      <c r="M23" s="58"/>
      <c r="N23" s="58"/>
      <c r="O23" s="58"/>
      <c r="P23" s="58"/>
      <c r="Q23" s="59"/>
      <c r="R23" s="60"/>
      <c r="W23" s="25" t="s">
        <v>63</v>
      </c>
    </row>
    <row r="24" spans="1:23" x14ac:dyDescent="0.2">
      <c r="D24" s="37"/>
      <c r="L24" s="58"/>
      <c r="M24" s="58"/>
      <c r="N24" s="58"/>
      <c r="O24" s="58"/>
      <c r="P24" s="58"/>
      <c r="Q24" s="58"/>
      <c r="R24" s="60"/>
      <c r="W24" s="25" t="s">
        <v>62</v>
      </c>
    </row>
    <row r="25" spans="1:23" x14ac:dyDescent="0.2">
      <c r="A25" s="37"/>
      <c r="B25" s="37"/>
      <c r="C25" s="37"/>
      <c r="D25" s="37"/>
      <c r="L25" s="58"/>
      <c r="M25" s="58"/>
      <c r="N25" s="58"/>
      <c r="O25" s="58"/>
      <c r="P25" s="58"/>
      <c r="Q25" s="58"/>
      <c r="R25" s="60"/>
      <c r="W25" s="25" t="s">
        <v>61</v>
      </c>
    </row>
    <row r="26" spans="1:23" x14ac:dyDescent="0.2">
      <c r="A26" s="37"/>
      <c r="B26" s="37"/>
      <c r="C26" s="37"/>
      <c r="D26" s="37"/>
      <c r="L26" s="58"/>
      <c r="M26" s="58"/>
      <c r="N26" s="58"/>
      <c r="O26" s="58"/>
      <c r="P26" s="58"/>
      <c r="Q26" s="58"/>
      <c r="R26" s="60"/>
      <c r="W26" s="25" t="s">
        <v>60</v>
      </c>
    </row>
    <row r="27" spans="1:23" x14ac:dyDescent="0.2">
      <c r="A27" s="37"/>
      <c r="B27" s="37"/>
      <c r="C27" s="37"/>
      <c r="D27" s="37"/>
      <c r="W27" s="25" t="s">
        <v>103</v>
      </c>
    </row>
    <row r="28" spans="1:23" x14ac:dyDescent="0.2">
      <c r="A28" s="37"/>
      <c r="B28" s="37"/>
      <c r="C28" s="37"/>
      <c r="D28" s="37"/>
      <c r="W28" s="25" t="s">
        <v>104</v>
      </c>
    </row>
    <row r="29" spans="1:23" x14ac:dyDescent="0.2">
      <c r="A29" s="37"/>
      <c r="B29" s="37"/>
      <c r="C29" s="37"/>
      <c r="D29" s="37"/>
      <c r="W29" s="25" t="s">
        <v>105</v>
      </c>
    </row>
    <row r="30" spans="1:23" x14ac:dyDescent="0.2">
      <c r="W30" s="25" t="s">
        <v>0</v>
      </c>
    </row>
    <row r="31" spans="1:23" x14ac:dyDescent="0.2">
      <c r="W31" s="25" t="s">
        <v>66</v>
      </c>
    </row>
    <row r="32" spans="1:23" x14ac:dyDescent="0.2">
      <c r="W32" s="25" t="s">
        <v>68</v>
      </c>
    </row>
    <row r="33" spans="23:23" x14ac:dyDescent="0.2">
      <c r="W33" s="25" t="s">
        <v>69</v>
      </c>
    </row>
    <row r="34" spans="23:23" x14ac:dyDescent="0.2">
      <c r="W34" s="25" t="s">
        <v>59</v>
      </c>
    </row>
    <row r="35" spans="23:23" x14ac:dyDescent="0.2">
      <c r="W35" s="25" t="s">
        <v>106</v>
      </c>
    </row>
    <row r="36" spans="23:23" x14ac:dyDescent="0.2">
      <c r="W36" s="25" t="s">
        <v>107</v>
      </c>
    </row>
  </sheetData>
  <mergeCells count="3">
    <mergeCell ref="A1:C1"/>
    <mergeCell ref="D1:F1"/>
    <mergeCell ref="A11:F11"/>
  </mergeCells>
  <phoneticPr fontId="2" type="noConversion"/>
  <dataValidations count="2">
    <dataValidation type="list" allowBlank="1" showInputMessage="1" showErrorMessage="1" sqref="B13:D13">
      <formula1>"éclaircie,définitive"</formula1>
    </dataValidation>
    <dataValidation type="list" allowBlank="1" showInputMessage="1" showErrorMessage="1" sqref="E2 B2">
      <formula1>$W$1:$W$36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119" t="str">
        <f>'Données entrée'!A1:C1</f>
        <v>Scénario projet</v>
      </c>
      <c r="B1" s="119"/>
      <c r="C1" s="119"/>
    </row>
    <row r="2" spans="1:3" x14ac:dyDescent="0.2">
      <c r="A2" s="43" t="s">
        <v>75</v>
      </c>
      <c r="B2" s="52" t="str">
        <f>'Données entrée'!B2:D2</f>
        <v>chêne rouge d'amérique</v>
      </c>
      <c r="C2" s="44"/>
    </row>
    <row r="3" spans="1:3" x14ac:dyDescent="0.2">
      <c r="A3" s="41" t="s">
        <v>117</v>
      </c>
      <c r="B3" s="40">
        <f>'Données entrée'!B4:D4</f>
        <v>0</v>
      </c>
      <c r="C3" s="40" t="str">
        <f>'Données entrée'!C4:E4</f>
        <v>m3/ha/an</v>
      </c>
    </row>
    <row r="4" spans="1:3" x14ac:dyDescent="0.2">
      <c r="A4" s="120" t="s">
        <v>118</v>
      </c>
      <c r="B4" s="120"/>
      <c r="C4" s="120"/>
    </row>
    <row r="5" spans="1:3" x14ac:dyDescent="0.2">
      <c r="A5" s="51" t="str">
        <f>'Données entrée'!D2</f>
        <v>Essence</v>
      </c>
      <c r="B5" s="46" t="str">
        <f>'Données entrée'!E2</f>
        <v>Chêne sessile</v>
      </c>
      <c r="C5" s="45"/>
    </row>
    <row r="6" spans="1:3" x14ac:dyDescent="0.2">
      <c r="A6" s="48" t="s">
        <v>117</v>
      </c>
      <c r="B6" s="47">
        <f>'Données entrée'!E3</f>
        <v>1</v>
      </c>
      <c r="C6" s="47" t="str">
        <f>'Données entrée'!F3</f>
        <v>m3/ha/an</v>
      </c>
    </row>
    <row r="7" spans="1:3" x14ac:dyDescent="0.2">
      <c r="A7" s="49" t="str">
        <f>'Données entrée'!D5</f>
        <v>Volume initial</v>
      </c>
      <c r="B7" s="47">
        <f>'Données entrée'!E5</f>
        <v>0</v>
      </c>
      <c r="C7" s="47" t="str">
        <f>'Données entrée'!F5</f>
        <v>m3/ha</v>
      </c>
    </row>
    <row r="8" spans="1:3" ht="24.75" customHeight="1" x14ac:dyDescent="0.2">
      <c r="A8" s="50" t="str">
        <f>'Données entrée'!D6</f>
        <v>Volume déclencheur de coupe</v>
      </c>
      <c r="B8" s="42">
        <f>'Données entrée'!E6</f>
        <v>200</v>
      </c>
      <c r="C8" s="39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0"/>
  <sheetViews>
    <sheetView tabSelected="1" zoomScaleNormal="100" workbookViewId="0">
      <selection activeCell="N17" sqref="N17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9.7109375" bestFit="1" customWidth="1"/>
    <col min="4" max="4" width="10.5703125" style="53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2" max="12" width="38.28515625" bestFit="1" customWidth="1"/>
  </cols>
  <sheetData>
    <row r="1" spans="1:17" ht="14.25" customHeight="1" x14ac:dyDescent="0.2">
      <c r="A1" s="62"/>
      <c r="B1" s="121"/>
      <c r="C1" s="121"/>
      <c r="D1" s="122" t="s">
        <v>141</v>
      </c>
      <c r="E1" s="123"/>
      <c r="F1" s="123"/>
      <c r="G1" s="123"/>
      <c r="H1" s="123"/>
      <c r="I1" s="123"/>
      <c r="J1" s="123"/>
    </row>
    <row r="2" spans="1:17" ht="51" x14ac:dyDescent="0.2">
      <c r="A2" s="16" t="s">
        <v>72</v>
      </c>
      <c r="B2" s="99" t="s">
        <v>146</v>
      </c>
      <c r="C2" s="69" t="s">
        <v>147</v>
      </c>
      <c r="D2" s="63" t="s">
        <v>124</v>
      </c>
      <c r="E2" s="100" t="s">
        <v>148</v>
      </c>
      <c r="F2" s="100" t="s">
        <v>123</v>
      </c>
      <c r="G2" s="100" t="s">
        <v>149</v>
      </c>
      <c r="H2" s="100" t="s">
        <v>150</v>
      </c>
      <c r="I2" s="100" t="s">
        <v>151</v>
      </c>
      <c r="J2" s="68" t="s">
        <v>145</v>
      </c>
      <c r="K2" s="61"/>
    </row>
    <row r="3" spans="1:17" ht="15" x14ac:dyDescent="0.2">
      <c r="A3" s="12">
        <v>0</v>
      </c>
      <c r="B3" s="64">
        <v>5</v>
      </c>
      <c r="C3" s="65">
        <f>B3*44/12</f>
        <v>18.333333333333332</v>
      </c>
      <c r="D3" s="12">
        <v>0</v>
      </c>
      <c r="E3" s="64">
        <v>0</v>
      </c>
      <c r="F3" s="104">
        <v>0</v>
      </c>
      <c r="G3" s="64">
        <f>E3*1.56*0.56</f>
        <v>0</v>
      </c>
      <c r="H3" s="64">
        <v>0</v>
      </c>
      <c r="I3" s="64">
        <f>G3+H3</f>
        <v>0</v>
      </c>
      <c r="J3" s="65">
        <f>I3*0.475*44/12</f>
        <v>0</v>
      </c>
      <c r="K3" s="54"/>
      <c r="L3" s="106" t="s">
        <v>162</v>
      </c>
      <c r="M3" s="107">
        <f>AVERAGE(J3:J107)</f>
        <v>256.71513452738418</v>
      </c>
    </row>
    <row r="4" spans="1:17" ht="15" x14ac:dyDescent="0.2">
      <c r="A4" s="12">
        <f>A3+1</f>
        <v>1</v>
      </c>
      <c r="B4" s="66">
        <v>5</v>
      </c>
      <c r="C4" s="65">
        <f t="shared" ref="C4:C67" si="0">B4*44/12</f>
        <v>18.333333333333332</v>
      </c>
      <c r="D4" s="12">
        <v>1</v>
      </c>
      <c r="E4" s="66">
        <v>0.5</v>
      </c>
      <c r="F4" s="105">
        <f>IF(ISNA(HLOOKUP($D4,'Données entrée'!$A$12:$H$15,4,0)),0,E4*HLOOKUP($D4,'Données entrée'!$A$12:$H$15,4,0)/100)</f>
        <v>0</v>
      </c>
      <c r="G4" s="64">
        <f>E4*VLOOKUP('Données entrée'!$B$2,Paramètres!$A$3:$O$49,8,0)*0.56</f>
        <v>0.36400000000000005</v>
      </c>
      <c r="H4" s="64">
        <f t="shared" ref="H4:H67" si="1">EXP(-1.0587+0.8836*LN(G4)+0.284)</f>
        <v>0.18868668193773697</v>
      </c>
      <c r="I4" s="64">
        <f t="shared" ref="I4:I67" si="2">G4+H4</f>
        <v>0.55268668193773696</v>
      </c>
      <c r="J4" s="65">
        <f t="shared" ref="J4:J67" si="3">I4*0.475*44/12</f>
        <v>0.96259597104155847</v>
      </c>
      <c r="K4" s="72"/>
      <c r="L4" s="106" t="s">
        <v>163</v>
      </c>
      <c r="M4" s="108">
        <f>C3</f>
        <v>18.333333333333332</v>
      </c>
      <c r="Q4" s="96"/>
    </row>
    <row r="5" spans="1:17" ht="15" x14ac:dyDescent="0.25">
      <c r="A5" s="12">
        <f t="shared" ref="A5:A68" si="4">A4+1</f>
        <v>2</v>
      </c>
      <c r="B5" s="66">
        <v>5</v>
      </c>
      <c r="C5" s="65">
        <f t="shared" si="0"/>
        <v>18.333333333333332</v>
      </c>
      <c r="D5" s="12">
        <v>2</v>
      </c>
      <c r="E5" s="66">
        <v>1</v>
      </c>
      <c r="F5" s="105">
        <f>IF(ISNA(HLOOKUP($D5,'Données entrée'!$A$12:$H$15,4,0)),0,E5*HLOOKUP($D5,'Données entrée'!$A$12:$H$15,4,0)/100)</f>
        <v>0</v>
      </c>
      <c r="G5" s="64">
        <f>E5*VLOOKUP('Données entrée'!$B$2,Paramètres!$A$3:$O$49,8,0)*0.56</f>
        <v>0.72800000000000009</v>
      </c>
      <c r="H5" s="64">
        <f t="shared" si="1"/>
        <v>0.34812190517504421</v>
      </c>
      <c r="I5" s="64">
        <f t="shared" si="2"/>
        <v>1.0761219051750444</v>
      </c>
      <c r="J5" s="65">
        <f t="shared" si="3"/>
        <v>1.874245651513202</v>
      </c>
      <c r="K5" s="54"/>
      <c r="L5" s="110" t="s">
        <v>164</v>
      </c>
      <c r="M5" s="111">
        <f>M3-M4</f>
        <v>238.38180119405084</v>
      </c>
    </row>
    <row r="6" spans="1:17" ht="15" x14ac:dyDescent="0.25">
      <c r="A6" s="12">
        <f t="shared" si="4"/>
        <v>3</v>
      </c>
      <c r="B6" s="66">
        <v>5</v>
      </c>
      <c r="C6" s="65">
        <f t="shared" si="0"/>
        <v>18.333333333333332</v>
      </c>
      <c r="D6" s="12">
        <v>3</v>
      </c>
      <c r="E6" s="66">
        <v>1.5</v>
      </c>
      <c r="F6" s="105">
        <f>IF(ISNA(HLOOKUP($D6,'Données entrée'!$A$12:$H$15,4,0)),0,E6*HLOOKUP($D6,'Données entrée'!$A$12:$H$15,4,0)/100)</f>
        <v>0</v>
      </c>
      <c r="G6" s="64">
        <f>E6*VLOOKUP('Données entrée'!$B$2,Paramètres!$A$3:$O$49,8,0)*0.56</f>
        <v>1.0920000000000003</v>
      </c>
      <c r="H6" s="64">
        <f t="shared" si="1"/>
        <v>0.49811037558348648</v>
      </c>
      <c r="I6" s="64">
        <f t="shared" si="2"/>
        <v>1.5901103755834867</v>
      </c>
      <c r="J6" s="65">
        <f t="shared" si="3"/>
        <v>2.7694422374745726</v>
      </c>
      <c r="L6" s="110" t="s">
        <v>165</v>
      </c>
      <c r="M6" s="109">
        <f>J35-C33</f>
        <v>242.96403388307456</v>
      </c>
      <c r="N6" t="s">
        <v>154</v>
      </c>
    </row>
    <row r="7" spans="1:17" ht="15" x14ac:dyDescent="0.2">
      <c r="A7" s="12">
        <f t="shared" si="4"/>
        <v>4</v>
      </c>
      <c r="B7" s="66">
        <v>5</v>
      </c>
      <c r="C7" s="65">
        <f t="shared" si="0"/>
        <v>18.333333333333332</v>
      </c>
      <c r="D7" s="12">
        <v>4</v>
      </c>
      <c r="E7" s="66">
        <v>2.5</v>
      </c>
      <c r="F7" s="105">
        <f>IF(ISNA(HLOOKUP($D7,'Données entrée'!$A$12:$H$15,4,0)),0,E7*HLOOKUP($D7,'Données entrée'!$A$12:$H$15,4,0)/100)</f>
        <v>0</v>
      </c>
      <c r="G7" s="64">
        <f>E7*VLOOKUP('Données entrée'!$B$2,Paramètres!$A$3:$O$49,8,0)*0.56</f>
        <v>1.8200000000000003</v>
      </c>
      <c r="H7" s="64">
        <f t="shared" si="1"/>
        <v>0.78226003538935696</v>
      </c>
      <c r="I7" s="64">
        <f t="shared" si="2"/>
        <v>2.6022600353893575</v>
      </c>
      <c r="J7" s="65">
        <f t="shared" si="3"/>
        <v>4.5322695616364639</v>
      </c>
      <c r="L7" s="112" t="s">
        <v>152</v>
      </c>
      <c r="M7" s="113">
        <f>M6</f>
        <v>242.96403388307456</v>
      </c>
    </row>
    <row r="8" spans="1:17" ht="15" x14ac:dyDescent="0.2">
      <c r="A8" s="12">
        <f t="shared" si="4"/>
        <v>5</v>
      </c>
      <c r="B8" s="66">
        <v>5</v>
      </c>
      <c r="C8" s="65">
        <f t="shared" si="0"/>
        <v>18.333333333333332</v>
      </c>
      <c r="D8" s="12">
        <v>5</v>
      </c>
      <c r="E8" s="66">
        <v>4</v>
      </c>
      <c r="F8" s="105">
        <f>IF(ISNA(HLOOKUP($D8,'Données entrée'!$A$12:$H$15,4,0)),0,E8*HLOOKUP($D8,'Données entrée'!$A$12:$H$15,4,0)/100)</f>
        <v>0</v>
      </c>
      <c r="G8" s="64">
        <f>E8*VLOOKUP('Données entrée'!$B$2,Paramètres!$A$3:$O$49,8,0)*0.56</f>
        <v>2.9120000000000004</v>
      </c>
      <c r="H8" s="64">
        <f t="shared" si="1"/>
        <v>1.1849814721678991</v>
      </c>
      <c r="I8" s="64">
        <f t="shared" si="2"/>
        <v>4.096981472167899</v>
      </c>
      <c r="J8" s="65">
        <f t="shared" si="3"/>
        <v>7.1355760640257566</v>
      </c>
      <c r="L8" s="112" t="s">
        <v>153</v>
      </c>
      <c r="M8" s="112">
        <v>0</v>
      </c>
    </row>
    <row r="9" spans="1:17" ht="15" x14ac:dyDescent="0.2">
      <c r="A9" s="12">
        <f t="shared" si="4"/>
        <v>6</v>
      </c>
      <c r="B9" s="66">
        <v>5</v>
      </c>
      <c r="C9" s="65">
        <f t="shared" si="0"/>
        <v>18.333333333333332</v>
      </c>
      <c r="D9" s="12">
        <v>6</v>
      </c>
      <c r="E9" s="66">
        <v>6</v>
      </c>
      <c r="F9" s="105">
        <f>IF(ISNA(HLOOKUP($D9,'Données entrée'!$A$12:$H$15,4,0)),0,E9*HLOOKUP($D9,'Données entrée'!$A$12:$H$15,4,0)/100)</f>
        <v>0</v>
      </c>
      <c r="G9" s="64">
        <f>E9*VLOOKUP('Données entrée'!$B$2,Paramètres!$A$3:$O$49,8,0)*0.56</f>
        <v>4.3680000000000012</v>
      </c>
      <c r="H9" s="64">
        <f t="shared" si="1"/>
        <v>1.6955312417477209</v>
      </c>
      <c r="I9" s="64">
        <f t="shared" si="2"/>
        <v>6.0635312417477216</v>
      </c>
      <c r="J9" s="65">
        <f t="shared" si="3"/>
        <v>10.560650246043949</v>
      </c>
      <c r="L9" s="112" t="s">
        <v>155</v>
      </c>
      <c r="M9" s="113">
        <f>30*10/30*44/12</f>
        <v>36.666666666666664</v>
      </c>
    </row>
    <row r="10" spans="1:17" ht="15" x14ac:dyDescent="0.2">
      <c r="A10" s="12">
        <f t="shared" si="4"/>
        <v>7</v>
      </c>
      <c r="B10" s="66">
        <v>5</v>
      </c>
      <c r="C10" s="65">
        <f t="shared" si="0"/>
        <v>18.333333333333332</v>
      </c>
      <c r="D10" s="12">
        <v>7</v>
      </c>
      <c r="E10" s="66">
        <v>9</v>
      </c>
      <c r="F10" s="105">
        <f>IF(ISNA(HLOOKUP($D10,'Données entrée'!$A$12:$H$15,4,0)),0,E10*HLOOKUP($D10,'Données entrée'!$A$12:$H$15,4,0)/100)</f>
        <v>0</v>
      </c>
      <c r="G10" s="64">
        <f>E10*VLOOKUP('Données entrée'!$B$2,Paramètres!$A$3:$O$49,8,0)*0.56</f>
        <v>6.5520000000000014</v>
      </c>
      <c r="H10" s="64">
        <f t="shared" si="1"/>
        <v>2.426051595965574</v>
      </c>
      <c r="I10" s="64">
        <f t="shared" si="2"/>
        <v>8.9780515959655744</v>
      </c>
      <c r="J10" s="65">
        <f t="shared" si="3"/>
        <v>15.636773196306708</v>
      </c>
      <c r="L10" s="112" t="s">
        <v>156</v>
      </c>
      <c r="M10" s="112">
        <v>0</v>
      </c>
    </row>
    <row r="11" spans="1:17" ht="15" x14ac:dyDescent="0.25">
      <c r="A11" s="12">
        <f t="shared" si="4"/>
        <v>8</v>
      </c>
      <c r="B11" s="66">
        <v>5</v>
      </c>
      <c r="C11" s="65">
        <f t="shared" si="0"/>
        <v>18.333333333333332</v>
      </c>
      <c r="D11" s="12">
        <v>8</v>
      </c>
      <c r="E11" s="66">
        <v>13</v>
      </c>
      <c r="F11" s="105">
        <f>IF(ISNA(HLOOKUP($D11,'Données entrée'!$A$12:$H$15,4,0)),0,E11*HLOOKUP($D11,'Données entrée'!$A$12:$H$15,4,0)/100)</f>
        <v>0</v>
      </c>
      <c r="G11" s="64">
        <f>E11*VLOOKUP('Données entrée'!$B$2,Paramètres!$A$3:$O$49,8,0)*0.56</f>
        <v>9.4640000000000022</v>
      </c>
      <c r="H11" s="64">
        <f t="shared" si="1"/>
        <v>3.3574665746279604</v>
      </c>
      <c r="I11" s="64">
        <f t="shared" si="2"/>
        <v>12.821466574627962</v>
      </c>
      <c r="J11" s="65">
        <f t="shared" si="3"/>
        <v>22.33072095081037</v>
      </c>
      <c r="L11" s="101" t="s">
        <v>157</v>
      </c>
      <c r="M11" s="102">
        <f>SUM(M7:M10)</f>
        <v>279.63070054974122</v>
      </c>
    </row>
    <row r="12" spans="1:17" ht="15" x14ac:dyDescent="0.25">
      <c r="A12" s="12">
        <f t="shared" si="4"/>
        <v>9</v>
      </c>
      <c r="B12" s="66">
        <v>5</v>
      </c>
      <c r="C12" s="65">
        <f t="shared" si="0"/>
        <v>18.333333333333332</v>
      </c>
      <c r="D12" s="12">
        <v>9</v>
      </c>
      <c r="E12" s="66">
        <v>18</v>
      </c>
      <c r="F12" s="105">
        <f>IF(ISNA(HLOOKUP($D12,'Données entrée'!$A$12:$H$15,4,0)),0,E12*HLOOKUP($D12,'Données entrée'!$A$12:$H$15,4,0)/100)</f>
        <v>0</v>
      </c>
      <c r="G12" s="64">
        <f>E12*VLOOKUP('Données entrée'!$B$2,Paramètres!$A$3:$O$49,8,0)*0.56</f>
        <v>13.104000000000003</v>
      </c>
      <c r="H12" s="64">
        <f t="shared" si="1"/>
        <v>4.4760006109979793</v>
      </c>
      <c r="I12" s="64">
        <f t="shared" si="2"/>
        <v>17.580000610997981</v>
      </c>
      <c r="J12" s="65">
        <f t="shared" si="3"/>
        <v>30.618501064154817</v>
      </c>
      <c r="L12" s="106" t="s">
        <v>158</v>
      </c>
      <c r="M12" s="109">
        <f>SUM(F3:F36)</f>
        <v>124</v>
      </c>
    </row>
    <row r="13" spans="1:17" ht="15" x14ac:dyDescent="0.25">
      <c r="A13" s="12">
        <f t="shared" si="4"/>
        <v>10</v>
      </c>
      <c r="B13" s="66">
        <v>5</v>
      </c>
      <c r="C13" s="65">
        <f t="shared" si="0"/>
        <v>18.333333333333332</v>
      </c>
      <c r="D13" s="12">
        <v>10</v>
      </c>
      <c r="E13" s="66">
        <v>24</v>
      </c>
      <c r="F13" s="105">
        <f>IF(ISNA(HLOOKUP($D13,'Données entrée'!$A$12:$H$15,4,0)),0,E13*HLOOKUP($D13,'Données entrée'!$A$12:$H$15,4,0)/100)</f>
        <v>0</v>
      </c>
      <c r="G13" s="64">
        <f>E13*VLOOKUP('Données entrée'!$B$2,Paramètres!$A$3:$O$49,8,0)*0.56</f>
        <v>17.472000000000005</v>
      </c>
      <c r="H13" s="64">
        <f t="shared" si="1"/>
        <v>5.7714641827626982</v>
      </c>
      <c r="I13" s="64">
        <f t="shared" si="2"/>
        <v>23.243464182762704</v>
      </c>
      <c r="J13" s="65">
        <f t="shared" si="3"/>
        <v>40.482366784978375</v>
      </c>
      <c r="L13" s="106" t="s">
        <v>159</v>
      </c>
      <c r="M13" s="110">
        <v>0.25</v>
      </c>
    </row>
    <row r="14" spans="1:17" ht="15" x14ac:dyDescent="0.25">
      <c r="A14" s="12">
        <f t="shared" si="4"/>
        <v>11</v>
      </c>
      <c r="B14" s="66">
        <v>5</v>
      </c>
      <c r="C14" s="65">
        <f t="shared" si="0"/>
        <v>18.333333333333332</v>
      </c>
      <c r="D14" s="12">
        <v>11</v>
      </c>
      <c r="E14" s="66">
        <v>32</v>
      </c>
      <c r="F14" s="105">
        <f>IF(ISNA(HLOOKUP($D14,'Données entrée'!$A$12:$H$15,4,0)),0,E14*HLOOKUP($D14,'Données entrée'!$A$12:$H$15,4,0)/100)</f>
        <v>0</v>
      </c>
      <c r="G14" s="64">
        <f>E14*VLOOKUP('Données entrée'!$B$2,Paramètres!$A$3:$O$49,8,0)*0.56</f>
        <v>23.296000000000003</v>
      </c>
      <c r="H14" s="64">
        <f t="shared" si="1"/>
        <v>7.4418664579864453</v>
      </c>
      <c r="I14" s="64">
        <f t="shared" si="2"/>
        <v>30.737866457986449</v>
      </c>
      <c r="J14" s="65">
        <f t="shared" si="3"/>
        <v>53.5351174143264</v>
      </c>
      <c r="L14" s="101" t="s">
        <v>166</v>
      </c>
      <c r="M14" s="102">
        <f>M12*M13</f>
        <v>31</v>
      </c>
    </row>
    <row r="15" spans="1:17" ht="15" x14ac:dyDescent="0.25">
      <c r="A15" s="12">
        <f t="shared" si="4"/>
        <v>12</v>
      </c>
      <c r="B15" s="66">
        <v>5</v>
      </c>
      <c r="C15" s="65">
        <f t="shared" si="0"/>
        <v>18.333333333333332</v>
      </c>
      <c r="D15" s="12">
        <v>12</v>
      </c>
      <c r="E15" s="66">
        <v>41</v>
      </c>
      <c r="F15" s="105">
        <f>IF(ISNA(HLOOKUP($D15,'Données entrée'!$A$12:$H$15,4,0)),0,E15*HLOOKUP($D15,'Données entrée'!$A$12:$H$15,4,0)/100)</f>
        <v>0</v>
      </c>
      <c r="G15" s="64">
        <f>E15*VLOOKUP('Données entrée'!$B$2,Paramètres!$A$3:$O$49,8,0)*0.56</f>
        <v>29.848000000000006</v>
      </c>
      <c r="H15" s="64">
        <f t="shared" si="1"/>
        <v>9.2637572769978114</v>
      </c>
      <c r="I15" s="64">
        <f t="shared" si="2"/>
        <v>39.111757276997821</v>
      </c>
      <c r="J15" s="65">
        <f t="shared" si="3"/>
        <v>68.119643924104537</v>
      </c>
      <c r="L15" s="101" t="s">
        <v>161</v>
      </c>
      <c r="M15" s="102">
        <v>0</v>
      </c>
    </row>
    <row r="16" spans="1:17" x14ac:dyDescent="0.2">
      <c r="A16" s="12">
        <f t="shared" si="4"/>
        <v>13</v>
      </c>
      <c r="B16" s="66">
        <v>5</v>
      </c>
      <c r="C16" s="65">
        <f t="shared" si="0"/>
        <v>18.333333333333332</v>
      </c>
      <c r="D16" s="12">
        <v>13</v>
      </c>
      <c r="E16" s="66">
        <v>51</v>
      </c>
      <c r="F16" s="105">
        <f>IF(ISNA(HLOOKUP($D16,'Données entrée'!$A$12:$H$15,4,0)),0,E16*HLOOKUP($D16,'Données entrée'!$A$12:$H$15,4,0)/100)</f>
        <v>0</v>
      </c>
      <c r="G16" s="64">
        <f>E16*VLOOKUP('Données entrée'!$B$2,Paramètres!$A$3:$O$49,8,0)*0.56</f>
        <v>37.128</v>
      </c>
      <c r="H16" s="64">
        <f t="shared" si="1"/>
        <v>11.234153644457557</v>
      </c>
      <c r="I16" s="64">
        <f t="shared" si="2"/>
        <v>48.362153644457557</v>
      </c>
      <c r="J16" s="65">
        <f t="shared" si="3"/>
        <v>84.230750930763563</v>
      </c>
    </row>
    <row r="17" spans="1:13" ht="15" x14ac:dyDescent="0.25">
      <c r="A17" s="12">
        <f t="shared" si="4"/>
        <v>14</v>
      </c>
      <c r="B17" s="66">
        <v>5</v>
      </c>
      <c r="C17" s="65">
        <f t="shared" si="0"/>
        <v>18.333333333333332</v>
      </c>
      <c r="D17" s="12">
        <v>14</v>
      </c>
      <c r="E17" s="66">
        <v>62</v>
      </c>
      <c r="F17" s="105">
        <f>IF(ISNA(HLOOKUP($D17,'Données entrée'!$A$12:$H$15,4,0)),0,E17*HLOOKUP($D17,'Données entrée'!$A$12:$H$15,4,0)/100)</f>
        <v>0</v>
      </c>
      <c r="G17" s="64">
        <f>E17*VLOOKUP('Données entrée'!$B$2,Paramètres!$A$3:$O$49,8,0)*0.56</f>
        <v>45.13600000000001</v>
      </c>
      <c r="H17" s="64">
        <f t="shared" si="1"/>
        <v>13.350226944687391</v>
      </c>
      <c r="I17" s="64">
        <f t="shared" si="2"/>
        <v>58.486226944687402</v>
      </c>
      <c r="J17" s="65">
        <f t="shared" si="3"/>
        <v>101.8635119286639</v>
      </c>
      <c r="L17" s="114" t="s">
        <v>160</v>
      </c>
      <c r="M17" s="115">
        <f>M11+M14+M15</f>
        <v>310.63070054974122</v>
      </c>
    </row>
    <row r="18" spans="1:13" x14ac:dyDescent="0.2">
      <c r="A18" s="12">
        <f t="shared" si="4"/>
        <v>15</v>
      </c>
      <c r="B18" s="66">
        <v>5</v>
      </c>
      <c r="C18" s="65">
        <f t="shared" si="0"/>
        <v>18.333333333333332</v>
      </c>
      <c r="D18" s="12">
        <v>15</v>
      </c>
      <c r="E18" s="66">
        <v>73</v>
      </c>
      <c r="F18" s="105">
        <f>IF(ISNA(HLOOKUP($D18,'Données entrée'!$A$12:$H$15,4,0)),0,E18*HLOOKUP($D18,'Données entrée'!$A$12:$H$15,4,0)/100)</f>
        <v>0</v>
      </c>
      <c r="G18" s="64">
        <f>E18*VLOOKUP('Données entrée'!$B$2,Paramètres!$A$3:$O$49,8,0)*0.56</f>
        <v>53.144000000000005</v>
      </c>
      <c r="H18" s="64">
        <f t="shared" si="1"/>
        <v>15.422807246635953</v>
      </c>
      <c r="I18" s="64">
        <f t="shared" si="2"/>
        <v>68.56680724663596</v>
      </c>
      <c r="J18" s="65">
        <f t="shared" si="3"/>
        <v>119.42052262122429</v>
      </c>
    </row>
    <row r="19" spans="1:13" x14ac:dyDescent="0.2">
      <c r="A19" s="12">
        <f t="shared" si="4"/>
        <v>16</v>
      </c>
      <c r="B19" s="66">
        <v>5</v>
      </c>
      <c r="C19" s="65">
        <f t="shared" si="0"/>
        <v>18.333333333333332</v>
      </c>
      <c r="D19" s="12">
        <v>16</v>
      </c>
      <c r="E19" s="66">
        <v>84.5</v>
      </c>
      <c r="F19" s="105">
        <f>IF(ISNA(HLOOKUP($D19,'Données entrée'!$A$12:$H$15,4,0)),0,E19*HLOOKUP($D19,'Données entrée'!$A$12:$H$15,4,0)/100)</f>
        <v>0</v>
      </c>
      <c r="G19" s="64">
        <f>E19*VLOOKUP('Données entrée'!$B$2,Paramètres!$A$3:$O$49,8,0)*0.56</f>
        <v>61.516000000000012</v>
      </c>
      <c r="H19" s="64">
        <f t="shared" si="1"/>
        <v>17.551002967798578</v>
      </c>
      <c r="I19" s="64">
        <f t="shared" si="2"/>
        <v>79.067002967798587</v>
      </c>
      <c r="J19" s="65">
        <f t="shared" si="3"/>
        <v>137.7083635022492</v>
      </c>
    </row>
    <row r="20" spans="1:13" x14ac:dyDescent="0.2">
      <c r="A20" s="12">
        <f t="shared" si="4"/>
        <v>17</v>
      </c>
      <c r="B20" s="66">
        <v>5</v>
      </c>
      <c r="C20" s="65">
        <f t="shared" si="0"/>
        <v>18.333333333333332</v>
      </c>
      <c r="D20" s="12">
        <v>17</v>
      </c>
      <c r="E20" s="66">
        <v>96</v>
      </c>
      <c r="F20" s="105">
        <f>IF(ISNA(HLOOKUP($D20,'Données entrée'!$A$12:$H$15,4,0)),0,E20*HLOOKUP($D20,'Données entrée'!$A$12:$H$15,4,0)/100)</f>
        <v>0</v>
      </c>
      <c r="G20" s="64">
        <f>E20*VLOOKUP('Données entrée'!$B$2,Paramètres!$A$3:$O$49,8,0)*0.56</f>
        <v>69.888000000000019</v>
      </c>
      <c r="H20" s="64">
        <f t="shared" si="1"/>
        <v>19.645641432461961</v>
      </c>
      <c r="I20" s="64">
        <f t="shared" si="2"/>
        <v>89.533641432461977</v>
      </c>
      <c r="J20" s="65">
        <f t="shared" si="3"/>
        <v>155.93775882820461</v>
      </c>
    </row>
    <row r="21" spans="1:13" x14ac:dyDescent="0.2">
      <c r="A21" s="12">
        <f t="shared" si="4"/>
        <v>18</v>
      </c>
      <c r="B21" s="66">
        <v>5</v>
      </c>
      <c r="C21" s="65">
        <f t="shared" si="0"/>
        <v>18.333333333333332</v>
      </c>
      <c r="D21" s="12">
        <v>18</v>
      </c>
      <c r="E21" s="66">
        <v>108</v>
      </c>
      <c r="F21" s="105">
        <f>IF(ISNA(HLOOKUP($D21,'Données entrée'!$A$12:$H$15,4,0)),0,E21*HLOOKUP($D21,'Données entrée'!$A$12:$H$15,4,0)/100)</f>
        <v>0</v>
      </c>
      <c r="G21" s="64">
        <f>E21*VLOOKUP('Données entrée'!$B$2,Paramètres!$A$3:$O$49,8,0)*0.56</f>
        <v>78.624000000000009</v>
      </c>
      <c r="H21" s="64">
        <f t="shared" si="1"/>
        <v>21.800406010684462</v>
      </c>
      <c r="I21" s="64">
        <f t="shared" si="2"/>
        <v>100.42440601068446</v>
      </c>
      <c r="J21" s="65">
        <f t="shared" si="3"/>
        <v>174.90584046860877</v>
      </c>
    </row>
    <row r="22" spans="1:13" x14ac:dyDescent="0.2">
      <c r="A22" s="12">
        <f t="shared" si="4"/>
        <v>19</v>
      </c>
      <c r="B22" s="66">
        <v>5</v>
      </c>
      <c r="C22" s="65">
        <f t="shared" si="0"/>
        <v>18.333333333333332</v>
      </c>
      <c r="D22" s="12">
        <v>19</v>
      </c>
      <c r="E22" s="66">
        <v>120</v>
      </c>
      <c r="F22" s="105">
        <f>IF(ISNA(HLOOKUP($D22,'Données entrée'!$A$12:$H$15,4,0)),0,E22*HLOOKUP($D22,'Données entrée'!$A$12:$H$15,4,0)/100)</f>
        <v>0</v>
      </c>
      <c r="G22" s="64">
        <f>E22*VLOOKUP('Données entrée'!$B$2,Paramètres!$A$3:$O$49,8,0)*0.56</f>
        <v>87.360000000000014</v>
      </c>
      <c r="H22" s="64">
        <f t="shared" si="1"/>
        <v>23.927421530185931</v>
      </c>
      <c r="I22" s="64">
        <f t="shared" si="2"/>
        <v>111.28742153018595</v>
      </c>
      <c r="J22" s="65">
        <f t="shared" si="3"/>
        <v>193.82559249840719</v>
      </c>
    </row>
    <row r="23" spans="1:13" x14ac:dyDescent="0.2">
      <c r="A23" s="12">
        <f t="shared" si="4"/>
        <v>20</v>
      </c>
      <c r="B23" s="66">
        <v>5</v>
      </c>
      <c r="C23" s="65">
        <f t="shared" si="0"/>
        <v>18.333333333333332</v>
      </c>
      <c r="D23" s="12">
        <v>20</v>
      </c>
      <c r="E23" s="66">
        <v>132</v>
      </c>
      <c r="F23" s="105">
        <v>0</v>
      </c>
      <c r="G23" s="64">
        <f>E23*VLOOKUP('Données entrée'!$B$2,Paramètres!$A$3:$O$49,8,0)*0.56</f>
        <v>96.096000000000004</v>
      </c>
      <c r="H23" s="64">
        <f t="shared" si="1"/>
        <v>26.029778784173352</v>
      </c>
      <c r="I23" s="64">
        <f t="shared" si="2"/>
        <v>122.12577878417335</v>
      </c>
      <c r="J23" s="65">
        <f t="shared" si="3"/>
        <v>212.70239804910193</v>
      </c>
    </row>
    <row r="24" spans="1:13" x14ac:dyDescent="0.2">
      <c r="A24" s="12">
        <f t="shared" si="4"/>
        <v>21</v>
      </c>
      <c r="B24" s="66">
        <v>5</v>
      </c>
      <c r="C24" s="65">
        <f t="shared" si="0"/>
        <v>18.333333333333332</v>
      </c>
      <c r="D24" s="12">
        <v>20</v>
      </c>
      <c r="E24" s="66">
        <v>82</v>
      </c>
      <c r="F24" s="62">
        <v>50</v>
      </c>
      <c r="G24" s="64">
        <f>E24*VLOOKUP('Données entrée'!$B$2,Paramètres!$A$3:$O$49,8,0)*0.56</f>
        <v>59.696000000000012</v>
      </c>
      <c r="H24" s="64">
        <f t="shared" si="1"/>
        <v>17.091385566957076</v>
      </c>
      <c r="I24" s="64">
        <f t="shared" si="2"/>
        <v>76.787385566957084</v>
      </c>
      <c r="J24" s="65">
        <f t="shared" si="3"/>
        <v>133.73802986245025</v>
      </c>
    </row>
    <row r="25" spans="1:13" x14ac:dyDescent="0.2">
      <c r="A25" s="12">
        <f t="shared" si="4"/>
        <v>22</v>
      </c>
      <c r="B25" s="66">
        <v>5</v>
      </c>
      <c r="C25" s="65">
        <f t="shared" si="0"/>
        <v>18.333333333333332</v>
      </c>
      <c r="D25" s="12">
        <v>21</v>
      </c>
      <c r="E25" s="66">
        <v>94.2</v>
      </c>
      <c r="F25" s="62"/>
      <c r="G25" s="64">
        <f>E25*VLOOKUP('Données entrée'!$B$2,Paramètres!$A$3:$O$49,8,0)*0.56</f>
        <v>68.577600000000004</v>
      </c>
      <c r="H25" s="64">
        <f t="shared" si="1"/>
        <v>19.319804585752038</v>
      </c>
      <c r="I25" s="64">
        <f t="shared" si="2"/>
        <v>87.897404585752042</v>
      </c>
      <c r="J25" s="65">
        <f t="shared" si="3"/>
        <v>153.08797965351815</v>
      </c>
    </row>
    <row r="26" spans="1:13" x14ac:dyDescent="0.2">
      <c r="A26" s="12">
        <f t="shared" si="4"/>
        <v>23</v>
      </c>
      <c r="B26" s="66">
        <v>5</v>
      </c>
      <c r="C26" s="65">
        <f t="shared" si="0"/>
        <v>18.333333333333332</v>
      </c>
      <c r="D26" s="12">
        <v>22</v>
      </c>
      <c r="E26" s="66">
        <v>106.4</v>
      </c>
      <c r="F26" s="62"/>
      <c r="G26" s="64">
        <f>E26*VLOOKUP('Données entrée'!$B$2,Paramètres!$A$3:$O$49,8,0)*0.56</f>
        <v>77.459200000000024</v>
      </c>
      <c r="H26" s="64">
        <f t="shared" si="1"/>
        <v>21.514783197512241</v>
      </c>
      <c r="I26" s="64">
        <f t="shared" si="2"/>
        <v>98.973983197512268</v>
      </c>
      <c r="J26" s="65">
        <f t="shared" si="3"/>
        <v>172.37968740233387</v>
      </c>
    </row>
    <row r="27" spans="1:13" x14ac:dyDescent="0.2">
      <c r="A27" s="12">
        <f t="shared" si="4"/>
        <v>24</v>
      </c>
      <c r="B27" s="66">
        <v>5</v>
      </c>
      <c r="C27" s="65">
        <f t="shared" si="0"/>
        <v>18.333333333333332</v>
      </c>
      <c r="D27" s="12">
        <v>23</v>
      </c>
      <c r="E27" s="66">
        <v>118.6</v>
      </c>
      <c r="F27" s="62"/>
      <c r="G27" s="64">
        <f>E27*VLOOKUP('Données entrée'!$B$2,Paramètres!$A$3:$O$49,8,0)*0.56</f>
        <v>86.340800000000016</v>
      </c>
      <c r="H27" s="64">
        <f t="shared" si="1"/>
        <v>23.68059350377175</v>
      </c>
      <c r="I27" s="64">
        <f t="shared" si="2"/>
        <v>110.02139350377176</v>
      </c>
      <c r="J27" s="65">
        <f t="shared" si="3"/>
        <v>191.62059368573583</v>
      </c>
    </row>
    <row r="28" spans="1:13" x14ac:dyDescent="0.2">
      <c r="A28" s="12">
        <f t="shared" si="4"/>
        <v>25</v>
      </c>
      <c r="B28" s="66">
        <v>5</v>
      </c>
      <c r="C28" s="65">
        <f t="shared" si="0"/>
        <v>18.333333333333332</v>
      </c>
      <c r="D28" s="12">
        <v>24</v>
      </c>
      <c r="E28" s="66">
        <v>130.80000000000001</v>
      </c>
      <c r="F28" s="62"/>
      <c r="G28" s="64">
        <f>E28*VLOOKUP('Données entrée'!$B$2,Paramètres!$A$3:$O$49,8,0)*0.56</f>
        <v>95.222400000000022</v>
      </c>
      <c r="H28" s="64">
        <f t="shared" si="1"/>
        <v>25.82057766648499</v>
      </c>
      <c r="I28" s="64">
        <f t="shared" si="2"/>
        <v>121.04297766648502</v>
      </c>
      <c r="J28" s="65">
        <f t="shared" si="3"/>
        <v>210.81651943579473</v>
      </c>
    </row>
    <row r="29" spans="1:13" x14ac:dyDescent="0.2">
      <c r="A29" s="12">
        <f t="shared" si="4"/>
        <v>26</v>
      </c>
      <c r="B29" s="66">
        <v>5</v>
      </c>
      <c r="C29" s="65">
        <f t="shared" si="0"/>
        <v>18.333333333333332</v>
      </c>
      <c r="D29" s="12">
        <v>25</v>
      </c>
      <c r="E29" s="66">
        <v>143</v>
      </c>
      <c r="F29" s="62"/>
      <c r="G29" s="64">
        <f>E29*VLOOKUP('Données entrée'!$B$2,Paramètres!$A$3:$O$49,8,0)*0.56</f>
        <v>104.10400000000001</v>
      </c>
      <c r="H29" s="64">
        <f t="shared" si="1"/>
        <v>27.937418551182677</v>
      </c>
      <c r="I29" s="64">
        <f t="shared" si="2"/>
        <v>132.04141855118269</v>
      </c>
      <c r="J29" s="65">
        <f t="shared" si="3"/>
        <v>229.97213730997649</v>
      </c>
    </row>
    <row r="30" spans="1:13" x14ac:dyDescent="0.2">
      <c r="A30" s="12">
        <f t="shared" si="4"/>
        <v>27</v>
      </c>
      <c r="B30" s="66">
        <v>5</v>
      </c>
      <c r="C30" s="65">
        <f t="shared" si="0"/>
        <v>18.333333333333332</v>
      </c>
      <c r="D30" s="12">
        <v>25</v>
      </c>
      <c r="E30" s="66">
        <v>106</v>
      </c>
      <c r="F30" s="62">
        <v>37</v>
      </c>
      <c r="G30" s="64">
        <f>E30*VLOOKUP('Données entrée'!$B$2,Paramètres!$A$3:$O$49,8,0)*0.56</f>
        <v>77.168000000000021</v>
      </c>
      <c r="H30" s="64">
        <f t="shared" si="1"/>
        <v>21.443299634745454</v>
      </c>
      <c r="I30" s="64">
        <f t="shared" si="2"/>
        <v>98.611299634745478</v>
      </c>
      <c r="J30" s="65">
        <f t="shared" si="3"/>
        <v>171.74801353051501</v>
      </c>
    </row>
    <row r="31" spans="1:13" x14ac:dyDescent="0.2">
      <c r="A31" s="12">
        <f t="shared" si="4"/>
        <v>28</v>
      </c>
      <c r="B31" s="66">
        <v>5</v>
      </c>
      <c r="C31" s="65">
        <f t="shared" si="0"/>
        <v>18.333333333333332</v>
      </c>
      <c r="D31" s="12">
        <v>26</v>
      </c>
      <c r="E31" s="66">
        <v>117.4</v>
      </c>
      <c r="F31" s="62"/>
      <c r="G31" s="64">
        <f>E31*VLOOKUP('Données entrée'!$B$2,Paramètres!$A$3:$O$49,8,0)*0.56</f>
        <v>85.467200000000005</v>
      </c>
      <c r="H31" s="64">
        <f t="shared" si="1"/>
        <v>23.46875666716544</v>
      </c>
      <c r="I31" s="64">
        <f t="shared" si="2"/>
        <v>108.93595666716544</v>
      </c>
      <c r="J31" s="65">
        <f t="shared" si="3"/>
        <v>189.73012452864646</v>
      </c>
    </row>
    <row r="32" spans="1:13" x14ac:dyDescent="0.2">
      <c r="A32" s="12">
        <f t="shared" si="4"/>
        <v>29</v>
      </c>
      <c r="B32" s="66">
        <v>5</v>
      </c>
      <c r="C32" s="65">
        <f t="shared" si="0"/>
        <v>18.333333333333332</v>
      </c>
      <c r="D32" s="12">
        <v>27</v>
      </c>
      <c r="E32" s="66">
        <v>128.80000000000001</v>
      </c>
      <c r="F32" s="62"/>
      <c r="G32" s="64">
        <f>E32*VLOOKUP('Données entrée'!$B$2,Paramètres!$A$3:$O$49,8,0)*0.56</f>
        <v>93.766400000000019</v>
      </c>
      <c r="H32" s="64">
        <f t="shared" si="1"/>
        <v>25.471411271831869</v>
      </c>
      <c r="I32" s="64">
        <f t="shared" si="2"/>
        <v>119.23781127183189</v>
      </c>
      <c r="J32" s="65">
        <f t="shared" si="3"/>
        <v>207.67252129844053</v>
      </c>
    </row>
    <row r="33" spans="1:10" x14ac:dyDescent="0.2">
      <c r="A33" s="12">
        <f t="shared" si="4"/>
        <v>30</v>
      </c>
      <c r="B33" s="66">
        <v>5</v>
      </c>
      <c r="C33" s="65">
        <f t="shared" si="0"/>
        <v>18.333333333333332</v>
      </c>
      <c r="D33" s="12">
        <v>28</v>
      </c>
      <c r="E33" s="66">
        <v>140.19999999999999</v>
      </c>
      <c r="F33" s="62"/>
      <c r="G33" s="64">
        <f>E33*VLOOKUP('Données entrée'!$B$2,Paramètres!$A$3:$O$49,8,0)*0.56</f>
        <v>102.0656</v>
      </c>
      <c r="H33" s="64">
        <f t="shared" si="1"/>
        <v>27.453511169560578</v>
      </c>
      <c r="I33" s="64">
        <f t="shared" si="2"/>
        <v>129.51911116956057</v>
      </c>
      <c r="J33" s="65">
        <f t="shared" si="3"/>
        <v>225.57911862031798</v>
      </c>
    </row>
    <row r="34" spans="1:10" x14ac:dyDescent="0.2">
      <c r="A34" s="12">
        <f t="shared" si="4"/>
        <v>31</v>
      </c>
      <c r="B34" s="66">
        <v>5</v>
      </c>
      <c r="C34" s="65">
        <f t="shared" si="0"/>
        <v>18.333333333333332</v>
      </c>
      <c r="D34" s="12">
        <v>29</v>
      </c>
      <c r="E34" s="66">
        <v>151.6</v>
      </c>
      <c r="F34" s="62"/>
      <c r="G34" s="64">
        <f>E34*VLOOKUP('Données entrée'!$B$2,Paramètres!$A$3:$O$49,8,0)*0.56</f>
        <v>110.36480000000002</v>
      </c>
      <c r="H34" s="64">
        <f t="shared" si="1"/>
        <v>29.416917728971871</v>
      </c>
      <c r="I34" s="64">
        <f t="shared" si="2"/>
        <v>139.7817177289719</v>
      </c>
      <c r="J34" s="65">
        <f t="shared" si="3"/>
        <v>243.45315837795934</v>
      </c>
    </row>
    <row r="35" spans="1:10" x14ac:dyDescent="0.2">
      <c r="A35" s="12">
        <f t="shared" si="4"/>
        <v>32</v>
      </c>
      <c r="B35" s="66">
        <v>5</v>
      </c>
      <c r="C35" s="65">
        <f t="shared" si="0"/>
        <v>18.333333333333332</v>
      </c>
      <c r="D35" s="12">
        <v>30</v>
      </c>
      <c r="E35" s="66">
        <v>163</v>
      </c>
      <c r="F35" s="62"/>
      <c r="G35" s="64">
        <f>E35*VLOOKUP('Données entrée'!$B$2,Paramètres!$A$3:$O$49,8,0)*0.56</f>
        <v>118.66400000000002</v>
      </c>
      <c r="H35" s="64">
        <f t="shared" si="1"/>
        <v>31.363196487889692</v>
      </c>
      <c r="I35" s="64">
        <f t="shared" si="2"/>
        <v>150.02719648788971</v>
      </c>
      <c r="J35" s="65">
        <f t="shared" si="3"/>
        <v>261.29736721640791</v>
      </c>
    </row>
    <row r="36" spans="1:10" x14ac:dyDescent="0.2">
      <c r="A36" s="12">
        <f t="shared" si="4"/>
        <v>33</v>
      </c>
      <c r="B36" s="66">
        <v>5</v>
      </c>
      <c r="C36" s="65">
        <f t="shared" si="0"/>
        <v>18.333333333333332</v>
      </c>
      <c r="D36" s="12">
        <v>30</v>
      </c>
      <c r="E36" s="66">
        <v>126</v>
      </c>
      <c r="F36" s="62">
        <v>37</v>
      </c>
      <c r="G36" s="64">
        <f>E36*VLOOKUP('Données entrée'!$B$2,Paramètres!$A$3:$O$49,8,0)*0.56</f>
        <v>91.728000000000009</v>
      </c>
      <c r="H36" s="64">
        <f t="shared" si="1"/>
        <v>24.981514582386563</v>
      </c>
      <c r="I36" s="64">
        <f t="shared" si="2"/>
        <v>116.70951458238657</v>
      </c>
      <c r="J36" s="65">
        <f t="shared" si="3"/>
        <v>203.26907123098991</v>
      </c>
    </row>
    <row r="37" spans="1:10" x14ac:dyDescent="0.2">
      <c r="A37" s="12">
        <f t="shared" si="4"/>
        <v>34</v>
      </c>
      <c r="B37" s="66">
        <v>5</v>
      </c>
      <c r="C37" s="65">
        <f t="shared" si="0"/>
        <v>18.333333333333332</v>
      </c>
      <c r="D37" s="12">
        <v>31</v>
      </c>
      <c r="E37" s="66">
        <v>136.6</v>
      </c>
      <c r="F37" s="62"/>
      <c r="G37" s="64">
        <f>E37*VLOOKUP('Données entrée'!$B$2,Paramètres!$A$3:$O$49,8,0)*0.56</f>
        <v>99.444800000000015</v>
      </c>
      <c r="H37" s="64">
        <f t="shared" si="1"/>
        <v>26.829685976284928</v>
      </c>
      <c r="I37" s="64">
        <f t="shared" si="2"/>
        <v>126.27448597628495</v>
      </c>
      <c r="J37" s="65">
        <f t="shared" si="3"/>
        <v>219.92806307536296</v>
      </c>
    </row>
    <row r="38" spans="1:10" x14ac:dyDescent="0.2">
      <c r="A38" s="12">
        <f t="shared" si="4"/>
        <v>35</v>
      </c>
      <c r="B38" s="66">
        <v>5</v>
      </c>
      <c r="C38" s="65">
        <f t="shared" si="0"/>
        <v>18.333333333333332</v>
      </c>
      <c r="D38" s="12">
        <v>32</v>
      </c>
      <c r="E38" s="66">
        <v>147.19999999999999</v>
      </c>
      <c r="F38" s="62"/>
      <c r="G38" s="64">
        <f>E38*VLOOKUP('Données entrée'!$B$2,Paramètres!$A$3:$O$49,8,0)*0.56</f>
        <v>107.16160000000001</v>
      </c>
      <c r="H38" s="64">
        <f t="shared" si="1"/>
        <v>28.661221307723455</v>
      </c>
      <c r="I38" s="64">
        <f t="shared" si="2"/>
        <v>135.82282130772347</v>
      </c>
      <c r="J38" s="65">
        <f t="shared" si="3"/>
        <v>236.55808044428508</v>
      </c>
    </row>
    <row r="39" spans="1:10" x14ac:dyDescent="0.2">
      <c r="A39" s="12">
        <f t="shared" si="4"/>
        <v>36</v>
      </c>
      <c r="B39" s="66">
        <v>5</v>
      </c>
      <c r="C39" s="65">
        <f t="shared" si="0"/>
        <v>18.333333333333332</v>
      </c>
      <c r="D39" s="12">
        <v>33</v>
      </c>
      <c r="E39" s="66">
        <v>157.80000000000001</v>
      </c>
      <c r="F39" s="62"/>
      <c r="G39" s="64">
        <f>E39*VLOOKUP('Données entrée'!$B$2,Paramètres!$A$3:$O$49,8,0)*0.56</f>
        <v>114.87840000000001</v>
      </c>
      <c r="H39" s="64">
        <f t="shared" si="1"/>
        <v>30.477454798653778</v>
      </c>
      <c r="I39" s="64">
        <f t="shared" si="2"/>
        <v>145.35585479865378</v>
      </c>
      <c r="J39" s="65">
        <f t="shared" si="3"/>
        <v>253.16144710765533</v>
      </c>
    </row>
    <row r="40" spans="1:10" x14ac:dyDescent="0.2">
      <c r="A40" s="12">
        <f t="shared" si="4"/>
        <v>37</v>
      </c>
      <c r="B40" s="66">
        <v>5</v>
      </c>
      <c r="C40" s="65">
        <f t="shared" si="0"/>
        <v>18.333333333333332</v>
      </c>
      <c r="D40" s="12">
        <v>34</v>
      </c>
      <c r="E40" s="66">
        <v>168.4</v>
      </c>
      <c r="F40" s="62"/>
      <c r="G40" s="64">
        <f>E40*VLOOKUP('Données entrée'!$B$2,Paramètres!$A$3:$O$49,8,0)*0.56</f>
        <v>122.59520000000002</v>
      </c>
      <c r="H40" s="64">
        <f t="shared" si="1"/>
        <v>32.279531279531788</v>
      </c>
      <c r="I40" s="64">
        <f t="shared" si="2"/>
        <v>154.8747312795318</v>
      </c>
      <c r="J40" s="65">
        <f t="shared" si="3"/>
        <v>269.74015697851786</v>
      </c>
    </row>
    <row r="41" spans="1:10" x14ac:dyDescent="0.2">
      <c r="A41" s="12">
        <f t="shared" si="4"/>
        <v>38</v>
      </c>
      <c r="B41" s="66">
        <v>5</v>
      </c>
      <c r="C41" s="65">
        <f t="shared" si="0"/>
        <v>18.333333333333332</v>
      </c>
      <c r="D41" s="12">
        <v>35</v>
      </c>
      <c r="E41" s="66">
        <v>179</v>
      </c>
      <c r="F41" s="62"/>
      <c r="G41" s="64">
        <f>E41*VLOOKUP('Données entrée'!$B$2,Paramètres!$A$3:$O$49,8,0)*0.56</f>
        <v>130.31200000000001</v>
      </c>
      <c r="H41" s="64">
        <f t="shared" si="1"/>
        <v>34.068443310691293</v>
      </c>
      <c r="I41" s="64">
        <f t="shared" si="2"/>
        <v>164.38044331069131</v>
      </c>
      <c r="J41" s="65">
        <f t="shared" si="3"/>
        <v>286.29593876612068</v>
      </c>
    </row>
    <row r="42" spans="1:10" x14ac:dyDescent="0.2">
      <c r="A42" s="12">
        <f t="shared" si="4"/>
        <v>39</v>
      </c>
      <c r="B42" s="66">
        <v>5</v>
      </c>
      <c r="C42" s="65">
        <f t="shared" si="0"/>
        <v>18.333333333333332</v>
      </c>
      <c r="D42" s="12">
        <v>35</v>
      </c>
      <c r="E42" s="66">
        <v>143</v>
      </c>
      <c r="F42" s="62">
        <v>36</v>
      </c>
      <c r="G42" s="64">
        <f>E42*VLOOKUP('Données entrée'!$B$2,Paramètres!$A$3:$O$49,8,0)*0.56</f>
        <v>104.10400000000001</v>
      </c>
      <c r="H42" s="64">
        <f t="shared" si="1"/>
        <v>27.937418551182677</v>
      </c>
      <c r="I42" s="64">
        <f t="shared" si="2"/>
        <v>132.04141855118269</v>
      </c>
      <c r="J42" s="65">
        <f t="shared" si="3"/>
        <v>229.97213730997649</v>
      </c>
    </row>
    <row r="43" spans="1:10" x14ac:dyDescent="0.2">
      <c r="A43" s="12">
        <f t="shared" si="4"/>
        <v>40</v>
      </c>
      <c r="B43" s="66">
        <v>5</v>
      </c>
      <c r="C43" s="65">
        <f t="shared" si="0"/>
        <v>18.333333333333332</v>
      </c>
      <c r="D43" s="12">
        <v>36</v>
      </c>
      <c r="E43" s="66">
        <v>152.6</v>
      </c>
      <c r="F43" s="62"/>
      <c r="G43" s="64">
        <f>E43*VLOOKUP('Données entrée'!$B$2,Paramètres!$A$3:$O$49,8,0)*0.56</f>
        <v>111.09280000000001</v>
      </c>
      <c r="H43" s="64">
        <f t="shared" si="1"/>
        <v>29.588308455576659</v>
      </c>
      <c r="I43" s="64">
        <f t="shared" si="2"/>
        <v>140.68110845557666</v>
      </c>
      <c r="J43" s="65">
        <f t="shared" si="3"/>
        <v>245.01959722679601</v>
      </c>
    </row>
    <row r="44" spans="1:10" x14ac:dyDescent="0.2">
      <c r="A44" s="12">
        <f t="shared" si="4"/>
        <v>41</v>
      </c>
      <c r="B44" s="66">
        <v>5</v>
      </c>
      <c r="C44" s="65">
        <f t="shared" si="0"/>
        <v>18.333333333333332</v>
      </c>
      <c r="D44" s="12">
        <v>37</v>
      </c>
      <c r="E44" s="66">
        <v>162.19999999999999</v>
      </c>
      <c r="F44" s="62"/>
      <c r="G44" s="64">
        <f>E44*VLOOKUP('Données entrée'!$B$2,Paramètres!$A$3:$O$49,8,0)*0.56</f>
        <v>118.08160000000001</v>
      </c>
      <c r="H44" s="64">
        <f t="shared" si="1"/>
        <v>31.227145195462189</v>
      </c>
      <c r="I44" s="64">
        <f t="shared" si="2"/>
        <v>149.30874519546219</v>
      </c>
      <c r="J44" s="65">
        <f t="shared" si="3"/>
        <v>260.0460645487633</v>
      </c>
    </row>
    <row r="45" spans="1:10" x14ac:dyDescent="0.2">
      <c r="A45" s="12">
        <f t="shared" si="4"/>
        <v>42</v>
      </c>
      <c r="B45" s="66">
        <v>5</v>
      </c>
      <c r="C45" s="65">
        <f t="shared" si="0"/>
        <v>18.333333333333332</v>
      </c>
      <c r="D45" s="12">
        <v>38</v>
      </c>
      <c r="E45" s="66">
        <v>171.8</v>
      </c>
      <c r="F45" s="62"/>
      <c r="G45" s="64">
        <f>E45*VLOOKUP('Données entrée'!$B$2,Paramètres!$A$3:$O$49,8,0)*0.56</f>
        <v>125.07040000000003</v>
      </c>
      <c r="H45" s="64">
        <f t="shared" si="1"/>
        <v>32.854723406965945</v>
      </c>
      <c r="I45" s="64">
        <f t="shared" si="2"/>
        <v>157.92512340696598</v>
      </c>
      <c r="J45" s="65">
        <f t="shared" si="3"/>
        <v>275.05292326713243</v>
      </c>
    </row>
    <row r="46" spans="1:10" x14ac:dyDescent="0.2">
      <c r="A46" s="12">
        <f t="shared" si="4"/>
        <v>43</v>
      </c>
      <c r="B46" s="66">
        <v>5</v>
      </c>
      <c r="C46" s="65">
        <f t="shared" si="0"/>
        <v>18.333333333333332</v>
      </c>
      <c r="D46" s="12">
        <v>39</v>
      </c>
      <c r="E46" s="66">
        <v>181.4</v>
      </c>
      <c r="F46" s="62"/>
      <c r="G46" s="64">
        <f>E46*VLOOKUP('Données entrée'!$B$2,Paramètres!$A$3:$O$49,8,0)*0.56</f>
        <v>132.05920000000003</v>
      </c>
      <c r="H46" s="64">
        <f t="shared" si="1"/>
        <v>34.471743903616613</v>
      </c>
      <c r="I46" s="64">
        <f t="shared" si="2"/>
        <v>166.53094390361665</v>
      </c>
      <c r="J46" s="65">
        <f t="shared" si="3"/>
        <v>290.04139396546566</v>
      </c>
    </row>
    <row r="47" spans="1:10" x14ac:dyDescent="0.2">
      <c r="A47" s="12">
        <f t="shared" si="4"/>
        <v>44</v>
      </c>
      <c r="B47" s="66">
        <v>5</v>
      </c>
      <c r="C47" s="65">
        <f t="shared" si="0"/>
        <v>18.333333333333332</v>
      </c>
      <c r="D47" s="12">
        <v>40</v>
      </c>
      <c r="E47" s="66">
        <v>191</v>
      </c>
      <c r="F47" s="62"/>
      <c r="G47" s="64">
        <f>E47*VLOOKUP('Données entrée'!$B$2,Paramètres!$A$3:$O$49,8,0)*0.56</f>
        <v>139.04800000000003</v>
      </c>
      <c r="H47" s="64">
        <f t="shared" si="1"/>
        <v>36.078829132999289</v>
      </c>
      <c r="I47" s="64">
        <f t="shared" si="2"/>
        <v>175.12682913299932</v>
      </c>
      <c r="J47" s="65">
        <f t="shared" si="3"/>
        <v>305.01256073997382</v>
      </c>
    </row>
    <row r="48" spans="1:10" x14ac:dyDescent="0.2">
      <c r="A48" s="12">
        <f t="shared" si="4"/>
        <v>45</v>
      </c>
      <c r="B48" s="66">
        <v>5</v>
      </c>
      <c r="C48" s="65">
        <f t="shared" si="0"/>
        <v>18.333333333333332</v>
      </c>
      <c r="D48" s="12">
        <v>40</v>
      </c>
      <c r="E48" s="66">
        <v>158</v>
      </c>
      <c r="F48" s="62">
        <v>33</v>
      </c>
      <c r="G48" s="64">
        <f>E48*VLOOKUP('Données entrée'!$B$2,Paramètres!$A$3:$O$49,8,0)*0.56</f>
        <v>115.02400000000002</v>
      </c>
      <c r="H48" s="64">
        <f t="shared" si="1"/>
        <v>30.511583941282197</v>
      </c>
      <c r="I48" s="64">
        <f t="shared" si="2"/>
        <v>145.5355839412822</v>
      </c>
      <c r="J48" s="65">
        <f t="shared" si="3"/>
        <v>253.47447536439981</v>
      </c>
    </row>
    <row r="49" spans="1:10" x14ac:dyDescent="0.2">
      <c r="A49" s="12">
        <f t="shared" si="4"/>
        <v>46</v>
      </c>
      <c r="B49" s="66">
        <v>5</v>
      </c>
      <c r="C49" s="65">
        <f t="shared" si="0"/>
        <v>18.333333333333332</v>
      </c>
      <c r="D49" s="12">
        <v>41</v>
      </c>
      <c r="E49" s="66">
        <v>166.6</v>
      </c>
      <c r="F49" s="62"/>
      <c r="G49" s="64">
        <f>E49*VLOOKUP('Données entrée'!$B$2,Paramètres!$A$3:$O$49,8,0)*0.56</f>
        <v>121.28480000000002</v>
      </c>
      <c r="H49" s="64">
        <f t="shared" si="1"/>
        <v>31.974471809494933</v>
      </c>
      <c r="I49" s="64">
        <f t="shared" si="2"/>
        <v>153.25927180949495</v>
      </c>
      <c r="J49" s="65">
        <f t="shared" si="3"/>
        <v>266.92656506820367</v>
      </c>
    </row>
    <row r="50" spans="1:10" x14ac:dyDescent="0.2">
      <c r="A50" s="12">
        <f t="shared" si="4"/>
        <v>47</v>
      </c>
      <c r="B50" s="66">
        <v>5</v>
      </c>
      <c r="C50" s="65">
        <f t="shared" si="0"/>
        <v>18.333333333333332</v>
      </c>
      <c r="D50" s="12">
        <v>42</v>
      </c>
      <c r="E50" s="66">
        <v>175.2</v>
      </c>
      <c r="F50" s="62"/>
      <c r="G50" s="64">
        <f>E50*VLOOKUP('Données entrée'!$B$2,Paramètres!$A$3:$O$49,8,0)*0.56</f>
        <v>127.54560000000001</v>
      </c>
      <c r="H50" s="64">
        <f t="shared" si="1"/>
        <v>33.428591950384806</v>
      </c>
      <c r="I50" s="64">
        <f t="shared" si="2"/>
        <v>160.97419195038481</v>
      </c>
      <c r="J50" s="65">
        <f t="shared" si="3"/>
        <v>280.36338431358689</v>
      </c>
    </row>
    <row r="51" spans="1:10" x14ac:dyDescent="0.2">
      <c r="A51" s="12">
        <f t="shared" si="4"/>
        <v>48</v>
      </c>
      <c r="B51" s="66">
        <v>5</v>
      </c>
      <c r="C51" s="65">
        <f t="shared" si="0"/>
        <v>18.333333333333332</v>
      </c>
      <c r="D51" s="12">
        <v>43</v>
      </c>
      <c r="E51" s="66">
        <v>183.8</v>
      </c>
      <c r="F51" s="62"/>
      <c r="G51" s="64">
        <f>E51*VLOOKUP('Données entrée'!$B$2,Paramètres!$A$3:$O$49,8,0)*0.56</f>
        <v>133.80640000000002</v>
      </c>
      <c r="H51" s="64">
        <f t="shared" si="1"/>
        <v>34.874423863591645</v>
      </c>
      <c r="I51" s="64">
        <f t="shared" si="2"/>
        <v>168.68082386359168</v>
      </c>
      <c r="J51" s="65">
        <f t="shared" si="3"/>
        <v>293.78576822908889</v>
      </c>
    </row>
    <row r="52" spans="1:10" x14ac:dyDescent="0.2">
      <c r="A52" s="12">
        <f t="shared" si="4"/>
        <v>49</v>
      </c>
      <c r="B52" s="66">
        <v>5</v>
      </c>
      <c r="C52" s="65">
        <f t="shared" si="0"/>
        <v>18.333333333333332</v>
      </c>
      <c r="D52" s="12">
        <v>44</v>
      </c>
      <c r="E52" s="66">
        <v>192.4</v>
      </c>
      <c r="F52" s="62"/>
      <c r="G52" s="64">
        <f>E52*VLOOKUP('Données entrée'!$B$2,Paramètres!$A$3:$O$49,8,0)*0.56</f>
        <v>140.06720000000001</v>
      </c>
      <c r="H52" s="64">
        <f t="shared" si="1"/>
        <v>36.312399641368494</v>
      </c>
      <c r="I52" s="64">
        <f t="shared" si="2"/>
        <v>176.37959964136851</v>
      </c>
      <c r="J52" s="65">
        <f t="shared" si="3"/>
        <v>307.19446937538345</v>
      </c>
    </row>
    <row r="53" spans="1:10" x14ac:dyDescent="0.2">
      <c r="A53" s="12">
        <f t="shared" si="4"/>
        <v>50</v>
      </c>
      <c r="B53" s="66">
        <v>5</v>
      </c>
      <c r="C53" s="65">
        <f t="shared" si="0"/>
        <v>18.333333333333332</v>
      </c>
      <c r="D53" s="12">
        <v>45</v>
      </c>
      <c r="E53" s="66">
        <v>201</v>
      </c>
      <c r="F53" s="62"/>
      <c r="G53" s="64">
        <f>E53*VLOOKUP('Données entrée'!$B$2,Paramètres!$A$3:$O$49,8,0)*0.56</f>
        <v>146.32800000000003</v>
      </c>
      <c r="H53" s="64">
        <f t="shared" si="1"/>
        <v>37.74291056436379</v>
      </c>
      <c r="I53" s="64">
        <f t="shared" si="2"/>
        <v>184.07091056436383</v>
      </c>
      <c r="J53" s="65">
        <f t="shared" si="3"/>
        <v>320.59016923293365</v>
      </c>
    </row>
    <row r="54" spans="1:10" x14ac:dyDescent="0.2">
      <c r="A54" s="12">
        <f t="shared" si="4"/>
        <v>51</v>
      </c>
      <c r="B54" s="66">
        <v>5</v>
      </c>
      <c r="C54" s="65">
        <f t="shared" si="0"/>
        <v>18.333333333333332</v>
      </c>
      <c r="D54" s="12">
        <v>45</v>
      </c>
      <c r="E54" s="66">
        <v>170</v>
      </c>
      <c r="F54" s="62">
        <v>31</v>
      </c>
      <c r="G54" s="64">
        <f>E54*VLOOKUP('Données entrée'!$B$2,Paramètres!$A$3:$O$49,8,0)*0.56</f>
        <v>123.76</v>
      </c>
      <c r="H54" s="64">
        <f t="shared" si="1"/>
        <v>32.550376670812234</v>
      </c>
      <c r="I54" s="64">
        <f t="shared" si="2"/>
        <v>156.31037667081225</v>
      </c>
      <c r="J54" s="65">
        <f t="shared" si="3"/>
        <v>272.24057270166469</v>
      </c>
    </row>
    <row r="55" spans="1:10" x14ac:dyDescent="0.2">
      <c r="A55" s="12">
        <f t="shared" si="4"/>
        <v>52</v>
      </c>
      <c r="B55" s="66">
        <v>5</v>
      </c>
      <c r="C55" s="65">
        <f t="shared" si="0"/>
        <v>18.333333333333332</v>
      </c>
      <c r="D55" s="12">
        <v>46</v>
      </c>
      <c r="E55" s="66">
        <v>177.8</v>
      </c>
      <c r="F55" s="62"/>
      <c r="G55" s="64">
        <f>E55*VLOOKUP('Données entrée'!$B$2,Paramètres!$A$3:$O$49,8,0)*0.56</f>
        <v>129.43840000000003</v>
      </c>
      <c r="H55" s="64">
        <f t="shared" si="1"/>
        <v>33.86655738165031</v>
      </c>
      <c r="I55" s="64">
        <f t="shared" si="2"/>
        <v>163.30495738165035</v>
      </c>
      <c r="J55" s="65">
        <f t="shared" si="3"/>
        <v>284.42280077304105</v>
      </c>
    </row>
    <row r="56" spans="1:10" x14ac:dyDescent="0.2">
      <c r="A56" s="12">
        <f t="shared" si="4"/>
        <v>53</v>
      </c>
      <c r="B56" s="66">
        <v>5</v>
      </c>
      <c r="C56" s="65">
        <f t="shared" si="0"/>
        <v>18.333333333333332</v>
      </c>
      <c r="D56" s="12">
        <v>47</v>
      </c>
      <c r="E56" s="66">
        <v>185.6</v>
      </c>
      <c r="F56" s="62"/>
      <c r="G56" s="64">
        <f>E56*VLOOKUP('Données entrée'!$B$2,Paramètres!$A$3:$O$49,8,0)*0.56</f>
        <v>135.11680000000001</v>
      </c>
      <c r="H56" s="64">
        <f t="shared" si="1"/>
        <v>35.176031991270335</v>
      </c>
      <c r="I56" s="64">
        <f t="shared" si="2"/>
        <v>170.29283199127036</v>
      </c>
      <c r="J56" s="65">
        <f t="shared" si="3"/>
        <v>296.59334905146255</v>
      </c>
    </row>
    <row r="57" spans="1:10" x14ac:dyDescent="0.2">
      <c r="A57" s="12">
        <f t="shared" si="4"/>
        <v>54</v>
      </c>
      <c r="B57" s="66">
        <v>5</v>
      </c>
      <c r="C57" s="65">
        <f t="shared" si="0"/>
        <v>18.333333333333332</v>
      </c>
      <c r="D57" s="12">
        <v>48</v>
      </c>
      <c r="E57" s="66">
        <v>193.4</v>
      </c>
      <c r="F57" s="62"/>
      <c r="G57" s="64">
        <f>E57*VLOOKUP('Données entrée'!$B$2,Paramètres!$A$3:$O$49,8,0)*0.56</f>
        <v>140.79520000000002</v>
      </c>
      <c r="H57" s="64">
        <f t="shared" si="1"/>
        <v>36.47911455460099</v>
      </c>
      <c r="I57" s="64">
        <f t="shared" si="2"/>
        <v>177.27431455460101</v>
      </c>
      <c r="J57" s="65">
        <f t="shared" si="3"/>
        <v>308.75276451593004</v>
      </c>
    </row>
    <row r="58" spans="1:10" x14ac:dyDescent="0.2">
      <c r="A58" s="12">
        <f t="shared" si="4"/>
        <v>55</v>
      </c>
      <c r="B58" s="66">
        <v>5</v>
      </c>
      <c r="C58" s="65">
        <f t="shared" si="0"/>
        <v>18.333333333333332</v>
      </c>
      <c r="D58" s="12">
        <v>49</v>
      </c>
      <c r="E58" s="66">
        <v>201.2</v>
      </c>
      <c r="F58" s="62"/>
      <c r="G58" s="64">
        <f>E58*VLOOKUP('Données entrée'!$B$2,Paramètres!$A$3:$O$49,8,0)*0.56</f>
        <v>146.4736</v>
      </c>
      <c r="H58" s="64">
        <f t="shared" si="1"/>
        <v>37.776092360579796</v>
      </c>
      <c r="I58" s="64">
        <f t="shared" si="2"/>
        <v>184.24969236057979</v>
      </c>
      <c r="J58" s="65">
        <f t="shared" si="3"/>
        <v>320.90154752800976</v>
      </c>
    </row>
    <row r="59" spans="1:10" x14ac:dyDescent="0.2">
      <c r="A59" s="12">
        <f t="shared" si="4"/>
        <v>56</v>
      </c>
      <c r="B59" s="66">
        <v>5</v>
      </c>
      <c r="C59" s="65">
        <f t="shared" si="0"/>
        <v>18.333333333333332</v>
      </c>
      <c r="D59" s="12">
        <v>50</v>
      </c>
      <c r="E59" s="67">
        <v>209</v>
      </c>
      <c r="F59" s="62"/>
      <c r="G59" s="64">
        <f>E59*VLOOKUP('Données entrée'!$B$2,Paramètres!$A$3:$O$49,8,0)*0.56</f>
        <v>152.15200000000002</v>
      </c>
      <c r="H59" s="64">
        <f t="shared" si="1"/>
        <v>39.067229161930662</v>
      </c>
      <c r="I59" s="64">
        <f t="shared" si="2"/>
        <v>191.21922916193068</v>
      </c>
      <c r="J59" s="65">
        <f t="shared" si="3"/>
        <v>333.0401574570293</v>
      </c>
    </row>
    <row r="60" spans="1:10" x14ac:dyDescent="0.2">
      <c r="A60" s="12">
        <f t="shared" si="4"/>
        <v>57</v>
      </c>
      <c r="B60" s="66">
        <v>5</v>
      </c>
      <c r="C60" s="65">
        <f t="shared" si="0"/>
        <v>18.333333333333332</v>
      </c>
      <c r="D60" s="12">
        <v>50</v>
      </c>
      <c r="E60" s="67">
        <v>181</v>
      </c>
      <c r="F60" s="62">
        <v>28</v>
      </c>
      <c r="G60" s="64">
        <f>E60*VLOOKUP('Données entrée'!$B$2,Paramètres!$A$3:$O$49,8,0)*0.56</f>
        <v>131.76800000000003</v>
      </c>
      <c r="H60" s="64">
        <f t="shared" si="1"/>
        <v>34.404570485500884</v>
      </c>
      <c r="I60" s="64">
        <f t="shared" si="2"/>
        <v>166.1725704855009</v>
      </c>
      <c r="J60" s="65">
        <f t="shared" si="3"/>
        <v>289.41722692891403</v>
      </c>
    </row>
    <row r="61" spans="1:10" x14ac:dyDescent="0.2">
      <c r="A61" s="12">
        <f t="shared" si="4"/>
        <v>58</v>
      </c>
      <c r="B61" s="66">
        <v>5</v>
      </c>
      <c r="C61" s="65">
        <f t="shared" si="0"/>
        <v>18.333333333333332</v>
      </c>
      <c r="D61" s="12">
        <v>51</v>
      </c>
      <c r="E61" s="67">
        <v>187.8</v>
      </c>
      <c r="F61" s="62"/>
      <c r="G61" s="64">
        <f>E61*VLOOKUP('Données entrée'!$B$2,Paramètres!$A$3:$O$49,8,0)*0.56</f>
        <v>136.71840000000003</v>
      </c>
      <c r="H61" s="64">
        <f t="shared" si="1"/>
        <v>35.544202389747873</v>
      </c>
      <c r="I61" s="64">
        <f t="shared" si="2"/>
        <v>172.26260238974791</v>
      </c>
      <c r="J61" s="65">
        <f t="shared" si="3"/>
        <v>300.02403249547757</v>
      </c>
    </row>
    <row r="62" spans="1:10" x14ac:dyDescent="0.2">
      <c r="A62" s="12">
        <f t="shared" si="4"/>
        <v>59</v>
      </c>
      <c r="B62" s="66">
        <v>5</v>
      </c>
      <c r="C62" s="65">
        <f t="shared" si="0"/>
        <v>18.333333333333332</v>
      </c>
      <c r="D62" s="12">
        <v>52</v>
      </c>
      <c r="E62" s="67">
        <v>194.6</v>
      </c>
      <c r="F62" s="62"/>
      <c r="G62" s="64">
        <f>E62*VLOOKUP('Données entrée'!$B$2,Paramètres!$A$3:$O$49,8,0)*0.56</f>
        <v>141.6688</v>
      </c>
      <c r="H62" s="64">
        <f t="shared" si="1"/>
        <v>36.679040092650396</v>
      </c>
      <c r="I62" s="64">
        <f t="shared" si="2"/>
        <v>178.34784009265042</v>
      </c>
      <c r="J62" s="65">
        <f t="shared" si="3"/>
        <v>310.62248816136616</v>
      </c>
    </row>
    <row r="63" spans="1:10" x14ac:dyDescent="0.2">
      <c r="A63" s="12">
        <f t="shared" si="4"/>
        <v>60</v>
      </c>
      <c r="B63" s="66">
        <v>5</v>
      </c>
      <c r="C63" s="65">
        <f t="shared" si="0"/>
        <v>18.333333333333332</v>
      </c>
      <c r="D63" s="12">
        <v>53</v>
      </c>
      <c r="E63" s="67">
        <v>201.4</v>
      </c>
      <c r="F63" s="62"/>
      <c r="G63" s="64">
        <f>E63*VLOOKUP('Données entrée'!$B$2,Paramètres!$A$3:$O$49,8,0)*0.56</f>
        <v>146.61920000000001</v>
      </c>
      <c r="H63" s="64">
        <f t="shared" si="1"/>
        <v>37.809270317692103</v>
      </c>
      <c r="I63" s="64">
        <f t="shared" si="2"/>
        <v>184.4284703176921</v>
      </c>
      <c r="J63" s="65">
        <f t="shared" si="3"/>
        <v>321.21291913664703</v>
      </c>
    </row>
    <row r="64" spans="1:10" x14ac:dyDescent="0.2">
      <c r="A64" s="12">
        <f t="shared" si="4"/>
        <v>61</v>
      </c>
      <c r="B64" s="66">
        <v>5</v>
      </c>
      <c r="C64" s="65">
        <f t="shared" si="0"/>
        <v>18.333333333333332</v>
      </c>
      <c r="D64" s="12">
        <v>54</v>
      </c>
      <c r="E64" s="67">
        <v>208.2</v>
      </c>
      <c r="F64" s="62"/>
      <c r="G64" s="64">
        <f>E64*VLOOKUP('Données entrée'!$B$2,Paramètres!$A$3:$O$49,8,0)*0.56</f>
        <v>151.56960000000001</v>
      </c>
      <c r="H64" s="64">
        <f t="shared" si="1"/>
        <v>38.935066464065692</v>
      </c>
      <c r="I64" s="64">
        <f t="shared" si="2"/>
        <v>190.50466646406571</v>
      </c>
      <c r="J64" s="65">
        <f t="shared" si="3"/>
        <v>331.79562742491447</v>
      </c>
    </row>
    <row r="65" spans="1:10" x14ac:dyDescent="0.2">
      <c r="A65" s="12">
        <f t="shared" si="4"/>
        <v>62</v>
      </c>
      <c r="B65" s="66">
        <v>5</v>
      </c>
      <c r="C65" s="65">
        <f t="shared" si="0"/>
        <v>18.333333333333332</v>
      </c>
      <c r="D65" s="12">
        <v>55</v>
      </c>
      <c r="E65" s="67">
        <v>215</v>
      </c>
      <c r="F65" s="62"/>
      <c r="G65" s="64">
        <f>E65*VLOOKUP('Données entrée'!$B$2,Paramètres!$A$3:$O$49,8,0)*0.56</f>
        <v>156.52000000000001</v>
      </c>
      <c r="H65" s="64">
        <f t="shared" si="1"/>
        <v>40.056589961286939</v>
      </c>
      <c r="I65" s="64">
        <f t="shared" si="2"/>
        <v>196.57658996128694</v>
      </c>
      <c r="J65" s="65">
        <f t="shared" si="3"/>
        <v>342.37089418257477</v>
      </c>
    </row>
    <row r="66" spans="1:10" x14ac:dyDescent="0.2">
      <c r="A66" s="12">
        <f t="shared" si="4"/>
        <v>63</v>
      </c>
      <c r="B66" s="66">
        <v>5</v>
      </c>
      <c r="C66" s="65">
        <f t="shared" si="0"/>
        <v>18.333333333333332</v>
      </c>
      <c r="D66" s="12">
        <v>55</v>
      </c>
      <c r="E66" s="67">
        <v>190</v>
      </c>
      <c r="F66" s="62">
        <v>25</v>
      </c>
      <c r="G66" s="64">
        <f>E66*VLOOKUP('Données entrée'!$B$2,Paramètres!$A$3:$O$49,8,0)*0.56</f>
        <v>138.32000000000002</v>
      </c>
      <c r="H66" s="64">
        <f t="shared" si="1"/>
        <v>35.911871089056355</v>
      </c>
      <c r="I66" s="64">
        <f t="shared" si="2"/>
        <v>174.23187108905637</v>
      </c>
      <c r="J66" s="65">
        <f t="shared" si="3"/>
        <v>303.45384214677318</v>
      </c>
    </row>
    <row r="67" spans="1:10" x14ac:dyDescent="0.2">
      <c r="A67" s="12">
        <f t="shared" si="4"/>
        <v>64</v>
      </c>
      <c r="B67" s="66">
        <v>5</v>
      </c>
      <c r="C67" s="65">
        <f t="shared" si="0"/>
        <v>18.333333333333332</v>
      </c>
      <c r="D67" s="12">
        <v>56</v>
      </c>
      <c r="E67" s="67">
        <v>196</v>
      </c>
      <c r="F67" s="62"/>
      <c r="G67" s="64">
        <f>E67*VLOOKUP('Données entrée'!$B$2,Paramètres!$A$3:$O$49,8,0)*0.56</f>
        <v>142.68800000000002</v>
      </c>
      <c r="H67" s="64">
        <f t="shared" si="1"/>
        <v>36.912105315352186</v>
      </c>
      <c r="I67" s="64">
        <f t="shared" si="2"/>
        <v>179.60010531535221</v>
      </c>
      <c r="J67" s="65">
        <f t="shared" si="3"/>
        <v>312.80351675757174</v>
      </c>
    </row>
    <row r="68" spans="1:10" x14ac:dyDescent="0.2">
      <c r="A68" s="12">
        <f t="shared" si="4"/>
        <v>65</v>
      </c>
      <c r="B68" s="66">
        <v>5</v>
      </c>
      <c r="C68" s="65">
        <f t="shared" ref="C68:C93" si="5">B68*44/12</f>
        <v>18.333333333333332</v>
      </c>
      <c r="D68" s="12">
        <v>57</v>
      </c>
      <c r="E68" s="67">
        <v>202</v>
      </c>
      <c r="F68" s="62"/>
      <c r="G68" s="64">
        <f>E68*VLOOKUP('Données entrée'!$B$2,Paramètres!$A$3:$O$49,8,0)*0.56</f>
        <v>147.05600000000004</v>
      </c>
      <c r="H68" s="64">
        <f t="shared" ref="H68:H107" si="6">EXP(-1.0587+0.8836*LN(G68)+0.284)</f>
        <v>37.908781196921616</v>
      </c>
      <c r="I68" s="64">
        <f t="shared" ref="I68:I108" si="7">G68+H68</f>
        <v>184.96478119692165</v>
      </c>
      <c r="J68" s="65">
        <f t="shared" ref="J68:J108" si="8">I68*0.475*44/12</f>
        <v>322.14699391797183</v>
      </c>
    </row>
    <row r="69" spans="1:10" x14ac:dyDescent="0.2">
      <c r="A69" s="12">
        <f t="shared" ref="A69:A93" si="9">A68+1</f>
        <v>66</v>
      </c>
      <c r="B69" s="66">
        <v>5</v>
      </c>
      <c r="C69" s="65">
        <f t="shared" si="5"/>
        <v>18.333333333333332</v>
      </c>
      <c r="D69" s="12">
        <v>58</v>
      </c>
      <c r="E69" s="67">
        <v>208</v>
      </c>
      <c r="F69" s="62"/>
      <c r="G69" s="64">
        <f>E69*VLOOKUP('Données entrée'!$B$2,Paramètres!$A$3:$O$49,8,0)*0.56</f>
        <v>151.42400000000004</v>
      </c>
      <c r="H69" s="64">
        <f t="shared" si="6"/>
        <v>38.902016561268056</v>
      </c>
      <c r="I69" s="64">
        <f t="shared" si="7"/>
        <v>190.32601656126809</v>
      </c>
      <c r="J69" s="65">
        <f t="shared" si="8"/>
        <v>331.48447884420858</v>
      </c>
    </row>
    <row r="70" spans="1:10" x14ac:dyDescent="0.2">
      <c r="A70" s="12">
        <f t="shared" si="9"/>
        <v>67</v>
      </c>
      <c r="B70" s="66">
        <v>5</v>
      </c>
      <c r="C70" s="65">
        <f t="shared" si="5"/>
        <v>18.333333333333332</v>
      </c>
      <c r="D70" s="12">
        <v>59</v>
      </c>
      <c r="E70" s="67">
        <v>214</v>
      </c>
      <c r="F70" s="62"/>
      <c r="G70" s="64">
        <f>E70*VLOOKUP('Données entrée'!$B$2,Paramètres!$A$3:$O$49,8,0)*0.56</f>
        <v>155.792</v>
      </c>
      <c r="H70" s="64">
        <f t="shared" si="6"/>
        <v>39.891922051573381</v>
      </c>
      <c r="I70" s="64">
        <f t="shared" si="7"/>
        <v>195.68392205157338</v>
      </c>
      <c r="J70" s="65">
        <f t="shared" si="8"/>
        <v>340.81616423982365</v>
      </c>
    </row>
    <row r="71" spans="1:10" x14ac:dyDescent="0.2">
      <c r="A71" s="12">
        <f t="shared" si="9"/>
        <v>68</v>
      </c>
      <c r="B71" s="66">
        <v>5</v>
      </c>
      <c r="C71" s="65">
        <f t="shared" si="5"/>
        <v>18.333333333333332</v>
      </c>
      <c r="D71" s="12">
        <v>60</v>
      </c>
      <c r="E71" s="67">
        <v>220</v>
      </c>
      <c r="F71" s="62"/>
      <c r="G71" s="64">
        <f>E71*VLOOKUP('Données entrée'!$B$2,Paramètres!$A$3:$O$49,8,0)*0.56</f>
        <v>160.16000000000003</v>
      </c>
      <c r="H71" s="64">
        <f t="shared" si="6"/>
        <v>40.878601753742771</v>
      </c>
      <c r="I71" s="64">
        <f t="shared" si="7"/>
        <v>201.0386017537428</v>
      </c>
      <c r="J71" s="65">
        <f t="shared" si="8"/>
        <v>350.14223138776873</v>
      </c>
    </row>
    <row r="72" spans="1:10" x14ac:dyDescent="0.2">
      <c r="A72" s="12">
        <f t="shared" si="9"/>
        <v>69</v>
      </c>
      <c r="B72" s="66">
        <v>5</v>
      </c>
      <c r="C72" s="65">
        <f t="shared" si="5"/>
        <v>18.333333333333332</v>
      </c>
      <c r="D72" s="12">
        <v>60</v>
      </c>
      <c r="E72" s="67">
        <v>198</v>
      </c>
      <c r="F72" s="62">
        <v>22</v>
      </c>
      <c r="G72" s="64">
        <f>E72*VLOOKUP('Données entrée'!$B$2,Paramètres!$A$3:$O$49,8,0)*0.56</f>
        <v>144.14400000000003</v>
      </c>
      <c r="H72" s="64">
        <f t="shared" si="6"/>
        <v>37.244720006976252</v>
      </c>
      <c r="I72" s="64">
        <f t="shared" si="7"/>
        <v>181.38872000697629</v>
      </c>
      <c r="J72" s="65">
        <f t="shared" si="8"/>
        <v>315.9186873454837</v>
      </c>
    </row>
    <row r="73" spans="1:10" x14ac:dyDescent="0.2">
      <c r="A73" s="12">
        <f t="shared" si="9"/>
        <v>70</v>
      </c>
      <c r="B73" s="66">
        <v>5</v>
      </c>
      <c r="C73" s="65">
        <f t="shared" si="5"/>
        <v>18.333333333333332</v>
      </c>
      <c r="D73" s="12">
        <v>61</v>
      </c>
      <c r="E73" s="67">
        <v>203.2</v>
      </c>
      <c r="F73" s="62"/>
      <c r="G73" s="64">
        <f>E73*VLOOKUP('Données entrée'!$B$2,Paramètres!$A$3:$O$49,8,0)*0.56</f>
        <v>147.92959999999999</v>
      </c>
      <c r="H73" s="64">
        <f t="shared" si="6"/>
        <v>38.107699871330553</v>
      </c>
      <c r="I73" s="64">
        <f t="shared" si="7"/>
        <v>186.03729987133056</v>
      </c>
      <c r="J73" s="65">
        <f t="shared" si="8"/>
        <v>324.01496394256736</v>
      </c>
    </row>
    <row r="74" spans="1:10" x14ac:dyDescent="0.2">
      <c r="A74" s="12">
        <f t="shared" si="9"/>
        <v>71</v>
      </c>
      <c r="B74" s="66">
        <v>5</v>
      </c>
      <c r="C74" s="65">
        <f t="shared" si="5"/>
        <v>18.333333333333332</v>
      </c>
      <c r="D74" s="12">
        <v>62</v>
      </c>
      <c r="E74" s="67">
        <v>208.4</v>
      </c>
      <c r="F74" s="62"/>
      <c r="G74" s="64">
        <f>E74*VLOOKUP('Données entrée'!$B$2,Paramètres!$A$3:$O$49,8,0)*0.56</f>
        <v>151.71520000000001</v>
      </c>
      <c r="H74" s="64">
        <f t="shared" si="6"/>
        <v>38.968112671575867</v>
      </c>
      <c r="I74" s="64">
        <f t="shared" si="7"/>
        <v>190.68331267157589</v>
      </c>
      <c r="J74" s="65">
        <f t="shared" si="8"/>
        <v>332.10676956966137</v>
      </c>
    </row>
    <row r="75" spans="1:10" x14ac:dyDescent="0.2">
      <c r="A75" s="12">
        <f t="shared" si="9"/>
        <v>72</v>
      </c>
      <c r="B75" s="66">
        <v>5</v>
      </c>
      <c r="C75" s="65">
        <f t="shared" si="5"/>
        <v>18.333333333333332</v>
      </c>
      <c r="D75" s="12">
        <v>63</v>
      </c>
      <c r="E75" s="67">
        <v>213.6</v>
      </c>
      <c r="F75" s="62"/>
      <c r="G75" s="64">
        <f>E75*VLOOKUP('Données entrée'!$B$2,Paramètres!$A$3:$O$49,8,0)*0.56</f>
        <v>155.50080000000003</v>
      </c>
      <c r="H75" s="64">
        <f t="shared" si="6"/>
        <v>39.826029828200333</v>
      </c>
      <c r="I75" s="64">
        <f t="shared" si="7"/>
        <v>195.32682982820035</v>
      </c>
      <c r="J75" s="65">
        <f t="shared" si="8"/>
        <v>340.19422861744891</v>
      </c>
    </row>
    <row r="76" spans="1:10" x14ac:dyDescent="0.2">
      <c r="A76" s="12">
        <f t="shared" si="9"/>
        <v>73</v>
      </c>
      <c r="B76" s="66">
        <v>5</v>
      </c>
      <c r="C76" s="65">
        <f t="shared" si="5"/>
        <v>18.333333333333332</v>
      </c>
      <c r="D76" s="12">
        <v>64</v>
      </c>
      <c r="E76" s="67">
        <v>218.8</v>
      </c>
      <c r="F76" s="62"/>
      <c r="G76" s="64">
        <f>E76*VLOOKUP('Données entrée'!$B$2,Paramètres!$A$3:$O$49,8,0)*0.56</f>
        <v>159.28640000000001</v>
      </c>
      <c r="H76" s="64">
        <f t="shared" si="6"/>
        <v>40.681519086020323</v>
      </c>
      <c r="I76" s="64">
        <f t="shared" si="7"/>
        <v>199.96791908602034</v>
      </c>
      <c r="J76" s="65">
        <f t="shared" si="8"/>
        <v>348.27745907481875</v>
      </c>
    </row>
    <row r="77" spans="1:10" x14ac:dyDescent="0.2">
      <c r="A77" s="12">
        <f t="shared" si="9"/>
        <v>74</v>
      </c>
      <c r="B77" s="66">
        <v>5</v>
      </c>
      <c r="C77" s="65">
        <f t="shared" si="5"/>
        <v>18.333333333333332</v>
      </c>
      <c r="D77" s="12">
        <v>65</v>
      </c>
      <c r="E77" s="67">
        <v>224</v>
      </c>
      <c r="F77" s="62"/>
      <c r="G77" s="64">
        <f>E77*VLOOKUP('Données entrée'!$B$2,Paramètres!$A$3:$O$49,8,0)*0.56</f>
        <v>163.072</v>
      </c>
      <c r="H77" s="64">
        <f t="shared" si="6"/>
        <v>41.534644786143375</v>
      </c>
      <c r="I77" s="64">
        <f t="shared" si="7"/>
        <v>204.60664478614336</v>
      </c>
      <c r="J77" s="65">
        <f t="shared" si="8"/>
        <v>356.35657300253297</v>
      </c>
    </row>
    <row r="78" spans="1:10" x14ac:dyDescent="0.2">
      <c r="A78" s="12">
        <f t="shared" si="9"/>
        <v>75</v>
      </c>
      <c r="B78" s="66">
        <v>5</v>
      </c>
      <c r="C78" s="65">
        <f t="shared" si="5"/>
        <v>18.333333333333332</v>
      </c>
      <c r="D78" s="12">
        <v>65</v>
      </c>
      <c r="E78" s="67">
        <v>204</v>
      </c>
      <c r="F78" s="62">
        <v>20</v>
      </c>
      <c r="G78" s="64">
        <f>E78*VLOOKUP('Données entrée'!$B$2,Paramètres!$A$3:$O$49,8,0)*0.56</f>
        <v>148.512</v>
      </c>
      <c r="H78" s="64">
        <f t="shared" si="6"/>
        <v>38.240236326053513</v>
      </c>
      <c r="I78" s="64">
        <f t="shared" si="7"/>
        <v>186.75223632605352</v>
      </c>
      <c r="J78" s="65">
        <f t="shared" si="8"/>
        <v>325.26014493454323</v>
      </c>
    </row>
    <row r="79" spans="1:10" x14ac:dyDescent="0.2">
      <c r="A79" s="12">
        <f t="shared" si="9"/>
        <v>76</v>
      </c>
      <c r="B79" s="66">
        <v>5</v>
      </c>
      <c r="C79" s="65">
        <f t="shared" si="5"/>
        <v>18.333333333333332</v>
      </c>
      <c r="D79" s="12">
        <v>66</v>
      </c>
      <c r="E79" s="67">
        <v>208.6</v>
      </c>
      <c r="F79" s="62"/>
      <c r="G79" s="64">
        <f>E79*VLOOKUP('Données entrée'!$B$2,Paramètres!$A$3:$O$49,8,0)*0.56</f>
        <v>151.86080000000001</v>
      </c>
      <c r="H79" s="64">
        <f t="shared" si="6"/>
        <v>39.001155187757497</v>
      </c>
      <c r="I79" s="64">
        <f t="shared" si="7"/>
        <v>190.8619551877575</v>
      </c>
      <c r="J79" s="65">
        <f t="shared" si="8"/>
        <v>332.41790528534432</v>
      </c>
    </row>
    <row r="80" spans="1:10" x14ac:dyDescent="0.2">
      <c r="A80" s="12">
        <f t="shared" si="9"/>
        <v>77</v>
      </c>
      <c r="B80" s="66">
        <v>5</v>
      </c>
      <c r="C80" s="65">
        <f t="shared" si="5"/>
        <v>18.333333333333332</v>
      </c>
      <c r="D80" s="12">
        <v>67</v>
      </c>
      <c r="E80" s="67">
        <v>213.2</v>
      </c>
      <c r="F80" s="62"/>
      <c r="G80" s="64">
        <f>E80*VLOOKUP('Données entrée'!$B$2,Paramètres!$A$3:$O$49,8,0)*0.56</f>
        <v>155.20959999999999</v>
      </c>
      <c r="H80" s="64">
        <f t="shared" si="6"/>
        <v>39.7601232402289</v>
      </c>
      <c r="I80" s="64">
        <f t="shared" si="7"/>
        <v>194.96972324022889</v>
      </c>
      <c r="J80" s="65">
        <f t="shared" si="8"/>
        <v>339.57226797673195</v>
      </c>
    </row>
    <row r="81" spans="1:10" x14ac:dyDescent="0.2">
      <c r="A81" s="12">
        <f t="shared" si="9"/>
        <v>78</v>
      </c>
      <c r="B81" s="66">
        <v>5</v>
      </c>
      <c r="C81" s="65">
        <f t="shared" si="5"/>
        <v>18.333333333333332</v>
      </c>
      <c r="D81" s="12">
        <v>68</v>
      </c>
      <c r="E81" s="67">
        <v>217.8</v>
      </c>
      <c r="F81" s="62"/>
      <c r="G81" s="64">
        <f>E81*VLOOKUP('Données entrée'!$B$2,Paramètres!$A$3:$O$49,8,0)*0.56</f>
        <v>158.55840000000003</v>
      </c>
      <c r="H81" s="64">
        <f t="shared" si="6"/>
        <v>40.517187421846444</v>
      </c>
      <c r="I81" s="64">
        <f t="shared" si="7"/>
        <v>199.07558742184648</v>
      </c>
      <c r="J81" s="65">
        <f t="shared" si="8"/>
        <v>346.72331475971595</v>
      </c>
    </row>
    <row r="82" spans="1:10" x14ac:dyDescent="0.2">
      <c r="A82" s="12">
        <f t="shared" si="9"/>
        <v>79</v>
      </c>
      <c r="B82" s="66">
        <v>5</v>
      </c>
      <c r="C82" s="65">
        <f t="shared" si="5"/>
        <v>18.333333333333332</v>
      </c>
      <c r="D82" s="12">
        <v>69</v>
      </c>
      <c r="E82" s="67">
        <v>222.4</v>
      </c>
      <c r="F82" s="62"/>
      <c r="G82" s="64">
        <f>E82*VLOOKUP('Données entrée'!$B$2,Paramètres!$A$3:$O$49,8,0)*0.56</f>
        <v>161.90720000000002</v>
      </c>
      <c r="H82" s="64">
        <f t="shared" si="6"/>
        <v>41.272392574999586</v>
      </c>
      <c r="I82" s="64">
        <f t="shared" si="7"/>
        <v>203.17959257499962</v>
      </c>
      <c r="J82" s="65">
        <f t="shared" si="8"/>
        <v>353.87112373479096</v>
      </c>
    </row>
    <row r="83" spans="1:10" x14ac:dyDescent="0.2">
      <c r="A83" s="12">
        <f t="shared" si="9"/>
        <v>80</v>
      </c>
      <c r="B83" s="66">
        <v>5</v>
      </c>
      <c r="C83" s="65">
        <f t="shared" si="5"/>
        <v>18.333333333333332</v>
      </c>
      <c r="D83" s="12">
        <v>70</v>
      </c>
      <c r="E83" s="67">
        <v>227</v>
      </c>
      <c r="F83" s="62"/>
      <c r="G83" s="64">
        <f>E83*VLOOKUP('Données entrée'!$B$2,Paramètres!$A$3:$O$49,8,0)*0.56</f>
        <v>165.25600000000003</v>
      </c>
      <c r="H83" s="64">
        <f t="shared" si="6"/>
        <v>42.025781581067889</v>
      </c>
      <c r="I83" s="64">
        <f t="shared" si="7"/>
        <v>207.28178158106792</v>
      </c>
      <c r="J83" s="65">
        <f t="shared" si="8"/>
        <v>361.01576958702663</v>
      </c>
    </row>
    <row r="84" spans="1:10" x14ac:dyDescent="0.2">
      <c r="A84" s="12">
        <f t="shared" si="9"/>
        <v>81</v>
      </c>
      <c r="B84" s="66">
        <v>5</v>
      </c>
      <c r="C84" s="65">
        <f t="shared" si="5"/>
        <v>18.333333333333332</v>
      </c>
      <c r="D84" s="12">
        <v>70</v>
      </c>
      <c r="E84" s="67">
        <v>210</v>
      </c>
      <c r="F84" s="62">
        <v>17</v>
      </c>
      <c r="G84" s="64">
        <f>E84*VLOOKUP('Données entrée'!$B$2,Paramètres!$A$3:$O$49,8,0)*0.56</f>
        <v>152.88000000000002</v>
      </c>
      <c r="H84" s="64">
        <f t="shared" si="6"/>
        <v>39.232349774697852</v>
      </c>
      <c r="I84" s="64">
        <f t="shared" si="7"/>
        <v>192.11234977469786</v>
      </c>
      <c r="J84" s="65">
        <f t="shared" si="8"/>
        <v>334.59567585759874</v>
      </c>
    </row>
    <row r="85" spans="1:10" x14ac:dyDescent="0.2">
      <c r="A85" s="12">
        <f t="shared" si="9"/>
        <v>82</v>
      </c>
      <c r="B85" s="66">
        <v>5</v>
      </c>
      <c r="C85" s="65">
        <f t="shared" si="5"/>
        <v>18.333333333333332</v>
      </c>
      <c r="D85" s="12">
        <v>71</v>
      </c>
      <c r="E85" s="67">
        <v>214</v>
      </c>
      <c r="F85" s="62"/>
      <c r="G85" s="64">
        <f>E85*VLOOKUP('Données entrée'!$B$2,Paramètres!$A$3:$O$49,8,0)*0.56</f>
        <v>155.792</v>
      </c>
      <c r="H85" s="64">
        <f t="shared" si="6"/>
        <v>39.891922051573381</v>
      </c>
      <c r="I85" s="64">
        <f t="shared" si="7"/>
        <v>195.68392205157338</v>
      </c>
      <c r="J85" s="65">
        <f t="shared" si="8"/>
        <v>340.81616423982365</v>
      </c>
    </row>
    <row r="86" spans="1:10" x14ac:dyDescent="0.2">
      <c r="A86" s="12">
        <f t="shared" si="9"/>
        <v>83</v>
      </c>
      <c r="B86" s="66">
        <v>5</v>
      </c>
      <c r="C86" s="65">
        <f t="shared" si="5"/>
        <v>18.333333333333332</v>
      </c>
      <c r="D86" s="12">
        <v>72</v>
      </c>
      <c r="E86" s="67">
        <v>218</v>
      </c>
      <c r="F86" s="62"/>
      <c r="G86" s="64">
        <f>E86*VLOOKUP('Données entrée'!$B$2,Paramètres!$A$3:$O$49,8,0)*0.56</f>
        <v>158.70400000000004</v>
      </c>
      <c r="H86" s="64">
        <f t="shared" si="6"/>
        <v>40.550060768153607</v>
      </c>
      <c r="I86" s="64">
        <f t="shared" si="7"/>
        <v>199.25406076815364</v>
      </c>
      <c r="J86" s="65">
        <f t="shared" si="8"/>
        <v>347.03415583786756</v>
      </c>
    </row>
    <row r="87" spans="1:10" x14ac:dyDescent="0.2">
      <c r="A87" s="12">
        <f t="shared" si="9"/>
        <v>84</v>
      </c>
      <c r="B87" s="66">
        <v>5</v>
      </c>
      <c r="C87" s="65">
        <f t="shared" si="5"/>
        <v>18.333333333333332</v>
      </c>
      <c r="D87" s="12">
        <v>73</v>
      </c>
      <c r="E87" s="67">
        <v>222</v>
      </c>
      <c r="F87" s="62"/>
      <c r="G87" s="64">
        <f>E87*VLOOKUP('Données entrée'!$B$2,Paramètres!$A$3:$O$49,8,0)*0.56</f>
        <v>161.61600000000004</v>
      </c>
      <c r="H87" s="64">
        <f t="shared" si="6"/>
        <v>41.20679526204917</v>
      </c>
      <c r="I87" s="64">
        <f t="shared" si="7"/>
        <v>202.82279526204923</v>
      </c>
      <c r="J87" s="65">
        <f t="shared" si="8"/>
        <v>353.24970174806907</v>
      </c>
    </row>
    <row r="88" spans="1:10" x14ac:dyDescent="0.2">
      <c r="A88" s="12">
        <f t="shared" si="9"/>
        <v>85</v>
      </c>
      <c r="B88" s="66">
        <v>5</v>
      </c>
      <c r="C88" s="65">
        <f t="shared" si="5"/>
        <v>18.333333333333332</v>
      </c>
      <c r="D88" s="12">
        <v>74</v>
      </c>
      <c r="E88" s="67">
        <v>226</v>
      </c>
      <c r="F88" s="62"/>
      <c r="G88" s="64">
        <f>E88*VLOOKUP('Données entrée'!$B$2,Paramètres!$A$3:$O$49,8,0)*0.56</f>
        <v>164.52800000000002</v>
      </c>
      <c r="H88" s="64">
        <f t="shared" si="6"/>
        <v>41.862153753121255</v>
      </c>
      <c r="I88" s="64">
        <f t="shared" si="7"/>
        <v>206.39015375312127</v>
      </c>
      <c r="J88" s="65">
        <f t="shared" si="8"/>
        <v>359.46285112001948</v>
      </c>
    </row>
    <row r="89" spans="1:10" x14ac:dyDescent="0.2">
      <c r="A89" s="12">
        <f t="shared" si="9"/>
        <v>86</v>
      </c>
      <c r="B89" s="66">
        <v>5</v>
      </c>
      <c r="C89" s="65">
        <f t="shared" si="5"/>
        <v>18.333333333333332</v>
      </c>
      <c r="D89" s="12">
        <v>75</v>
      </c>
      <c r="E89" s="67">
        <v>230</v>
      </c>
      <c r="F89" s="62"/>
      <c r="G89" s="64">
        <f>E89*VLOOKUP('Données entrée'!$B$2,Paramètres!$A$3:$O$49,8,0)*0.56</f>
        <v>167.44000000000003</v>
      </c>
      <c r="H89" s="64">
        <f t="shared" si="6"/>
        <v>42.516163405082935</v>
      </c>
      <c r="I89" s="64">
        <f t="shared" si="7"/>
        <v>209.95616340508298</v>
      </c>
      <c r="J89" s="65">
        <f t="shared" si="8"/>
        <v>365.67365126385283</v>
      </c>
    </row>
    <row r="90" spans="1:10" x14ac:dyDescent="0.2">
      <c r="A90" s="12">
        <f t="shared" si="9"/>
        <v>87</v>
      </c>
      <c r="B90" s="66">
        <v>5</v>
      </c>
      <c r="C90" s="65">
        <f t="shared" si="5"/>
        <v>18.333333333333332</v>
      </c>
      <c r="D90" s="12">
        <v>75</v>
      </c>
      <c r="E90" s="67">
        <v>215</v>
      </c>
      <c r="F90" s="62">
        <v>15</v>
      </c>
      <c r="G90" s="64">
        <f>E90*VLOOKUP('Données entrée'!$B$2,Paramètres!$A$3:$O$49,8,0)*0.56</f>
        <v>156.52000000000001</v>
      </c>
      <c r="H90" s="64">
        <f t="shared" si="6"/>
        <v>40.056589961286939</v>
      </c>
      <c r="I90" s="64">
        <f t="shared" si="7"/>
        <v>196.57658996128694</v>
      </c>
      <c r="J90" s="65">
        <f t="shared" si="8"/>
        <v>342.37089418257477</v>
      </c>
    </row>
    <row r="91" spans="1:10" x14ac:dyDescent="0.2">
      <c r="A91" s="12">
        <f t="shared" si="9"/>
        <v>88</v>
      </c>
      <c r="B91" s="66">
        <v>5</v>
      </c>
      <c r="C91" s="65">
        <f t="shared" si="5"/>
        <v>18.333333333333332</v>
      </c>
      <c r="D91" s="12">
        <v>76</v>
      </c>
      <c r="E91" s="67">
        <v>218.4</v>
      </c>
      <c r="F91" s="62"/>
      <c r="G91" s="64">
        <f>E91*VLOOKUP('Données entrée'!$B$2,Paramètres!$A$3:$O$49,8,0)*0.56</f>
        <v>158.99520000000001</v>
      </c>
      <c r="H91" s="64">
        <f t="shared" si="6"/>
        <v>40.615796933386044</v>
      </c>
      <c r="I91" s="64">
        <f t="shared" si="7"/>
        <v>199.61099693338605</v>
      </c>
      <c r="J91" s="65">
        <f t="shared" si="8"/>
        <v>347.65581965898065</v>
      </c>
    </row>
    <row r="92" spans="1:10" x14ac:dyDescent="0.2">
      <c r="A92" s="12">
        <f t="shared" si="9"/>
        <v>89</v>
      </c>
      <c r="B92" s="66">
        <v>5</v>
      </c>
      <c r="C92" s="65">
        <f t="shared" si="5"/>
        <v>18.333333333333332</v>
      </c>
      <c r="D92" s="12">
        <v>77</v>
      </c>
      <c r="E92" s="67">
        <v>221.8</v>
      </c>
      <c r="F92" s="62"/>
      <c r="G92" s="64">
        <f>E92*VLOOKUP('Données entrée'!$B$2,Paramètres!$A$3:$O$49,8,0)*0.56</f>
        <v>161.47040000000004</v>
      </c>
      <c r="H92" s="64">
        <f t="shared" si="6"/>
        <v>41.173991447620573</v>
      </c>
      <c r="I92" s="64">
        <f t="shared" si="7"/>
        <v>202.64439144762062</v>
      </c>
      <c r="J92" s="65">
        <f t="shared" si="8"/>
        <v>352.93898177127249</v>
      </c>
    </row>
    <row r="93" spans="1:10" x14ac:dyDescent="0.2">
      <c r="A93" s="12">
        <f t="shared" si="9"/>
        <v>90</v>
      </c>
      <c r="B93" s="66">
        <v>5</v>
      </c>
      <c r="C93" s="65">
        <f t="shared" si="5"/>
        <v>18.333333333333332</v>
      </c>
      <c r="D93" s="12">
        <v>78</v>
      </c>
      <c r="E93" s="67">
        <v>225.2</v>
      </c>
      <c r="F93" s="62"/>
      <c r="G93" s="64">
        <f>E93*VLOOKUP('Données entrée'!$B$2,Paramètres!$A$3:$O$49,8,0)*0.56</f>
        <v>163.94560000000001</v>
      </c>
      <c r="H93" s="64">
        <f t="shared" si="6"/>
        <v>41.731190816539531</v>
      </c>
      <c r="I93" s="64">
        <f t="shared" si="7"/>
        <v>205.67679081653955</v>
      </c>
      <c r="J93" s="65">
        <f t="shared" si="8"/>
        <v>358.22041067213968</v>
      </c>
    </row>
    <row r="94" spans="1:10" x14ac:dyDescent="0.2">
      <c r="A94" s="12"/>
      <c r="B94" s="66"/>
      <c r="C94" s="70"/>
      <c r="D94" s="12">
        <v>79</v>
      </c>
      <c r="E94" s="67">
        <v>228.6</v>
      </c>
      <c r="F94" s="62"/>
      <c r="G94" s="64">
        <f>E94*VLOOKUP('Données entrée'!$B$2,Paramètres!$A$3:$O$49,8,0)*0.56</f>
        <v>166.42080000000001</v>
      </c>
      <c r="H94" s="64">
        <f t="shared" si="6"/>
        <v>42.287411799931427</v>
      </c>
      <c r="I94" s="64">
        <f t="shared" si="7"/>
        <v>208.70821179993143</v>
      </c>
      <c r="J94" s="65">
        <f t="shared" si="8"/>
        <v>363.5001355515472</v>
      </c>
    </row>
    <row r="95" spans="1:10" x14ac:dyDescent="0.2">
      <c r="A95" s="12"/>
      <c r="B95" s="66"/>
      <c r="C95" s="70"/>
      <c r="D95" s="12">
        <v>80</v>
      </c>
      <c r="E95" s="67">
        <v>232</v>
      </c>
      <c r="F95" s="62"/>
      <c r="G95" s="64">
        <f>E95*VLOOKUP('Données entrée'!$B$2,Paramètres!$A$3:$O$49,8,0)*0.56</f>
        <v>168.89600000000002</v>
      </c>
      <c r="H95" s="64">
        <f t="shared" si="6"/>
        <v>42.842670630426674</v>
      </c>
      <c r="I95" s="64">
        <f t="shared" si="7"/>
        <v>211.7386706304267</v>
      </c>
      <c r="J95" s="65">
        <f t="shared" si="8"/>
        <v>368.77818468132654</v>
      </c>
    </row>
    <row r="96" spans="1:10" x14ac:dyDescent="0.2">
      <c r="A96" s="12"/>
      <c r="B96" s="66"/>
      <c r="C96" s="70"/>
      <c r="D96" s="12">
        <v>80</v>
      </c>
      <c r="E96" s="67">
        <v>219</v>
      </c>
      <c r="F96" s="62">
        <v>13</v>
      </c>
      <c r="G96" s="64">
        <f>E96*VLOOKUP('Données entrée'!$B$2,Paramètres!$A$3:$O$49,8,0)*0.56</f>
        <v>159.43200000000002</v>
      </c>
      <c r="H96" s="64">
        <f t="shared" si="6"/>
        <v>40.714374916553723</v>
      </c>
      <c r="I96" s="64">
        <f t="shared" si="7"/>
        <v>200.14637491655373</v>
      </c>
      <c r="J96" s="65">
        <f t="shared" si="8"/>
        <v>348.58826964633107</v>
      </c>
    </row>
    <row r="97" spans="1:10" x14ac:dyDescent="0.2">
      <c r="A97" s="12"/>
      <c r="B97" s="66"/>
      <c r="C97" s="70"/>
      <c r="D97" s="12">
        <v>81</v>
      </c>
      <c r="E97" s="67">
        <v>222</v>
      </c>
      <c r="F97" s="62"/>
      <c r="G97" s="64">
        <f>E97*VLOOKUP('Données entrée'!$B$2,Paramètres!$A$3:$O$49,8,0)*0.56</f>
        <v>161.61600000000004</v>
      </c>
      <c r="H97" s="64">
        <f t="shared" si="6"/>
        <v>41.20679526204917</v>
      </c>
      <c r="I97" s="64">
        <f t="shared" si="7"/>
        <v>202.82279526204923</v>
      </c>
      <c r="J97" s="65">
        <f t="shared" si="8"/>
        <v>353.24970174806907</v>
      </c>
    </row>
    <row r="98" spans="1:10" x14ac:dyDescent="0.2">
      <c r="A98" s="12"/>
      <c r="B98" s="66"/>
      <c r="C98" s="70"/>
      <c r="D98" s="12">
        <v>82</v>
      </c>
      <c r="E98" s="67">
        <v>225</v>
      </c>
      <c r="F98" s="62"/>
      <c r="G98" s="64">
        <f>E98*VLOOKUP('Données entrée'!$B$2,Paramètres!$A$3:$O$49,8,0)*0.56</f>
        <v>163.80000000000001</v>
      </c>
      <c r="H98" s="64">
        <f t="shared" si="6"/>
        <v>41.698441627605334</v>
      </c>
      <c r="I98" s="64">
        <f t="shared" si="7"/>
        <v>205.49844162760536</v>
      </c>
      <c r="J98" s="65">
        <f t="shared" si="8"/>
        <v>357.90978583474595</v>
      </c>
    </row>
    <row r="99" spans="1:10" x14ac:dyDescent="0.2">
      <c r="A99" s="12"/>
      <c r="B99" s="66"/>
      <c r="C99" s="70"/>
      <c r="D99" s="12">
        <v>83</v>
      </c>
      <c r="E99" s="67">
        <v>228</v>
      </c>
      <c r="F99" s="62"/>
      <c r="G99" s="64">
        <f>E99*VLOOKUP('Données entrée'!$B$2,Paramètres!$A$3:$O$49,8,0)*0.56</f>
        <v>165.98400000000004</v>
      </c>
      <c r="H99" s="64">
        <f t="shared" si="6"/>
        <v>42.189325525922285</v>
      </c>
      <c r="I99" s="64">
        <f t="shared" si="7"/>
        <v>208.17332552592234</v>
      </c>
      <c r="J99" s="65">
        <f t="shared" si="8"/>
        <v>362.56854195764805</v>
      </c>
    </row>
    <row r="100" spans="1:10" x14ac:dyDescent="0.2">
      <c r="A100" s="12"/>
      <c r="B100" s="66"/>
      <c r="D100" s="12">
        <v>84</v>
      </c>
      <c r="E100" s="67">
        <v>231</v>
      </c>
      <c r="F100" s="62"/>
      <c r="G100" s="64">
        <f>E100*VLOOKUP('Données entrée'!$B$2,Paramètres!$A$3:$O$49,8,0)*0.56</f>
        <v>168.16800000000003</v>
      </c>
      <c r="H100" s="64">
        <f t="shared" si="6"/>
        <v>42.679458149319565</v>
      </c>
      <c r="I100" s="64">
        <f t="shared" si="7"/>
        <v>210.84745814931961</v>
      </c>
      <c r="J100" s="65">
        <f t="shared" si="8"/>
        <v>367.22598961006497</v>
      </c>
    </row>
    <row r="101" spans="1:10" x14ac:dyDescent="0.2">
      <c r="A101" s="12"/>
      <c r="B101" s="66"/>
      <c r="D101" s="12">
        <v>85</v>
      </c>
      <c r="E101" s="67">
        <v>234</v>
      </c>
      <c r="F101" s="62"/>
      <c r="G101" s="64">
        <f>E101*VLOOKUP('Données entrée'!$B$2,Paramètres!$A$3:$O$49,8,0)*0.56</f>
        <v>170.352</v>
      </c>
      <c r="H101" s="64">
        <f t="shared" si="6"/>
        <v>43.168850382694451</v>
      </c>
      <c r="I101" s="64">
        <f t="shared" si="7"/>
        <v>213.52085038269445</v>
      </c>
      <c r="J101" s="65">
        <f t="shared" si="8"/>
        <v>371.88214774985948</v>
      </c>
    </row>
    <row r="102" spans="1:10" x14ac:dyDescent="0.2">
      <c r="A102" s="12"/>
      <c r="B102" s="66"/>
      <c r="D102" s="12">
        <v>85</v>
      </c>
      <c r="E102" s="67">
        <v>222</v>
      </c>
      <c r="F102" s="62">
        <v>12</v>
      </c>
      <c r="G102" s="64">
        <f>E102*VLOOKUP('Données entrée'!$B$2,Paramètres!$A$3:$O$49,8,0)*0.56</f>
        <v>161.61600000000004</v>
      </c>
      <c r="H102" s="64">
        <f t="shared" si="6"/>
        <v>41.20679526204917</v>
      </c>
      <c r="I102" s="64">
        <f t="shared" si="7"/>
        <v>202.82279526204923</v>
      </c>
      <c r="J102" s="65">
        <f t="shared" si="8"/>
        <v>353.24970174806907</v>
      </c>
    </row>
    <row r="103" spans="1:10" x14ac:dyDescent="0.2">
      <c r="A103" s="12"/>
      <c r="B103" s="66"/>
      <c r="D103" s="12">
        <v>86</v>
      </c>
      <c r="E103" s="67">
        <v>224.8</v>
      </c>
      <c r="F103" s="62"/>
      <c r="G103" s="64">
        <f>E103*VLOOKUP('Données entrée'!$B$2,Paramètres!$A$3:$O$49,8,0)*0.56</f>
        <v>163.65440000000001</v>
      </c>
      <c r="H103" s="64">
        <f t="shared" si="6"/>
        <v>41.66568905004592</v>
      </c>
      <c r="I103" s="64">
        <f t="shared" si="7"/>
        <v>205.32008905004594</v>
      </c>
      <c r="J103" s="65">
        <f t="shared" si="8"/>
        <v>357.59915509549666</v>
      </c>
    </row>
    <row r="104" spans="1:10" x14ac:dyDescent="0.2">
      <c r="A104" s="12"/>
      <c r="B104" s="66"/>
      <c r="D104" s="12">
        <v>87</v>
      </c>
      <c r="E104" s="67">
        <v>227.6</v>
      </c>
      <c r="F104" s="62"/>
      <c r="G104" s="64">
        <f>E104*VLOOKUP('Données entrée'!$B$2,Paramètres!$A$3:$O$49,8,0)*0.56</f>
        <v>165.69280000000001</v>
      </c>
      <c r="H104" s="64">
        <f t="shared" si="6"/>
        <v>42.123917987585678</v>
      </c>
      <c r="I104" s="64">
        <f t="shared" si="7"/>
        <v>207.81671798758569</v>
      </c>
      <c r="J104" s="65">
        <f t="shared" si="8"/>
        <v>361.94745049504508</v>
      </c>
    </row>
    <row r="105" spans="1:10" x14ac:dyDescent="0.2">
      <c r="A105" s="12"/>
      <c r="B105" s="66"/>
      <c r="D105" s="12">
        <v>88</v>
      </c>
      <c r="E105" s="67">
        <v>230.4</v>
      </c>
      <c r="F105" s="62"/>
      <c r="G105" s="64">
        <f>E105*VLOOKUP('Données entrée'!$B$2,Paramètres!$A$3:$O$49,8,0)*0.56</f>
        <v>167.73120000000003</v>
      </c>
      <c r="H105" s="64">
        <f t="shared" si="6"/>
        <v>42.581491199832655</v>
      </c>
      <c r="I105" s="64">
        <f t="shared" si="7"/>
        <v>210.31269119983267</v>
      </c>
      <c r="J105" s="65">
        <f t="shared" si="8"/>
        <v>366.29460383970854</v>
      </c>
    </row>
    <row r="106" spans="1:10" x14ac:dyDescent="0.2">
      <c r="A106" s="12"/>
      <c r="B106" s="66"/>
      <c r="D106" s="12">
        <v>89</v>
      </c>
      <c r="E106" s="67">
        <v>233.2</v>
      </c>
      <c r="F106" s="62"/>
      <c r="G106" s="64">
        <f>E106*VLOOKUP('Données entrée'!$B$2,Paramètres!$A$3:$O$49,8,0)*0.56</f>
        <v>169.7696</v>
      </c>
      <c r="H106" s="64">
        <f t="shared" si="6"/>
        <v>43.038417577399358</v>
      </c>
      <c r="I106" s="64">
        <f t="shared" si="7"/>
        <v>212.80801757739937</v>
      </c>
      <c r="J106" s="65">
        <f t="shared" si="8"/>
        <v>370.64063061397059</v>
      </c>
    </row>
    <row r="107" spans="1:10" x14ac:dyDescent="0.2">
      <c r="A107" s="12"/>
      <c r="B107" s="66"/>
      <c r="D107" s="12">
        <v>90</v>
      </c>
      <c r="E107" s="67">
        <v>236</v>
      </c>
      <c r="F107" s="62"/>
      <c r="G107" s="64">
        <f>E107*VLOOKUP('Données entrée'!$B$2,Paramètres!$A$3:$O$49,8,0)*0.56</f>
        <v>171.80800000000002</v>
      </c>
      <c r="H107" s="64">
        <f t="shared" si="6"/>
        <v>43.494705785117759</v>
      </c>
      <c r="I107" s="64">
        <f t="shared" si="7"/>
        <v>215.30270578511778</v>
      </c>
      <c r="J107" s="65">
        <f t="shared" si="8"/>
        <v>374.98554590908014</v>
      </c>
    </row>
    <row r="108" spans="1:10" x14ac:dyDescent="0.2">
      <c r="A108" s="12"/>
      <c r="B108" s="66"/>
      <c r="D108" s="71">
        <v>90</v>
      </c>
      <c r="E108" s="67">
        <v>0</v>
      </c>
      <c r="F108" s="62">
        <v>236</v>
      </c>
      <c r="G108" s="64">
        <f>E108*VLOOKUP('Données entrée'!$B$2,Paramètres!$A$3:$O$49,8,0)*0.56</f>
        <v>0</v>
      </c>
      <c r="H108" s="64">
        <v>0</v>
      </c>
      <c r="I108" s="64">
        <f t="shared" si="7"/>
        <v>0</v>
      </c>
      <c r="J108" s="65">
        <f t="shared" si="8"/>
        <v>0</v>
      </c>
    </row>
    <row r="109" spans="1:10" x14ac:dyDescent="0.2">
      <c r="A109" s="12"/>
      <c r="B109" s="66"/>
      <c r="D109" s="71"/>
      <c r="E109" s="67"/>
      <c r="F109" s="67"/>
      <c r="G109" s="67"/>
      <c r="H109" s="67"/>
      <c r="I109" s="67"/>
      <c r="J109" s="65"/>
    </row>
    <row r="110" spans="1:10" x14ac:dyDescent="0.2">
      <c r="A110" s="12"/>
      <c r="B110" s="66"/>
      <c r="D110" s="71"/>
      <c r="E110" s="67"/>
      <c r="F110" s="67"/>
      <c r="G110" s="67"/>
      <c r="H110" s="67"/>
      <c r="I110" s="67"/>
      <c r="J110" s="65"/>
    </row>
    <row r="111" spans="1:10" x14ac:dyDescent="0.2">
      <c r="A111" s="12"/>
      <c r="B111" s="66"/>
      <c r="D111" s="71"/>
      <c r="E111" s="67"/>
      <c r="F111" s="67"/>
      <c r="G111" s="67"/>
      <c r="H111" s="67"/>
      <c r="I111" s="67"/>
      <c r="J111" s="65"/>
    </row>
    <row r="112" spans="1:10" x14ac:dyDescent="0.2">
      <c r="A112" s="12"/>
      <c r="B112" s="66"/>
      <c r="D112" s="71"/>
      <c r="E112" s="67"/>
      <c r="F112" s="67"/>
      <c r="G112" s="67"/>
      <c r="H112" s="67"/>
      <c r="I112" s="67"/>
      <c r="J112" s="65"/>
    </row>
    <row r="113" spans="1:10" x14ac:dyDescent="0.2">
      <c r="A113" s="12"/>
      <c r="B113" s="66"/>
      <c r="D113" s="71"/>
      <c r="E113" s="67"/>
      <c r="F113" s="67"/>
      <c r="G113" s="67"/>
      <c r="H113" s="67"/>
      <c r="I113" s="67"/>
      <c r="J113" s="65"/>
    </row>
    <row r="114" spans="1:10" x14ac:dyDescent="0.2">
      <c r="A114" s="12"/>
      <c r="B114" s="66"/>
      <c r="D114" s="71"/>
      <c r="E114" s="67"/>
      <c r="F114" s="67"/>
      <c r="G114" s="67"/>
      <c r="H114" s="67"/>
      <c r="I114" s="67"/>
      <c r="J114" s="65"/>
    </row>
    <row r="115" spans="1:10" x14ac:dyDescent="0.2">
      <c r="A115" s="12"/>
    </row>
    <row r="116" spans="1:10" x14ac:dyDescent="0.2">
      <c r="A116" s="12"/>
    </row>
    <row r="117" spans="1:10" x14ac:dyDescent="0.2">
      <c r="A117" s="12"/>
    </row>
    <row r="118" spans="1:10" x14ac:dyDescent="0.2">
      <c r="A118" s="12"/>
    </row>
    <row r="119" spans="1:10" x14ac:dyDescent="0.2">
      <c r="A119" s="12"/>
    </row>
    <row r="120" spans="1:10" x14ac:dyDescent="0.2">
      <c r="A120" s="12"/>
    </row>
  </sheetData>
  <mergeCells count="2">
    <mergeCell ref="B1:C1"/>
    <mergeCell ref="D1:J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K58"/>
  <sheetViews>
    <sheetView workbookViewId="0">
      <selection activeCell="I23" sqref="I23"/>
    </sheetView>
  </sheetViews>
  <sheetFormatPr baseColWidth="10" defaultRowHeight="12.75" x14ac:dyDescent="0.2"/>
  <cols>
    <col min="1" max="1" width="21.42578125" customWidth="1"/>
    <col min="2" max="2" width="17.7109375" customWidth="1"/>
    <col min="7" max="7" width="15.5703125" customWidth="1"/>
    <col min="8" max="10" width="13.7109375" customWidth="1"/>
    <col min="11" max="11" width="17.7109375" bestFit="1" customWidth="1"/>
    <col min="12" max="12" width="17.140625" customWidth="1"/>
    <col min="19" max="19" width="12.5703125" customWidth="1"/>
  </cols>
  <sheetData>
    <row r="1" spans="1:37" x14ac:dyDescent="0.2">
      <c r="A1" s="124" t="s">
        <v>77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O1" s="13" t="s">
        <v>78</v>
      </c>
      <c r="P1" s="14"/>
    </row>
    <row r="2" spans="1:37" ht="22.5" customHeight="1" x14ac:dyDescent="0.2">
      <c r="A2" s="13" t="s">
        <v>79</v>
      </c>
      <c r="B2" s="14"/>
      <c r="O2" s="1" t="s">
        <v>71</v>
      </c>
      <c r="P2" s="2" t="s">
        <v>7</v>
      </c>
      <c r="Q2" s="2" t="s">
        <v>8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17</v>
      </c>
      <c r="AK2" s="2" t="s">
        <v>18</v>
      </c>
    </row>
    <row r="3" spans="1:37" ht="40.5" customHeight="1" x14ac:dyDescent="0.2">
      <c r="A3" s="15" t="s">
        <v>75</v>
      </c>
      <c r="B3" s="15" t="s">
        <v>80</v>
      </c>
      <c r="C3" s="16" t="s">
        <v>3</v>
      </c>
      <c r="D3" s="16" t="s">
        <v>4</v>
      </c>
      <c r="E3" s="16" t="s">
        <v>5</v>
      </c>
      <c r="F3" s="16" t="s">
        <v>6</v>
      </c>
      <c r="G3" s="15" t="s">
        <v>112</v>
      </c>
      <c r="H3" s="15" t="s">
        <v>42</v>
      </c>
      <c r="I3" s="15" t="s">
        <v>115</v>
      </c>
      <c r="J3" s="15" t="s">
        <v>81</v>
      </c>
      <c r="K3" s="16" t="s">
        <v>82</v>
      </c>
      <c r="L3" s="15" t="s">
        <v>41</v>
      </c>
      <c r="O3" s="3" t="s">
        <v>20</v>
      </c>
      <c r="P3" s="4">
        <v>0.4</v>
      </c>
      <c r="Q3" s="4">
        <v>0.52</v>
      </c>
      <c r="R3" s="4">
        <v>0.45</v>
      </c>
      <c r="S3" s="4">
        <v>0.51</v>
      </c>
      <c r="T3" s="4">
        <v>0.63</v>
      </c>
      <c r="U3" s="4">
        <v>0.48</v>
      </c>
      <c r="V3" s="4">
        <v>0.57999999999999996</v>
      </c>
      <c r="W3" s="4">
        <v>0.56999999999999995</v>
      </c>
      <c r="X3" s="4">
        <v>0.53</v>
      </c>
      <c r="Y3" s="4">
        <v>0.46</v>
      </c>
      <c r="Z3" s="4">
        <v>0.4</v>
      </c>
      <c r="AA3" s="4">
        <v>0.44</v>
      </c>
      <c r="AB3" s="4">
        <v>0.32</v>
      </c>
      <c r="AC3" s="4">
        <v>0.42</v>
      </c>
      <c r="AD3" s="4">
        <v>0.35</v>
      </c>
      <c r="AE3" s="4">
        <v>0.49</v>
      </c>
      <c r="AF3" s="4">
        <v>0.45</v>
      </c>
      <c r="AG3" s="4">
        <v>0.57999999999999996</v>
      </c>
      <c r="AH3" s="4">
        <v>0.45</v>
      </c>
      <c r="AI3" s="4">
        <v>0.43</v>
      </c>
      <c r="AJ3" s="4">
        <f>0.546</f>
        <v>0.54600000000000004</v>
      </c>
      <c r="AK3" s="17">
        <v>0.438</v>
      </c>
    </row>
    <row r="4" spans="1:37" x14ac:dyDescent="0.2">
      <c r="A4" s="18" t="s">
        <v>19</v>
      </c>
      <c r="B4" s="18" t="s">
        <v>19</v>
      </c>
      <c r="C4" s="19">
        <v>0.47099999999999997</v>
      </c>
      <c r="D4" s="19">
        <v>-3.4499999999999998E-4</v>
      </c>
      <c r="E4" s="19">
        <v>0.377</v>
      </c>
      <c r="F4" s="19">
        <v>0</v>
      </c>
      <c r="G4" s="20" t="s">
        <v>113</v>
      </c>
      <c r="H4" s="20">
        <f t="shared" ref="H4:H49" si="0">VLOOKUP($G4,$P$11:$Q$12,2,0)</f>
        <v>1.28</v>
      </c>
      <c r="I4" s="20">
        <f t="shared" ref="I4:I49" si="1">VLOOKUP($G4,$P$13:$Q$14,2,0)</f>
        <v>1.611</v>
      </c>
      <c r="J4" s="20" t="s">
        <v>28</v>
      </c>
      <c r="K4" s="6">
        <f t="shared" ref="K4:K34" si="2">HLOOKUP(J4,$O$2:$AK$3,2,0)</f>
        <v>0.57999999999999996</v>
      </c>
      <c r="L4" s="9"/>
      <c r="N4" s="21"/>
    </row>
    <row r="5" spans="1:37" ht="13.5" customHeight="1" x14ac:dyDescent="0.2">
      <c r="A5" s="18" t="s">
        <v>1</v>
      </c>
      <c r="B5" s="18" t="s">
        <v>1</v>
      </c>
      <c r="C5" s="19">
        <v>0.53400000000000003</v>
      </c>
      <c r="D5" s="19">
        <v>5.2999999999999998E-4</v>
      </c>
      <c r="E5" s="19">
        <v>0</v>
      </c>
      <c r="F5" s="19">
        <v>56.6</v>
      </c>
      <c r="G5" s="22" t="s">
        <v>114</v>
      </c>
      <c r="H5" s="20">
        <f t="shared" si="0"/>
        <v>1.3</v>
      </c>
      <c r="I5" s="20">
        <f t="shared" si="1"/>
        <v>1.335</v>
      </c>
      <c r="J5" s="22" t="s">
        <v>27</v>
      </c>
      <c r="K5" s="6">
        <f t="shared" si="2"/>
        <v>0.45</v>
      </c>
      <c r="L5" s="9"/>
      <c r="N5" s="23"/>
    </row>
    <row r="6" spans="1:37" x14ac:dyDescent="0.2">
      <c r="A6" s="24" t="s">
        <v>83</v>
      </c>
      <c r="B6" s="24" t="s">
        <v>83</v>
      </c>
      <c r="C6" s="19">
        <v>0.63100000000000001</v>
      </c>
      <c r="D6" s="19">
        <v>-9.4600000000000001E-4</v>
      </c>
      <c r="E6" s="19">
        <v>0</v>
      </c>
      <c r="F6" s="19">
        <v>0</v>
      </c>
      <c r="G6" s="22" t="s">
        <v>114</v>
      </c>
      <c r="H6" s="20">
        <f t="shared" si="0"/>
        <v>1.3</v>
      </c>
      <c r="I6" s="20">
        <f t="shared" si="1"/>
        <v>1.335</v>
      </c>
      <c r="J6" s="20" t="s">
        <v>84</v>
      </c>
      <c r="K6" s="6">
        <f t="shared" si="2"/>
        <v>0.4</v>
      </c>
      <c r="L6" s="9">
        <v>1.05</v>
      </c>
      <c r="N6" s="11"/>
    </row>
    <row r="7" spans="1:37" x14ac:dyDescent="0.2">
      <c r="A7" s="18" t="s">
        <v>2</v>
      </c>
      <c r="B7" s="18" t="s">
        <v>2</v>
      </c>
      <c r="C7" s="19">
        <v>0.39500000000000002</v>
      </c>
      <c r="D7" s="19">
        <v>2.6600000000000001E-4</v>
      </c>
      <c r="E7" s="19">
        <v>0.42099999999999999</v>
      </c>
      <c r="F7" s="19">
        <v>45.4</v>
      </c>
      <c r="G7" s="20" t="s">
        <v>113</v>
      </c>
      <c r="H7" s="20">
        <f t="shared" si="0"/>
        <v>1.28</v>
      </c>
      <c r="I7" s="20">
        <f t="shared" si="1"/>
        <v>1.611</v>
      </c>
      <c r="J7" s="20" t="s">
        <v>13</v>
      </c>
      <c r="K7" s="6">
        <f t="shared" si="2"/>
        <v>0.57999999999999996</v>
      </c>
      <c r="L7" s="9"/>
    </row>
    <row r="8" spans="1:37" x14ac:dyDescent="0.2">
      <c r="A8" s="18" t="s">
        <v>31</v>
      </c>
      <c r="B8" s="18" t="s">
        <v>31</v>
      </c>
      <c r="C8" s="19">
        <v>0.311</v>
      </c>
      <c r="D8" s="19">
        <v>4.0499999999999998E-4</v>
      </c>
      <c r="E8" s="19">
        <v>0.34</v>
      </c>
      <c r="F8" s="19">
        <v>191</v>
      </c>
      <c r="G8" s="22" t="s">
        <v>114</v>
      </c>
      <c r="H8" s="20">
        <f t="shared" si="0"/>
        <v>1.3</v>
      </c>
      <c r="I8" s="20">
        <f t="shared" si="1"/>
        <v>1.335</v>
      </c>
      <c r="J8" s="20" t="s">
        <v>22</v>
      </c>
      <c r="K8" s="6">
        <f t="shared" si="2"/>
        <v>0.44</v>
      </c>
      <c r="L8" s="9"/>
      <c r="O8" s="13" t="s">
        <v>85</v>
      </c>
      <c r="P8" s="14"/>
    </row>
    <row r="9" spans="1:37" x14ac:dyDescent="0.2">
      <c r="A9" s="18" t="s">
        <v>32</v>
      </c>
      <c r="B9" s="18" t="s">
        <v>32</v>
      </c>
      <c r="C9" s="19">
        <v>0.55000000000000004</v>
      </c>
      <c r="D9" s="19">
        <v>-7.4899999999999999E-4</v>
      </c>
      <c r="E9" s="19">
        <v>0.27700000000000002</v>
      </c>
      <c r="F9" s="19">
        <v>0</v>
      </c>
      <c r="G9" s="22" t="s">
        <v>114</v>
      </c>
      <c r="H9" s="20">
        <f t="shared" si="0"/>
        <v>1.3</v>
      </c>
      <c r="I9" s="20">
        <f t="shared" si="1"/>
        <v>1.335</v>
      </c>
      <c r="J9" s="20" t="s">
        <v>7</v>
      </c>
      <c r="K9" s="6">
        <f t="shared" si="2"/>
        <v>0.4</v>
      </c>
      <c r="L9" s="9"/>
      <c r="O9" s="7" t="s">
        <v>33</v>
      </c>
      <c r="P9" s="7" t="s">
        <v>34</v>
      </c>
      <c r="Q9" s="7" t="s">
        <v>35</v>
      </c>
      <c r="R9" s="7" t="s">
        <v>36</v>
      </c>
      <c r="S9" s="7" t="s">
        <v>37</v>
      </c>
    </row>
    <row r="10" spans="1:37" ht="13.5" customHeight="1" x14ac:dyDescent="0.2">
      <c r="A10" s="18" t="s">
        <v>86</v>
      </c>
      <c r="B10" s="18" t="s">
        <v>86</v>
      </c>
      <c r="C10" s="19">
        <v>0.42799999999999999</v>
      </c>
      <c r="D10" s="19"/>
      <c r="E10" s="19">
        <v>0.39800000000000002</v>
      </c>
      <c r="F10" s="19">
        <v>34</v>
      </c>
      <c r="G10" s="20" t="s">
        <v>113</v>
      </c>
      <c r="H10" s="20">
        <f t="shared" si="0"/>
        <v>1.28</v>
      </c>
      <c r="I10" s="20">
        <f t="shared" si="1"/>
        <v>1.611</v>
      </c>
      <c r="J10" s="22" t="s">
        <v>17</v>
      </c>
      <c r="K10" s="6">
        <f t="shared" si="2"/>
        <v>0.54600000000000004</v>
      </c>
      <c r="L10" s="9"/>
      <c r="O10" s="8" t="s">
        <v>38</v>
      </c>
      <c r="P10" s="8" t="s">
        <v>39</v>
      </c>
      <c r="Q10" s="8">
        <v>0.47499999999999998</v>
      </c>
      <c r="R10" s="8"/>
      <c r="S10" s="8" t="s">
        <v>40</v>
      </c>
    </row>
    <row r="11" spans="1:37" ht="13.5" customHeight="1" x14ac:dyDescent="0.2">
      <c r="A11" s="25" t="s">
        <v>87</v>
      </c>
      <c r="B11" s="5" t="s">
        <v>86</v>
      </c>
      <c r="C11" s="6">
        <f t="shared" ref="C11:C17" si="3">VLOOKUP($B11,$A$3:$F$10,3,0)</f>
        <v>0.42799999999999999</v>
      </c>
      <c r="D11" s="6">
        <f t="shared" ref="D11:D17" si="4">VLOOKUP($B11,$A$3:$F$10,4,0)</f>
        <v>0</v>
      </c>
      <c r="E11" s="6">
        <f t="shared" ref="E11:E17" si="5">VLOOKUP($B11,$A$3:$F$10,5,0)</f>
        <v>0.39800000000000002</v>
      </c>
      <c r="F11" s="6">
        <f t="shared" ref="F11:F17" si="6">VLOOKUP($B11,$A$3:$F$10,6,0)</f>
        <v>34</v>
      </c>
      <c r="G11" s="20" t="s">
        <v>113</v>
      </c>
      <c r="H11" s="20">
        <f t="shared" si="0"/>
        <v>1.28</v>
      </c>
      <c r="I11" s="20">
        <f t="shared" si="1"/>
        <v>1.611</v>
      </c>
      <c r="J11" s="22" t="s">
        <v>17</v>
      </c>
      <c r="K11" s="6">
        <f t="shared" si="2"/>
        <v>0.54600000000000004</v>
      </c>
      <c r="L11" s="9">
        <v>1.0229999999999999</v>
      </c>
      <c r="O11" s="8" t="s">
        <v>42</v>
      </c>
      <c r="P11" s="8" t="s">
        <v>43</v>
      </c>
      <c r="Q11" s="8">
        <v>1.3</v>
      </c>
      <c r="R11" s="8"/>
      <c r="S11" s="8" t="s">
        <v>40</v>
      </c>
    </row>
    <row r="12" spans="1:37" ht="14.25" customHeight="1" x14ac:dyDescent="0.2">
      <c r="A12" s="26" t="s">
        <v>88</v>
      </c>
      <c r="B12" s="5" t="s">
        <v>86</v>
      </c>
      <c r="C12" s="6">
        <f t="shared" si="3"/>
        <v>0.42799999999999999</v>
      </c>
      <c r="D12" s="6">
        <f t="shared" si="4"/>
        <v>0</v>
      </c>
      <c r="E12" s="6">
        <f t="shared" si="5"/>
        <v>0.39800000000000002</v>
      </c>
      <c r="F12" s="6">
        <f t="shared" si="6"/>
        <v>34</v>
      </c>
      <c r="G12" s="20" t="s">
        <v>113</v>
      </c>
      <c r="H12" s="20">
        <f t="shared" si="0"/>
        <v>1.28</v>
      </c>
      <c r="I12" s="20">
        <f t="shared" si="1"/>
        <v>1.611</v>
      </c>
      <c r="J12" s="22" t="s">
        <v>17</v>
      </c>
      <c r="K12" s="6">
        <f t="shared" si="2"/>
        <v>0.54600000000000004</v>
      </c>
      <c r="L12" s="9">
        <v>1.0229999999999999</v>
      </c>
      <c r="O12" s="8" t="s">
        <v>42</v>
      </c>
      <c r="P12" s="8" t="s">
        <v>113</v>
      </c>
      <c r="Q12" s="8">
        <v>1.28</v>
      </c>
      <c r="R12" s="10"/>
      <c r="S12" s="8" t="s">
        <v>40</v>
      </c>
    </row>
    <row r="13" spans="1:37" ht="15" customHeight="1" x14ac:dyDescent="0.2">
      <c r="A13" s="26" t="s">
        <v>89</v>
      </c>
      <c r="B13" s="5" t="s">
        <v>86</v>
      </c>
      <c r="C13" s="6">
        <f t="shared" si="3"/>
        <v>0.42799999999999999</v>
      </c>
      <c r="D13" s="6">
        <f t="shared" si="4"/>
        <v>0</v>
      </c>
      <c r="E13" s="6">
        <f t="shared" si="5"/>
        <v>0.39800000000000002</v>
      </c>
      <c r="F13" s="6">
        <f t="shared" si="6"/>
        <v>34</v>
      </c>
      <c r="G13" s="20" t="s">
        <v>113</v>
      </c>
      <c r="H13" s="20">
        <f t="shared" si="0"/>
        <v>1.28</v>
      </c>
      <c r="I13" s="20">
        <f t="shared" si="1"/>
        <v>1.611</v>
      </c>
      <c r="J13" s="22" t="s">
        <v>90</v>
      </c>
      <c r="K13" s="6">
        <f t="shared" si="2"/>
        <v>0.45</v>
      </c>
      <c r="O13" s="27" t="s">
        <v>115</v>
      </c>
      <c r="P13" s="8" t="s">
        <v>43</v>
      </c>
      <c r="Q13" s="8">
        <v>1.335</v>
      </c>
      <c r="R13" s="28"/>
      <c r="S13" s="8" t="s">
        <v>40</v>
      </c>
    </row>
    <row r="14" spans="1:37" ht="22.5" x14ac:dyDescent="0.2">
      <c r="A14" s="25" t="s">
        <v>65</v>
      </c>
      <c r="B14" s="5" t="s">
        <v>86</v>
      </c>
      <c r="C14" s="6">
        <f t="shared" si="3"/>
        <v>0.42799999999999999</v>
      </c>
      <c r="D14" s="6">
        <f t="shared" si="4"/>
        <v>0</v>
      </c>
      <c r="E14" s="6">
        <f t="shared" si="5"/>
        <v>0.39800000000000002</v>
      </c>
      <c r="F14" s="6">
        <f t="shared" si="6"/>
        <v>34</v>
      </c>
      <c r="G14" s="20" t="s">
        <v>113</v>
      </c>
      <c r="H14" s="20">
        <f t="shared" si="0"/>
        <v>1.28</v>
      </c>
      <c r="I14" s="20">
        <f t="shared" si="1"/>
        <v>1.611</v>
      </c>
      <c r="J14" s="22" t="s">
        <v>17</v>
      </c>
      <c r="K14" s="6">
        <f t="shared" si="2"/>
        <v>0.54600000000000004</v>
      </c>
      <c r="L14" s="9">
        <v>1.0229999999999999</v>
      </c>
      <c r="O14" s="27" t="s">
        <v>115</v>
      </c>
      <c r="P14" s="8" t="s">
        <v>113</v>
      </c>
      <c r="Q14" s="8">
        <v>1.611</v>
      </c>
      <c r="R14" s="28"/>
      <c r="S14" s="8" t="s">
        <v>40</v>
      </c>
    </row>
    <row r="15" spans="1:37" ht="15" customHeight="1" x14ac:dyDescent="0.2">
      <c r="A15" s="25" t="s">
        <v>91</v>
      </c>
      <c r="B15" s="5" t="s">
        <v>86</v>
      </c>
      <c r="C15" s="6">
        <f t="shared" si="3"/>
        <v>0.42799999999999999</v>
      </c>
      <c r="D15" s="6">
        <f t="shared" si="4"/>
        <v>0</v>
      </c>
      <c r="E15" s="6">
        <f t="shared" si="5"/>
        <v>0.39800000000000002</v>
      </c>
      <c r="F15" s="6">
        <f t="shared" si="6"/>
        <v>34</v>
      </c>
      <c r="G15" s="20" t="s">
        <v>113</v>
      </c>
      <c r="H15" s="20">
        <f t="shared" si="0"/>
        <v>1.28</v>
      </c>
      <c r="I15" s="20">
        <f t="shared" si="1"/>
        <v>1.611</v>
      </c>
      <c r="J15" s="22" t="s">
        <v>10</v>
      </c>
      <c r="K15" s="6">
        <f t="shared" si="2"/>
        <v>0.51</v>
      </c>
      <c r="L15" s="9">
        <v>1.0229999999999999</v>
      </c>
      <c r="O15" s="8" t="s">
        <v>44</v>
      </c>
      <c r="P15" s="8" t="s">
        <v>45</v>
      </c>
      <c r="Q15" s="8">
        <v>9.1</v>
      </c>
      <c r="R15" s="8" t="s">
        <v>46</v>
      </c>
      <c r="S15" s="8" t="s">
        <v>47</v>
      </c>
    </row>
    <row r="16" spans="1:37" ht="15" customHeight="1" x14ac:dyDescent="0.2">
      <c r="A16" s="25" t="s">
        <v>92</v>
      </c>
      <c r="B16" s="5" t="s">
        <v>32</v>
      </c>
      <c r="C16" s="6">
        <f t="shared" si="3"/>
        <v>0.55000000000000004</v>
      </c>
      <c r="D16" s="6">
        <f t="shared" si="4"/>
        <v>-7.4899999999999999E-4</v>
      </c>
      <c r="E16" s="6">
        <f t="shared" si="5"/>
        <v>0.27700000000000002</v>
      </c>
      <c r="F16" s="6">
        <f t="shared" si="6"/>
        <v>0</v>
      </c>
      <c r="G16" s="22" t="s">
        <v>114</v>
      </c>
      <c r="H16" s="20">
        <f t="shared" si="0"/>
        <v>1.3</v>
      </c>
      <c r="I16" s="20">
        <f t="shared" si="1"/>
        <v>1.335</v>
      </c>
      <c r="J16" s="22" t="s">
        <v>93</v>
      </c>
      <c r="K16" s="6">
        <f t="shared" si="2"/>
        <v>0.4</v>
      </c>
      <c r="L16" s="9"/>
      <c r="O16" s="8" t="s">
        <v>48</v>
      </c>
      <c r="P16" s="8" t="s">
        <v>49</v>
      </c>
      <c r="Q16" s="8">
        <v>8.5</v>
      </c>
      <c r="R16" s="8" t="s">
        <v>46</v>
      </c>
      <c r="S16" s="8" t="s">
        <v>47</v>
      </c>
    </row>
    <row r="17" spans="1:19" ht="15" customHeight="1" x14ac:dyDescent="0.2">
      <c r="A17" s="25" t="s">
        <v>94</v>
      </c>
      <c r="B17" s="5" t="s">
        <v>86</v>
      </c>
      <c r="C17" s="6">
        <f t="shared" si="3"/>
        <v>0.42799999999999999</v>
      </c>
      <c r="D17" s="6">
        <f t="shared" si="4"/>
        <v>0</v>
      </c>
      <c r="E17" s="6">
        <f t="shared" si="5"/>
        <v>0.39800000000000002</v>
      </c>
      <c r="F17" s="6">
        <f t="shared" si="6"/>
        <v>34</v>
      </c>
      <c r="G17" s="20" t="s">
        <v>113</v>
      </c>
      <c r="H17" s="20">
        <f t="shared" si="0"/>
        <v>1.28</v>
      </c>
      <c r="I17" s="20">
        <f t="shared" si="1"/>
        <v>1.611</v>
      </c>
      <c r="J17" s="22" t="s">
        <v>11</v>
      </c>
      <c r="K17" s="6">
        <f t="shared" si="2"/>
        <v>0.63</v>
      </c>
      <c r="L17" s="9">
        <v>1.0229999999999999</v>
      </c>
      <c r="O17" s="8" t="s">
        <v>44</v>
      </c>
      <c r="P17" s="8" t="s">
        <v>50</v>
      </c>
      <c r="Q17" s="8">
        <v>3.9</v>
      </c>
      <c r="R17" s="8" t="s">
        <v>46</v>
      </c>
      <c r="S17" s="8" t="s">
        <v>47</v>
      </c>
    </row>
    <row r="18" spans="1:19" ht="15" customHeight="1" x14ac:dyDescent="0.2">
      <c r="A18" s="25" t="s">
        <v>73</v>
      </c>
      <c r="B18" s="6"/>
      <c r="C18" s="6"/>
      <c r="D18" s="6"/>
      <c r="E18" s="6"/>
      <c r="F18" s="6"/>
      <c r="G18" s="20" t="s">
        <v>113</v>
      </c>
      <c r="H18" s="20">
        <f t="shared" si="0"/>
        <v>1.28</v>
      </c>
      <c r="I18" s="20">
        <f t="shared" si="1"/>
        <v>1.611</v>
      </c>
      <c r="J18" s="22" t="s">
        <v>12</v>
      </c>
      <c r="K18" s="6">
        <f t="shared" si="2"/>
        <v>0.48</v>
      </c>
      <c r="L18" s="9">
        <v>1.107</v>
      </c>
      <c r="O18" s="8" t="s">
        <v>44</v>
      </c>
      <c r="P18" s="8" t="s">
        <v>52</v>
      </c>
      <c r="Q18" s="8">
        <v>2.4</v>
      </c>
      <c r="R18" s="8" t="s">
        <v>46</v>
      </c>
      <c r="S18" s="8" t="s">
        <v>47</v>
      </c>
    </row>
    <row r="19" spans="1:19" ht="13.5" customHeight="1" x14ac:dyDescent="0.2">
      <c r="A19" s="25" t="s">
        <v>95</v>
      </c>
      <c r="B19" s="9" t="s">
        <v>19</v>
      </c>
      <c r="C19" s="6">
        <f t="shared" ref="C19:C34" si="7">VLOOKUP($B19,$A$3:$F$10,3,0)</f>
        <v>0.47099999999999997</v>
      </c>
      <c r="D19" s="6">
        <f t="shared" ref="D19:D34" si="8">VLOOKUP($B19,$A$3:$F$10,4,0)</f>
        <v>-3.4499999999999998E-4</v>
      </c>
      <c r="E19" s="6">
        <f t="shared" ref="E19:E34" si="9">VLOOKUP($B19,$A$3:$F$10,5,0)</f>
        <v>0.377</v>
      </c>
      <c r="F19" s="6">
        <f t="shared" ref="F19:F34" si="10">VLOOKUP($B19,$A$3:$F$10,6,0)</f>
        <v>0</v>
      </c>
      <c r="G19" s="20" t="s">
        <v>113</v>
      </c>
      <c r="H19" s="20">
        <f t="shared" si="0"/>
        <v>1.28</v>
      </c>
      <c r="I19" s="20">
        <f t="shared" si="1"/>
        <v>1.611</v>
      </c>
      <c r="J19" s="20" t="s">
        <v>28</v>
      </c>
      <c r="K19" s="6">
        <f t="shared" si="2"/>
        <v>0.57999999999999996</v>
      </c>
      <c r="L19" s="9">
        <v>1.107</v>
      </c>
      <c r="O19" s="8" t="s">
        <v>44</v>
      </c>
      <c r="P19" s="8" t="s">
        <v>53</v>
      </c>
      <c r="Q19" s="8">
        <v>1.7</v>
      </c>
      <c r="R19" s="8" t="s">
        <v>46</v>
      </c>
      <c r="S19" s="8" t="s">
        <v>47</v>
      </c>
    </row>
    <row r="20" spans="1:19" x14ac:dyDescent="0.2">
      <c r="A20" s="25" t="s">
        <v>51</v>
      </c>
      <c r="B20" s="9" t="s">
        <v>19</v>
      </c>
      <c r="C20" s="6">
        <f t="shared" si="7"/>
        <v>0.47099999999999997</v>
      </c>
      <c r="D20" s="6">
        <f t="shared" si="8"/>
        <v>-3.4499999999999998E-4</v>
      </c>
      <c r="E20" s="6">
        <f t="shared" si="9"/>
        <v>0.377</v>
      </c>
      <c r="F20" s="6">
        <f t="shared" si="10"/>
        <v>0</v>
      </c>
      <c r="G20" s="20" t="s">
        <v>113</v>
      </c>
      <c r="H20" s="20">
        <f t="shared" si="0"/>
        <v>1.28</v>
      </c>
      <c r="I20" s="20">
        <f t="shared" si="1"/>
        <v>1.611</v>
      </c>
      <c r="J20" s="20" t="s">
        <v>28</v>
      </c>
      <c r="K20" s="6">
        <f t="shared" si="2"/>
        <v>0.57999999999999996</v>
      </c>
      <c r="L20" s="9">
        <v>1.107</v>
      </c>
      <c r="O20" s="8" t="s">
        <v>54</v>
      </c>
      <c r="P20" s="8" t="s">
        <v>55</v>
      </c>
      <c r="Q20" s="8">
        <v>0.19</v>
      </c>
      <c r="R20" s="8" t="s">
        <v>56</v>
      </c>
      <c r="S20" s="8" t="s">
        <v>57</v>
      </c>
    </row>
    <row r="21" spans="1:19" x14ac:dyDescent="0.2">
      <c r="A21" s="25" t="s">
        <v>96</v>
      </c>
      <c r="B21" s="9" t="s">
        <v>19</v>
      </c>
      <c r="C21" s="6">
        <f t="shared" si="7"/>
        <v>0.47099999999999997</v>
      </c>
      <c r="D21" s="6">
        <f t="shared" si="8"/>
        <v>-3.4499999999999998E-4</v>
      </c>
      <c r="E21" s="6">
        <f t="shared" si="9"/>
        <v>0.377</v>
      </c>
      <c r="F21" s="6">
        <f t="shared" si="10"/>
        <v>0</v>
      </c>
      <c r="G21" s="20" t="s">
        <v>113</v>
      </c>
      <c r="H21" s="20">
        <f t="shared" si="0"/>
        <v>1.28</v>
      </c>
      <c r="I21" s="20">
        <f t="shared" si="1"/>
        <v>1.611</v>
      </c>
      <c r="J21" s="20" t="s">
        <v>28</v>
      </c>
      <c r="K21" s="6">
        <f t="shared" si="2"/>
        <v>0.57999999999999996</v>
      </c>
      <c r="L21" s="9">
        <v>1.107</v>
      </c>
      <c r="O21" s="8" t="s">
        <v>54</v>
      </c>
      <c r="P21" s="8" t="s">
        <v>58</v>
      </c>
      <c r="Q21" s="8">
        <v>0.22</v>
      </c>
      <c r="R21" s="8" t="s">
        <v>56</v>
      </c>
      <c r="S21" s="8" t="s">
        <v>57</v>
      </c>
    </row>
    <row r="22" spans="1:19" x14ac:dyDescent="0.2">
      <c r="A22" s="29" t="s">
        <v>70</v>
      </c>
      <c r="B22" s="30" t="s">
        <v>19</v>
      </c>
      <c r="C22" s="31">
        <f t="shared" si="7"/>
        <v>0.47099999999999997</v>
      </c>
      <c r="D22" s="31">
        <f t="shared" si="8"/>
        <v>-3.4499999999999998E-4</v>
      </c>
      <c r="E22" s="31">
        <f t="shared" si="9"/>
        <v>0.377</v>
      </c>
      <c r="F22" s="31">
        <f t="shared" si="10"/>
        <v>0</v>
      </c>
      <c r="G22" s="20" t="s">
        <v>113</v>
      </c>
      <c r="H22" s="20">
        <v>1.3</v>
      </c>
      <c r="I22" s="20">
        <v>1.56</v>
      </c>
      <c r="J22" s="32" t="s">
        <v>28</v>
      </c>
      <c r="K22" s="31">
        <v>0.56000000000000005</v>
      </c>
      <c r="L22" s="30">
        <v>1.107</v>
      </c>
    </row>
    <row r="23" spans="1:19" x14ac:dyDescent="0.2">
      <c r="A23" s="33" t="s">
        <v>19</v>
      </c>
      <c r="B23" s="30" t="s">
        <v>19</v>
      </c>
      <c r="C23" s="31">
        <f t="shared" si="7"/>
        <v>0.47099999999999997</v>
      </c>
      <c r="D23" s="31">
        <f t="shared" si="8"/>
        <v>-3.4499999999999998E-4</v>
      </c>
      <c r="E23" s="31">
        <f t="shared" si="9"/>
        <v>0.377</v>
      </c>
      <c r="F23" s="31">
        <f t="shared" si="10"/>
        <v>0</v>
      </c>
      <c r="G23" s="20" t="s">
        <v>113</v>
      </c>
      <c r="H23" s="20">
        <f t="shared" si="0"/>
        <v>1.28</v>
      </c>
      <c r="I23" s="20">
        <f t="shared" si="1"/>
        <v>1.611</v>
      </c>
      <c r="J23" s="32" t="s">
        <v>28</v>
      </c>
      <c r="K23" s="31">
        <f t="shared" si="2"/>
        <v>0.57999999999999996</v>
      </c>
      <c r="L23" s="30"/>
      <c r="O23" s="11"/>
      <c r="P23" s="11"/>
      <c r="Q23" s="11"/>
      <c r="R23" s="11"/>
      <c r="S23" s="11"/>
    </row>
    <row r="24" spans="1:19" x14ac:dyDescent="0.2">
      <c r="A24" s="29" t="s">
        <v>97</v>
      </c>
      <c r="B24" s="30" t="s">
        <v>19</v>
      </c>
      <c r="C24" s="31">
        <f t="shared" si="7"/>
        <v>0.47099999999999997</v>
      </c>
      <c r="D24" s="31">
        <f t="shared" si="8"/>
        <v>-3.4499999999999998E-4</v>
      </c>
      <c r="E24" s="31">
        <f t="shared" si="9"/>
        <v>0.377</v>
      </c>
      <c r="F24" s="31">
        <f t="shared" si="10"/>
        <v>0</v>
      </c>
      <c r="G24" s="20" t="s">
        <v>113</v>
      </c>
      <c r="H24" s="20">
        <f t="shared" si="0"/>
        <v>1.28</v>
      </c>
      <c r="I24" s="20">
        <f t="shared" si="1"/>
        <v>1.611</v>
      </c>
      <c r="J24" s="32" t="s">
        <v>28</v>
      </c>
      <c r="K24" s="31">
        <f t="shared" si="2"/>
        <v>0.57999999999999996</v>
      </c>
      <c r="L24" s="30">
        <v>1.107</v>
      </c>
      <c r="O24" s="11"/>
      <c r="P24" s="11"/>
      <c r="Q24" s="11"/>
      <c r="R24" s="11"/>
      <c r="S24" s="11"/>
    </row>
    <row r="25" spans="1:19" x14ac:dyDescent="0.2">
      <c r="A25" s="29" t="s">
        <v>1</v>
      </c>
      <c r="B25" s="30" t="s">
        <v>1</v>
      </c>
      <c r="C25" s="31">
        <f t="shared" si="7"/>
        <v>0.53400000000000003</v>
      </c>
      <c r="D25" s="31">
        <f t="shared" si="8"/>
        <v>5.2999999999999998E-4</v>
      </c>
      <c r="E25" s="31">
        <f t="shared" si="9"/>
        <v>0</v>
      </c>
      <c r="F25" s="31">
        <f t="shared" si="10"/>
        <v>56.6</v>
      </c>
      <c r="G25" s="22" t="s">
        <v>114</v>
      </c>
      <c r="H25" s="20">
        <f t="shared" si="0"/>
        <v>1.3</v>
      </c>
      <c r="I25" s="20">
        <f t="shared" si="1"/>
        <v>1.335</v>
      </c>
      <c r="J25" s="32" t="s">
        <v>27</v>
      </c>
      <c r="K25" s="31">
        <f t="shared" si="2"/>
        <v>0.45</v>
      </c>
      <c r="L25" s="30"/>
      <c r="O25" s="11"/>
      <c r="P25" s="11"/>
      <c r="Q25" s="11"/>
      <c r="R25" s="11"/>
      <c r="S25" s="11"/>
    </row>
    <row r="26" spans="1:19" x14ac:dyDescent="0.2">
      <c r="A26" s="29" t="s">
        <v>83</v>
      </c>
      <c r="B26" s="30" t="s">
        <v>83</v>
      </c>
      <c r="C26" s="31">
        <f t="shared" si="7"/>
        <v>0.63100000000000001</v>
      </c>
      <c r="D26" s="31">
        <f t="shared" si="8"/>
        <v>-9.4600000000000001E-4</v>
      </c>
      <c r="E26" s="31">
        <f t="shared" si="9"/>
        <v>0</v>
      </c>
      <c r="F26" s="31">
        <f t="shared" si="10"/>
        <v>0</v>
      </c>
      <c r="G26" s="22" t="s">
        <v>114</v>
      </c>
      <c r="H26" s="20">
        <f t="shared" si="0"/>
        <v>1.3</v>
      </c>
      <c r="I26" s="20">
        <f t="shared" si="1"/>
        <v>1.335</v>
      </c>
      <c r="J26" s="32" t="s">
        <v>84</v>
      </c>
      <c r="K26" s="31">
        <f t="shared" si="2"/>
        <v>0.4</v>
      </c>
      <c r="L26" s="30"/>
      <c r="O26" s="11"/>
      <c r="P26" s="11"/>
      <c r="Q26" s="11"/>
      <c r="R26" s="11"/>
      <c r="S26" s="11"/>
    </row>
    <row r="27" spans="1:19" x14ac:dyDescent="0.2">
      <c r="A27" s="29" t="s">
        <v>116</v>
      </c>
      <c r="B27" s="30" t="s">
        <v>86</v>
      </c>
      <c r="C27" s="31">
        <f t="shared" si="7"/>
        <v>0.42799999999999999</v>
      </c>
      <c r="D27" s="31">
        <f t="shared" si="8"/>
        <v>0</v>
      </c>
      <c r="E27" s="31">
        <f t="shared" si="9"/>
        <v>0.39800000000000002</v>
      </c>
      <c r="F27" s="31">
        <f t="shared" si="10"/>
        <v>34</v>
      </c>
      <c r="G27" s="20" t="s">
        <v>113</v>
      </c>
      <c r="H27" s="20">
        <f t="shared" si="0"/>
        <v>1.28</v>
      </c>
      <c r="I27" s="20">
        <f t="shared" si="1"/>
        <v>1.611</v>
      </c>
      <c r="J27" s="32" t="s">
        <v>17</v>
      </c>
      <c r="K27" s="31">
        <f t="shared" si="2"/>
        <v>0.54600000000000004</v>
      </c>
      <c r="L27" s="30"/>
      <c r="O27" s="13" t="s">
        <v>126</v>
      </c>
      <c r="P27" s="11"/>
      <c r="Q27" s="11"/>
      <c r="R27" s="11"/>
      <c r="S27" s="11"/>
    </row>
    <row r="28" spans="1:19" x14ac:dyDescent="0.2">
      <c r="A28" s="29" t="s">
        <v>64</v>
      </c>
      <c r="B28" s="34" t="s">
        <v>86</v>
      </c>
      <c r="C28" s="31">
        <f t="shared" si="7"/>
        <v>0.42799999999999999</v>
      </c>
      <c r="D28" s="31">
        <f t="shared" si="8"/>
        <v>0</v>
      </c>
      <c r="E28" s="31">
        <f t="shared" si="9"/>
        <v>0.39800000000000002</v>
      </c>
      <c r="F28" s="31">
        <f t="shared" si="10"/>
        <v>34</v>
      </c>
      <c r="G28" s="20" t="s">
        <v>113</v>
      </c>
      <c r="H28" s="20">
        <f t="shared" si="0"/>
        <v>1.28</v>
      </c>
      <c r="I28" s="20">
        <f t="shared" si="1"/>
        <v>1.611</v>
      </c>
      <c r="J28" s="35" t="s">
        <v>14</v>
      </c>
      <c r="K28" s="31">
        <f t="shared" si="2"/>
        <v>0.56999999999999995</v>
      </c>
      <c r="L28" s="30">
        <v>1.0229999999999999</v>
      </c>
      <c r="P28" s="11" t="s">
        <v>127</v>
      </c>
      <c r="Q28" s="11" t="s">
        <v>132</v>
      </c>
      <c r="R28" s="11" t="s">
        <v>128</v>
      </c>
      <c r="S28" s="37" t="s">
        <v>55</v>
      </c>
    </row>
    <row r="29" spans="1:19" x14ac:dyDescent="0.2">
      <c r="A29" s="36" t="s">
        <v>98</v>
      </c>
      <c r="B29" s="5" t="s">
        <v>86</v>
      </c>
      <c r="C29" s="6">
        <f t="shared" si="7"/>
        <v>0.42799999999999999</v>
      </c>
      <c r="D29" s="6">
        <f t="shared" si="8"/>
        <v>0</v>
      </c>
      <c r="E29" s="6">
        <f t="shared" si="9"/>
        <v>0.39800000000000002</v>
      </c>
      <c r="F29" s="6">
        <f t="shared" si="10"/>
        <v>34</v>
      </c>
      <c r="G29" s="20" t="s">
        <v>113</v>
      </c>
      <c r="H29" s="20">
        <f t="shared" si="0"/>
        <v>1.28</v>
      </c>
      <c r="I29" s="20">
        <f t="shared" si="1"/>
        <v>1.611</v>
      </c>
      <c r="J29" s="22" t="s">
        <v>8</v>
      </c>
      <c r="K29" s="6">
        <f t="shared" si="2"/>
        <v>0.52</v>
      </c>
      <c r="L29" s="9">
        <v>1.0229999999999999</v>
      </c>
      <c r="O29" s="55" t="s">
        <v>129</v>
      </c>
      <c r="P29" s="11">
        <v>35</v>
      </c>
      <c r="Q29" s="11">
        <v>25</v>
      </c>
      <c r="R29" s="11">
        <v>2</v>
      </c>
      <c r="S29" s="11">
        <v>1</v>
      </c>
    </row>
    <row r="30" spans="1:19" x14ac:dyDescent="0.2">
      <c r="A30" s="36" t="s">
        <v>99</v>
      </c>
      <c r="B30" s="5" t="s">
        <v>86</v>
      </c>
      <c r="C30" s="6">
        <f t="shared" si="7"/>
        <v>0.42799999999999999</v>
      </c>
      <c r="D30" s="6">
        <f t="shared" si="8"/>
        <v>0</v>
      </c>
      <c r="E30" s="6">
        <f t="shared" si="9"/>
        <v>0.39800000000000002</v>
      </c>
      <c r="F30" s="6">
        <f t="shared" si="10"/>
        <v>34</v>
      </c>
      <c r="G30" s="20" t="s">
        <v>113</v>
      </c>
      <c r="H30" s="20">
        <f t="shared" si="0"/>
        <v>1.28</v>
      </c>
      <c r="I30" s="20">
        <f t="shared" si="1"/>
        <v>1.611</v>
      </c>
      <c r="J30" s="22" t="s">
        <v>8</v>
      </c>
      <c r="K30" s="6">
        <f t="shared" si="2"/>
        <v>0.52</v>
      </c>
      <c r="L30" s="9">
        <v>1.0229999999999999</v>
      </c>
      <c r="O30" s="55" t="s">
        <v>130</v>
      </c>
      <c r="P30" s="11">
        <f>LN(2)/P29</f>
        <v>1.980420515885558E-2</v>
      </c>
      <c r="Q30" s="11">
        <f>LN(2)/Q29</f>
        <v>2.7725887222397813E-2</v>
      </c>
      <c r="R30" s="11">
        <f>LN(2)/R29</f>
        <v>0.34657359027997264</v>
      </c>
      <c r="S30" s="11">
        <f>LN(2)/S29</f>
        <v>0.69314718055994529</v>
      </c>
    </row>
    <row r="31" spans="1:19" ht="12" customHeight="1" x14ac:dyDescent="0.2">
      <c r="A31" s="36" t="s">
        <v>2</v>
      </c>
      <c r="B31" s="5" t="s">
        <v>2</v>
      </c>
      <c r="C31" s="6">
        <f t="shared" si="7"/>
        <v>0.39500000000000002</v>
      </c>
      <c r="D31" s="6">
        <f t="shared" si="8"/>
        <v>2.6600000000000001E-4</v>
      </c>
      <c r="E31" s="6">
        <f t="shared" si="9"/>
        <v>0.42099999999999999</v>
      </c>
      <c r="F31" s="6">
        <f t="shared" si="10"/>
        <v>45.4</v>
      </c>
      <c r="G31" s="20" t="s">
        <v>113</v>
      </c>
      <c r="H31" s="20">
        <f t="shared" si="0"/>
        <v>1.28</v>
      </c>
      <c r="I31" s="20">
        <f t="shared" si="1"/>
        <v>1.611</v>
      </c>
      <c r="J31" s="22" t="s">
        <v>13</v>
      </c>
      <c r="K31" s="6">
        <f t="shared" si="2"/>
        <v>0.57999999999999996</v>
      </c>
      <c r="L31" s="9"/>
      <c r="O31" s="11"/>
      <c r="P31" s="11"/>
      <c r="Q31" s="11"/>
      <c r="R31" s="11"/>
      <c r="S31" s="11"/>
    </row>
    <row r="32" spans="1:19" x14ac:dyDescent="0.2">
      <c r="A32" s="36" t="s">
        <v>100</v>
      </c>
      <c r="B32" s="9" t="s">
        <v>31</v>
      </c>
      <c r="C32" s="6">
        <f t="shared" si="7"/>
        <v>0.311</v>
      </c>
      <c r="D32" s="6">
        <f t="shared" si="8"/>
        <v>4.0499999999999998E-4</v>
      </c>
      <c r="E32" s="6">
        <f t="shared" si="9"/>
        <v>0.34</v>
      </c>
      <c r="F32" s="6">
        <f t="shared" si="10"/>
        <v>191</v>
      </c>
      <c r="G32" s="22" t="s">
        <v>114</v>
      </c>
      <c r="H32" s="20">
        <f t="shared" si="0"/>
        <v>1.3</v>
      </c>
      <c r="I32" s="20">
        <f t="shared" si="1"/>
        <v>1.335</v>
      </c>
      <c r="J32" s="22" t="s">
        <v>16</v>
      </c>
      <c r="K32" s="6">
        <f t="shared" si="2"/>
        <v>0.46</v>
      </c>
      <c r="L32" s="9"/>
      <c r="O32" s="11"/>
      <c r="P32" s="11"/>
      <c r="Q32" s="11"/>
      <c r="R32" s="11"/>
      <c r="S32" s="11"/>
    </row>
    <row r="33" spans="1:19" x14ac:dyDescent="0.2">
      <c r="A33" s="25" t="s">
        <v>67</v>
      </c>
      <c r="B33" s="9" t="s">
        <v>31</v>
      </c>
      <c r="C33" s="6">
        <f t="shared" si="7"/>
        <v>0.311</v>
      </c>
      <c r="D33" s="6">
        <f t="shared" si="8"/>
        <v>4.0499999999999998E-4</v>
      </c>
      <c r="E33" s="6">
        <f t="shared" si="9"/>
        <v>0.34</v>
      </c>
      <c r="F33" s="6">
        <f t="shared" si="10"/>
        <v>191</v>
      </c>
      <c r="G33" s="22" t="s">
        <v>114</v>
      </c>
      <c r="H33" s="20">
        <f t="shared" si="0"/>
        <v>1.3</v>
      </c>
      <c r="I33" s="20">
        <f t="shared" si="1"/>
        <v>1.335</v>
      </c>
      <c r="J33" s="22" t="s">
        <v>16</v>
      </c>
      <c r="K33" s="6">
        <f t="shared" si="2"/>
        <v>0.46</v>
      </c>
      <c r="L33" s="9">
        <v>1.1539999999999999</v>
      </c>
      <c r="O33" s="11"/>
      <c r="P33" s="11"/>
      <c r="Q33" s="11"/>
      <c r="R33" s="11"/>
      <c r="S33" s="11"/>
    </row>
    <row r="34" spans="1:19" ht="12.75" customHeight="1" x14ac:dyDescent="0.2">
      <c r="A34" s="25" t="s">
        <v>101</v>
      </c>
      <c r="B34" s="5" t="s">
        <v>86</v>
      </c>
      <c r="C34" s="6">
        <f t="shared" si="7"/>
        <v>0.42799999999999999</v>
      </c>
      <c r="D34" s="6">
        <f t="shared" si="8"/>
        <v>0</v>
      </c>
      <c r="E34" s="6">
        <f t="shared" si="9"/>
        <v>0.39800000000000002</v>
      </c>
      <c r="F34" s="6">
        <f t="shared" si="10"/>
        <v>34</v>
      </c>
      <c r="G34" s="20" t="s">
        <v>113</v>
      </c>
      <c r="H34" s="20">
        <f t="shared" si="0"/>
        <v>1.28</v>
      </c>
      <c r="I34" s="20">
        <f t="shared" si="1"/>
        <v>1.611</v>
      </c>
      <c r="J34" s="22" t="s">
        <v>26</v>
      </c>
      <c r="K34" s="6">
        <f t="shared" si="2"/>
        <v>0.49</v>
      </c>
      <c r="L34" s="9">
        <v>1.0229999999999999</v>
      </c>
      <c r="O34" s="11"/>
      <c r="P34" s="11"/>
      <c r="Q34" s="11"/>
      <c r="R34" s="11"/>
      <c r="S34" s="11"/>
    </row>
    <row r="35" spans="1:19" x14ac:dyDescent="0.2">
      <c r="A35" s="25" t="s">
        <v>102</v>
      </c>
      <c r="B35" s="5"/>
      <c r="C35" s="6"/>
      <c r="D35" s="6"/>
      <c r="E35" s="6"/>
      <c r="F35" s="6"/>
      <c r="G35" s="20"/>
      <c r="H35" s="20" t="e">
        <f t="shared" si="0"/>
        <v>#N/A</v>
      </c>
      <c r="I35" s="20" t="e">
        <f t="shared" si="1"/>
        <v>#N/A</v>
      </c>
      <c r="J35" s="20"/>
      <c r="K35" s="6"/>
      <c r="L35" s="9">
        <v>1.107</v>
      </c>
    </row>
    <row r="36" spans="1:19" ht="13.5" customHeight="1" x14ac:dyDescent="0.2">
      <c r="A36" s="25" t="s">
        <v>63</v>
      </c>
      <c r="B36" s="5" t="s">
        <v>86</v>
      </c>
      <c r="C36" s="6">
        <f>VLOOKUP($B36,$A$3:$F$10,3,0)</f>
        <v>0.42799999999999999</v>
      </c>
      <c r="D36" s="6">
        <f>VLOOKUP($B36,$A$3:$F$10,4,0)</f>
        <v>0</v>
      </c>
      <c r="E36" s="6">
        <f>VLOOKUP($B36,$A$3:$F$10,5,0)</f>
        <v>0.39800000000000002</v>
      </c>
      <c r="F36" s="6">
        <f>VLOOKUP($B36,$A$3:$F$10,6,0)</f>
        <v>34</v>
      </c>
      <c r="G36" s="20" t="s">
        <v>113</v>
      </c>
      <c r="H36" s="20">
        <f t="shared" si="0"/>
        <v>1.28</v>
      </c>
      <c r="I36" s="20">
        <f t="shared" si="1"/>
        <v>1.611</v>
      </c>
      <c r="J36" s="22" t="s">
        <v>17</v>
      </c>
      <c r="K36" s="6">
        <f t="shared" ref="K36:K49" si="11">HLOOKUP(J36,$O$2:$AK$3,2,0)</f>
        <v>0.54600000000000004</v>
      </c>
      <c r="L36" s="9">
        <v>1.0229999999999999</v>
      </c>
    </row>
    <row r="37" spans="1:19" x14ac:dyDescent="0.2">
      <c r="A37" s="25" t="s">
        <v>62</v>
      </c>
      <c r="B37" s="5" t="s">
        <v>86</v>
      </c>
      <c r="C37" s="6">
        <f>VLOOKUP($B37,$A$3:$F$10,3,0)</f>
        <v>0.42799999999999999</v>
      </c>
      <c r="D37" s="6">
        <f>VLOOKUP($B37,$A$3:$F$10,4,0)</f>
        <v>0</v>
      </c>
      <c r="E37" s="6">
        <f>VLOOKUP($B37,$A$3:$F$10,5,0)</f>
        <v>0.39800000000000002</v>
      </c>
      <c r="F37" s="6">
        <f>VLOOKUP($B37,$A$3:$F$10,6,0)</f>
        <v>34</v>
      </c>
      <c r="G37" s="20" t="s">
        <v>113</v>
      </c>
      <c r="H37" s="20">
        <f t="shared" si="0"/>
        <v>1.28</v>
      </c>
      <c r="I37" s="20">
        <f t="shared" si="1"/>
        <v>1.611</v>
      </c>
      <c r="J37" s="22" t="s">
        <v>15</v>
      </c>
      <c r="K37" s="6">
        <f t="shared" si="11"/>
        <v>0.53</v>
      </c>
      <c r="L37" s="9">
        <v>1.0229999999999999</v>
      </c>
    </row>
    <row r="38" spans="1:19" ht="14.25" customHeight="1" x14ac:dyDescent="0.2">
      <c r="A38" s="25" t="s">
        <v>61</v>
      </c>
      <c r="B38" s="5" t="s">
        <v>86</v>
      </c>
      <c r="C38" s="6">
        <f>VLOOKUP($B38,$A$3:$F$10,3,0)</f>
        <v>0.42799999999999999</v>
      </c>
      <c r="D38" s="6">
        <f>VLOOKUP($B38,$A$3:$F$10,4,0)</f>
        <v>0</v>
      </c>
      <c r="E38" s="6">
        <f>VLOOKUP($B38,$A$3:$F$10,5,0)</f>
        <v>0.39800000000000002</v>
      </c>
      <c r="F38" s="6">
        <f>VLOOKUP($B38,$A$3:$F$10,6,0)</f>
        <v>34</v>
      </c>
      <c r="G38" s="20" t="s">
        <v>113</v>
      </c>
      <c r="H38" s="20">
        <f t="shared" si="0"/>
        <v>1.28</v>
      </c>
      <c r="I38" s="20">
        <f t="shared" si="1"/>
        <v>1.611</v>
      </c>
      <c r="J38" s="22" t="s">
        <v>17</v>
      </c>
      <c r="K38" s="6">
        <f t="shared" si="11"/>
        <v>0.54600000000000004</v>
      </c>
      <c r="L38" s="9">
        <v>1.0229999999999999</v>
      </c>
    </row>
    <row r="39" spans="1:19" x14ac:dyDescent="0.2">
      <c r="A39" s="25" t="s">
        <v>60</v>
      </c>
      <c r="B39" s="6"/>
      <c r="C39" s="6"/>
      <c r="D39" s="6"/>
      <c r="E39" s="6"/>
      <c r="F39" s="6"/>
      <c r="G39" s="20" t="s">
        <v>113</v>
      </c>
      <c r="H39" s="20">
        <f t="shared" si="0"/>
        <v>1.28</v>
      </c>
      <c r="I39" s="20">
        <f t="shared" si="1"/>
        <v>1.611</v>
      </c>
      <c r="J39" s="20" t="s">
        <v>25</v>
      </c>
      <c r="K39" s="6">
        <f t="shared" si="11"/>
        <v>0.35</v>
      </c>
      <c r="L39" s="9">
        <v>1.0229999999999999</v>
      </c>
    </row>
    <row r="40" spans="1:19" x14ac:dyDescent="0.2">
      <c r="A40" s="25" t="s">
        <v>103</v>
      </c>
      <c r="B40" s="9" t="s">
        <v>31</v>
      </c>
      <c r="C40" s="6">
        <f t="shared" ref="C40:C49" si="12">VLOOKUP($B40,$A$3:$F$10,3,0)</f>
        <v>0.311</v>
      </c>
      <c r="D40" s="6">
        <f t="shared" ref="D40:D49" si="13">VLOOKUP($B40,$A$3:$F$10,4,0)</f>
        <v>4.0499999999999998E-4</v>
      </c>
      <c r="E40" s="6">
        <f t="shared" ref="E40:E49" si="14">VLOOKUP($B40,$A$3:$F$10,5,0)</f>
        <v>0.34</v>
      </c>
      <c r="F40" s="6">
        <f t="shared" ref="F40:F49" si="15">VLOOKUP($B40,$A$3:$F$10,6,0)</f>
        <v>191</v>
      </c>
      <c r="G40" s="22" t="s">
        <v>114</v>
      </c>
      <c r="H40" s="20">
        <f t="shared" si="0"/>
        <v>1.3</v>
      </c>
      <c r="I40" s="20">
        <f t="shared" si="1"/>
        <v>1.335</v>
      </c>
      <c r="J40" s="20" t="s">
        <v>22</v>
      </c>
      <c r="K40" s="6">
        <f t="shared" si="11"/>
        <v>0.44</v>
      </c>
      <c r="L40" s="9">
        <v>1.1200000000000001</v>
      </c>
    </row>
    <row r="41" spans="1:19" x14ac:dyDescent="0.2">
      <c r="A41" s="25" t="s">
        <v>104</v>
      </c>
      <c r="B41" s="9" t="s">
        <v>31</v>
      </c>
      <c r="C41" s="6">
        <f t="shared" si="12"/>
        <v>0.311</v>
      </c>
      <c r="D41" s="6">
        <f t="shared" si="13"/>
        <v>4.0499999999999998E-4</v>
      </c>
      <c r="E41" s="6">
        <f t="shared" si="14"/>
        <v>0.34</v>
      </c>
      <c r="F41" s="6">
        <f t="shared" si="15"/>
        <v>191</v>
      </c>
      <c r="G41" s="22" t="s">
        <v>114</v>
      </c>
      <c r="H41" s="20">
        <f t="shared" si="0"/>
        <v>1.3</v>
      </c>
      <c r="I41" s="20">
        <f t="shared" si="1"/>
        <v>1.335</v>
      </c>
      <c r="J41" s="20" t="s">
        <v>22</v>
      </c>
      <c r="K41" s="6">
        <f t="shared" si="11"/>
        <v>0.44</v>
      </c>
      <c r="L41" s="9">
        <v>1.1200000000000001</v>
      </c>
    </row>
    <row r="42" spans="1:19" x14ac:dyDescent="0.2">
      <c r="A42" s="25" t="s">
        <v>105</v>
      </c>
      <c r="B42" s="9" t="s">
        <v>31</v>
      </c>
      <c r="C42" s="6">
        <f t="shared" si="12"/>
        <v>0.311</v>
      </c>
      <c r="D42" s="6">
        <f t="shared" si="13"/>
        <v>4.0499999999999998E-4</v>
      </c>
      <c r="E42" s="6">
        <f t="shared" si="14"/>
        <v>0.34</v>
      </c>
      <c r="F42" s="6">
        <f t="shared" si="15"/>
        <v>191</v>
      </c>
      <c r="G42" s="22" t="s">
        <v>114</v>
      </c>
      <c r="H42" s="20">
        <f t="shared" si="0"/>
        <v>1.3</v>
      </c>
      <c r="I42" s="20">
        <f t="shared" si="1"/>
        <v>1.335</v>
      </c>
      <c r="J42" s="20" t="s">
        <v>22</v>
      </c>
      <c r="K42" s="6">
        <f t="shared" si="11"/>
        <v>0.44</v>
      </c>
      <c r="L42" s="9">
        <v>1.1200000000000001</v>
      </c>
    </row>
    <row r="43" spans="1:19" x14ac:dyDescent="0.2">
      <c r="A43" s="25" t="s">
        <v>0</v>
      </c>
      <c r="B43" s="9" t="s">
        <v>31</v>
      </c>
      <c r="C43" s="6">
        <f t="shared" si="12"/>
        <v>0.311</v>
      </c>
      <c r="D43" s="6">
        <f t="shared" si="13"/>
        <v>4.0499999999999998E-4</v>
      </c>
      <c r="E43" s="6">
        <f t="shared" si="14"/>
        <v>0.34</v>
      </c>
      <c r="F43" s="6">
        <f t="shared" si="15"/>
        <v>191</v>
      </c>
      <c r="G43" s="22" t="s">
        <v>114</v>
      </c>
      <c r="H43" s="20">
        <f t="shared" si="0"/>
        <v>1.3</v>
      </c>
      <c r="I43" s="20">
        <f t="shared" si="1"/>
        <v>1.335</v>
      </c>
      <c r="J43" s="20" t="s">
        <v>22</v>
      </c>
      <c r="K43" s="6">
        <f t="shared" si="11"/>
        <v>0.44</v>
      </c>
      <c r="L43" s="9">
        <v>1.1200000000000001</v>
      </c>
    </row>
    <row r="44" spans="1:19" x14ac:dyDescent="0.2">
      <c r="A44" s="25" t="s">
        <v>66</v>
      </c>
      <c r="B44" s="5" t="s">
        <v>86</v>
      </c>
      <c r="C44" s="6">
        <f t="shared" si="12"/>
        <v>0.42799999999999999</v>
      </c>
      <c r="D44" s="6">
        <f t="shared" si="13"/>
        <v>0</v>
      </c>
      <c r="E44" s="6">
        <f t="shared" si="14"/>
        <v>0.39800000000000002</v>
      </c>
      <c r="F44" s="6">
        <f t="shared" si="15"/>
        <v>34</v>
      </c>
      <c r="G44" s="20" t="s">
        <v>113</v>
      </c>
      <c r="H44" s="20">
        <f t="shared" si="0"/>
        <v>1.28</v>
      </c>
      <c r="I44" s="20">
        <f t="shared" si="1"/>
        <v>1.611</v>
      </c>
      <c r="J44" s="20" t="s">
        <v>28</v>
      </c>
      <c r="K44" s="6">
        <f t="shared" si="11"/>
        <v>0.57999999999999996</v>
      </c>
      <c r="L44" s="9">
        <v>1.107</v>
      </c>
    </row>
    <row r="45" spans="1:19" x14ac:dyDescent="0.2">
      <c r="A45" s="25" t="s">
        <v>68</v>
      </c>
      <c r="B45" s="9" t="s">
        <v>32</v>
      </c>
      <c r="C45" s="6">
        <f t="shared" si="12"/>
        <v>0.55000000000000004</v>
      </c>
      <c r="D45" s="6">
        <f t="shared" si="13"/>
        <v>-7.4899999999999999E-4</v>
      </c>
      <c r="E45" s="6">
        <f t="shared" si="14"/>
        <v>0.27700000000000002</v>
      </c>
      <c r="F45" s="6">
        <f t="shared" si="15"/>
        <v>0</v>
      </c>
      <c r="G45" s="22" t="s">
        <v>114</v>
      </c>
      <c r="H45" s="20">
        <f t="shared" si="0"/>
        <v>1.3</v>
      </c>
      <c r="I45" s="20">
        <f t="shared" si="1"/>
        <v>1.335</v>
      </c>
      <c r="J45" s="20" t="s">
        <v>7</v>
      </c>
      <c r="K45" s="6">
        <f t="shared" si="11"/>
        <v>0.4</v>
      </c>
      <c r="L45" s="9">
        <v>1.0629999999999999</v>
      </c>
    </row>
    <row r="46" spans="1:19" x14ac:dyDescent="0.2">
      <c r="A46" s="25" t="s">
        <v>69</v>
      </c>
      <c r="B46" s="9" t="s">
        <v>32</v>
      </c>
      <c r="C46" s="6">
        <f t="shared" si="12"/>
        <v>0.55000000000000004</v>
      </c>
      <c r="D46" s="6">
        <f t="shared" si="13"/>
        <v>-7.4899999999999999E-4</v>
      </c>
      <c r="E46" s="6">
        <f t="shared" si="14"/>
        <v>0.27700000000000002</v>
      </c>
      <c r="F46" s="6">
        <f t="shared" si="15"/>
        <v>0</v>
      </c>
      <c r="G46" s="22" t="s">
        <v>114</v>
      </c>
      <c r="H46" s="20">
        <f t="shared" si="0"/>
        <v>1.3</v>
      </c>
      <c r="I46" s="20">
        <f t="shared" si="1"/>
        <v>1.335</v>
      </c>
      <c r="J46" s="20" t="s">
        <v>7</v>
      </c>
      <c r="K46" s="6">
        <f t="shared" si="11"/>
        <v>0.4</v>
      </c>
      <c r="L46" s="6">
        <v>1.0629999999999999</v>
      </c>
    </row>
    <row r="47" spans="1:19" x14ac:dyDescent="0.2">
      <c r="A47" s="25" t="s">
        <v>59</v>
      </c>
      <c r="B47" s="5" t="s">
        <v>86</v>
      </c>
      <c r="C47" s="6">
        <f t="shared" si="12"/>
        <v>0.42799999999999999</v>
      </c>
      <c r="D47" s="6">
        <f t="shared" si="13"/>
        <v>0</v>
      </c>
      <c r="E47" s="6">
        <f t="shared" si="14"/>
        <v>0.39800000000000002</v>
      </c>
      <c r="F47" s="6">
        <f t="shared" si="15"/>
        <v>34</v>
      </c>
      <c r="G47" s="20" t="s">
        <v>113</v>
      </c>
      <c r="H47" s="20">
        <f t="shared" si="0"/>
        <v>1.28</v>
      </c>
      <c r="I47" s="20">
        <f t="shared" si="1"/>
        <v>1.611</v>
      </c>
      <c r="J47" s="22" t="s">
        <v>29</v>
      </c>
      <c r="K47" s="6">
        <f t="shared" si="11"/>
        <v>0.45</v>
      </c>
      <c r="L47" s="9">
        <v>1.0229999999999999</v>
      </c>
    </row>
    <row r="48" spans="1:19" x14ac:dyDescent="0.2">
      <c r="A48" s="25" t="s">
        <v>106</v>
      </c>
      <c r="B48" s="5" t="s">
        <v>86</v>
      </c>
      <c r="C48" s="6">
        <f t="shared" si="12"/>
        <v>0.42799999999999999</v>
      </c>
      <c r="D48" s="6">
        <f t="shared" si="13"/>
        <v>0</v>
      </c>
      <c r="E48" s="6">
        <f t="shared" si="14"/>
        <v>0.39800000000000002</v>
      </c>
      <c r="F48" s="6">
        <f t="shared" si="15"/>
        <v>34</v>
      </c>
      <c r="G48" s="20" t="s">
        <v>113</v>
      </c>
      <c r="H48" s="20">
        <f t="shared" si="0"/>
        <v>1.28</v>
      </c>
      <c r="I48" s="20">
        <f t="shared" si="1"/>
        <v>1.611</v>
      </c>
      <c r="J48" s="22" t="s">
        <v>30</v>
      </c>
      <c r="K48" s="6">
        <f t="shared" si="11"/>
        <v>0.43</v>
      </c>
      <c r="L48" s="9">
        <v>1.0229999999999999</v>
      </c>
    </row>
    <row r="49" spans="1:12" x14ac:dyDescent="0.2">
      <c r="A49" s="25" t="s">
        <v>107</v>
      </c>
      <c r="B49" s="5" t="s">
        <v>86</v>
      </c>
      <c r="C49" s="6">
        <f t="shared" si="12"/>
        <v>0.42799999999999999</v>
      </c>
      <c r="D49" s="6">
        <f t="shared" si="13"/>
        <v>0</v>
      </c>
      <c r="E49" s="6">
        <f t="shared" si="14"/>
        <v>0.39800000000000002</v>
      </c>
      <c r="F49" s="6">
        <f t="shared" si="15"/>
        <v>34</v>
      </c>
      <c r="G49" s="20" t="s">
        <v>113</v>
      </c>
      <c r="H49" s="20">
        <f t="shared" si="0"/>
        <v>1.28</v>
      </c>
      <c r="I49" s="20">
        <f t="shared" si="1"/>
        <v>1.611</v>
      </c>
      <c r="J49" s="20" t="s">
        <v>25</v>
      </c>
      <c r="K49" s="6">
        <f t="shared" si="11"/>
        <v>0.35</v>
      </c>
      <c r="L49" s="9">
        <v>1.0229999999999999</v>
      </c>
    </row>
    <row r="50" spans="1:12" x14ac:dyDescent="0.2">
      <c r="K50" s="11"/>
    </row>
    <row r="51" spans="1:12" x14ac:dyDescent="0.2">
      <c r="K51" s="11"/>
    </row>
    <row r="52" spans="1:12" x14ac:dyDescent="0.2">
      <c r="K52" s="11"/>
    </row>
    <row r="53" spans="1:12" x14ac:dyDescent="0.2">
      <c r="K53" s="11"/>
    </row>
    <row r="54" spans="1:12" x14ac:dyDescent="0.2">
      <c r="K54" s="11"/>
    </row>
    <row r="55" spans="1:12" x14ac:dyDescent="0.2">
      <c r="K55" s="11"/>
    </row>
    <row r="56" spans="1:12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1">
    <mergeCell ref="A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topLeftCell="A74" workbookViewId="0">
      <selection activeCell="D22" sqref="D22:D106"/>
    </sheetView>
  </sheetViews>
  <sheetFormatPr baseColWidth="10" defaultRowHeight="12.75" x14ac:dyDescent="0.2"/>
  <sheetData>
    <row r="2" spans="1:6" x14ac:dyDescent="0.2">
      <c r="A2">
        <v>0</v>
      </c>
      <c r="C2">
        <v>0</v>
      </c>
    </row>
    <row r="3" spans="1:6" x14ac:dyDescent="0.2">
      <c r="A3">
        <v>1</v>
      </c>
      <c r="B3">
        <v>0.5</v>
      </c>
      <c r="C3">
        <f>C2+B3</f>
        <v>0.5</v>
      </c>
    </row>
    <row r="4" spans="1:6" x14ac:dyDescent="0.2">
      <c r="A4">
        <v>2</v>
      </c>
      <c r="B4">
        <v>0.5</v>
      </c>
      <c r="C4">
        <f>B4+C3</f>
        <v>1</v>
      </c>
    </row>
    <row r="5" spans="1:6" x14ac:dyDescent="0.2">
      <c r="A5">
        <v>3</v>
      </c>
      <c r="B5">
        <v>0.5</v>
      </c>
      <c r="C5">
        <f t="shared" ref="C5:C21" si="0">B5+C4</f>
        <v>1.5</v>
      </c>
    </row>
    <row r="6" spans="1:6" x14ac:dyDescent="0.2">
      <c r="A6">
        <v>4</v>
      </c>
      <c r="B6">
        <v>1</v>
      </c>
      <c r="C6">
        <f t="shared" si="0"/>
        <v>2.5</v>
      </c>
    </row>
    <row r="7" spans="1:6" x14ac:dyDescent="0.2">
      <c r="A7">
        <v>5</v>
      </c>
      <c r="B7">
        <v>1.5</v>
      </c>
      <c r="C7">
        <f t="shared" si="0"/>
        <v>4</v>
      </c>
    </row>
    <row r="8" spans="1:6" x14ac:dyDescent="0.2">
      <c r="A8">
        <v>6</v>
      </c>
      <c r="B8">
        <v>2</v>
      </c>
      <c r="C8">
        <f t="shared" si="0"/>
        <v>6</v>
      </c>
    </row>
    <row r="9" spans="1:6" x14ac:dyDescent="0.2">
      <c r="A9">
        <v>7</v>
      </c>
      <c r="B9">
        <v>3</v>
      </c>
      <c r="C9">
        <f t="shared" si="0"/>
        <v>9</v>
      </c>
    </row>
    <row r="10" spans="1:6" x14ac:dyDescent="0.2">
      <c r="A10">
        <v>8</v>
      </c>
      <c r="B10">
        <v>4</v>
      </c>
      <c r="C10">
        <f t="shared" si="0"/>
        <v>13</v>
      </c>
    </row>
    <row r="11" spans="1:6" x14ac:dyDescent="0.2">
      <c r="A11">
        <v>9</v>
      </c>
      <c r="B11">
        <v>5</v>
      </c>
      <c r="C11">
        <f t="shared" si="0"/>
        <v>18</v>
      </c>
    </row>
    <row r="12" spans="1:6" x14ac:dyDescent="0.2">
      <c r="A12">
        <v>10</v>
      </c>
      <c r="B12">
        <v>6</v>
      </c>
      <c r="C12">
        <f t="shared" si="0"/>
        <v>24</v>
      </c>
    </row>
    <row r="13" spans="1:6" x14ac:dyDescent="0.2">
      <c r="A13">
        <v>11</v>
      </c>
      <c r="B13">
        <v>8</v>
      </c>
      <c r="C13">
        <f t="shared" si="0"/>
        <v>32</v>
      </c>
    </row>
    <row r="14" spans="1:6" x14ac:dyDescent="0.2">
      <c r="A14">
        <v>12</v>
      </c>
      <c r="B14">
        <v>9</v>
      </c>
      <c r="C14">
        <f t="shared" si="0"/>
        <v>41</v>
      </c>
    </row>
    <row r="15" spans="1:6" x14ac:dyDescent="0.2">
      <c r="A15">
        <v>13</v>
      </c>
      <c r="B15">
        <v>10</v>
      </c>
      <c r="C15">
        <f t="shared" si="0"/>
        <v>51</v>
      </c>
    </row>
    <row r="16" spans="1:6" x14ac:dyDescent="0.2">
      <c r="A16">
        <v>14</v>
      </c>
      <c r="B16">
        <v>11</v>
      </c>
      <c r="C16">
        <f t="shared" si="0"/>
        <v>62</v>
      </c>
      <c r="F16" s="91"/>
    </row>
    <row r="17" spans="1:6" x14ac:dyDescent="0.2">
      <c r="A17">
        <v>15</v>
      </c>
      <c r="B17">
        <v>11</v>
      </c>
      <c r="C17">
        <f t="shared" si="0"/>
        <v>73</v>
      </c>
      <c r="F17" s="95"/>
    </row>
    <row r="18" spans="1:6" x14ac:dyDescent="0.2">
      <c r="A18">
        <v>16</v>
      </c>
      <c r="B18">
        <v>11.5</v>
      </c>
      <c r="C18">
        <f t="shared" si="0"/>
        <v>84.5</v>
      </c>
      <c r="F18" s="95"/>
    </row>
    <row r="19" spans="1:6" x14ac:dyDescent="0.2">
      <c r="A19">
        <v>17</v>
      </c>
      <c r="B19">
        <v>11.5</v>
      </c>
      <c r="C19">
        <f t="shared" si="0"/>
        <v>96</v>
      </c>
      <c r="F19" s="95"/>
    </row>
    <row r="20" spans="1:6" x14ac:dyDescent="0.2">
      <c r="A20">
        <v>18</v>
      </c>
      <c r="B20">
        <v>12</v>
      </c>
      <c r="C20">
        <f t="shared" si="0"/>
        <v>108</v>
      </c>
      <c r="F20" s="95"/>
    </row>
    <row r="21" spans="1:6" x14ac:dyDescent="0.2">
      <c r="A21">
        <v>19</v>
      </c>
      <c r="B21">
        <v>12</v>
      </c>
      <c r="C21">
        <f t="shared" si="0"/>
        <v>120</v>
      </c>
      <c r="F21" s="95"/>
    </row>
    <row r="22" spans="1:6" x14ac:dyDescent="0.2">
      <c r="A22" s="92">
        <v>20</v>
      </c>
      <c r="B22">
        <v>12</v>
      </c>
      <c r="C22" s="92">
        <v>132</v>
      </c>
      <c r="D22" s="92">
        <v>50</v>
      </c>
      <c r="E22" s="92">
        <f>C22-D22</f>
        <v>82</v>
      </c>
      <c r="F22" s="94">
        <f>D22/C22</f>
        <v>0.37878787878787878</v>
      </c>
    </row>
    <row r="23" spans="1:6" x14ac:dyDescent="0.2">
      <c r="A23">
        <v>20</v>
      </c>
      <c r="C23">
        <f>E22</f>
        <v>82</v>
      </c>
      <c r="F23" s="95"/>
    </row>
    <row r="24" spans="1:6" x14ac:dyDescent="0.2">
      <c r="A24">
        <v>21</v>
      </c>
      <c r="B24">
        <f>C24-C23</f>
        <v>12.200000000000003</v>
      </c>
      <c r="C24">
        <f>$C$23+(A24-$A$23)*($C$28-$C$23)/($A$28-$A$23)</f>
        <v>94.2</v>
      </c>
      <c r="F24" s="95"/>
    </row>
    <row r="25" spans="1:6" x14ac:dyDescent="0.2">
      <c r="A25">
        <v>22</v>
      </c>
      <c r="B25">
        <f t="shared" ref="B25:B28" si="1">C25-C24</f>
        <v>12.200000000000003</v>
      </c>
      <c r="C25">
        <f t="shared" ref="C25:C27" si="2">$C$23+(A25-$A$23)*($C$28-$C$23)/($A$28-$A$23)</f>
        <v>106.4</v>
      </c>
      <c r="F25" s="95"/>
    </row>
    <row r="26" spans="1:6" x14ac:dyDescent="0.2">
      <c r="A26">
        <v>23</v>
      </c>
      <c r="B26">
        <f t="shared" si="1"/>
        <v>12.199999999999989</v>
      </c>
      <c r="C26">
        <f t="shared" si="2"/>
        <v>118.6</v>
      </c>
      <c r="F26" s="95"/>
    </row>
    <row r="27" spans="1:6" x14ac:dyDescent="0.2">
      <c r="A27">
        <v>24</v>
      </c>
      <c r="B27">
        <f t="shared" si="1"/>
        <v>12.200000000000017</v>
      </c>
      <c r="C27">
        <f t="shared" si="2"/>
        <v>130.80000000000001</v>
      </c>
      <c r="F27" s="95"/>
    </row>
    <row r="28" spans="1:6" x14ac:dyDescent="0.2">
      <c r="A28" s="92">
        <v>25</v>
      </c>
      <c r="B28">
        <f t="shared" si="1"/>
        <v>12.199999999999989</v>
      </c>
      <c r="C28" s="92">
        <v>143</v>
      </c>
      <c r="D28" s="92">
        <v>37</v>
      </c>
      <c r="E28" s="92">
        <f>C28-D28</f>
        <v>106</v>
      </c>
      <c r="F28" s="94">
        <f>D28/C28</f>
        <v>0.25874125874125875</v>
      </c>
    </row>
    <row r="29" spans="1:6" x14ac:dyDescent="0.2">
      <c r="A29">
        <v>25</v>
      </c>
      <c r="C29">
        <f>E28</f>
        <v>106</v>
      </c>
      <c r="F29" s="95"/>
    </row>
    <row r="30" spans="1:6" x14ac:dyDescent="0.2">
      <c r="A30">
        <v>26</v>
      </c>
      <c r="B30">
        <f>C30-C29</f>
        <v>11.400000000000006</v>
      </c>
      <c r="C30">
        <f>$C$29+(A30-$A$29)*($C$34-$C$29)/($A$34-$A$29)</f>
        <v>117.4</v>
      </c>
      <c r="F30" s="95"/>
    </row>
    <row r="31" spans="1:6" x14ac:dyDescent="0.2">
      <c r="A31">
        <v>27</v>
      </c>
      <c r="B31">
        <f t="shared" ref="B31:B34" si="3">C31-C30</f>
        <v>11.400000000000006</v>
      </c>
      <c r="C31">
        <f t="shared" ref="C31:C33" si="4">$C$29+(A31-$A$29)*($C$34-$C$29)/($A$34-$A$29)</f>
        <v>128.80000000000001</v>
      </c>
      <c r="F31" s="95"/>
    </row>
    <row r="32" spans="1:6" x14ac:dyDescent="0.2">
      <c r="A32">
        <v>28</v>
      </c>
      <c r="B32">
        <f t="shared" si="3"/>
        <v>11.399999999999977</v>
      </c>
      <c r="C32">
        <f t="shared" si="4"/>
        <v>140.19999999999999</v>
      </c>
      <c r="F32" s="95"/>
    </row>
    <row r="33" spans="1:6" x14ac:dyDescent="0.2">
      <c r="A33">
        <v>29</v>
      </c>
      <c r="B33">
        <f t="shared" si="3"/>
        <v>11.400000000000006</v>
      </c>
      <c r="C33">
        <f t="shared" si="4"/>
        <v>151.6</v>
      </c>
      <c r="F33" s="95"/>
    </row>
    <row r="34" spans="1:6" x14ac:dyDescent="0.2">
      <c r="A34" s="92">
        <v>30</v>
      </c>
      <c r="B34">
        <f t="shared" si="3"/>
        <v>11.400000000000006</v>
      </c>
      <c r="C34" s="92">
        <v>163</v>
      </c>
      <c r="D34" s="92">
        <v>37</v>
      </c>
      <c r="E34" s="92">
        <f>C34-D34</f>
        <v>126</v>
      </c>
      <c r="F34" s="94">
        <f>D34/C34</f>
        <v>0.22699386503067484</v>
      </c>
    </row>
    <row r="35" spans="1:6" x14ac:dyDescent="0.2">
      <c r="A35">
        <v>30</v>
      </c>
      <c r="C35">
        <f>E34</f>
        <v>126</v>
      </c>
      <c r="F35" s="91"/>
    </row>
    <row r="36" spans="1:6" x14ac:dyDescent="0.2">
      <c r="A36">
        <v>31</v>
      </c>
      <c r="B36">
        <f>C36-C35</f>
        <v>10.599999999999994</v>
      </c>
      <c r="C36">
        <f>$C$35+(A36-$A$35)*($C$40-$C$35)/($A$40-$A$35)</f>
        <v>136.6</v>
      </c>
      <c r="F36" s="91"/>
    </row>
    <row r="37" spans="1:6" x14ac:dyDescent="0.2">
      <c r="A37">
        <v>32</v>
      </c>
      <c r="B37">
        <f t="shared" ref="B37:B40" si="5">C37-C36</f>
        <v>10.599999999999994</v>
      </c>
      <c r="C37">
        <f t="shared" ref="C37:C39" si="6">$C$35+(A37-$A$35)*($C$40-$C$35)/($A$40-$A$35)</f>
        <v>147.19999999999999</v>
      </c>
      <c r="F37" s="91"/>
    </row>
    <row r="38" spans="1:6" x14ac:dyDescent="0.2">
      <c r="A38">
        <v>33</v>
      </c>
      <c r="B38">
        <f t="shared" si="5"/>
        <v>10.600000000000023</v>
      </c>
      <c r="C38">
        <f t="shared" si="6"/>
        <v>157.80000000000001</v>
      </c>
      <c r="F38" s="91"/>
    </row>
    <row r="39" spans="1:6" x14ac:dyDescent="0.2">
      <c r="A39">
        <v>34</v>
      </c>
      <c r="B39">
        <f t="shared" si="5"/>
        <v>10.599999999999994</v>
      </c>
      <c r="C39">
        <f t="shared" si="6"/>
        <v>168.4</v>
      </c>
      <c r="F39" s="91"/>
    </row>
    <row r="40" spans="1:6" x14ac:dyDescent="0.2">
      <c r="A40" s="92">
        <v>35</v>
      </c>
      <c r="B40">
        <f t="shared" si="5"/>
        <v>10.599999999999994</v>
      </c>
      <c r="C40" s="92">
        <v>179</v>
      </c>
      <c r="D40" s="92">
        <v>36</v>
      </c>
      <c r="E40" s="92">
        <f>C40-D40</f>
        <v>143</v>
      </c>
      <c r="F40" s="93">
        <f>D40/C40</f>
        <v>0.2011173184357542</v>
      </c>
    </row>
    <row r="41" spans="1:6" x14ac:dyDescent="0.2">
      <c r="A41">
        <v>35</v>
      </c>
      <c r="C41">
        <f>E40</f>
        <v>143</v>
      </c>
      <c r="F41" s="91"/>
    </row>
    <row r="42" spans="1:6" x14ac:dyDescent="0.2">
      <c r="A42">
        <v>36</v>
      </c>
      <c r="B42">
        <f>C42-C41</f>
        <v>9.5999999999999943</v>
      </c>
      <c r="C42">
        <f>$C$41+(A42-$A$41)*($C$46-$C$41)/($A$46-$A$41)</f>
        <v>152.6</v>
      </c>
      <c r="F42" s="91"/>
    </row>
    <row r="43" spans="1:6" x14ac:dyDescent="0.2">
      <c r="A43">
        <v>37</v>
      </c>
      <c r="B43">
        <f t="shared" ref="B43:B46" si="7">C43-C42</f>
        <v>9.5999999999999943</v>
      </c>
      <c r="C43">
        <f t="shared" ref="C43:C45" si="8">$C$41+(A43-$A$41)*($C$46-$C$41)/($A$46-$A$41)</f>
        <v>162.19999999999999</v>
      </c>
      <c r="F43" s="91"/>
    </row>
    <row r="44" spans="1:6" x14ac:dyDescent="0.2">
      <c r="A44">
        <v>38</v>
      </c>
      <c r="B44">
        <f t="shared" si="7"/>
        <v>9.6000000000000227</v>
      </c>
      <c r="C44">
        <f t="shared" si="8"/>
        <v>171.8</v>
      </c>
      <c r="F44" s="91"/>
    </row>
    <row r="45" spans="1:6" x14ac:dyDescent="0.2">
      <c r="A45">
        <v>39</v>
      </c>
      <c r="B45">
        <f t="shared" si="7"/>
        <v>9.5999999999999943</v>
      </c>
      <c r="C45">
        <f t="shared" si="8"/>
        <v>181.4</v>
      </c>
      <c r="F45" s="91"/>
    </row>
    <row r="46" spans="1:6" x14ac:dyDescent="0.2">
      <c r="A46" s="92">
        <v>40</v>
      </c>
      <c r="B46">
        <f t="shared" si="7"/>
        <v>9.5999999999999943</v>
      </c>
      <c r="C46" s="92">
        <v>191</v>
      </c>
      <c r="D46" s="92">
        <v>33</v>
      </c>
      <c r="E46" s="92">
        <v>158</v>
      </c>
      <c r="F46" s="93">
        <f>D46/C46</f>
        <v>0.17277486910994763</v>
      </c>
    </row>
    <row r="47" spans="1:6" x14ac:dyDescent="0.2">
      <c r="A47">
        <v>40</v>
      </c>
      <c r="C47">
        <f>E46</f>
        <v>158</v>
      </c>
      <c r="F47" s="91"/>
    </row>
    <row r="48" spans="1:6" x14ac:dyDescent="0.2">
      <c r="A48">
        <v>41</v>
      </c>
      <c r="B48">
        <f>C48-C47</f>
        <v>8.5999999999999943</v>
      </c>
      <c r="C48">
        <f>$C$47+(A48-$A$47)*($C$52-$C$47)/($A$52-$A$47)</f>
        <v>166.6</v>
      </c>
      <c r="F48" s="91"/>
    </row>
    <row r="49" spans="1:6" x14ac:dyDescent="0.2">
      <c r="A49">
        <v>42</v>
      </c>
      <c r="B49">
        <f t="shared" ref="B49:B51" si="9">C49-C48</f>
        <v>8.5999999999999943</v>
      </c>
      <c r="C49">
        <f t="shared" ref="C49:C51" si="10">$C$47+(A49-$A$47)*($C$52-$C$47)/($A$52-$A$47)</f>
        <v>175.2</v>
      </c>
      <c r="F49" s="91"/>
    </row>
    <row r="50" spans="1:6" x14ac:dyDescent="0.2">
      <c r="A50">
        <v>43</v>
      </c>
      <c r="B50">
        <f t="shared" si="9"/>
        <v>8.6000000000000227</v>
      </c>
      <c r="C50">
        <f t="shared" si="10"/>
        <v>183.8</v>
      </c>
      <c r="F50" s="91"/>
    </row>
    <row r="51" spans="1:6" x14ac:dyDescent="0.2">
      <c r="A51">
        <v>44</v>
      </c>
      <c r="B51">
        <f t="shared" si="9"/>
        <v>8.5999999999999943</v>
      </c>
      <c r="C51">
        <f t="shared" si="10"/>
        <v>192.4</v>
      </c>
      <c r="F51" s="91"/>
    </row>
    <row r="52" spans="1:6" x14ac:dyDescent="0.2">
      <c r="A52" s="92">
        <v>45</v>
      </c>
      <c r="B52">
        <f>C52-C51</f>
        <v>8.5999999999999943</v>
      </c>
      <c r="C52" s="92">
        <v>201</v>
      </c>
      <c r="D52" s="92">
        <v>31</v>
      </c>
      <c r="E52" s="92">
        <f>C52-D52</f>
        <v>170</v>
      </c>
      <c r="F52" s="93">
        <f>D52/C52</f>
        <v>0.15422885572139303</v>
      </c>
    </row>
    <row r="53" spans="1:6" x14ac:dyDescent="0.2">
      <c r="A53" s="97">
        <v>45</v>
      </c>
      <c r="C53">
        <f>E52</f>
        <v>170</v>
      </c>
      <c r="F53" s="91"/>
    </row>
    <row r="54" spans="1:6" x14ac:dyDescent="0.2">
      <c r="A54">
        <v>46</v>
      </c>
      <c r="B54">
        <f>C54-C53</f>
        <v>7.8000000000000114</v>
      </c>
      <c r="C54">
        <f>$C$53+(A54-$A$53)*($C$58-$C$53)/($A$58-$A$53)</f>
        <v>177.8</v>
      </c>
      <c r="F54" s="91"/>
    </row>
    <row r="55" spans="1:6" x14ac:dyDescent="0.2">
      <c r="A55">
        <v>47</v>
      </c>
      <c r="B55">
        <f t="shared" ref="B55:B58" si="11">C55-C54</f>
        <v>7.7999999999999829</v>
      </c>
      <c r="C55">
        <f t="shared" ref="C55:C57" si="12">$C$53+(A55-$A$53)*($C$58-$C$53)/($A$58-$A$53)</f>
        <v>185.6</v>
      </c>
      <c r="F55" s="91"/>
    </row>
    <row r="56" spans="1:6" x14ac:dyDescent="0.2">
      <c r="A56">
        <v>48</v>
      </c>
      <c r="B56">
        <f t="shared" si="11"/>
        <v>7.8000000000000114</v>
      </c>
      <c r="C56">
        <f t="shared" si="12"/>
        <v>193.4</v>
      </c>
      <c r="F56" s="91"/>
    </row>
    <row r="57" spans="1:6" x14ac:dyDescent="0.2">
      <c r="A57">
        <v>49</v>
      </c>
      <c r="B57">
        <f t="shared" si="11"/>
        <v>7.7999999999999829</v>
      </c>
      <c r="C57">
        <f t="shared" si="12"/>
        <v>201.2</v>
      </c>
      <c r="F57" s="91"/>
    </row>
    <row r="58" spans="1:6" x14ac:dyDescent="0.2">
      <c r="A58" s="92">
        <v>50</v>
      </c>
      <c r="B58">
        <f t="shared" si="11"/>
        <v>7.8000000000000114</v>
      </c>
      <c r="C58" s="92">
        <v>209</v>
      </c>
      <c r="D58" s="92">
        <v>28</v>
      </c>
      <c r="E58" s="92">
        <f>C58-D58</f>
        <v>181</v>
      </c>
      <c r="F58" s="93">
        <f>D58/C58</f>
        <v>0.13397129186602871</v>
      </c>
    </row>
    <row r="59" spans="1:6" x14ac:dyDescent="0.2">
      <c r="A59" s="58">
        <v>50</v>
      </c>
      <c r="B59" s="58"/>
      <c r="C59" s="58">
        <f>E58</f>
        <v>181</v>
      </c>
      <c r="D59" s="58"/>
      <c r="E59" s="58"/>
      <c r="F59" s="98"/>
    </row>
    <row r="60" spans="1:6" x14ac:dyDescent="0.2">
      <c r="A60">
        <v>51</v>
      </c>
      <c r="B60" s="58">
        <f>C60-C59</f>
        <v>6.8000000000000114</v>
      </c>
      <c r="C60">
        <f>$C$59+(A60-$A$59)*($C$64-$C$59)/($A$64-$A$59)</f>
        <v>187.8</v>
      </c>
      <c r="F60" s="91"/>
    </row>
    <row r="61" spans="1:6" x14ac:dyDescent="0.2">
      <c r="A61">
        <v>52</v>
      </c>
      <c r="B61" s="58">
        <f t="shared" ref="B61:B64" si="13">C61-C60</f>
        <v>6.7999999999999829</v>
      </c>
      <c r="C61">
        <f t="shared" ref="C61:C63" si="14">$C$59+(A61-$A$59)*($C$64-$C$59)/($A$64-$A$59)</f>
        <v>194.6</v>
      </c>
      <c r="F61" s="91"/>
    </row>
    <row r="62" spans="1:6" x14ac:dyDescent="0.2">
      <c r="A62">
        <v>53</v>
      </c>
      <c r="B62" s="58">
        <f t="shared" si="13"/>
        <v>6.8000000000000114</v>
      </c>
      <c r="C62">
        <f t="shared" si="14"/>
        <v>201.4</v>
      </c>
      <c r="F62" s="91"/>
    </row>
    <row r="63" spans="1:6" x14ac:dyDescent="0.2">
      <c r="A63">
        <v>54</v>
      </c>
      <c r="B63" s="58">
        <f t="shared" si="13"/>
        <v>6.7999999999999829</v>
      </c>
      <c r="C63">
        <f t="shared" si="14"/>
        <v>208.2</v>
      </c>
      <c r="F63" s="91"/>
    </row>
    <row r="64" spans="1:6" x14ac:dyDescent="0.2">
      <c r="A64" s="92">
        <v>55</v>
      </c>
      <c r="B64" s="58">
        <f t="shared" si="13"/>
        <v>6.8000000000000114</v>
      </c>
      <c r="C64" s="92">
        <v>215</v>
      </c>
      <c r="D64" s="92">
        <v>25</v>
      </c>
      <c r="E64" s="92">
        <f>C64-D64</f>
        <v>190</v>
      </c>
      <c r="F64" s="93">
        <f>D64/C64</f>
        <v>0.11627906976744186</v>
      </c>
    </row>
    <row r="65" spans="1:6" x14ac:dyDescent="0.2">
      <c r="A65">
        <v>55</v>
      </c>
      <c r="C65">
        <f>E64</f>
        <v>190</v>
      </c>
      <c r="F65" s="91"/>
    </row>
    <row r="66" spans="1:6" x14ac:dyDescent="0.2">
      <c r="A66">
        <v>56</v>
      </c>
      <c r="B66">
        <f>C66-C65</f>
        <v>6</v>
      </c>
      <c r="C66">
        <f>$C$65+(A66-$A$65)*($C$70-$C$65)/($A$70-$A$65)</f>
        <v>196</v>
      </c>
      <c r="F66" s="91"/>
    </row>
    <row r="67" spans="1:6" x14ac:dyDescent="0.2">
      <c r="A67">
        <v>57</v>
      </c>
      <c r="B67">
        <f t="shared" ref="B67:B70" si="15">C67-C66</f>
        <v>6</v>
      </c>
      <c r="C67">
        <f t="shared" ref="C67:C69" si="16">$C$65+(A67-$A$65)*($C$70-$C$65)/($A$70-$A$65)</f>
        <v>202</v>
      </c>
      <c r="F67" s="91"/>
    </row>
    <row r="68" spans="1:6" x14ac:dyDescent="0.2">
      <c r="A68">
        <v>58</v>
      </c>
      <c r="B68">
        <f t="shared" si="15"/>
        <v>6</v>
      </c>
      <c r="C68">
        <f t="shared" si="16"/>
        <v>208</v>
      </c>
      <c r="F68" s="91"/>
    </row>
    <row r="69" spans="1:6" x14ac:dyDescent="0.2">
      <c r="A69">
        <v>59</v>
      </c>
      <c r="B69">
        <f t="shared" si="15"/>
        <v>6</v>
      </c>
      <c r="C69">
        <f t="shared" si="16"/>
        <v>214</v>
      </c>
      <c r="F69" s="91"/>
    </row>
    <row r="70" spans="1:6" x14ac:dyDescent="0.2">
      <c r="A70" s="92">
        <v>60</v>
      </c>
      <c r="B70">
        <f t="shared" si="15"/>
        <v>6</v>
      </c>
      <c r="C70" s="92">
        <v>220</v>
      </c>
      <c r="D70" s="92">
        <v>22</v>
      </c>
      <c r="E70" s="92">
        <f>C70-D70</f>
        <v>198</v>
      </c>
      <c r="F70" s="93">
        <f>D70/C70</f>
        <v>0.1</v>
      </c>
    </row>
    <row r="71" spans="1:6" x14ac:dyDescent="0.2">
      <c r="A71">
        <v>60</v>
      </c>
      <c r="C71">
        <f>E70</f>
        <v>198</v>
      </c>
      <c r="F71" s="91"/>
    </row>
    <row r="72" spans="1:6" x14ac:dyDescent="0.2">
      <c r="A72">
        <v>61</v>
      </c>
      <c r="B72">
        <f>C72-C71</f>
        <v>5.1999999999999886</v>
      </c>
      <c r="C72">
        <f>$C$71+(A72-$A$71)*($C$76-$C$71)/($A$76-$A$71)</f>
        <v>203.2</v>
      </c>
      <c r="F72" s="91"/>
    </row>
    <row r="73" spans="1:6" x14ac:dyDescent="0.2">
      <c r="A73">
        <v>62</v>
      </c>
      <c r="B73">
        <f t="shared" ref="B73:B76" si="17">C73-C72</f>
        <v>5.2000000000000171</v>
      </c>
      <c r="C73">
        <f t="shared" ref="C73:C75" si="18">$C$71+(A73-$A$71)*($C$76-$C$71)/($A$76-$A$71)</f>
        <v>208.4</v>
      </c>
      <c r="F73" s="91"/>
    </row>
    <row r="74" spans="1:6" x14ac:dyDescent="0.2">
      <c r="A74">
        <v>63</v>
      </c>
      <c r="B74">
        <f t="shared" si="17"/>
        <v>5.1999999999999886</v>
      </c>
      <c r="C74">
        <f t="shared" si="18"/>
        <v>213.6</v>
      </c>
      <c r="F74" s="91"/>
    </row>
    <row r="75" spans="1:6" x14ac:dyDescent="0.2">
      <c r="A75">
        <v>64</v>
      </c>
      <c r="B75">
        <f t="shared" si="17"/>
        <v>5.2000000000000171</v>
      </c>
      <c r="C75">
        <f t="shared" si="18"/>
        <v>218.8</v>
      </c>
      <c r="F75" s="91"/>
    </row>
    <row r="76" spans="1:6" x14ac:dyDescent="0.2">
      <c r="A76" s="92">
        <v>65</v>
      </c>
      <c r="B76">
        <f t="shared" si="17"/>
        <v>5.1999999999999886</v>
      </c>
      <c r="C76" s="92">
        <v>224</v>
      </c>
      <c r="D76" s="92">
        <v>20</v>
      </c>
      <c r="E76" s="92">
        <f>C76-D76</f>
        <v>204</v>
      </c>
      <c r="F76" s="93">
        <f>D76/C76</f>
        <v>8.9285714285714288E-2</v>
      </c>
    </row>
    <row r="77" spans="1:6" x14ac:dyDescent="0.2">
      <c r="A77" s="58">
        <v>65</v>
      </c>
      <c r="B77" s="58"/>
      <c r="C77" s="58">
        <f>E76</f>
        <v>204</v>
      </c>
      <c r="D77" s="58"/>
      <c r="E77" s="58"/>
      <c r="F77" s="98"/>
    </row>
    <row r="78" spans="1:6" x14ac:dyDescent="0.2">
      <c r="A78">
        <v>66</v>
      </c>
      <c r="B78" s="58">
        <f>C78-C77</f>
        <v>4.5999999999999943</v>
      </c>
      <c r="C78">
        <f>$C$77+(A78-$A$77)*(C$82-$C$77)/($A$82-$A$77)</f>
        <v>208.6</v>
      </c>
      <c r="F78" s="91"/>
    </row>
    <row r="79" spans="1:6" x14ac:dyDescent="0.2">
      <c r="A79">
        <v>67</v>
      </c>
      <c r="B79" s="58">
        <f t="shared" ref="B79:B82" si="19">C79-C78</f>
        <v>4.5999999999999943</v>
      </c>
      <c r="C79">
        <f t="shared" ref="C79:C81" si="20">$C$77+(A79-$A$77)*(C$82-$C$77)/($A$82-$A$77)</f>
        <v>213.2</v>
      </c>
      <c r="F79" s="91"/>
    </row>
    <row r="80" spans="1:6" x14ac:dyDescent="0.2">
      <c r="A80">
        <v>68</v>
      </c>
      <c r="B80" s="58">
        <f t="shared" si="19"/>
        <v>4.6000000000000227</v>
      </c>
      <c r="C80">
        <f t="shared" si="20"/>
        <v>217.8</v>
      </c>
      <c r="F80" s="91"/>
    </row>
    <row r="81" spans="1:6" x14ac:dyDescent="0.2">
      <c r="A81">
        <v>69</v>
      </c>
      <c r="B81" s="58">
        <f t="shared" si="19"/>
        <v>4.5999999999999943</v>
      </c>
      <c r="C81">
        <f t="shared" si="20"/>
        <v>222.4</v>
      </c>
      <c r="F81" s="91"/>
    </row>
    <row r="82" spans="1:6" x14ac:dyDescent="0.2">
      <c r="A82" s="92">
        <v>70</v>
      </c>
      <c r="B82" s="58">
        <f t="shared" si="19"/>
        <v>4.5999999999999943</v>
      </c>
      <c r="C82" s="92">
        <v>227</v>
      </c>
      <c r="D82" s="92">
        <v>17</v>
      </c>
      <c r="E82" s="92">
        <f>C82-D82</f>
        <v>210</v>
      </c>
      <c r="F82" s="93">
        <f>D82/C82</f>
        <v>7.4889867841409691E-2</v>
      </c>
    </row>
    <row r="83" spans="1:6" x14ac:dyDescent="0.2">
      <c r="A83" s="92">
        <v>70</v>
      </c>
      <c r="B83" s="58"/>
      <c r="C83">
        <f>E82</f>
        <v>210</v>
      </c>
      <c r="D83" s="92"/>
      <c r="E83" s="92"/>
      <c r="F83" s="93"/>
    </row>
    <row r="84" spans="1:6" x14ac:dyDescent="0.2">
      <c r="A84">
        <v>71</v>
      </c>
      <c r="B84" s="58">
        <f>C84-C83</f>
        <v>4</v>
      </c>
      <c r="C84">
        <f>$C$83+(A84-$A$83)*($C$88-$C$83)/($A$88-$A$83)</f>
        <v>214</v>
      </c>
      <c r="F84" s="91"/>
    </row>
    <row r="85" spans="1:6" x14ac:dyDescent="0.2">
      <c r="A85">
        <v>72</v>
      </c>
      <c r="B85" s="58">
        <f t="shared" ref="B85:B88" si="21">C85-C84</f>
        <v>4</v>
      </c>
      <c r="C85">
        <f>$C$84+(A85-$A$84)*($C$88-$C$84)/($A$88-$A$84)</f>
        <v>218</v>
      </c>
      <c r="F85" s="91"/>
    </row>
    <row r="86" spans="1:6" x14ac:dyDescent="0.2">
      <c r="A86">
        <v>73</v>
      </c>
      <c r="B86" s="58">
        <f t="shared" si="21"/>
        <v>4</v>
      </c>
      <c r="C86">
        <f t="shared" ref="C86:C87" si="22">$C$84+(A86-$A$84)*($C$88-$C$84)/($A$88-$A$84)</f>
        <v>222</v>
      </c>
      <c r="F86" s="91"/>
    </row>
    <row r="87" spans="1:6" x14ac:dyDescent="0.2">
      <c r="A87">
        <v>74</v>
      </c>
      <c r="B87" s="58">
        <f t="shared" si="21"/>
        <v>4</v>
      </c>
      <c r="C87">
        <f t="shared" si="22"/>
        <v>226</v>
      </c>
      <c r="F87" s="91"/>
    </row>
    <row r="88" spans="1:6" x14ac:dyDescent="0.2">
      <c r="A88" s="92">
        <v>75</v>
      </c>
      <c r="B88" s="58">
        <f t="shared" si="21"/>
        <v>4</v>
      </c>
      <c r="C88" s="92">
        <v>230</v>
      </c>
      <c r="D88" s="92">
        <v>15</v>
      </c>
      <c r="E88" s="92">
        <f>C88-D88</f>
        <v>215</v>
      </c>
      <c r="F88" s="93">
        <f>D88/C88</f>
        <v>6.5217391304347824E-2</v>
      </c>
    </row>
    <row r="89" spans="1:6" x14ac:dyDescent="0.2">
      <c r="A89">
        <v>75</v>
      </c>
      <c r="C89">
        <f>E88</f>
        <v>215</v>
      </c>
      <c r="F89" s="91"/>
    </row>
    <row r="90" spans="1:6" x14ac:dyDescent="0.2">
      <c r="A90">
        <v>76</v>
      </c>
      <c r="B90">
        <f>C90-C89</f>
        <v>3.4000000000000057</v>
      </c>
      <c r="C90">
        <f>$C$89+(A90-$A$89)*($C$94-$C$89)/($A$94-$A$89)</f>
        <v>218.4</v>
      </c>
      <c r="F90" s="91"/>
    </row>
    <row r="91" spans="1:6" x14ac:dyDescent="0.2">
      <c r="A91">
        <v>77</v>
      </c>
      <c r="B91">
        <f t="shared" ref="B91:B94" si="23">C91-C90</f>
        <v>3.4000000000000057</v>
      </c>
      <c r="C91">
        <f t="shared" ref="C91:C93" si="24">$C$89+(A91-$A$89)*($C$94-$C$89)/($A$94-$A$89)</f>
        <v>221.8</v>
      </c>
      <c r="F91" s="91"/>
    </row>
    <row r="92" spans="1:6" x14ac:dyDescent="0.2">
      <c r="A92">
        <v>78</v>
      </c>
      <c r="B92">
        <f t="shared" si="23"/>
        <v>3.3999999999999773</v>
      </c>
      <c r="C92">
        <f t="shared" si="24"/>
        <v>225.2</v>
      </c>
      <c r="F92" s="91"/>
    </row>
    <row r="93" spans="1:6" x14ac:dyDescent="0.2">
      <c r="A93">
        <v>79</v>
      </c>
      <c r="B93">
        <f t="shared" si="23"/>
        <v>3.4000000000000057</v>
      </c>
      <c r="C93">
        <f t="shared" si="24"/>
        <v>228.6</v>
      </c>
      <c r="F93" s="91"/>
    </row>
    <row r="94" spans="1:6" x14ac:dyDescent="0.2">
      <c r="A94" s="92">
        <v>80</v>
      </c>
      <c r="B94">
        <f t="shared" si="23"/>
        <v>3.4000000000000057</v>
      </c>
      <c r="C94" s="92">
        <v>232</v>
      </c>
      <c r="D94" s="92">
        <v>13</v>
      </c>
      <c r="E94" s="92">
        <f>C94-D94</f>
        <v>219</v>
      </c>
      <c r="F94" s="93">
        <f>D94/C94</f>
        <v>5.6034482758620691E-2</v>
      </c>
    </row>
    <row r="95" spans="1:6" x14ac:dyDescent="0.2">
      <c r="A95">
        <v>80</v>
      </c>
      <c r="C95">
        <f>E94</f>
        <v>219</v>
      </c>
      <c r="F95" s="91"/>
    </row>
    <row r="96" spans="1:6" x14ac:dyDescent="0.2">
      <c r="A96">
        <v>81</v>
      </c>
      <c r="B96">
        <f>C96-C95</f>
        <v>3</v>
      </c>
      <c r="C96">
        <f>$C$95+(A96-$A$95)*($C$100-$C$95)/($A$100-$A$95)</f>
        <v>222</v>
      </c>
      <c r="F96" s="91"/>
    </row>
    <row r="97" spans="1:6" x14ac:dyDescent="0.2">
      <c r="A97">
        <v>82</v>
      </c>
      <c r="B97">
        <f t="shared" ref="B97:B100" si="25">C97-C96</f>
        <v>3</v>
      </c>
      <c r="C97">
        <f t="shared" ref="C97:C99" si="26">$C$95+(A97-$A$95)*($C$100-$C$95)/($A$100-$A$95)</f>
        <v>225</v>
      </c>
      <c r="F97" s="91"/>
    </row>
    <row r="98" spans="1:6" x14ac:dyDescent="0.2">
      <c r="A98">
        <v>83</v>
      </c>
      <c r="B98">
        <f t="shared" si="25"/>
        <v>3</v>
      </c>
      <c r="C98">
        <f t="shared" si="26"/>
        <v>228</v>
      </c>
      <c r="F98" s="91"/>
    </row>
    <row r="99" spans="1:6" x14ac:dyDescent="0.2">
      <c r="A99">
        <v>84</v>
      </c>
      <c r="B99">
        <f t="shared" si="25"/>
        <v>3</v>
      </c>
      <c r="C99">
        <f t="shared" si="26"/>
        <v>231</v>
      </c>
      <c r="F99" s="91"/>
    </row>
    <row r="100" spans="1:6" x14ac:dyDescent="0.2">
      <c r="A100" s="92">
        <v>85</v>
      </c>
      <c r="B100">
        <f t="shared" si="25"/>
        <v>3</v>
      </c>
      <c r="C100" s="92">
        <v>234</v>
      </c>
      <c r="D100" s="92">
        <v>12</v>
      </c>
      <c r="E100" s="92">
        <f>C100-D100</f>
        <v>222</v>
      </c>
      <c r="F100" s="93">
        <f>D100/C100</f>
        <v>5.128205128205128E-2</v>
      </c>
    </row>
    <row r="101" spans="1:6" x14ac:dyDescent="0.2">
      <c r="A101">
        <v>85</v>
      </c>
      <c r="C101">
        <f>E100</f>
        <v>222</v>
      </c>
      <c r="F101" s="91"/>
    </row>
    <row r="102" spans="1:6" x14ac:dyDescent="0.2">
      <c r="A102">
        <v>86</v>
      </c>
      <c r="B102">
        <f>C102-C101</f>
        <v>2.8000000000000114</v>
      </c>
      <c r="C102">
        <f>$C$101+(A102-$A$101)*($C$106-$C$101)/($A$106-$A$101)</f>
        <v>224.8</v>
      </c>
      <c r="F102" s="91"/>
    </row>
    <row r="103" spans="1:6" x14ac:dyDescent="0.2">
      <c r="A103">
        <v>87</v>
      </c>
      <c r="B103">
        <f t="shared" ref="B103:B106" si="27">C103-C102</f>
        <v>2.7999999999999829</v>
      </c>
      <c r="C103">
        <f t="shared" ref="C103:C105" si="28">$C$101+(A103-$A$101)*($C$106-$C$101)/($A$106-$A$101)</f>
        <v>227.6</v>
      </c>
      <c r="F103" s="91"/>
    </row>
    <row r="104" spans="1:6" x14ac:dyDescent="0.2">
      <c r="A104">
        <v>88</v>
      </c>
      <c r="B104">
        <f t="shared" si="27"/>
        <v>2.8000000000000114</v>
      </c>
      <c r="C104">
        <f t="shared" si="28"/>
        <v>230.4</v>
      </c>
      <c r="F104" s="91"/>
    </row>
    <row r="105" spans="1:6" x14ac:dyDescent="0.2">
      <c r="A105">
        <v>89</v>
      </c>
      <c r="B105">
        <f t="shared" si="27"/>
        <v>2.7999999999999829</v>
      </c>
      <c r="C105">
        <f t="shared" si="28"/>
        <v>233.2</v>
      </c>
      <c r="F105" s="91"/>
    </row>
    <row r="106" spans="1:6" x14ac:dyDescent="0.2">
      <c r="A106" s="92">
        <v>90</v>
      </c>
      <c r="B106" s="92">
        <f t="shared" si="27"/>
        <v>2.8000000000000114</v>
      </c>
      <c r="C106" s="92">
        <v>236</v>
      </c>
      <c r="D106" s="92">
        <v>236</v>
      </c>
      <c r="E106" s="92">
        <f>C106-D106</f>
        <v>0</v>
      </c>
      <c r="F106" s="93">
        <f>D106/C106</f>
        <v>1</v>
      </c>
    </row>
    <row r="107" spans="1:6" x14ac:dyDescent="0.2">
      <c r="D107">
        <f>SUM(D22:D106)</f>
        <v>612</v>
      </c>
    </row>
    <row r="108" spans="1:6" x14ac:dyDescent="0.2">
      <c r="D108">
        <f>D107/A106</f>
        <v>6.8</v>
      </c>
      <c r="F108" s="91"/>
    </row>
    <row r="109" spans="1:6" x14ac:dyDescent="0.2">
      <c r="F109" s="91"/>
    </row>
    <row r="110" spans="1:6" x14ac:dyDescent="0.2">
      <c r="F110" s="91"/>
    </row>
    <row r="111" spans="1:6" x14ac:dyDescent="0.2">
      <c r="F111" s="91"/>
    </row>
    <row r="112" spans="1:6" x14ac:dyDescent="0.2">
      <c r="F112" s="91"/>
    </row>
    <row r="113" spans="6:6" x14ac:dyDescent="0.2">
      <c r="F113" s="91"/>
    </row>
    <row r="114" spans="6:6" x14ac:dyDescent="0.2">
      <c r="F114" s="91"/>
    </row>
    <row r="115" spans="6:6" x14ac:dyDescent="0.2">
      <c r="F115" s="91"/>
    </row>
    <row r="116" spans="6:6" x14ac:dyDescent="0.2">
      <c r="F116" s="91"/>
    </row>
    <row r="117" spans="6:6" x14ac:dyDescent="0.2">
      <c r="F117" s="91"/>
    </row>
    <row r="118" spans="6:6" x14ac:dyDescent="0.2">
      <c r="F118" s="91"/>
    </row>
    <row r="119" spans="6:6" x14ac:dyDescent="0.2">
      <c r="F119" s="91"/>
    </row>
    <row r="120" spans="6:6" x14ac:dyDescent="0.2">
      <c r="F120" s="91"/>
    </row>
    <row r="121" spans="6:6" x14ac:dyDescent="0.2">
      <c r="F121" s="91"/>
    </row>
    <row r="122" spans="6:6" x14ac:dyDescent="0.2">
      <c r="F122" s="91"/>
    </row>
    <row r="123" spans="6:6" x14ac:dyDescent="0.2">
      <c r="F123" s="91"/>
    </row>
    <row r="124" spans="6:6" x14ac:dyDescent="0.2">
      <c r="F124" s="91"/>
    </row>
    <row r="125" spans="6:6" x14ac:dyDescent="0.2">
      <c r="F125" s="91"/>
    </row>
    <row r="126" spans="6:6" x14ac:dyDescent="0.2">
      <c r="F126" s="91"/>
    </row>
    <row r="127" spans="6:6" x14ac:dyDescent="0.2">
      <c r="F127" s="91"/>
    </row>
    <row r="128" spans="6:6" x14ac:dyDescent="0.2">
      <c r="F128" s="91"/>
    </row>
    <row r="129" spans="6:6" x14ac:dyDescent="0.2">
      <c r="F129" s="91"/>
    </row>
    <row r="130" spans="6:6" x14ac:dyDescent="0.2">
      <c r="F130" s="91"/>
    </row>
    <row r="131" spans="6:6" x14ac:dyDescent="0.2">
      <c r="F13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Données entrée</vt:lpstr>
      <vt:lpstr>d e affichage</vt:lpstr>
      <vt:lpstr>Modèle</vt:lpstr>
      <vt:lpstr>Paramètres</vt:lpstr>
      <vt:lpstr>Interpolation linéaire</vt:lpstr>
      <vt:lpstr>Paramètres!essences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2020-01-22T16:26:19Z</dcterms:modified>
</cp:coreProperties>
</file>