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+for\Projets C+for\Conception de projets\Mes projets\CNPF C+for n° 166 Morbihan (Région Bretagne n° 1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" i="1" l="1"/>
  <c r="B80" i="1"/>
  <c r="B79" i="1"/>
  <c r="B78" i="1"/>
  <c r="B77" i="1"/>
  <c r="D76" i="1"/>
  <c r="B76" i="1"/>
  <c r="B75" i="1"/>
  <c r="B74" i="1"/>
  <c r="B73" i="1"/>
  <c r="B72" i="1"/>
  <c r="B71" i="1"/>
  <c r="B70" i="1"/>
  <c r="B69" i="1"/>
  <c r="B68" i="1"/>
  <c r="B67" i="1"/>
  <c r="B66" i="1"/>
  <c r="B65" i="1"/>
  <c r="D64" i="1"/>
  <c r="B64" i="1"/>
  <c r="B63" i="1"/>
  <c r="B62" i="1"/>
  <c r="D81" i="1" l="1"/>
  <c r="D80" i="1"/>
  <c r="D79" i="1"/>
  <c r="D78" i="1"/>
  <c r="D77" i="1"/>
  <c r="D74" i="1"/>
  <c r="D72" i="1"/>
  <c r="D70" i="1"/>
  <c r="D68" i="1"/>
  <c r="D66" i="1"/>
  <c r="B126" i="1" l="1"/>
  <c r="D126" i="1" s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D116" i="1"/>
  <c r="B116" i="1"/>
  <c r="B115" i="1"/>
  <c r="B114" i="1"/>
  <c r="B103" i="1"/>
  <c r="D103" i="1" s="1"/>
  <c r="D102" i="1"/>
  <c r="B102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9" i="1"/>
  <c r="B88" i="1"/>
  <c r="D55" i="1" l="1"/>
  <c r="B55" i="1"/>
  <c r="D54" i="1"/>
  <c r="B54" i="1"/>
  <c r="D53" i="1"/>
  <c r="B53" i="1"/>
  <c r="D52" i="1"/>
  <c r="B52" i="1"/>
  <c r="D51" i="1"/>
  <c r="B51" i="1"/>
  <c r="D50" i="1"/>
  <c r="B50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HH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HG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I38" i="2"/>
  <c r="FS38" i="2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W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HG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AB156" i="2"/>
  <c r="ED155" i="2"/>
  <c r="HI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C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DG160" i="2"/>
  <c r="EY159" i="2"/>
  <c r="H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C162" i="2"/>
  <c r="EB162" i="2"/>
  <c r="EW162" i="2"/>
  <c r="EY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A164" i="2"/>
  <c r="ED163" i="2"/>
  <c r="DI163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CN165" i="2"/>
  <c r="HI166" i="2"/>
  <c r="HJ166" i="2" s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C167" i="2"/>
  <c r="FR167" i="2"/>
  <c r="EX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DI167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G172" i="2"/>
  <c r="EW172" i="2"/>
  <c r="EV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G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B179" i="2"/>
  <c r="HI179" i="2"/>
  <c r="EV179" i="2"/>
  <c r="EY179" i="2" s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V185" i="2"/>
  <c r="EW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A186" i="2"/>
  <c r="EB186" i="2"/>
  <c r="FS186" i="2"/>
  <c r="FR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B189" i="2"/>
  <c r="EC189" i="2"/>
  <c r="FS189" i="2"/>
  <c r="HI189" i="2"/>
  <c r="HJ189" i="2" s="1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V192" i="2"/>
  <c r="EY192" i="2" s="1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EB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ED194" i="2"/>
  <c r="DH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FS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HG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FR202" i="2"/>
  <c r="EW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24" i="2" a="1"/>
  <c r="DN124" i="2" s="1"/>
  <c r="DN129" i="2" a="1"/>
  <c r="DN129" i="2" s="1"/>
  <c r="DN115" i="2" a="1"/>
  <c r="DN115" i="2" s="1"/>
  <c r="DN66" i="2" a="1"/>
  <c r="DN66" i="2" s="1"/>
  <c r="DN192" i="2" a="1"/>
  <c r="DN192" i="2" s="1"/>
  <c r="EI195" i="2" a="1"/>
  <c r="EI195" i="2" s="1"/>
  <c r="AH151" i="2" a="1"/>
  <c r="AH151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56" i="2" a="1"/>
  <c r="CS56" i="2" s="1"/>
  <c r="CS114" i="2" a="1"/>
  <c r="CS114" i="2" s="1"/>
  <c r="DN49" i="2" a="1"/>
  <c r="DN49" i="2" s="1"/>
  <c r="DN162" i="2" a="1"/>
  <c r="DN162" i="2" s="1"/>
  <c r="DN190" i="2" a="1"/>
  <c r="DN190" i="2" s="1"/>
  <c r="DN176" i="2" a="1"/>
  <c r="DN176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CS105" i="2" l="1" a="1"/>
  <c r="CS105" i="2" s="1"/>
  <c r="CS161" i="2" a="1"/>
  <c r="CS161" i="2" s="1"/>
  <c r="CS185" i="2" a="1"/>
  <c r="CS185" i="2" s="1"/>
  <c r="CS137" i="2" a="1"/>
  <c r="CS137" i="2" s="1"/>
  <c r="CS120" i="2" a="1"/>
  <c r="CS120" i="2" s="1"/>
  <c r="CS129" i="2" a="1"/>
  <c r="CS129" i="2" s="1"/>
  <c r="CS66" i="2" a="1"/>
  <c r="CS66" i="2" s="1"/>
  <c r="AH92" i="2" a="1"/>
  <c r="AH92" i="2" s="1"/>
  <c r="AH163" i="2" a="1"/>
  <c r="AH163" i="2" s="1"/>
  <c r="AH199" i="2" a="1"/>
  <c r="AH199" i="2" s="1"/>
  <c r="AH90" i="2" a="1"/>
  <c r="AH90" i="2" s="1"/>
  <c r="AH62" i="2" a="1"/>
  <c r="AH62" i="2" s="1"/>
  <c r="AH166" i="2" a="1"/>
  <c r="AH166" i="2" s="1"/>
  <c r="AH19" i="2" a="1"/>
  <c r="AH19" i="2" s="1"/>
  <c r="CS38" i="2" a="1"/>
  <c r="CS38" i="2" s="1"/>
  <c r="CS77" i="2" a="1"/>
  <c r="CS77" i="2" s="1"/>
  <c r="DN133" i="2" a="1"/>
  <c r="DN133" i="2" s="1"/>
  <c r="DN103" i="2" a="1"/>
  <c r="DN103" i="2" s="1"/>
  <c r="DN50" i="2" a="1"/>
  <c r="DN50" i="2" s="1"/>
  <c r="DN65" i="2" a="1"/>
  <c r="DN65" i="2" s="1"/>
  <c r="DN168" i="2" a="1"/>
  <c r="DN168" i="2" s="1"/>
  <c r="DN152" i="2" a="1"/>
  <c r="DN152" i="2" s="1"/>
  <c r="DN45" i="2" a="1"/>
  <c r="DN45" i="2" s="1"/>
  <c r="DN31" i="2" a="1"/>
  <c r="DN31" i="2" s="1"/>
  <c r="DN43" i="2" a="1"/>
  <c r="DN43" i="2" s="1"/>
  <c r="DN16" i="2" a="1"/>
  <c r="DN16" i="2" s="1"/>
  <c r="DN186" i="2" a="1"/>
  <c r="DN186" i="2" s="1"/>
  <c r="CS52" i="2" a="1"/>
  <c r="CS52" i="2" s="1"/>
  <c r="CS116" i="2" a="1"/>
  <c r="CS116" i="2" s="1"/>
  <c r="DN167" i="2" a="1"/>
  <c r="DN167" i="2" s="1"/>
  <c r="DN153" i="2" a="1"/>
  <c r="DN153" i="2" s="1"/>
  <c r="DN29" i="2" a="1"/>
  <c r="DN29" i="2" s="1"/>
  <c r="DN80" i="2" a="1"/>
  <c r="DN80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DN132" i="2" a="1"/>
  <c r="DN132" i="2" s="1"/>
  <c r="DN70" i="2" a="1"/>
  <c r="DN70" i="2" s="1"/>
  <c r="DN164" i="2" a="1"/>
  <c r="DN164" i="2" s="1"/>
  <c r="DN63" i="2" a="1"/>
  <c r="DN63" i="2" s="1"/>
  <c r="DN188" i="2" a="1"/>
  <c r="DN188" i="2" s="1"/>
  <c r="DN113" i="2" a="1"/>
  <c r="DN113" i="2" s="1"/>
  <c r="DN137" i="2" a="1"/>
  <c r="DN137" i="2" s="1"/>
  <c r="DN30" i="2" a="1"/>
  <c r="DN30" i="2" s="1"/>
  <c r="DN55" i="2" a="1"/>
  <c r="DN55" i="2" s="1"/>
  <c r="DN135" i="2" a="1"/>
  <c r="DN135" i="2" s="1"/>
  <c r="DN86" i="2" a="1"/>
  <c r="DN86" i="2" s="1"/>
  <c r="DN25" i="2" a="1"/>
  <c r="DN25" i="2" s="1"/>
  <c r="DN187" i="2" a="1"/>
  <c r="DN187" i="2" s="1"/>
  <c r="DN46" i="2" a="1"/>
  <c r="DN46" i="2" s="1"/>
  <c r="DN110" i="2" a="1"/>
  <c r="DN110" i="2" s="1"/>
  <c r="DN38" i="2" a="1"/>
  <c r="DN38" i="2" s="1"/>
  <c r="DN123" i="2" a="1"/>
  <c r="DN123" i="2" s="1"/>
  <c r="DN177" i="2" a="1"/>
  <c r="DN177" i="2" s="1"/>
  <c r="DN184" i="2" a="1"/>
  <c r="DN18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73" i="2" l="1"/>
  <c r="CY201" i="2"/>
  <c r="CY24" i="2"/>
  <c r="CY91" i="2"/>
  <c r="CY53" i="2"/>
  <c r="CY104" i="2"/>
  <c r="CY26" i="2"/>
  <c r="CY160" i="2"/>
  <c r="CY27" i="2"/>
  <c r="CY119" i="2"/>
  <c r="CY78" i="2"/>
  <c r="CY107" i="2"/>
  <c r="CY69" i="2"/>
  <c r="CY177" i="2"/>
  <c r="CY109" i="2"/>
  <c r="CY76" i="2"/>
  <c r="CY142" i="2"/>
  <c r="CY116" i="2"/>
  <c r="CY36" i="2"/>
  <c r="CY137" i="2"/>
  <c r="CY153" i="2"/>
  <c r="CY166" i="2"/>
  <c r="CY167" i="2"/>
  <c r="CY7" i="2"/>
  <c r="CY45" i="2"/>
  <c r="CY99" i="2"/>
  <c r="CY169" i="2"/>
  <c r="CY161" i="2"/>
  <c r="CY43" i="2"/>
  <c r="CY171" i="2"/>
  <c r="CY41" i="2"/>
  <c r="CY134" i="2"/>
  <c r="CY106" i="2"/>
  <c r="CY182" i="2"/>
  <c r="CY133" i="2"/>
  <c r="CY8" i="2"/>
  <c r="CY54" i="2"/>
  <c r="CY162" i="2"/>
  <c r="CY138" i="2"/>
  <c r="CY32" i="2"/>
  <c r="CY170" i="2"/>
  <c r="CY65" i="2"/>
  <c r="CY190" i="2"/>
  <c r="CY9" i="2"/>
  <c r="CY111" i="2"/>
  <c r="CY38" i="2"/>
  <c r="CY192" i="2"/>
  <c r="CY61" i="2"/>
  <c r="CY23" i="2"/>
  <c r="CY82" i="2"/>
  <c r="CY117" i="2"/>
  <c r="CY184" i="2"/>
  <c r="CY18" i="2"/>
  <c r="CY120" i="2"/>
  <c r="CY198" i="2"/>
  <c r="CY49" i="2"/>
  <c r="CY12" i="2"/>
  <c r="CY164" i="2"/>
  <c r="CY87" i="2"/>
  <c r="CY191" i="2"/>
  <c r="CY174" i="2"/>
  <c r="CY70" i="2"/>
  <c r="CY10" i="2"/>
  <c r="CY28" i="2"/>
  <c r="CY168" i="2"/>
  <c r="CY149" i="2"/>
  <c r="CY16" i="2"/>
  <c r="CY98" i="2"/>
  <c r="CY130" i="2"/>
  <c r="CY180" i="2"/>
  <c r="CY44" i="2"/>
  <c r="CY158" i="2"/>
  <c r="CY203" i="2"/>
  <c r="CY135" i="2"/>
  <c r="CY31" i="2"/>
  <c r="CY148" i="2"/>
  <c r="CY97" i="2"/>
  <c r="CY51" i="2"/>
  <c r="CY194" i="2"/>
  <c r="CY93" i="2"/>
  <c r="CY33" i="2"/>
  <c r="CY37" i="2"/>
  <c r="CY63" i="2"/>
  <c r="CY58" i="2"/>
  <c r="CY146" i="2"/>
  <c r="CY40" i="2"/>
  <c r="CY79" i="2"/>
  <c r="CY47" i="2"/>
  <c r="CY20" i="2"/>
  <c r="CY77" i="2"/>
  <c r="CY71" i="2"/>
  <c r="CY139" i="2"/>
  <c r="CY197" i="2"/>
  <c r="CY46" i="2"/>
  <c r="CY125" i="2"/>
  <c r="CY96" i="2"/>
  <c r="CY89" i="2"/>
  <c r="CY80" i="2"/>
  <c r="CY14" i="2"/>
  <c r="CY15" i="2"/>
  <c r="CY188" i="2"/>
  <c r="CY183" i="2"/>
  <c r="CY100" i="2"/>
  <c r="CY145" i="2"/>
  <c r="CY189" i="2"/>
  <c r="CY81" i="2"/>
  <c r="CY52" i="2"/>
  <c r="CY22" i="2"/>
  <c r="CY102" i="2"/>
  <c r="CY141" i="2"/>
  <c r="CY121" i="2"/>
  <c r="CY147" i="2"/>
  <c r="CY108" i="2"/>
  <c r="CY17" i="2"/>
  <c r="CY66" i="2"/>
  <c r="CY83" i="2"/>
  <c r="CY132" i="2"/>
  <c r="CY114" i="2"/>
  <c r="CY88" i="2"/>
  <c r="CY122" i="2"/>
  <c r="CY21" i="2"/>
  <c r="CY193" i="2"/>
  <c r="CY85" i="2"/>
  <c r="CY131" i="2"/>
  <c r="CY29" i="2"/>
  <c r="CY143" i="2"/>
  <c r="CY94" i="2"/>
  <c r="CY62" i="2"/>
  <c r="CY181" i="2"/>
  <c r="CY173" i="2"/>
  <c r="CY126" i="2"/>
  <c r="CY39" i="2"/>
  <c r="CY124" i="2"/>
  <c r="CY42" i="2"/>
  <c r="CY140" i="2"/>
  <c r="CY64" i="2"/>
  <c r="CY200" i="2"/>
  <c r="CY165" i="2"/>
  <c r="CY152" i="2"/>
  <c r="CY154" i="2"/>
  <c r="CY196" i="2"/>
  <c r="CY113" i="2"/>
  <c r="CY179" i="2"/>
  <c r="CY128" i="2"/>
  <c r="CY56" i="2"/>
  <c r="CY3" i="2"/>
  <c r="C10" i="4" s="1"/>
  <c r="E10" i="4" s="1"/>
  <c r="F10" i="4" s="1"/>
  <c r="G10" i="4" s="1"/>
  <c r="L10" i="4" s="1"/>
  <c r="CY59" i="2"/>
  <c r="CY60" i="2"/>
  <c r="CY112" i="2"/>
  <c r="CY172" i="2"/>
  <c r="CY175" i="2"/>
  <c r="CY186" i="2"/>
  <c r="CY110" i="2"/>
  <c r="CY176" i="2"/>
  <c r="CY115" i="2"/>
  <c r="CY159" i="2"/>
  <c r="CY72" i="2"/>
  <c r="CY163" i="2"/>
  <c r="CY67" i="2"/>
  <c r="CY150" i="2"/>
  <c r="CY55" i="2"/>
  <c r="CY199" i="2"/>
  <c r="CY103" i="2"/>
  <c r="CY57" i="2"/>
  <c r="CY178" i="2"/>
  <c r="CY68" i="2"/>
  <c r="CY105" i="2"/>
  <c r="CY19" i="2"/>
  <c r="CY5" i="2"/>
  <c r="CY123" i="2"/>
  <c r="CY195" i="2"/>
  <c r="CY157" i="2"/>
  <c r="CY101" i="2"/>
  <c r="CY156" i="2"/>
  <c r="CY127" i="2"/>
  <c r="CY144" i="2"/>
  <c r="CY50" i="2"/>
  <c r="CY11" i="2"/>
  <c r="CY6" i="2"/>
  <c r="CY187" i="2"/>
  <c r="CY95" i="2"/>
  <c r="CY129" i="2"/>
  <c r="CY155" i="2"/>
  <c r="CY75" i="2"/>
  <c r="CY34" i="2"/>
  <c r="CY86" i="2"/>
  <c r="CY151" i="2"/>
  <c r="CY90" i="2"/>
  <c r="CY30" i="2"/>
  <c r="CY185" i="2"/>
  <c r="CY92" i="2"/>
  <c r="CY202" i="2"/>
  <c r="CY84" i="2"/>
  <c r="CY48" i="2"/>
  <c r="CY136" i="2"/>
  <c r="CY13" i="2"/>
  <c r="CY35" i="2"/>
  <c r="CY4" i="2"/>
  <c r="CY74" i="2"/>
  <c r="CY118" i="2"/>
  <c r="CY2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48" i="2" l="1"/>
  <c r="CD60" i="2"/>
  <c r="CD172" i="2"/>
  <c r="CD119" i="2"/>
  <c r="CD183" i="2"/>
  <c r="CD13" i="2"/>
  <c r="CD131" i="2"/>
  <c r="CD42" i="2"/>
  <c r="CD56" i="2"/>
  <c r="CD173" i="2"/>
  <c r="CD102" i="2"/>
  <c r="CD52" i="2"/>
  <c r="CD21" i="2"/>
  <c r="CD199" i="2"/>
  <c r="CD93" i="2"/>
  <c r="CD144" i="2"/>
  <c r="CD76" i="2"/>
  <c r="CD12" i="2"/>
  <c r="CD63" i="2"/>
  <c r="CD134" i="2"/>
  <c r="CD103" i="2"/>
  <c r="CD129" i="2"/>
  <c r="CD101" i="2"/>
  <c r="CD58" i="2"/>
  <c r="CD186" i="2"/>
  <c r="CD77" i="2"/>
  <c r="CD187" i="2"/>
  <c r="CD138" i="2"/>
  <c r="CD189" i="2"/>
  <c r="CD4" i="2"/>
  <c r="CD146" i="2"/>
  <c r="CD174" i="2"/>
  <c r="CD84" i="2"/>
  <c r="CD188" i="2"/>
  <c r="CD164" i="2"/>
  <c r="CD64" i="2"/>
  <c r="CD195" i="2"/>
  <c r="CD151" i="2"/>
  <c r="CD156" i="2"/>
  <c r="CD159" i="2"/>
  <c r="CD87" i="2"/>
  <c r="CD152" i="2"/>
  <c r="CD15" i="2"/>
  <c r="CD153" i="2"/>
  <c r="CD68" i="2"/>
  <c r="CD197" i="2"/>
  <c r="CD10" i="2"/>
  <c r="CD14" i="2"/>
  <c r="CD41" i="2"/>
  <c r="CD125" i="2"/>
  <c r="CD107" i="2"/>
  <c r="CD80" i="2"/>
  <c r="CD160" i="2"/>
  <c r="CD69" i="2"/>
  <c r="CD196" i="2"/>
  <c r="CD161" i="2"/>
  <c r="CD26" i="2"/>
  <c r="CD198" i="2"/>
  <c r="CD18" i="2"/>
  <c r="CD51" i="2"/>
  <c r="CD136" i="2"/>
  <c r="CD120" i="2"/>
  <c r="CD132" i="2"/>
  <c r="CD100" i="2"/>
  <c r="CD113" i="2"/>
  <c r="CD32" i="2"/>
  <c r="CD83" i="2"/>
  <c r="CD194" i="2"/>
  <c r="CD70" i="2"/>
  <c r="CD25" i="2"/>
  <c r="CD117" i="2"/>
  <c r="CD34" i="2"/>
  <c r="CD54" i="2"/>
  <c r="CD35" i="2"/>
  <c r="CD29" i="2"/>
  <c r="CD27" i="2"/>
  <c r="CD124" i="2"/>
  <c r="CD142" i="2"/>
  <c r="CD111" i="2"/>
  <c r="CD88" i="2"/>
  <c r="CD36" i="2"/>
  <c r="CD44" i="2"/>
  <c r="CD71" i="2"/>
  <c r="CD3" i="2"/>
  <c r="C9" i="4" s="1"/>
  <c r="E9" i="4" s="1"/>
  <c r="F9" i="4" s="1"/>
  <c r="G9" i="4" s="1"/>
  <c r="L9" i="4" s="1"/>
  <c r="CD171" i="2"/>
  <c r="CD97" i="2"/>
  <c r="CD123" i="2"/>
  <c r="CD86" i="2"/>
  <c r="CD17" i="2"/>
  <c r="CD201" i="2"/>
  <c r="CD33" i="2"/>
  <c r="CD147" i="2"/>
  <c r="CD150" i="2"/>
  <c r="CD57" i="2"/>
  <c r="CD96" i="2"/>
  <c r="CD139" i="2"/>
  <c r="CD30" i="2"/>
  <c r="CD61" i="2"/>
  <c r="CD98" i="2"/>
  <c r="CD143" i="2"/>
  <c r="CD169" i="2"/>
  <c r="CD79" i="2"/>
  <c r="CD39" i="2"/>
  <c r="CD55" i="2"/>
  <c r="CD185" i="2"/>
  <c r="CD163" i="2"/>
  <c r="CD5" i="2"/>
  <c r="CD166" i="2"/>
  <c r="CD127" i="2"/>
  <c r="CD16" i="2"/>
  <c r="CD179" i="2"/>
  <c r="CD162" i="2"/>
  <c r="CD40" i="2"/>
  <c r="CD46" i="2"/>
  <c r="CD73" i="2"/>
  <c r="CD137" i="2"/>
  <c r="CD122" i="2"/>
  <c r="CD92" i="2"/>
  <c r="CD135" i="2"/>
  <c r="CD176" i="2"/>
  <c r="CD20" i="2"/>
  <c r="CD53" i="2"/>
  <c r="CD8" i="2"/>
  <c r="CD128" i="2"/>
  <c r="CD145" i="2"/>
  <c r="CD95" i="2"/>
  <c r="CD66" i="2"/>
  <c r="CD121" i="2"/>
  <c r="CD22" i="2"/>
  <c r="CD133" i="2"/>
  <c r="CD112" i="2"/>
  <c r="CD91" i="2"/>
  <c r="CD94" i="2"/>
  <c r="CD31" i="2"/>
  <c r="CD45" i="2"/>
  <c r="CD118" i="2"/>
  <c r="CD170" i="2"/>
  <c r="CD168" i="2"/>
  <c r="CD157" i="2"/>
  <c r="CD78" i="2"/>
  <c r="CD109" i="2"/>
  <c r="CD177" i="2"/>
  <c r="CD99" i="2"/>
  <c r="CD140" i="2"/>
  <c r="CD43" i="2"/>
  <c r="CD116" i="2"/>
  <c r="CD81" i="2"/>
  <c r="CD110" i="2"/>
  <c r="CD90" i="2"/>
  <c r="CD23" i="2"/>
  <c r="CD7" i="2"/>
  <c r="CD149" i="2"/>
  <c r="CD154" i="2"/>
  <c r="CD167" i="2"/>
  <c r="CD11" i="2"/>
  <c r="CD105" i="2"/>
  <c r="CD130" i="2"/>
  <c r="CD165" i="2"/>
  <c r="CD158" i="2"/>
  <c r="CD74" i="2"/>
  <c r="CD108" i="2"/>
  <c r="CD106" i="2"/>
  <c r="CD115" i="2"/>
  <c r="CD184" i="2"/>
  <c r="CD37" i="2"/>
  <c r="CD47" i="2"/>
  <c r="CD24" i="2"/>
  <c r="CD192" i="2"/>
  <c r="CD182" i="2"/>
  <c r="CD62" i="2"/>
  <c r="CD200" i="2"/>
  <c r="CD48" i="2"/>
  <c r="CD6" i="2"/>
  <c r="CD28" i="2"/>
  <c r="CD180" i="2"/>
  <c r="CD191" i="2"/>
  <c r="CD85" i="2"/>
  <c r="CD155" i="2"/>
  <c r="CD193" i="2"/>
  <c r="CD181" i="2"/>
  <c r="CD67" i="2"/>
  <c r="CD175" i="2"/>
  <c r="CD89" i="2"/>
  <c r="CD59" i="2"/>
  <c r="CD202" i="2"/>
  <c r="CD72" i="2"/>
  <c r="CD190" i="2"/>
  <c r="CD65" i="2"/>
  <c r="CD38" i="2"/>
  <c r="CD9" i="2"/>
  <c r="CD82" i="2"/>
  <c r="CD19" i="2"/>
  <c r="CD75" i="2"/>
  <c r="CD178" i="2"/>
  <c r="CD126" i="2"/>
  <c r="CD114" i="2"/>
  <c r="CD104" i="2"/>
  <c r="CD50" i="2"/>
  <c r="CD141" i="2"/>
  <c r="CD203" i="2"/>
  <c r="CD49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201" i="2"/>
  <c r="BI178" i="2"/>
  <c r="BI130" i="2"/>
  <c r="BI195" i="2"/>
  <c r="BI124" i="2"/>
  <c r="BI34" i="2"/>
  <c r="BI159" i="2"/>
  <c r="BI97" i="2"/>
  <c r="BI144" i="2"/>
  <c r="BI68" i="2"/>
  <c r="BI171" i="2"/>
  <c r="BI117" i="2"/>
  <c r="BI140" i="2"/>
  <c r="BI168" i="2"/>
  <c r="BI7" i="2"/>
  <c r="BI54" i="2"/>
  <c r="BI57" i="2"/>
  <c r="BI11" i="2"/>
  <c r="BI132" i="2"/>
  <c r="BI12" i="2"/>
  <c r="BI162" i="2"/>
  <c r="BI157" i="2"/>
  <c r="BI128" i="2"/>
  <c r="BI50" i="2"/>
  <c r="BI17" i="2"/>
  <c r="BI13" i="2"/>
  <c r="BI166" i="2"/>
  <c r="BI109" i="2"/>
  <c r="BI48" i="2"/>
  <c r="BI42" i="2"/>
  <c r="BI180" i="2"/>
  <c r="BI137" i="2"/>
  <c r="BI69" i="2"/>
  <c r="BI21" i="2"/>
  <c r="BI49" i="2"/>
  <c r="BI196" i="2"/>
  <c r="BI88" i="2"/>
  <c r="BI119" i="2"/>
  <c r="BI23" i="2"/>
  <c r="BI106" i="2"/>
  <c r="BI110" i="2"/>
  <c r="BI96" i="2"/>
  <c r="BI28" i="2"/>
  <c r="BI131" i="2"/>
  <c r="BI64" i="2"/>
  <c r="BI6" i="2"/>
  <c r="BI62" i="2"/>
  <c r="BI61" i="2"/>
  <c r="BI37" i="2"/>
  <c r="BI148" i="2"/>
  <c r="BI142" i="2"/>
  <c r="BI184" i="2"/>
  <c r="BI104" i="2"/>
  <c r="BI70" i="2"/>
  <c r="BI122" i="2"/>
  <c r="BI146" i="2"/>
  <c r="BI58" i="2"/>
  <c r="BI182" i="2"/>
  <c r="BI202" i="2"/>
  <c r="BI36" i="2"/>
  <c r="BI101" i="2"/>
  <c r="BI60" i="2"/>
  <c r="BI133" i="2"/>
  <c r="BI114" i="2"/>
  <c r="BI165" i="2"/>
  <c r="BI185" i="2"/>
  <c r="BI112" i="2"/>
  <c r="BI95" i="2"/>
  <c r="BI135" i="2"/>
  <c r="BI3" i="2"/>
  <c r="C8" i="4" s="1"/>
  <c r="E8" i="4" s="1"/>
  <c r="F8" i="4" s="1"/>
  <c r="G8" i="4" s="1"/>
  <c r="L8" i="4" s="1"/>
  <c r="BI98" i="2"/>
  <c r="BI65" i="2"/>
  <c r="BI118" i="2"/>
  <c r="BI177" i="2"/>
  <c r="BI160" i="2"/>
  <c r="BI87" i="2"/>
  <c r="BI14" i="2"/>
  <c r="BI147" i="2"/>
  <c r="BI66" i="2"/>
  <c r="BI26" i="2"/>
  <c r="BI123" i="2"/>
  <c r="BI27" i="2"/>
  <c r="BI194" i="2"/>
  <c r="BI77" i="2"/>
  <c r="BI108" i="2"/>
  <c r="BI154" i="2"/>
  <c r="BI41" i="2"/>
  <c r="BI9" i="2"/>
  <c r="BI163" i="2"/>
  <c r="BI86" i="2"/>
  <c r="BI43" i="2"/>
  <c r="BI56" i="2"/>
  <c r="BI115" i="2"/>
  <c r="BI100" i="2"/>
  <c r="BI153" i="2"/>
  <c r="BI164" i="2"/>
  <c r="BI71" i="2"/>
  <c r="BI126" i="2"/>
  <c r="BI8" i="2"/>
  <c r="BI125" i="2"/>
  <c r="BI35" i="2"/>
  <c r="BI44" i="2"/>
  <c r="BI198" i="2"/>
  <c r="BI81" i="2"/>
  <c r="BI85" i="2"/>
  <c r="BI46" i="2"/>
  <c r="BI179" i="2"/>
  <c r="BI31" i="2"/>
  <c r="BI145" i="2"/>
  <c r="BI103" i="2"/>
  <c r="BI138" i="2"/>
  <c r="BI74" i="2"/>
  <c r="BI155" i="2"/>
  <c r="BI38" i="2"/>
  <c r="BI84" i="2"/>
  <c r="BI203" i="2"/>
  <c r="BI107" i="2"/>
  <c r="BI83" i="2"/>
  <c r="BI99" i="2"/>
  <c r="BI192" i="2"/>
  <c r="BI173" i="2"/>
  <c r="BI189" i="2"/>
  <c r="BI94" i="2"/>
  <c r="BI73" i="2"/>
  <c r="BI174" i="2"/>
  <c r="BI169" i="2"/>
  <c r="BI149" i="2"/>
  <c r="BI158" i="2"/>
  <c r="BI105" i="2"/>
  <c r="BI199" i="2"/>
  <c r="BI51" i="2"/>
  <c r="BI29" i="2"/>
  <c r="BI75" i="2"/>
  <c r="BI59" i="2"/>
  <c r="BI141" i="2"/>
  <c r="BI102" i="2"/>
  <c r="BI15" i="2"/>
  <c r="BI187" i="2"/>
  <c r="BI55" i="2"/>
  <c r="BI82" i="2"/>
  <c r="BI89" i="2"/>
  <c r="BI181" i="2"/>
  <c r="BI175" i="2"/>
  <c r="BI92" i="2"/>
  <c r="BI63" i="2"/>
  <c r="BI111" i="2"/>
  <c r="BI151" i="2"/>
  <c r="BI197" i="2"/>
  <c r="BI193" i="2"/>
  <c r="BI25" i="2"/>
  <c r="BI39" i="2"/>
  <c r="BI113" i="2"/>
  <c r="BI121" i="2"/>
  <c r="BI22" i="2"/>
  <c r="BI16" i="2"/>
  <c r="BI139" i="2"/>
  <c r="BI134" i="2"/>
  <c r="BI170" i="2"/>
  <c r="BI90" i="2"/>
  <c r="BI176" i="2"/>
  <c r="BI172" i="2"/>
  <c r="BI19" i="2"/>
  <c r="BI52" i="2"/>
  <c r="BI136" i="2"/>
  <c r="BI5" i="2"/>
  <c r="BI120" i="2"/>
  <c r="BI188" i="2"/>
  <c r="BI79" i="2"/>
  <c r="BI127" i="2"/>
  <c r="BI152" i="2"/>
  <c r="BI167" i="2"/>
  <c r="BI10" i="2"/>
  <c r="BI20" i="2"/>
  <c r="BI30" i="2"/>
  <c r="BI129" i="2"/>
  <c r="BI18" i="2"/>
  <c r="BI183" i="2"/>
  <c r="BI40" i="2"/>
  <c r="BI72" i="2"/>
  <c r="BI78" i="2"/>
  <c r="BI200" i="2"/>
  <c r="BI116" i="2"/>
  <c r="BI45" i="2"/>
  <c r="BI24" i="2"/>
  <c r="BI33" i="2"/>
  <c r="BI186" i="2"/>
  <c r="BI91" i="2"/>
  <c r="BI32" i="2"/>
  <c r="BI190" i="2"/>
  <c r="BI156" i="2"/>
  <c r="BI53" i="2"/>
  <c r="BI191" i="2"/>
  <c r="BI67" i="2"/>
  <c r="BI80" i="2"/>
  <c r="BI93" i="2"/>
  <c r="BI143" i="2"/>
  <c r="BI76" i="2"/>
  <c r="BI150" i="2"/>
  <c r="BI161" i="2"/>
  <c r="BI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<sst xmlns="http://schemas.openxmlformats.org/spreadsheetml/2006/main" count="1174" uniqueCount="324">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</sst>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196.18744401776075</c:v>
                </c:pt>
                <c:pt idx="32">
                  <c:v>210.74915945166413</c:v>
                </c:pt>
                <c:pt idx="33">
                  <c:v>225.28767604319728</c:v>
                </c:pt>
                <c:pt idx="34">
                  <c:v>239.8047021341722</c:v>
                </c:pt>
                <c:pt idx="35">
                  <c:v>254.30172220416441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269.50348353777451</c:v>
                </c:pt>
                <c:pt idx="42">
                  <c:v>284.68594869794055</c:v>
                </c:pt>
                <c:pt idx="43">
                  <c:v>299.85029171072807</c:v>
                </c:pt>
                <c:pt idx="44">
                  <c:v>314.99755813323162</c:v>
                </c:pt>
                <c:pt idx="45">
                  <c:v>330.12868474355969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342.7262392021392</c:v>
                </c:pt>
                <c:pt idx="52">
                  <c:v>357.11100913841528</c:v>
                </c:pt>
                <c:pt idx="53">
                  <c:v>371.4830985440197</c:v>
                </c:pt>
                <c:pt idx="54">
                  <c:v>385.8430670819634</c:v>
                </c:pt>
                <c:pt idx="55">
                  <c:v>400.19142935914965</c:v>
                </c:pt>
                <c:pt idx="56">
                  <c:v>338.40824566131732</c:v>
                </c:pt>
                <c:pt idx="57">
                  <c:v>352.07781219018153</c:v>
                </c:pt>
                <c:pt idx="58">
                  <c:v>365.73574755728538</c:v>
                </c:pt>
                <c:pt idx="59">
                  <c:v>379.3825473151046</c:v>
                </c:pt>
                <c:pt idx="60">
                  <c:v>393.01866845402537</c:v>
                </c:pt>
                <c:pt idx="61">
                  <c:v>405.92763208567663</c:v>
                </c:pt>
                <c:pt idx="62">
                  <c:v>418.82772515146894</c:v>
                </c:pt>
                <c:pt idx="63">
                  <c:v>431.71925936589815</c:v>
                </c:pt>
                <c:pt idx="64">
                  <c:v>444.60252630877886</c:v>
                </c:pt>
                <c:pt idx="65">
                  <c:v>457.47779928386598</c:v>
                </c:pt>
                <c:pt idx="66">
                  <c:v>394.45344597932916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431.00328251520637</c:v>
                </c:pt>
                <c:pt idx="70">
                  <c:v>443.17145181723458</c:v>
                </c:pt>
                <c:pt idx="71">
                  <c:v>454.25971616804895</c:v>
                </c:pt>
                <c:pt idx="72">
                  <c:v>465.34219697734244</c:v>
                </c:pt>
                <c:pt idx="73">
                  <c:v>476.41905141139301</c:v>
                </c:pt>
                <c:pt idx="74">
                  <c:v>487.49042873157447</c:v>
                </c:pt>
                <c:pt idx="75">
                  <c:v>498.55647086626522</c:v>
                </c:pt>
                <c:pt idx="76">
                  <c:v>434.22497775587226</c:v>
                </c:pt>
                <c:pt idx="77">
                  <c:v>444.96027949966765</c:v>
                </c:pt>
                <c:pt idx="78">
                  <c:v>455.69003527221344</c:v>
                </c:pt>
                <c:pt idx="79">
                  <c:v>466.41439408694367</c:v>
                </c:pt>
                <c:pt idx="80">
                  <c:v>477.13349754486757</c:v>
                </c:pt>
                <c:pt idx="81">
                  <c:v>483.38393478600671</c:v>
                </c:pt>
                <c:pt idx="82">
                  <c:v>489.6326554281622</c:v>
                </c:pt>
                <c:pt idx="83">
                  <c:v>495.8796844815077</c:v>
                </c:pt>
                <c:pt idx="84">
                  <c:v>502.125046274314</c:v>
                </c:pt>
                <c:pt idx="85">
                  <c:v>508.36876447997838</c:v>
                </c:pt>
                <c:pt idx="86">
                  <c:v>514.61086214265538</c:v>
                </c:pt>
                <c:pt idx="87">
                  <c:v>520.85136170158182</c:v>
                </c:pt>
                <c:pt idx="88">
                  <c:v>527.09028501417185</c:v>
                </c:pt>
                <c:pt idx="89">
                  <c:v>533.32765337796297</c:v>
                </c:pt>
                <c:pt idx="90">
                  <c:v>539.56348755148156</c:v>
                </c:pt>
                <c:pt idx="91">
                  <c:v>473.38240056334644</c:v>
                </c:pt>
                <c:pt idx="92">
                  <c:v>482.13398547834049</c:v>
                </c:pt>
                <c:pt idx="93">
                  <c:v>490.88219577778727</c:v>
                </c:pt>
                <c:pt idx="94">
                  <c:v>499.62710009899428</c:v>
                </c:pt>
                <c:pt idx="95">
                  <c:v>508.36876447997815</c:v>
                </c:pt>
                <c:pt idx="96">
                  <c:v>517.10725250186908</c:v>
                </c:pt>
                <c:pt idx="97">
                  <c:v>525.8426254211879</c:v>
                </c:pt>
                <c:pt idx="98">
                  <c:v>534.57494229287499</c:v>
                </c:pt>
                <c:pt idx="99">
                  <c:v>543.30426008486256</c:v>
                </c:pt>
                <c:pt idx="100">
                  <c:v>552.03063378489924</c:v>
                </c:pt>
                <c:pt idx="101">
                  <c:v>484.99091160498784</c:v>
                </c:pt>
                <c:pt idx="102">
                  <c:v>492.84562295362798</c:v>
                </c:pt>
                <c:pt idx="103">
                  <c:v>500.69768075588314</c:v>
                </c:pt>
                <c:pt idx="104">
                  <c:v>508.54713250848846</c:v>
                </c:pt>
                <c:pt idx="105">
                  <c:v>516.39402412186928</c:v>
                </c:pt>
                <c:pt idx="106">
                  <c:v>524.23839999694576</c:v>
                </c:pt>
                <c:pt idx="107">
                  <c:v>532.08030309709989</c:v>
                </c:pt>
                <c:pt idx="108">
                  <c:v>539.91977501567897</c:v>
                </c:pt>
                <c:pt idx="109">
                  <c:v>547.75685603937279</c:v>
                </c:pt>
                <c:pt idx="110">
                  <c:v>555.59158520777771</c:v>
                </c:pt>
                <c:pt idx="111">
                  <c:v>492.66713643818122</c:v>
                </c:pt>
                <c:pt idx="112">
                  <c:v>499.27022909127442</c:v>
                </c:pt>
                <c:pt idx="113">
                  <c:v>505.871472939537</c:v>
                </c:pt>
                <c:pt idx="114">
                  <c:v>512.47089552301122</c:v>
                </c:pt>
                <c:pt idx="115">
                  <c:v>519.0685236142516</c:v>
                </c:pt>
                <c:pt idx="116">
                  <c:v>525.66438324941112</c:v>
                </c:pt>
                <c:pt idx="117">
                  <c:v>532.2584997576854</c:v>
                </c:pt>
                <c:pt idx="118">
                  <c:v>538.85089778922054</c:v>
                </c:pt>
                <c:pt idx="119">
                  <c:v>545.44160134158608</c:v>
                </c:pt>
                <c:pt idx="120">
                  <c:v>552.03063378489867</c:v>
                </c:pt>
                <c:pt idx="121">
                  <c:v>495.34429051822968</c:v>
                </c:pt>
                <c:pt idx="122">
                  <c:v>501.05453020073787</c:v>
                </c:pt>
                <c:pt idx="123">
                  <c:v>506.76339263133701</c:v>
                </c:pt>
                <c:pt idx="124">
                  <c:v>512.47089552301088</c:v>
                </c:pt>
                <c:pt idx="125">
                  <c:v>518.17705616178853</c:v>
                </c:pt>
                <c:pt idx="126">
                  <c:v>523.88189142172735</c:v>
                </c:pt>
                <c:pt idx="127">
                  <c:v>529.58541777920971</c:v>
                </c:pt>
                <c:pt idx="128">
                  <c:v>535.28765132659248</c:v>
                </c:pt>
                <c:pt idx="129">
                  <c:v>540.98860778524295</c:v>
                </c:pt>
                <c:pt idx="130">
                  <c:v>546.68830251799727</c:v>
                </c:pt>
                <c:pt idx="131">
                  <c:v>496.23660698450118</c:v>
                </c:pt>
                <c:pt idx="132">
                  <c:v>501.05453020073782</c:v>
                </c:pt>
                <c:pt idx="133">
                  <c:v>505.87147293953672</c:v>
                </c:pt>
                <c:pt idx="134">
                  <c:v>510.68744586077554</c:v>
                </c:pt>
                <c:pt idx="135">
                  <c:v>515.5024594067404</c:v>
                </c:pt>
                <c:pt idx="136">
                  <c:v>520.31652380860316</c:v>
                </c:pt>
                <c:pt idx="137">
                  <c:v>525.12964909264747</c:v>
                </c:pt>
                <c:pt idx="138">
                  <c:v>529.94184508625415</c:v>
                </c:pt>
                <c:pt idx="139">
                  <c:v>534.75312142365658</c:v>
                </c:pt>
                <c:pt idx="140">
                  <c:v>539.56348755148019</c:v>
                </c:pt>
                <c:pt idx="141">
                  <c:v>495.70122118881164</c:v>
                </c:pt>
                <c:pt idx="142">
                  <c:v>499.98396570940093</c:v>
                </c:pt>
                <c:pt idx="143">
                  <c:v>504.26593363931642</c:v>
                </c:pt>
                <c:pt idx="144">
                  <c:v>508.54713250848749</c:v>
                </c:pt>
                <c:pt idx="145">
                  <c:v>512.8275697096243</c:v>
                </c:pt>
                <c:pt idx="146">
                  <c:v>517.10725250186761</c:v>
                </c:pt>
                <c:pt idx="147">
                  <c:v>521.38618801431255</c:v>
                </c:pt>
                <c:pt idx="148">
                  <c:v>525.66438324941043</c:v>
                </c:pt>
                <c:pt idx="149">
                  <c:v>529.94184508625369</c:v>
                </c:pt>
                <c:pt idx="150">
                  <c:v>534.21858028375038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894768"/>
        <c:axId val="509889328"/>
      </c:scatterChart>
      <c:valAx>
        <c:axId val="509894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89328"/>
        <c:crosses val="autoZero"/>
        <c:crossBetween val="midCat"/>
      </c:valAx>
      <c:valAx>
        <c:axId val="50988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9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892592"/>
        <c:axId val="509900208"/>
      </c:scatterChart>
      <c:valAx>
        <c:axId val="509892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900208"/>
        <c:crosses val="autoZero"/>
        <c:crossBetween val="midCat"/>
      </c:valAx>
      <c:valAx>
        <c:axId val="50990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92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2.5306217639403932</c:v>
                </c:pt>
                <c:pt idx="2">
                  <c:v>2.9172207570325672</c:v>
                </c:pt>
                <c:pt idx="3">
                  <c:v>3.3630927689110268</c:v>
                </c:pt>
                <c:pt idx="4">
                  <c:v>3.8773563467113861</c:v>
                </c:pt>
                <c:pt idx="5">
                  <c:v>4.4705372894252715</c:v>
                </c:pt>
                <c:pt idx="6">
                  <c:v>5.1547864684478117</c:v>
                </c:pt>
                <c:pt idx="7">
                  <c:v>5.9441314553665761</c:v>
                </c:pt>
                <c:pt idx="8">
                  <c:v>6.8547672172727552</c:v>
                </c:pt>
                <c:pt idx="9">
                  <c:v>7.9053919602337386</c:v>
                </c:pt>
                <c:pt idx="10">
                  <c:v>9.117595150129306</c:v>
                </c:pt>
                <c:pt idx="11">
                  <c:v>10.516305836895535</c:v>
                </c:pt>
                <c:pt idx="12">
                  <c:v>12.130310676562779</c:v>
                </c:pt>
                <c:pt idx="13">
                  <c:v>13.992852512182466</c:v>
                </c:pt>
                <c:pt idx="14">
                  <c:v>16.142322070891733</c:v>
                </c:pt>
                <c:pt idx="15">
                  <c:v>18.623057295923864</c:v>
                </c:pt>
                <c:pt idx="16">
                  <c:v>21.486267100938448</c:v>
                </c:pt>
                <c:pt idx="17">
                  <c:v>24.7910989577524</c:v>
                </c:pt>
                <c:pt idx="18">
                  <c:v>28.605872763094592</c:v>
                </c:pt>
                <c:pt idx="19">
                  <c:v>33.009506939823325</c:v>
                </c:pt>
                <c:pt idx="20">
                  <c:v>38.093166787700049</c:v>
                </c:pt>
                <c:pt idx="21">
                  <c:v>43.962169794584405</c:v>
                </c:pt>
                <c:pt idx="22">
                  <c:v>50.738188050641945</c:v>
                </c:pt>
                <c:pt idx="23">
                  <c:v>58.561794191367277</c:v>
                </c:pt>
                <c:pt idx="24">
                  <c:v>67.595404563615133</c:v>
                </c:pt>
                <c:pt idx="25">
                  <c:v>78.026681717112226</c:v>
                </c:pt>
                <c:pt idx="26">
                  <c:v>90.526413145957463</c:v>
                </c:pt>
                <c:pt idx="27">
                  <c:v>102.98287489084596</c:v>
                </c:pt>
                <c:pt idx="28">
                  <c:v>115.40204957981786</c:v>
                </c:pt>
                <c:pt idx="29">
                  <c:v>127.78852186744196</c:v>
                </c:pt>
                <c:pt idx="30">
                  <c:v>140.14591229472146</c:v>
                </c:pt>
                <c:pt idx="31">
                  <c:v>153.59696070002332</c:v>
                </c:pt>
                <c:pt idx="32">
                  <c:v>167.01998763557012</c:v>
                </c:pt>
                <c:pt idx="33">
                  <c:v>180.41756394892988</c:v>
                </c:pt>
                <c:pt idx="34">
                  <c:v>193.79184693250525</c:v>
                </c:pt>
                <c:pt idx="35">
                  <c:v>207.14467143440174</c:v>
                </c:pt>
                <c:pt idx="36">
                  <c:v>160.31180519707939</c:v>
                </c:pt>
                <c:pt idx="37">
                  <c:v>174.83818688959886</c:v>
                </c:pt>
                <c:pt idx="38">
                  <c:v>189.33622166833575</c:v>
                </c:pt>
                <c:pt idx="39">
                  <c:v>203.8083868405364</c:v>
                </c:pt>
                <c:pt idx="40">
                  <c:v>218.25677877090342</c:v>
                </c:pt>
                <c:pt idx="41">
                  <c:v>233.05282669689112</c:v>
                </c:pt>
                <c:pt idx="42">
                  <c:v>247.82742956082612</c:v>
                </c:pt>
                <c:pt idx="43">
                  <c:v>262.58204610854824</c:v>
                </c:pt>
                <c:pt idx="44">
                  <c:v>277.31795768820609</c:v>
                </c:pt>
                <c:pt idx="45">
                  <c:v>292.0362983046972</c:v>
                </c:pt>
                <c:pt idx="46">
                  <c:v>229.72564155690716</c:v>
                </c:pt>
                <c:pt idx="47">
                  <c:v>244.87415180265498</c:v>
                </c:pt>
                <c:pt idx="48">
                  <c:v>260.00137265549091</c:v>
                </c:pt>
                <c:pt idx="49">
                  <c:v>275.10871731201564</c:v>
                </c:pt>
                <c:pt idx="50">
                  <c:v>290.19743103031288</c:v>
                </c:pt>
                <c:pt idx="51">
                  <c:v>306.00336824300513</c:v>
                </c:pt>
                <c:pt idx="52">
                  <c:v>321.79116298128594</c:v>
                </c:pt>
                <c:pt idx="53">
                  <c:v>337.56183059630433</c:v>
                </c:pt>
                <c:pt idx="54">
                  <c:v>353.31628382059762</c:v>
                </c:pt>
                <c:pt idx="55">
                  <c:v>369.05534734862971</c:v>
                </c:pt>
                <c:pt idx="56">
                  <c:v>307.47274922302034</c:v>
                </c:pt>
                <c:pt idx="57">
                  <c:v>322.89198679446821</c:v>
                </c:pt>
                <c:pt idx="58">
                  <c:v>338.29494871140372</c:v>
                </c:pt>
                <c:pt idx="59">
                  <c:v>353.68248030482658</c:v>
                </c:pt>
                <c:pt idx="60">
                  <c:v>369.05534734862982</c:v>
                </c:pt>
                <c:pt idx="61">
                  <c:v>384.04871588248358</c:v>
                </c:pt>
                <c:pt idx="62">
                  <c:v>399.02936683023978</c:v>
                </c:pt>
                <c:pt idx="63">
                  <c:v>413.99784480834273</c:v>
                </c:pt>
                <c:pt idx="64">
                  <c:v>428.95465184395772</c:v>
                </c:pt>
                <c:pt idx="65">
                  <c:v>443.90025210533014</c:v>
                </c:pt>
                <c:pt idx="66">
                  <c:v>382.22094859121631</c:v>
                </c:pt>
                <c:pt idx="67">
                  <c:v>397.20312039751838</c:v>
                </c:pt>
                <c:pt idx="68">
                  <c:v>412.17305520045358</c:v>
                </c:pt>
                <c:pt idx="69">
                  <c:v>427.13125995293109</c:v>
                </c:pt>
                <c:pt idx="70">
                  <c:v>442.07820321051531</c:v>
                </c:pt>
                <c:pt idx="71">
                  <c:v>455.92179090086353</c:v>
                </c:pt>
                <c:pt idx="72">
                  <c:v>469.75640033198738</c:v>
                </c:pt>
                <c:pt idx="73">
                  <c:v>483.58233311847181</c:v>
                </c:pt>
                <c:pt idx="74">
                  <c:v>497.39987222515487</c:v>
                </c:pt>
                <c:pt idx="75">
                  <c:v>511.20928361717898</c:v>
                </c:pt>
                <c:pt idx="76">
                  <c:v>448.27251713445963</c:v>
                </c:pt>
                <c:pt idx="77">
                  <c:v>461.74796605237253</c:v>
                </c:pt>
                <c:pt idx="78">
                  <c:v>475.21502577729029</c:v>
                </c:pt>
                <c:pt idx="79">
                  <c:v>488.67396750423933</c:v>
                </c:pt>
                <c:pt idx="80">
                  <c:v>502.12504627431389</c:v>
                </c:pt>
                <c:pt idx="81">
                  <c:v>514.84202011790001</c:v>
                </c:pt>
                <c:pt idx="82">
                  <c:v>527.5523653670889</c:v>
                </c:pt>
                <c:pt idx="83">
                  <c:v>540.25626419616651</c:v>
                </c:pt>
                <c:pt idx="84">
                  <c:v>552.9538895152142</c:v>
                </c:pt>
                <c:pt idx="85">
                  <c:v>565.64540564760966</c:v>
                </c:pt>
                <c:pt idx="86">
                  <c:v>501.39815791487575</c:v>
                </c:pt>
                <c:pt idx="87">
                  <c:v>513.3889906878843</c:v>
                </c:pt>
                <c:pt idx="88">
                  <c:v>525.37391179668498</c:v>
                </c:pt>
                <c:pt idx="89">
                  <c:v>537.35307508651613</c:v>
                </c:pt>
                <c:pt idx="90">
                  <c:v>549.32662698500246</c:v>
                </c:pt>
                <c:pt idx="91">
                  <c:v>560.38822282704893</c:v>
                </c:pt>
                <c:pt idx="92">
                  <c:v>571.44524979248808</c:v>
                </c:pt>
                <c:pt idx="93">
                  <c:v>582.497808733086</c:v>
                </c:pt>
                <c:pt idx="94">
                  <c:v>593.54599636196633</c:v>
                </c:pt>
                <c:pt idx="95">
                  <c:v>604.58990549895088</c:v>
                </c:pt>
                <c:pt idx="96">
                  <c:v>615.62962529704919</c:v>
                </c:pt>
                <c:pt idx="97">
                  <c:v>626.66524145186236</c:v>
                </c:pt>
                <c:pt idx="98">
                  <c:v>637.69683639547247</c:v>
                </c:pt>
                <c:pt idx="99">
                  <c:v>648.72448947622468</c:v>
                </c:pt>
                <c:pt idx="100">
                  <c:v>659.74827712565423</c:v>
                </c:pt>
                <c:pt idx="101">
                  <c:v>560.93211702073984</c:v>
                </c:pt>
                <c:pt idx="102">
                  <c:v>570.72033680560946</c:v>
                </c:pt>
                <c:pt idx="103">
                  <c:v>580.50505015445867</c:v>
                </c:pt>
                <c:pt idx="104">
                  <c:v>590.28632449918848</c:v>
                </c:pt>
                <c:pt idx="105">
                  <c:v>600.0642248548769</c:v>
                </c:pt>
                <c:pt idx="106">
                  <c:v>609.83881394520915</c:v>
                </c:pt>
                <c:pt idx="107">
                  <c:v>619.61015231945055</c:v>
                </c:pt>
                <c:pt idx="108">
                  <c:v>629.37829846165994</c:v>
                </c:pt>
                <c:pt idx="109">
                  <c:v>639.14330889277016</c:v>
                </c:pt>
                <c:pt idx="110">
                  <c:v>648.90523826610968</c:v>
                </c:pt>
                <c:pt idx="111">
                  <c:v>592.27839058709526</c:v>
                </c:pt>
                <c:pt idx="112">
                  <c:v>600.78838129025314</c:v>
                </c:pt>
                <c:pt idx="113">
                  <c:v>609.29586704854955</c:v>
                </c:pt>
                <c:pt idx="114">
                  <c:v>617.80088776969023</c:v>
                </c:pt>
                <c:pt idx="115">
                  <c:v>626.30348217300775</c:v>
                </c:pt>
                <c:pt idx="116">
                  <c:v>634.80368784084806</c:v>
                </c:pt>
                <c:pt idx="117">
                  <c:v>643.30154126706111</c:v>
                </c:pt>
                <c:pt idx="118">
                  <c:v>651.79707790279861</c:v>
                </c:pt>
                <c:pt idx="119">
                  <c:v>660.29033219979885</c:v>
                </c:pt>
                <c:pt idx="120">
                  <c:v>668.7813376513302</c:v>
                </c:pt>
                <c:pt idx="121">
                  <c:v>616.71527634316942</c:v>
                </c:pt>
                <c:pt idx="122">
                  <c:v>624.31372874800661</c:v>
                </c:pt>
                <c:pt idx="123">
                  <c:v>631.91026669491748</c:v>
                </c:pt>
                <c:pt idx="124">
                  <c:v>639.50491644472538</c:v>
                </c:pt>
                <c:pt idx="125">
                  <c:v>647.09770358364165</c:v>
                </c:pt>
                <c:pt idx="126">
                  <c:v>654.68865304847589</c:v>
                </c:pt>
                <c:pt idx="127">
                  <c:v>662.27778915062083</c:v>
                </c:pt>
                <c:pt idx="128">
                  <c:v>669.86513559887817</c:v>
                </c:pt>
                <c:pt idx="129">
                  <c:v>677.45071552119896</c:v>
                </c:pt>
                <c:pt idx="130">
                  <c:v>685.03455148539717</c:v>
                </c:pt>
                <c:pt idx="131">
                  <c:v>633.89952308174213</c:v>
                </c:pt>
                <c:pt idx="132">
                  <c:v>640.58971377057992</c:v>
                </c:pt>
                <c:pt idx="133">
                  <c:v>647.27846173422506</c:v>
                </c:pt>
                <c:pt idx="134">
                  <c:v>653.96578398494501</c:v>
                </c:pt>
                <c:pt idx="135">
                  <c:v>660.65169715868251</c:v>
                </c:pt>
                <c:pt idx="136">
                  <c:v>667.33621752718625</c:v>
                </c:pt>
                <c:pt idx="137">
                  <c:v>674.01936100963155</c:v>
                </c:pt>
                <c:pt idx="138">
                  <c:v>680.70114318375613</c:v>
                </c:pt>
                <c:pt idx="139">
                  <c:v>687.38157929653437</c:v>
                </c:pt>
                <c:pt idx="140">
                  <c:v>694.06068427441699</c:v>
                </c:pt>
                <c:pt idx="141">
                  <c:v>645.47083331034798</c:v>
                </c:pt>
                <c:pt idx="142">
                  <c:v>651.07414284202912</c:v>
                </c:pt>
                <c:pt idx="143">
                  <c:v>656.6764582291504</c:v>
                </c:pt>
                <c:pt idx="144">
                  <c:v>662.27778915062061</c:v>
                </c:pt>
                <c:pt idx="145">
                  <c:v>667.87814510825012</c:v>
                </c:pt>
                <c:pt idx="146">
                  <c:v>673.4775354314811</c:v>
                </c:pt>
                <c:pt idx="147">
                  <c:v>679.07596928195323</c:v>
                </c:pt>
                <c:pt idx="148">
                  <c:v>684.67345565791004</c:v>
                </c:pt>
                <c:pt idx="149">
                  <c:v>690.27000339845438</c:v>
                </c:pt>
                <c:pt idx="150">
                  <c:v>695.86562118765903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902384"/>
        <c:axId val="509890416"/>
      </c:scatterChart>
      <c:valAx>
        <c:axId val="509902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90416"/>
        <c:crosses val="autoZero"/>
        <c:crossBetween val="midCat"/>
      </c:valAx>
      <c:valAx>
        <c:axId val="50989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902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2.5983166838350953</c:v>
                </c:pt>
                <c:pt idx="2">
                  <c:v>3.2463174463232147</c:v>
                </c:pt>
                <c:pt idx="3">
                  <c:v>4.0565513374209239</c:v>
                </c:pt>
                <c:pt idx="4">
                  <c:v>5.0697828618695446</c:v>
                </c:pt>
                <c:pt idx="5">
                  <c:v>6.3370542463297648</c:v>
                </c:pt>
                <c:pt idx="6">
                  <c:v>7.9222848506989054</c:v>
                </c:pt>
                <c:pt idx="7">
                  <c:v>9.9055299174053317</c:v>
                </c:pt>
                <c:pt idx="8">
                  <c:v>12.387066341894517</c:v>
                </c:pt>
                <c:pt idx="9">
                  <c:v>15.492515895586982</c:v>
                </c:pt>
                <c:pt idx="10">
                  <c:v>19.379270002357259</c:v>
                </c:pt>
                <c:pt idx="11">
                  <c:v>24.244547556933963</c:v>
                </c:pt>
                <c:pt idx="12">
                  <c:v>30.335501891424943</c:v>
                </c:pt>
                <c:pt idx="13">
                  <c:v>37.961899258450863</c:v>
                </c:pt>
                <c:pt idx="14">
                  <c:v>47.512024652827165</c:v>
                </c:pt>
                <c:pt idx="15">
                  <c:v>59.472638408851729</c:v>
                </c:pt>
                <c:pt idx="16">
                  <c:v>67.408662492679099</c:v>
                </c:pt>
                <c:pt idx="17">
                  <c:v>75.320599808628302</c:v>
                </c:pt>
                <c:pt idx="18">
                  <c:v>83.211344052224632</c:v>
                </c:pt>
                <c:pt idx="19">
                  <c:v>91.083193034949701</c:v>
                </c:pt>
                <c:pt idx="20">
                  <c:v>98.938013551923461</c:v>
                </c:pt>
                <c:pt idx="21">
                  <c:v>107.13333833929822</c:v>
                </c:pt>
                <c:pt idx="22">
                  <c:v>115.31321791037726</c:v>
                </c:pt>
                <c:pt idx="23">
                  <c:v>123.47890428692084</c:v>
                </c:pt>
                <c:pt idx="24">
                  <c:v>131.63146998500227</c:v>
                </c:pt>
                <c:pt idx="25">
                  <c:v>139.7718435296224</c:v>
                </c:pt>
                <c:pt idx="26">
                  <c:v>123.83362931472313</c:v>
                </c:pt>
                <c:pt idx="27">
                  <c:v>130.92304770905506</c:v>
                </c:pt>
                <c:pt idx="28">
                  <c:v>138.00319162665042</c:v>
                </c:pt>
                <c:pt idx="29">
                  <c:v>145.07460486529592</c:v>
                </c:pt>
                <c:pt idx="30">
                  <c:v>152.13777377111359</c:v>
                </c:pt>
                <c:pt idx="31">
                  <c:v>160.60330678698656</c:v>
                </c:pt>
                <c:pt idx="32">
                  <c:v>169.05827270884916</c:v>
                </c:pt>
                <c:pt idx="33">
                  <c:v>177.5032752566774</c:v>
                </c:pt>
                <c:pt idx="34">
                  <c:v>185.93885592329801</c:v>
                </c:pt>
                <c:pt idx="35">
                  <c:v>194.36550298334643</c:v>
                </c:pt>
                <c:pt idx="36">
                  <c:v>169.41034278527815</c:v>
                </c:pt>
                <c:pt idx="37">
                  <c:v>177.85494234060414</c:v>
                </c:pt>
                <c:pt idx="38">
                  <c:v>186.29014136595831</c:v>
                </c:pt>
                <c:pt idx="39">
                  <c:v>194.71642608832349</c:v>
                </c:pt>
                <c:pt idx="40">
                  <c:v>203.13423715529458</c:v>
                </c:pt>
                <c:pt idx="41">
                  <c:v>211.5439756614193</c:v>
                </c:pt>
                <c:pt idx="42">
                  <c:v>219.94600816465757</c:v>
                </c:pt>
                <c:pt idx="43">
                  <c:v>228.34067089512379</c:v>
                </c:pt>
                <c:pt idx="44">
                  <c:v>236.72827331171041</c:v>
                </c:pt>
                <c:pt idx="45">
                  <c:v>245.10910112764864</c:v>
                </c:pt>
                <c:pt idx="46">
                  <c:v>216.44607557160018</c:v>
                </c:pt>
                <c:pt idx="47">
                  <c:v>224.49401164296523</c:v>
                </c:pt>
                <c:pt idx="48">
                  <c:v>232.53533626130948</c:v>
                </c:pt>
                <c:pt idx="49">
                  <c:v>240.57031057620057</c:v>
                </c:pt>
                <c:pt idx="50">
                  <c:v>248.59917684690126</c:v>
                </c:pt>
                <c:pt idx="51">
                  <c:v>256.27345444267445</c:v>
                </c:pt>
                <c:pt idx="52">
                  <c:v>263.94253392620135</c:v>
                </c:pt>
                <c:pt idx="53">
                  <c:v>271.60658781037904</c:v>
                </c:pt>
                <c:pt idx="54">
                  <c:v>279.26577806642058</c:v>
                </c:pt>
                <c:pt idx="55">
                  <c:v>286.9202570458869</c:v>
                </c:pt>
                <c:pt idx="56">
                  <c:v>255.92473775915406</c:v>
                </c:pt>
                <c:pt idx="57">
                  <c:v>263.24555506532818</c:v>
                </c:pt>
                <c:pt idx="58">
                  <c:v>270.56177945365772</c:v>
                </c:pt>
                <c:pt idx="59">
                  <c:v>277.87355278777545</c:v>
                </c:pt>
                <c:pt idx="60">
                  <c:v>285.18100884727511</c:v>
                </c:pt>
                <c:pt idx="61">
                  <c:v>292.13659270097298</c:v>
                </c:pt>
                <c:pt idx="62">
                  <c:v>299.08847869495395</c:v>
                </c:pt>
                <c:pt idx="63">
                  <c:v>306.03676500452571</c:v>
                </c:pt>
                <c:pt idx="64">
                  <c:v>312.98154497816944</c:v>
                </c:pt>
                <c:pt idx="65">
                  <c:v>319.92290747907691</c:v>
                </c:pt>
                <c:pt idx="66">
                  <c:v>288.65926934113514</c:v>
                </c:pt>
                <c:pt idx="67">
                  <c:v>295.61299167710996</c:v>
                </c:pt>
                <c:pt idx="68">
                  <c:v>302.56306586704608</c:v>
                </c:pt>
                <c:pt idx="69">
                  <c:v>309.50958762804521</c:v>
                </c:pt>
                <c:pt idx="70">
                  <c:v>316.45264802528953</c:v>
                </c:pt>
                <c:pt idx="71">
                  <c:v>322.6985146909015</c:v>
                </c:pt>
                <c:pt idx="72">
                  <c:v>328.94170839365825</c:v>
                </c:pt>
                <c:pt idx="73">
                  <c:v>335.18228708152941</c:v>
                </c:pt>
                <c:pt idx="74">
                  <c:v>341.42030636615868</c:v>
                </c:pt>
                <c:pt idx="75">
                  <c:v>347.65581965898053</c:v>
                </c:pt>
                <c:pt idx="76">
                  <c:v>315.75849524236122</c:v>
                </c:pt>
                <c:pt idx="77">
                  <c:v>322.00466258727687</c:v>
                </c:pt>
                <c:pt idx="78">
                  <c:v>328.24815038016726</c:v>
                </c:pt>
                <c:pt idx="79">
                  <c:v>334.48901683747783</c:v>
                </c:pt>
                <c:pt idx="80">
                  <c:v>340.7273178235244</c:v>
                </c:pt>
                <c:pt idx="81">
                  <c:v>346.27036394506968</c:v>
                </c:pt>
                <c:pt idx="82">
                  <c:v>351.81146173661563</c:v>
                </c:pt>
                <c:pt idx="83">
                  <c:v>357.35064625082185</c:v>
                </c:pt>
                <c:pt idx="84">
                  <c:v>362.88795136374142</c:v>
                </c:pt>
                <c:pt idx="85">
                  <c:v>368.42340983207026</c:v>
                </c:pt>
                <c:pt idx="86">
                  <c:v>337.26190853958701</c:v>
                </c:pt>
                <c:pt idx="87">
                  <c:v>342.45973119739142</c:v>
                </c:pt>
                <c:pt idx="88">
                  <c:v>347.65581965898036</c:v>
                </c:pt>
                <c:pt idx="89">
                  <c:v>352.85020353381975</c:v>
                </c:pt>
                <c:pt idx="90">
                  <c:v>358.04291148739202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892048"/>
        <c:axId val="509887696"/>
      </c:scatterChart>
      <c:valAx>
        <c:axId val="509892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87696"/>
        <c:crosses val="autoZero"/>
        <c:crossBetween val="midCat"/>
      </c:valAx>
      <c:valAx>
        <c:axId val="5098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9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51.452977619505397</c:v>
                </c:pt>
                <c:pt idx="22">
                  <c:v>66.244820001279194</c:v>
                </c:pt>
                <c:pt idx="23">
                  <c:v>80.950986488725476</c:v>
                </c:pt>
                <c:pt idx="24">
                  <c:v>95.589333040289148</c:v>
                </c:pt>
                <c:pt idx="25">
                  <c:v>110.1717474820732</c:v>
                </c:pt>
                <c:pt idx="26">
                  <c:v>124.32474628741488</c:v>
                </c:pt>
                <c:pt idx="27">
                  <c:v>138.43860238853472</c:v>
                </c:pt>
                <c:pt idx="28">
                  <c:v>152.51787303662658</c:v>
                </c:pt>
                <c:pt idx="29">
                  <c:v>166.56620334791356</c:v>
                </c:pt>
                <c:pt idx="30">
                  <c:v>180.58657218998465</c:v>
                </c:pt>
                <c:pt idx="31">
                  <c:v>134.24638938649051</c:v>
                </c:pt>
                <c:pt idx="32">
                  <c:v>146.81397834828738</c:v>
                </c:pt>
                <c:pt idx="33">
                  <c:v>159.35586286360197</c:v>
                </c:pt>
                <c:pt idx="34">
                  <c:v>171.87435267338171</c:v>
                </c:pt>
                <c:pt idx="35">
                  <c:v>184.37139305479852</c:v>
                </c:pt>
                <c:pt idx="36">
                  <c:v>194.95936423701301</c:v>
                </c:pt>
                <c:pt idx="37">
                  <c:v>205.53397529366748</c:v>
                </c:pt>
                <c:pt idx="38">
                  <c:v>216.09601105321735</c:v>
                </c:pt>
                <c:pt idx="39">
                  <c:v>226.64617327952342</c:v>
                </c:pt>
                <c:pt idx="40">
                  <c:v>237.18509300501162</c:v>
                </c:pt>
                <c:pt idx="41">
                  <c:v>193.82559249840713</c:v>
                </c:pt>
                <c:pt idx="42">
                  <c:v>203.26907123098991</c:v>
                </c:pt>
                <c:pt idx="43">
                  <c:v>212.70239804910193</c:v>
                </c:pt>
                <c:pt idx="44">
                  <c:v>222.12608711761615</c:v>
                </c:pt>
                <c:pt idx="45">
                  <c:v>231.54060536306474</c:v>
                </c:pt>
                <c:pt idx="46">
                  <c:v>239.44202608060968</c:v>
                </c:pt>
                <c:pt idx="47">
                  <c:v>247.3375095024121</c:v>
                </c:pt>
                <c:pt idx="48">
                  <c:v>255.22727211134475</c:v>
                </c:pt>
                <c:pt idx="49">
                  <c:v>263.11151589765069</c:v>
                </c:pt>
                <c:pt idx="50">
                  <c:v>270.99042974399339</c:v>
                </c:pt>
                <c:pt idx="51">
                  <c:v>230.41133295181569</c:v>
                </c:pt>
                <c:pt idx="52">
                  <c:v>236.80889001154424</c:v>
                </c:pt>
                <c:pt idx="53">
                  <c:v>243.20250692836794</c:v>
                </c:pt>
                <c:pt idx="54">
                  <c:v>249.59230205465974</c:v>
                </c:pt>
                <c:pt idx="55">
                  <c:v>255.97838717928323</c:v>
                </c:pt>
                <c:pt idx="56">
                  <c:v>261.98552595095452</c:v>
                </c:pt>
                <c:pt idx="57">
                  <c:v>267.98955571724849</c:v>
                </c:pt>
                <c:pt idx="58">
                  <c:v>273.99055606211817</c:v>
                </c:pt>
                <c:pt idx="59">
                  <c:v>279.98860279382745</c:v>
                </c:pt>
                <c:pt idx="60">
                  <c:v>285.98376820295493</c:v>
                </c:pt>
                <c:pt idx="61">
                  <c:v>260.85942671475146</c:v>
                </c:pt>
                <c:pt idx="62">
                  <c:v>265.73840375453756</c:v>
                </c:pt>
                <c:pt idx="63">
                  <c:v>270.61536157536972</c:v>
                </c:pt>
                <c:pt idx="64">
                  <c:v>275.49034176419678</c:v>
                </c:pt>
                <c:pt idx="65">
                  <c:v>280.36338431358672</c:v>
                </c:pt>
                <c:pt idx="66">
                  <c:v>284.48524314677434</c:v>
                </c:pt>
                <c:pt idx="67">
                  <c:v>288.60576477216398</c:v>
                </c:pt>
                <c:pt idx="68">
                  <c:v>292.72497100977245</c:v>
                </c:pt>
                <c:pt idx="69">
                  <c:v>296.84288301434077</c:v>
                </c:pt>
                <c:pt idx="70">
                  <c:v>300.95952130477946</c:v>
                </c:pt>
                <c:pt idx="71">
                  <c:v>280.73815459645272</c:v>
                </c:pt>
                <c:pt idx="72">
                  <c:v>284.85989094555725</c:v>
                </c:pt>
                <c:pt idx="73">
                  <c:v>288.98029209880133</c:v>
                </c:pt>
                <c:pt idx="74">
                  <c:v>293.09937981445779</c:v>
                </c:pt>
                <c:pt idx="75">
                  <c:v>297.21717518827501</c:v>
                </c:pt>
                <c:pt idx="76">
                  <c:v>300.58533356518427</c:v>
                </c:pt>
                <c:pt idx="77">
                  <c:v>303.95265143464201</c:v>
                </c:pt>
                <c:pt idx="78">
                  <c:v>307.3191394396128</c:v>
                </c:pt>
                <c:pt idx="79">
                  <c:v>310.68480797043929</c:v>
                </c:pt>
                <c:pt idx="80">
                  <c:v>314.04966717357314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904560"/>
        <c:axId val="509907280"/>
      </c:scatterChart>
      <c:valAx>
        <c:axId val="509904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907280"/>
        <c:crosses val="autoZero"/>
        <c:crossBetween val="midCat"/>
      </c:valAx>
      <c:valAx>
        <c:axId val="50990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904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898032"/>
        <c:axId val="509901296"/>
      </c:scatterChart>
      <c:valAx>
        <c:axId val="509898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901296"/>
        <c:crosses val="autoZero"/>
        <c:crossBetween val="midCat"/>
      </c:valAx>
      <c:valAx>
        <c:axId val="50990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98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907824"/>
        <c:axId val="509895312"/>
      </c:scatterChart>
      <c:valAx>
        <c:axId val="509907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95312"/>
        <c:crosses val="autoZero"/>
        <c:crossBetween val="midCat"/>
      </c:valAx>
      <c:valAx>
        <c:axId val="50989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907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903472"/>
        <c:axId val="509895856"/>
      </c:scatterChart>
      <c:valAx>
        <c:axId val="509903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95856"/>
        <c:crosses val="autoZero"/>
        <c:crossBetween val="midCat"/>
      </c:valAx>
      <c:valAx>
        <c:axId val="50989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903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908368"/>
        <c:axId val="509908912"/>
      </c:scatterChart>
      <c:valAx>
        <c:axId val="509908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908912"/>
        <c:crosses val="autoZero"/>
        <c:crossBetween val="midCat"/>
      </c:valAx>
      <c:valAx>
        <c:axId val="50990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908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896400"/>
        <c:axId val="509893680"/>
      </c:scatterChart>
      <c:valAx>
        <c:axId val="509896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93680"/>
        <c:crosses val="autoZero"/>
        <c:crossBetween val="midCat"/>
      </c:valAx>
      <c:valAx>
        <c:axId val="50989368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09896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22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70" zoomScaleNormal="70" workbookViewId="0">
      <selection activeCell="C12" sqref="C1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0.9</v>
      </c>
      <c r="D5" s="303" t="s">
        <v>229</v>
      </c>
      <c r="E5" s="304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5.8" x14ac:dyDescent="0.3">
      <c r="A7" s="300" t="s">
        <v>226</v>
      </c>
      <c r="B7" s="300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</v>
      </c>
      <c r="C9" s="35">
        <v>0.41</v>
      </c>
      <c r="D9" s="36">
        <f t="shared" ref="D9:D18" si="0">C9*$C$5</f>
        <v>0.36899999999999999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25</v>
      </c>
      <c r="C10" s="35">
        <v>0.13</v>
      </c>
      <c r="D10" s="36">
        <f t="shared" si="0"/>
        <v>0.11700000000000001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5</v>
      </c>
      <c r="C11" s="35">
        <v>0.12</v>
      </c>
      <c r="D11" s="36">
        <f t="shared" si="0"/>
        <v>0.108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21</v>
      </c>
      <c r="C12" s="35">
        <v>7.0000000000000007E-2</v>
      </c>
      <c r="D12" s="36">
        <f t="shared" si="0"/>
        <v>6.3000000000000014E-2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29</v>
      </c>
      <c r="C13" s="35">
        <v>0.06</v>
      </c>
      <c r="D13" s="36">
        <f t="shared" si="0"/>
        <v>5.3999999999999999E-2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6"/>
      <c r="B19" s="39" t="s">
        <v>175</v>
      </c>
      <c r="C19" s="40">
        <f>SUM(C9:C18)</f>
        <v>0.79</v>
      </c>
      <c r="D19" s="41">
        <f>SUM(D9:D18)</f>
        <v>0.71100000000000008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3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3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pédonculé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f>42+0</f>
        <v>42</v>
      </c>
      <c r="C36" s="54"/>
      <c r="D36" s="61"/>
      <c r="E36" s="61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f>62+0+8</f>
        <v>70</v>
      </c>
      <c r="C37" s="61">
        <v>1</v>
      </c>
      <c r="D37" s="61">
        <f>0+8</f>
        <v>8</v>
      </c>
      <c r="E37" s="61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f>76+21</f>
        <v>97</v>
      </c>
      <c r="C38" s="61"/>
      <c r="D38" s="61"/>
      <c r="E38" s="61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f>95+21+21</f>
        <v>137</v>
      </c>
      <c r="C39" s="61">
        <v>2</v>
      </c>
      <c r="D39" s="61">
        <f>21+21</f>
        <v>42</v>
      </c>
      <c r="E39" s="61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f>116+21</f>
        <v>137</v>
      </c>
      <c r="C40" s="61"/>
      <c r="D40" s="61"/>
      <c r="E40" s="61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f>137+21+21</f>
        <v>179</v>
      </c>
      <c r="C41" s="61">
        <v>3</v>
      </c>
      <c r="D41" s="61">
        <f>21+21</f>
        <v>42</v>
      </c>
      <c r="E41" s="61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f>157+21</f>
        <v>178</v>
      </c>
      <c r="C42" s="61"/>
      <c r="D42" s="61"/>
      <c r="E42" s="61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79">
        <v>55</v>
      </c>
      <c r="B43" s="61">
        <f>176+21+21</f>
        <v>218</v>
      </c>
      <c r="C43" s="61">
        <v>4</v>
      </c>
      <c r="D43" s="61">
        <f>21+21</f>
        <v>42</v>
      </c>
      <c r="E43" s="61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79">
        <v>60</v>
      </c>
      <c r="B44" s="61">
        <f>193+21</f>
        <v>214</v>
      </c>
      <c r="C44" s="61"/>
      <c r="D44" s="61"/>
      <c r="E44" s="61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79">
        <v>65</v>
      </c>
      <c r="B45" s="61">
        <f>208+21+21</f>
        <v>250</v>
      </c>
      <c r="C45" s="61">
        <v>5</v>
      </c>
      <c r="D45" s="61">
        <f>21+21</f>
        <v>42</v>
      </c>
      <c r="E45" s="61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79">
        <v>70</v>
      </c>
      <c r="B46" s="61">
        <f>221+21</f>
        <v>242</v>
      </c>
      <c r="C46" s="61"/>
      <c r="D46" s="61"/>
      <c r="E46" s="61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79">
        <v>75</v>
      </c>
      <c r="B47" s="61">
        <f>231+21+21</f>
        <v>273</v>
      </c>
      <c r="C47" s="61">
        <v>6</v>
      </c>
      <c r="D47" s="61">
        <f>21+21</f>
        <v>42</v>
      </c>
      <c r="E47" s="61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79">
        <v>80</v>
      </c>
      <c r="B48" s="61">
        <f>240+21</f>
        <v>261</v>
      </c>
      <c r="C48" s="61"/>
      <c r="D48" s="61"/>
      <c r="E48" s="61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79">
        <v>90</v>
      </c>
      <c r="B49" s="61">
        <f>254+21+21</f>
        <v>296</v>
      </c>
      <c r="C49" s="61">
        <v>7</v>
      </c>
      <c r="D49" s="61">
        <f>21+21</f>
        <v>42</v>
      </c>
      <c r="E49" s="61"/>
      <c r="F49" s="54"/>
      <c r="G49" s="54"/>
      <c r="H49" s="54"/>
      <c r="I49" s="52">
        <f t="shared" si="1"/>
        <v>3.5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79">
        <v>100</v>
      </c>
      <c r="B50" s="61">
        <f>261+21+21</f>
        <v>303</v>
      </c>
      <c r="C50" s="53">
        <v>8</v>
      </c>
      <c r="D50" s="61">
        <f>21+21</f>
        <v>42</v>
      </c>
      <c r="E50" s="61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79">
        <v>110</v>
      </c>
      <c r="B51" s="61">
        <f>266+19+20</f>
        <v>305</v>
      </c>
      <c r="C51" s="53">
        <v>9</v>
      </c>
      <c r="D51" s="61">
        <f>19+20</f>
        <v>39</v>
      </c>
      <c r="E51" s="61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79">
        <v>120</v>
      </c>
      <c r="B52" s="61">
        <f>268+17+18</f>
        <v>303</v>
      </c>
      <c r="C52" s="53">
        <v>10</v>
      </c>
      <c r="D52" s="61">
        <f>18+17</f>
        <v>35</v>
      </c>
      <c r="E52" s="61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79">
        <v>130</v>
      </c>
      <c r="B53" s="61">
        <f>269+15+16</f>
        <v>300</v>
      </c>
      <c r="C53" s="53">
        <v>11</v>
      </c>
      <c r="D53" s="61">
        <f>15+16</f>
        <v>31</v>
      </c>
      <c r="E53" s="61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79">
        <v>140</v>
      </c>
      <c r="B54" s="61">
        <f>269+13+14</f>
        <v>296</v>
      </c>
      <c r="C54" s="53">
        <v>12</v>
      </c>
      <c r="D54" s="61">
        <f>13+14</f>
        <v>27</v>
      </c>
      <c r="E54" s="61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79">
        <v>150</v>
      </c>
      <c r="B55" s="61">
        <f>268+12+13</f>
        <v>293</v>
      </c>
      <c r="C55" s="53">
        <v>13</v>
      </c>
      <c r="D55" s="61">
        <f>293</f>
        <v>293</v>
      </c>
      <c r="E55" s="61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Hêtre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1">
        <f>40</f>
        <v>40</v>
      </c>
      <c r="C62" s="54"/>
      <c r="D62" s="61"/>
      <c r="E62" s="61"/>
      <c r="F62" s="54"/>
      <c r="G62" s="54"/>
      <c r="H62" s="54"/>
      <c r="I62" s="56">
        <f>IFERROR(B62/A62,"")</f>
        <v>1.6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1">
        <f>73+0</f>
        <v>73</v>
      </c>
      <c r="C63" s="61"/>
      <c r="D63" s="61"/>
      <c r="E63" s="61"/>
      <c r="F63" s="54"/>
      <c r="G63" s="54"/>
      <c r="H63" s="54"/>
      <c r="I63" s="52">
        <f>IF(A63&lt;&gt;0,(B63-(B62-D62))/(A63-A62),"")</f>
        <v>6.6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1">
        <f>97+0+12</f>
        <v>109</v>
      </c>
      <c r="C64" s="61">
        <v>1</v>
      </c>
      <c r="D64" s="61">
        <f>0+12+21</f>
        <v>33</v>
      </c>
      <c r="E64" s="61"/>
      <c r="F64" s="54"/>
      <c r="G64" s="54"/>
      <c r="H64" s="54"/>
      <c r="I64" s="52">
        <f>IF(A64&lt;&gt;0,(B64-(B63-D63))/(A64-A63),"")</f>
        <v>7.2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1">
        <f>115</f>
        <v>115</v>
      </c>
      <c r="C65" s="61"/>
      <c r="D65" s="61"/>
      <c r="E65" s="61"/>
      <c r="F65" s="54"/>
      <c r="G65" s="54"/>
      <c r="H65" s="54"/>
      <c r="I65" s="52">
        <f>IF(A65&lt;&gt;0,(B65-(B64-D64))/(A65-A64),"")</f>
        <v>7.8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1">
        <f>134+21</f>
        <v>155</v>
      </c>
      <c r="C66" s="61">
        <v>2</v>
      </c>
      <c r="D66" s="61">
        <f>21+21</f>
        <v>42</v>
      </c>
      <c r="E66" s="61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1">
        <f>154</f>
        <v>154</v>
      </c>
      <c r="C67" s="61"/>
      <c r="D67" s="61"/>
      <c r="E67" s="61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1">
        <f>176+21</f>
        <v>197</v>
      </c>
      <c r="C68" s="61">
        <v>3</v>
      </c>
      <c r="D68" s="61">
        <f>21+21</f>
        <v>42</v>
      </c>
      <c r="E68" s="61"/>
      <c r="F68" s="54"/>
      <c r="G68" s="54"/>
      <c r="H68" s="54"/>
      <c r="I68" s="52">
        <f t="shared" si="2"/>
        <v>8.6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79">
        <v>60</v>
      </c>
      <c r="B69" s="61">
        <f>197</f>
        <v>197</v>
      </c>
      <c r="C69" s="61"/>
      <c r="D69" s="61"/>
      <c r="E69" s="61"/>
      <c r="F69" s="54"/>
      <c r="G69" s="54"/>
      <c r="H69" s="54"/>
      <c r="I69" s="52">
        <f t="shared" si="2"/>
        <v>8.4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79">
        <v>65</v>
      </c>
      <c r="B70" s="61">
        <f>217+21</f>
        <v>238</v>
      </c>
      <c r="C70" s="61">
        <v>4</v>
      </c>
      <c r="D70" s="61">
        <f>21+21</f>
        <v>42</v>
      </c>
      <c r="E70" s="61"/>
      <c r="F70" s="54"/>
      <c r="G70" s="54"/>
      <c r="H70" s="54"/>
      <c r="I70" s="52">
        <f t="shared" si="2"/>
        <v>8.1999999999999993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79">
        <v>70</v>
      </c>
      <c r="B71" s="61">
        <f>237</f>
        <v>237</v>
      </c>
      <c r="C71" s="61"/>
      <c r="D71" s="61"/>
      <c r="E71" s="61"/>
      <c r="F71" s="54"/>
      <c r="G71" s="54"/>
      <c r="H71" s="54"/>
      <c r="I71" s="52">
        <f t="shared" si="2"/>
        <v>8.1999999999999993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79">
        <v>75</v>
      </c>
      <c r="B72" s="61">
        <f>254+21</f>
        <v>275</v>
      </c>
      <c r="C72" s="61">
        <v>5</v>
      </c>
      <c r="D72" s="61">
        <f>21+21</f>
        <v>42</v>
      </c>
      <c r="E72" s="61"/>
      <c r="F72" s="54"/>
      <c r="G72" s="54"/>
      <c r="H72" s="54"/>
      <c r="I72" s="52">
        <f t="shared" si="2"/>
        <v>7.6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79">
        <v>80</v>
      </c>
      <c r="B73" s="61">
        <f>270</f>
        <v>270</v>
      </c>
      <c r="C73" s="61"/>
      <c r="D73" s="61"/>
      <c r="E73" s="61"/>
      <c r="F73" s="54"/>
      <c r="G73" s="54"/>
      <c r="H73" s="54"/>
      <c r="I73" s="52">
        <f t="shared" si="2"/>
        <v>7.4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79">
        <v>85</v>
      </c>
      <c r="B74" s="61">
        <f>284+21</f>
        <v>305</v>
      </c>
      <c r="C74" s="61">
        <v>6</v>
      </c>
      <c r="D74" s="61">
        <f>21+21</f>
        <v>42</v>
      </c>
      <c r="E74" s="61"/>
      <c r="F74" s="54"/>
      <c r="G74" s="54"/>
      <c r="H74" s="54"/>
      <c r="I74" s="52">
        <f t="shared" si="2"/>
        <v>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79">
        <v>90</v>
      </c>
      <c r="B75" s="61">
        <f>296</f>
        <v>296</v>
      </c>
      <c r="C75" s="61"/>
      <c r="D75" s="61"/>
      <c r="E75" s="61"/>
      <c r="F75" s="54"/>
      <c r="G75" s="54"/>
      <c r="H75" s="54"/>
      <c r="I75" s="52">
        <f t="shared" si="2"/>
        <v>6.6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79">
        <v>100</v>
      </c>
      <c r="B76" s="61">
        <f>316+20+21</f>
        <v>357</v>
      </c>
      <c r="C76" s="53">
        <v>7</v>
      </c>
      <c r="D76" s="61">
        <f>19+20+21</f>
        <v>60</v>
      </c>
      <c r="E76" s="61"/>
      <c r="F76" s="54"/>
      <c r="G76" s="54"/>
      <c r="H76" s="54"/>
      <c r="I76" s="52">
        <f t="shared" si="2"/>
        <v>6.1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79">
        <v>110</v>
      </c>
      <c r="B77" s="61">
        <f>333+18</f>
        <v>351</v>
      </c>
      <c r="C77" s="53">
        <v>8</v>
      </c>
      <c r="D77" s="61">
        <f>18+18</f>
        <v>36</v>
      </c>
      <c r="E77" s="61"/>
      <c r="F77" s="54"/>
      <c r="G77" s="54"/>
      <c r="H77" s="54"/>
      <c r="I77" s="52">
        <f t="shared" si="2"/>
        <v>5.4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79">
        <v>120</v>
      </c>
      <c r="B78" s="61">
        <f>346+16</f>
        <v>362</v>
      </c>
      <c r="C78" s="53">
        <v>9</v>
      </c>
      <c r="D78" s="61">
        <f>17+16</f>
        <v>33</v>
      </c>
      <c r="E78" s="61"/>
      <c r="F78" s="54"/>
      <c r="G78" s="54"/>
      <c r="H78" s="54"/>
      <c r="I78" s="52">
        <f t="shared" si="2"/>
        <v>4.7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79">
        <v>130</v>
      </c>
      <c r="B79" s="61">
        <f>355+16</f>
        <v>371</v>
      </c>
      <c r="C79" s="53">
        <v>10</v>
      </c>
      <c r="D79" s="61">
        <f>16+16</f>
        <v>32</v>
      </c>
      <c r="E79" s="61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279">
        <v>140</v>
      </c>
      <c r="B80" s="61">
        <f>361+15</f>
        <v>376</v>
      </c>
      <c r="C80" s="53">
        <v>11</v>
      </c>
      <c r="D80" s="61">
        <f>15+15</f>
        <v>30</v>
      </c>
      <c r="E80" s="61"/>
      <c r="F80" s="54"/>
      <c r="G80" s="54"/>
      <c r="H80" s="54"/>
      <c r="I80" s="52">
        <f t="shared" si="2"/>
        <v>3.7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279">
        <v>150</v>
      </c>
      <c r="B81" s="61">
        <f>362+15</f>
        <v>377</v>
      </c>
      <c r="C81" s="53">
        <v>12</v>
      </c>
      <c r="D81" s="61">
        <f>B81</f>
        <v>377</v>
      </c>
      <c r="E81" s="61"/>
      <c r="F81" s="54"/>
      <c r="G81" s="54"/>
      <c r="H81" s="54"/>
      <c r="I81" s="52">
        <f t="shared" si="2"/>
        <v>3.1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Bouleau verruqueux</v>
      </c>
      <c r="C84" s="25">
        <v>4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1">
        <f>32+0</f>
        <v>32</v>
      </c>
      <c r="C88" s="61"/>
      <c r="D88" s="61"/>
      <c r="E88" s="54"/>
      <c r="F88" s="54"/>
      <c r="G88" s="54"/>
      <c r="H88" s="54"/>
      <c r="I88" s="56">
        <f>IFERROR(B88/A88,"")</f>
        <v>2.1333333333333333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1">
        <f>45+0+9</f>
        <v>54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4.4000000000000004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1">
        <f>60+0+9+8</f>
        <v>77</v>
      </c>
      <c r="C90" s="61">
        <v>1</v>
      </c>
      <c r="D90" s="61">
        <f>9+3+1</f>
        <v>13</v>
      </c>
      <c r="E90" s="54"/>
      <c r="F90" s="54"/>
      <c r="G90" s="54"/>
      <c r="H90" s="54">
        <v>1</v>
      </c>
      <c r="I90" s="56">
        <f t="shared" si="3"/>
        <v>4.5999999999999996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1">
        <f>75+9</f>
        <v>84</v>
      </c>
      <c r="C91" s="61"/>
      <c r="D91" s="61"/>
      <c r="E91" s="54"/>
      <c r="F91" s="54"/>
      <c r="G91" s="54"/>
      <c r="H91" s="54"/>
      <c r="I91" s="56">
        <f t="shared" si="3"/>
        <v>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1">
        <f>89+9+10</f>
        <v>108</v>
      </c>
      <c r="C92" s="61">
        <v>2</v>
      </c>
      <c r="D92" s="61">
        <f>9+10</f>
        <v>19</v>
      </c>
      <c r="E92" s="54"/>
      <c r="F92" s="54"/>
      <c r="G92" s="54"/>
      <c r="H92" s="54"/>
      <c r="I92" s="56">
        <f t="shared" si="3"/>
        <v>4.8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1">
        <f>103+10</f>
        <v>113</v>
      </c>
      <c r="C93" s="61"/>
      <c r="D93" s="61"/>
      <c r="E93" s="54"/>
      <c r="F93" s="54"/>
      <c r="G93" s="54"/>
      <c r="H93" s="54"/>
      <c r="I93" s="56">
        <f t="shared" si="3"/>
        <v>4.8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1">
        <v>45</v>
      </c>
      <c r="B94" s="61">
        <f>116+10+11</f>
        <v>137</v>
      </c>
      <c r="C94" s="61">
        <v>3</v>
      </c>
      <c r="D94" s="61">
        <f>10+11</f>
        <v>21</v>
      </c>
      <c r="E94" s="288"/>
      <c r="F94" s="288"/>
      <c r="G94" s="288"/>
      <c r="H94" s="288"/>
      <c r="I94" s="56">
        <f t="shared" si="3"/>
        <v>4.8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>
        <v>50</v>
      </c>
      <c r="B95" s="61">
        <f>128+11</f>
        <v>139</v>
      </c>
      <c r="C95" s="61"/>
      <c r="D95" s="61"/>
      <c r="E95" s="288"/>
      <c r="F95" s="288"/>
      <c r="G95" s="288"/>
      <c r="H95" s="288"/>
      <c r="I95" s="56">
        <f t="shared" si="3"/>
        <v>4.5999999999999996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>
        <v>55</v>
      </c>
      <c r="B96" s="61">
        <f>139+11+11</f>
        <v>161</v>
      </c>
      <c r="C96" s="61">
        <v>4</v>
      </c>
      <c r="D96" s="61">
        <f>11+11</f>
        <v>22</v>
      </c>
      <c r="E96" s="288"/>
      <c r="F96" s="288"/>
      <c r="G96" s="288"/>
      <c r="H96" s="288"/>
      <c r="I96" s="56">
        <f t="shared" si="3"/>
        <v>4.4000000000000004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>
        <v>60</v>
      </c>
      <c r="B97" s="61">
        <f>149+11</f>
        <v>160</v>
      </c>
      <c r="C97" s="61"/>
      <c r="D97" s="61"/>
      <c r="E97" s="288"/>
      <c r="F97" s="288"/>
      <c r="G97" s="288"/>
      <c r="H97" s="288"/>
      <c r="I97" s="56">
        <f t="shared" si="3"/>
        <v>4.2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>
        <v>65</v>
      </c>
      <c r="B98" s="61">
        <f>158+11+11</f>
        <v>180</v>
      </c>
      <c r="C98" s="61">
        <v>5</v>
      </c>
      <c r="D98" s="61">
        <f>11+11</f>
        <v>22</v>
      </c>
      <c r="E98" s="288"/>
      <c r="F98" s="288"/>
      <c r="G98" s="288"/>
      <c r="H98" s="288"/>
      <c r="I98" s="56">
        <f t="shared" si="3"/>
        <v>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>
        <v>70</v>
      </c>
      <c r="B99" s="61">
        <f>167+11</f>
        <v>178</v>
      </c>
      <c r="C99" s="61"/>
      <c r="D99" s="61"/>
      <c r="E99" s="288"/>
      <c r="F99" s="288"/>
      <c r="G99" s="288"/>
      <c r="H99" s="288"/>
      <c r="I99" s="56">
        <f t="shared" si="3"/>
        <v>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>
        <v>75</v>
      </c>
      <c r="B100" s="61">
        <f>174+11+11</f>
        <v>196</v>
      </c>
      <c r="C100" s="61">
        <v>6</v>
      </c>
      <c r="D100" s="61">
        <f>11+11</f>
        <v>22</v>
      </c>
      <c r="E100" s="289"/>
      <c r="F100" s="289"/>
      <c r="G100" s="289"/>
      <c r="H100" s="289"/>
      <c r="I100" s="56">
        <f t="shared" si="3"/>
        <v>3.6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>
        <v>80</v>
      </c>
      <c r="B101" s="61">
        <f>181+11</f>
        <v>192</v>
      </c>
      <c r="C101" s="61"/>
      <c r="D101" s="61"/>
      <c r="E101" s="289"/>
      <c r="F101" s="289"/>
      <c r="G101" s="289"/>
      <c r="H101" s="289"/>
      <c r="I101" s="56">
        <f t="shared" si="3"/>
        <v>3.6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85</v>
      </c>
      <c r="B102" s="61">
        <f>187+11+10</f>
        <v>208</v>
      </c>
      <c r="C102" s="61">
        <v>7</v>
      </c>
      <c r="D102" s="61">
        <f>11+10</f>
        <v>21</v>
      </c>
      <c r="E102" s="57"/>
      <c r="F102" s="57"/>
      <c r="G102" s="57"/>
      <c r="H102" s="57"/>
      <c r="I102" s="56">
        <f t="shared" si="3"/>
        <v>3.2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90</v>
      </c>
      <c r="B103" s="61">
        <f>192+10</f>
        <v>202</v>
      </c>
      <c r="C103" s="61">
        <v>8</v>
      </c>
      <c r="D103" s="61">
        <f>B103</f>
        <v>202</v>
      </c>
      <c r="E103" s="57"/>
      <c r="F103" s="57"/>
      <c r="G103" s="57"/>
      <c r="H103" s="57"/>
      <c r="I103" s="56">
        <f t="shared" si="3"/>
        <v>3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61"/>
      <c r="C104" s="61"/>
      <c r="D104" s="61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61"/>
      <c r="C105" s="53"/>
      <c r="D105" s="61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61"/>
      <c r="C106" s="53"/>
      <c r="D106" s="61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61"/>
      <c r="C107" s="53"/>
      <c r="D107" s="61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Erable champêtre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f>18</f>
        <v>18</v>
      </c>
      <c r="C114" s="61"/>
      <c r="D114" s="61"/>
      <c r="E114" s="54"/>
      <c r="F114" s="54"/>
      <c r="G114" s="54"/>
      <c r="H114" s="54"/>
      <c r="I114" s="56">
        <f>IFERROR(B114/A114,"")</f>
        <v>0.9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1">
        <f>53+3</f>
        <v>56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7.6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1">
        <f>76+3+14</f>
        <v>93</v>
      </c>
      <c r="C116" s="61">
        <v>1</v>
      </c>
      <c r="D116" s="61">
        <f>3+14+14</f>
        <v>31</v>
      </c>
      <c r="E116" s="54"/>
      <c r="F116" s="54"/>
      <c r="G116" s="54"/>
      <c r="H116" s="54">
        <v>1</v>
      </c>
      <c r="I116" s="56">
        <f t="shared" si="4"/>
        <v>7.4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1">
        <f>95</f>
        <v>95</v>
      </c>
      <c r="C117" s="61"/>
      <c r="D117" s="61"/>
      <c r="E117" s="54"/>
      <c r="F117" s="54"/>
      <c r="G117" s="54"/>
      <c r="H117" s="54"/>
      <c r="I117" s="56">
        <f t="shared" si="4"/>
        <v>6.6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1">
        <f>109+14</f>
        <v>123</v>
      </c>
      <c r="C118" s="61">
        <v>2</v>
      </c>
      <c r="D118" s="61">
        <f>14+14</f>
        <v>28</v>
      </c>
      <c r="E118" s="54"/>
      <c r="F118" s="54"/>
      <c r="G118" s="54"/>
      <c r="H118" s="54"/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1">
        <f>120</f>
        <v>120</v>
      </c>
      <c r="C119" s="61"/>
      <c r="D119" s="61"/>
      <c r="E119" s="54"/>
      <c r="F119" s="54"/>
      <c r="G119" s="54"/>
      <c r="H119" s="54"/>
      <c r="I119" s="56">
        <f t="shared" si="4"/>
        <v>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1">
        <f>127+14</f>
        <v>141</v>
      </c>
      <c r="C120" s="61">
        <v>3</v>
      </c>
      <c r="D120" s="61">
        <f>14+11</f>
        <v>25</v>
      </c>
      <c r="E120" s="54"/>
      <c r="F120" s="54"/>
      <c r="G120" s="54"/>
      <c r="H120" s="54"/>
      <c r="I120" s="56">
        <f t="shared" si="4"/>
        <v>4.2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61">
        <f>133</f>
        <v>133</v>
      </c>
      <c r="C121" s="61"/>
      <c r="D121" s="61"/>
      <c r="E121" s="54"/>
      <c r="F121" s="54"/>
      <c r="G121" s="54"/>
      <c r="H121" s="54"/>
      <c r="I121" s="56">
        <f t="shared" si="4"/>
        <v>3.4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61">
        <f>140+9</f>
        <v>149</v>
      </c>
      <c r="C122" s="61">
        <v>4</v>
      </c>
      <c r="D122" s="61">
        <f>9+7</f>
        <v>16</v>
      </c>
      <c r="E122" s="54"/>
      <c r="F122" s="54"/>
      <c r="G122" s="54"/>
      <c r="H122" s="54"/>
      <c r="I122" s="56">
        <f t="shared" si="4"/>
        <v>3.2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61">
        <f>146</f>
        <v>146</v>
      </c>
      <c r="C123" s="61"/>
      <c r="D123" s="61"/>
      <c r="E123" s="54"/>
      <c r="F123" s="54"/>
      <c r="G123" s="54"/>
      <c r="H123" s="54"/>
      <c r="I123" s="56">
        <f t="shared" si="4"/>
        <v>2.6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61">
        <f>151+6</f>
        <v>157</v>
      </c>
      <c r="C124" s="61">
        <v>5</v>
      </c>
      <c r="D124" s="61">
        <f>7+6</f>
        <v>13</v>
      </c>
      <c r="E124" s="54"/>
      <c r="F124" s="54"/>
      <c r="G124" s="54"/>
      <c r="H124" s="54"/>
      <c r="I124" s="56">
        <f t="shared" si="4"/>
        <v>2.2000000000000002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61">
        <f>155</f>
        <v>155</v>
      </c>
      <c r="C125" s="61"/>
      <c r="D125" s="61"/>
      <c r="E125" s="54"/>
      <c r="F125" s="54"/>
      <c r="G125" s="54"/>
      <c r="H125" s="54"/>
      <c r="I125" s="56">
        <f t="shared" si="4"/>
        <v>2.2000000000000002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61">
        <f>160+4</f>
        <v>164</v>
      </c>
      <c r="C126" s="61">
        <v>6</v>
      </c>
      <c r="D126" s="61">
        <f>B126</f>
        <v>164</v>
      </c>
      <c r="E126" s="54"/>
      <c r="F126" s="54"/>
      <c r="G126" s="54"/>
      <c r="H126" s="54"/>
      <c r="I126" s="56">
        <f t="shared" si="4"/>
        <v>1.8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279"/>
      <c r="B127" s="61"/>
      <c r="C127" s="61"/>
      <c r="D127" s="61"/>
      <c r="E127" s="61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279"/>
      <c r="B128" s="61"/>
      <c r="C128" s="53"/>
      <c r="D128" s="61"/>
      <c r="E128" s="61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279"/>
      <c r="B129" s="61"/>
      <c r="C129" s="53"/>
      <c r="D129" s="61"/>
      <c r="E129" s="61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279"/>
      <c r="B130" s="61"/>
      <c r="C130" s="53"/>
      <c r="D130" s="61"/>
      <c r="E130" s="61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279"/>
      <c r="B131" s="61"/>
      <c r="C131" s="53"/>
      <c r="D131" s="61"/>
      <c r="E131" s="61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279"/>
      <c r="B132" s="61"/>
      <c r="C132" s="53"/>
      <c r="D132" s="61"/>
      <c r="E132" s="61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279"/>
      <c r="B133" s="61"/>
      <c r="C133" s="53"/>
      <c r="D133" s="61"/>
      <c r="E133" s="61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Merisier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1">
        <v>40</v>
      </c>
      <c r="C140" s="61">
        <v>1</v>
      </c>
      <c r="D140" s="61">
        <v>3</v>
      </c>
      <c r="E140" s="54"/>
      <c r="F140" s="54"/>
      <c r="G140" s="54"/>
      <c r="H140" s="54">
        <v>1</v>
      </c>
      <c r="I140" s="59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1">
        <v>85</v>
      </c>
      <c r="C141" s="61">
        <v>2</v>
      </c>
      <c r="D141" s="61">
        <v>25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1">
        <v>113</v>
      </c>
      <c r="C142" s="61">
        <v>3</v>
      </c>
      <c r="D142" s="61">
        <v>27</v>
      </c>
      <c r="E142" s="54"/>
      <c r="F142" s="54"/>
      <c r="G142" s="54"/>
      <c r="H142" s="54">
        <v>1</v>
      </c>
      <c r="I142" s="59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31</v>
      </c>
      <c r="B143" s="61">
        <v>155</v>
      </c>
      <c r="C143" s="61">
        <v>4</v>
      </c>
      <c r="D143" s="61">
        <v>36</v>
      </c>
      <c r="E143" s="54"/>
      <c r="F143" s="54"/>
      <c r="G143" s="54"/>
      <c r="H143" s="54"/>
      <c r="I143" s="59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37</v>
      </c>
      <c r="B144" s="61">
        <v>188</v>
      </c>
      <c r="C144" s="61">
        <v>5</v>
      </c>
      <c r="D144" s="61">
        <v>36</v>
      </c>
      <c r="E144" s="54"/>
      <c r="F144" s="54"/>
      <c r="G144" s="54"/>
      <c r="H144" s="54"/>
      <c r="I144" s="59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44</v>
      </c>
      <c r="B145" s="61">
        <v>230</v>
      </c>
      <c r="C145" s="61">
        <v>6</v>
      </c>
      <c r="D145" s="61">
        <v>43</v>
      </c>
      <c r="E145" s="54"/>
      <c r="F145" s="54"/>
      <c r="G145" s="54"/>
      <c r="H145" s="54"/>
      <c r="I145" s="59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52</v>
      </c>
      <c r="B146" s="61">
        <v>270</v>
      </c>
      <c r="C146" s="61">
        <v>7</v>
      </c>
      <c r="D146" s="61">
        <v>48</v>
      </c>
      <c r="E146" s="54"/>
      <c r="F146" s="54"/>
      <c r="G146" s="54"/>
      <c r="H146" s="54"/>
      <c r="I146" s="59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60</v>
      </c>
      <c r="B147" s="61">
        <v>297</v>
      </c>
      <c r="C147" s="61">
        <v>8</v>
      </c>
      <c r="D147" s="61">
        <v>47</v>
      </c>
      <c r="E147" s="54"/>
      <c r="F147" s="54"/>
      <c r="G147" s="54"/>
      <c r="H147" s="54"/>
      <c r="I147" s="59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69</v>
      </c>
      <c r="B148" s="61">
        <v>328</v>
      </c>
      <c r="C148" s="61">
        <v>9</v>
      </c>
      <c r="D148" s="61">
        <v>328</v>
      </c>
      <c r="E148" s="54"/>
      <c r="F148" s="54"/>
      <c r="G148" s="54"/>
      <c r="H148" s="54"/>
      <c r="I148" s="59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1"/>
      <c r="C149" s="61"/>
      <c r="D149" s="61"/>
      <c r="E149" s="54"/>
      <c r="F149" s="54"/>
      <c r="G149" s="54"/>
      <c r="H149" s="5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1"/>
      <c r="C150" s="61"/>
      <c r="D150" s="61"/>
      <c r="E150" s="54"/>
      <c r="F150" s="54"/>
      <c r="G150" s="54"/>
      <c r="H150" s="5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1"/>
      <c r="C151" s="61"/>
      <c r="D151" s="61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1"/>
      <c r="C152" s="61"/>
      <c r="D152" s="61"/>
      <c r="E152" s="54"/>
      <c r="F152" s="54"/>
      <c r="G152" s="54"/>
      <c r="H152" s="54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1"/>
      <c r="C153" s="61"/>
      <c r="D153" s="61"/>
      <c r="E153" s="54"/>
      <c r="F153" s="54"/>
      <c r="G153" s="54"/>
      <c r="H153" s="54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61"/>
      <c r="C154" s="61"/>
      <c r="D154" s="61"/>
      <c r="E154" s="54"/>
      <c r="F154" s="54"/>
      <c r="G154" s="54"/>
      <c r="H154" s="54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61"/>
      <c r="C155" s="61"/>
      <c r="D155" s="61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61"/>
      <c r="C156" s="61"/>
      <c r="D156" s="61"/>
      <c r="E156" s="57"/>
      <c r="F156" s="57"/>
      <c r="G156" s="57"/>
      <c r="H156" s="57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61"/>
      <c r="C157" s="53"/>
      <c r="D157" s="61"/>
      <c r="E157" s="57"/>
      <c r="F157" s="57"/>
      <c r="G157" s="57"/>
      <c r="H157" s="57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61"/>
      <c r="C158" s="53"/>
      <c r="D158" s="61"/>
      <c r="E158" s="57"/>
      <c r="F158" s="57"/>
      <c r="G158" s="57"/>
      <c r="H158" s="57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/>
      <c r="B159" s="61"/>
      <c r="C159" s="53"/>
      <c r="D159" s="61"/>
      <c r="E159" s="57"/>
      <c r="F159" s="57"/>
      <c r="G159" s="57"/>
      <c r="H159" s="57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61"/>
      <c r="C173" s="61"/>
      <c r="D173" s="61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61"/>
      <c r="C174" s="61"/>
      <c r="D174" s="61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61"/>
      <c r="C175" s="61"/>
      <c r="D175" s="61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61"/>
      <c r="C176" s="61"/>
      <c r="D176" s="61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61"/>
      <c r="C177" s="61"/>
      <c r="D177" s="61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61"/>
      <c r="C178" s="61"/>
      <c r="D178" s="61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61"/>
      <c r="C179" s="61"/>
      <c r="D179" s="61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61"/>
      <c r="C180" s="61"/>
      <c r="D180" s="61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61"/>
      <c r="C181" s="61"/>
      <c r="D181" s="61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61"/>
      <c r="C182" s="61"/>
      <c r="D182" s="61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61"/>
      <c r="C183" s="53"/>
      <c r="D183" s="61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61"/>
      <c r="C184" s="53"/>
      <c r="D184" s="61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61"/>
      <c r="C185" s="53"/>
      <c r="D185" s="61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0"/>
      <c r="B231" s="61"/>
      <c r="C231" s="90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0"/>
      <c r="B257" s="61"/>
      <c r="C257" s="90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Normal="100" workbookViewId="0">
      <selection activeCell="C17" sqref="C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3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3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pédonculé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Hêtre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Bouleau verruqueux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Erable champêtre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Merisier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/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402.79698021419853</v>
      </c>
      <c r="T3" s="60">
        <f>IF('Données projet'!E9&gt;30,$R$33-$H$33,LOOKUP('Données projet'!$E$9,$A$3:$A$203,R3:R203)-LOOKUP('Données projet'!$E$9,$A$3:$A$203,$H$3:$H$203))</f>
        <v>218.26721063098552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440.51611312502263</v>
      </c>
      <c r="AO3" s="60">
        <f>IF('Données projet'!E10&gt;30,$AM$33-$H$33,LOOKUP('Données projet'!$E$10,$A$3:$A$203,AM3:AM203)-LOOKUP('Données projet'!$E$10,$A$3:$A$203,$H$3:$H$203))</f>
        <v>176.81257896138806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236.22643401787644</v>
      </c>
      <c r="BJ3" s="60">
        <f>IF('Données projet'!E11&gt;30,$BH$33-$H$33,LOOKUP('Données projet'!$E$11,$A$3:$A$203,BH3:BH203)-LOOKUP('Données projet'!$E$11,$A$3:$A$203,$H$3:$H$203))</f>
        <v>188.80444043778022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202.86354781280403</v>
      </c>
      <c r="CE3" s="60">
        <f>IF('Données projet'!E12&gt;30,$CC$33-$H$33,LOOKUP('Données projet'!$E$12,$A$3:$A$203,CC3:CC203)-LOOKUP('Données projet'!$E$12,$A$3:$A$203,$H$3:$H$203))</f>
        <v>217.25323885665131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288.82868507674738</v>
      </c>
      <c r="CZ3" s="60">
        <f>IF('Données projet'!E13&gt;30,$CX$33-$H$33,LOOKUP('Données projet'!$E$13,$A$3:$A$203,CX3:CX203)-LOOKUP('Données projet'!$E$13,$A$3:$A$203,$H$3:$H$203))</f>
        <v>283.48738729114024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1.0155020926567102</v>
      </c>
      <c r="P4" s="14">
        <f>EXP(-1.0587+0.8836*LN(O4)+0.284)</f>
        <v>0.46714880239274614</v>
      </c>
      <c r="Q4" s="22">
        <f t="shared" ref="Q4:Q34" si="2">(O4+P4)*0.475*44/12</f>
        <v>2.5822836422111366</v>
      </c>
      <c r="R4" s="60">
        <f t="shared" si="0"/>
        <v>260.47117253109997</v>
      </c>
      <c r="S4" s="60">
        <f ca="1">AVERAGE(OFFSET($R$3,0,0,'Données projet'!$E$9+1,1))-AVERAGE(OFFSET($H$3,0,0,'Données projet'!$E$9+1,1))</f>
        <v>402.79698021419853</v>
      </c>
      <c r="T4" s="60">
        <f>$T$3</f>
        <v>218.26721063098552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1.6</v>
      </c>
      <c r="AI4" s="14">
        <f>IF('Données projet'!$A$62&gt;35,AI3+AH4-AQ3,IF(A4&lt;'Données projet'!$A$62,$AF$205^A4,IF(A4='Données projet'!$A$62,'Données projet'!$B$62,AI3+AH4-AQ3)))</f>
        <v>1.1589972344055464</v>
      </c>
      <c r="AJ4" s="14">
        <f>AI4*VLOOKUP('Données projet'!$B$10,Paramètres!$A$1:$I$89,3,0)*VLOOKUP('Données projet'!$B$10,Paramètres!$A$1:$I$89,5,0)</f>
        <v>0.9944196271199589</v>
      </c>
      <c r="AK4" s="14">
        <f>EXP(-1.0587+0.8836*LN(AJ4)+0.284)</f>
        <v>0.4585689454773958</v>
      </c>
      <c r="AL4" s="22">
        <f t="shared" ref="AL4:AL67" si="4">(AJ4+AK4)*0.475*44/12</f>
        <v>2.5306217639403932</v>
      </c>
      <c r="AM4" s="60">
        <f t="shared" ref="AM4:AM67" si="5">AL4+(AD4+AE4)*44/12</f>
        <v>260.41951065282927</v>
      </c>
      <c r="AN4" s="60">
        <f ca="1">AVERAGE(OFFSET($AM$3,0,0,'Données projet'!$E$10+1,1))-AVERAGE(OFFSET($H$3,0,0,'Données projet'!$E$10+1,1))</f>
        <v>440.51611312502263</v>
      </c>
      <c r="AO4" s="60">
        <f>$AO$3</f>
        <v>176.81257896138806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2.1333333333333333</v>
      </c>
      <c r="BD4" s="13">
        <f>IF('Données projet'!$A$88&gt;35,BD3+BC4-BL3,IF(A4&lt;'Données projet'!$A$88,$BA$205^A4,IF(A4='Données projet'!$A$88,'Données projet'!$B$88,BD3+BC4-BL3)))</f>
        <v>1.2599210498948732</v>
      </c>
      <c r="BE4" s="14">
        <f>BD4*VLOOKUP('Données projet'!$B$11,Paramètres!$A$1:$I$89,3,0)*VLOOKUP('Données projet'!$B$11,Paramètres!$A$1:$I$89,5,0)</f>
        <v>1.0220479556747213</v>
      </c>
      <c r="BF4" s="14">
        <f>EXP(-1.0587+0.8836*LN(BE4)+0.284)</f>
        <v>0.4698085135128936</v>
      </c>
      <c r="BG4" s="22">
        <f t="shared" ref="BG4:BG67" si="7">(BE4+BF4)*0.475*44/12</f>
        <v>2.5983166838350953</v>
      </c>
      <c r="BH4" s="60">
        <f t="shared" ref="BH4:BH67" si="8">BG4+(AY4+AZ4)*44/12</f>
        <v>260.48720557272395</v>
      </c>
      <c r="BI4" s="60">
        <f ca="1">AVERAGE(OFFSET($BH$3,0,0,'Données projet'!$E$11+1,1))-AVERAGE(OFFSET($H$3,0,0,'Données projet'!$E$11+1,1))</f>
        <v>236.22643401787644</v>
      </c>
      <c r="BJ4" s="60">
        <f>$BJ$3</f>
        <v>188.80444043778022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0.9</v>
      </c>
      <c r="BY4" s="13">
        <f>IF('Données projet'!$A$114&gt;35,BY3+BX4-CG3,IF(A4&lt;'Données projet'!$A$114,$BV$205^A4,IF(A4='Données projet'!$A$114,'Données projet'!$B$114,BY3+BX4-CG3)))</f>
        <v>1.1554831727638066</v>
      </c>
      <c r="BZ4" s="14">
        <f>BY4*VLOOKUP('Données projet'!$B$12,Paramètres!$A$1:$I$89,3,0)*VLOOKUP('Données projet'!$B$12,Paramètres!$A$1:$I$89,5,0)</f>
        <v>1.0094300997264616</v>
      </c>
      <c r="CA4" s="14">
        <f>EXP(-1.0587+0.8836*LN(BZ4)+0.284)</f>
        <v>0.46467984937949935</v>
      </c>
      <c r="CB4" s="22">
        <f t="shared" ref="CB4:CB67" si="10">(BZ4+CA4)*0.475*44/12</f>
        <v>2.5674081613595483</v>
      </c>
      <c r="CC4" s="60">
        <f t="shared" ref="CC4:CC67" si="11">CB4+(BT4+BU4)*44/12</f>
        <v>260.45629705024839</v>
      </c>
      <c r="CD4" s="60">
        <f ca="1">AVERAGE(OFFSET($CC$3,0,0,'Données projet'!$E$12+1,1))-AVERAGE(OFFSET($H$3,0,0,'Données projet'!$E$12+1,1))</f>
        <v>202.86354781280403</v>
      </c>
      <c r="CE4" s="60">
        <f>$CE$3</f>
        <v>217.25323885665131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0">
        <f t="shared" ref="CX4:CX67" si="14">CW4+(CO4+CP4)*44/12</f>
        <v>260.42698077017764</v>
      </c>
      <c r="CY4" s="60">
        <f ca="1">AVERAGE(OFFSET($CX$3,0,0,'Données projet'!$E$13+1,1))-AVERAGE(OFFSET($H$3,0,0,'Données projet'!$E$13+1,1))</f>
        <v>288.82868507674738</v>
      </c>
      <c r="CZ4" s="60">
        <f>$CZ$3</f>
        <v>283.48738729114024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1.2241743829417828</v>
      </c>
      <c r="P5" s="14">
        <f t="shared" ref="P5:P68" si="33">EXP(-1.0587+0.8836*LN(O5)+0.284)</f>
        <v>0.55102384568700224</v>
      </c>
      <c r="Q5" s="22">
        <f t="shared" si="2"/>
        <v>3.0918035815284672</v>
      </c>
      <c r="R5" s="60">
        <f t="shared" si="0"/>
        <v>262.20291469263964</v>
      </c>
      <c r="S5" s="60">
        <f ca="1">AVERAGE(OFFSET($R$3,0,0,'Données projet'!$E$9+1,1))-AVERAGE(OFFSET($H$3,0,0,'Données projet'!$E$9+1,1))</f>
        <v>402.79698021419853</v>
      </c>
      <c r="T5" s="60">
        <f t="shared" ref="T5:T68" si="34">$T$3</f>
        <v>218.26721063098552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1.6</v>
      </c>
      <c r="AI5" s="14">
        <f>IF('Données projet'!$A$62&gt;35,AI4+AH5-AQ4,IF(A5&lt;'Données projet'!$A$62,$AF$205^A5,IF(A5='Données projet'!$A$62,'Données projet'!$B$62,AI4+AH5-AQ4)))</f>
        <v>1.3432745893597049</v>
      </c>
      <c r="AJ5" s="14">
        <f>AI5*VLOOKUP('Données projet'!$B$10,Paramètres!$A$1:$I$89,3,0)*VLOOKUP('Données projet'!$B$10,Paramètres!$A$1:$I$89,5,0)</f>
        <v>1.1525295976706269</v>
      </c>
      <c r="AK5" s="14">
        <f t="shared" ref="AK5:AK68" si="35">EXP(-1.0587+0.8836*LN(AJ5)+0.284)</f>
        <v>0.52242968866386141</v>
      </c>
      <c r="AL5" s="22">
        <f t="shared" si="4"/>
        <v>2.9172207570325672</v>
      </c>
      <c r="AM5" s="60">
        <f t="shared" si="5"/>
        <v>262.02833186814371</v>
      </c>
      <c r="AN5" s="60">
        <f ca="1">AVERAGE(OFFSET($AM$3,0,0,'Données projet'!$E$10+1,1))-AVERAGE(OFFSET($H$3,0,0,'Données projet'!$E$10+1,1))</f>
        <v>440.51611312502263</v>
      </c>
      <c r="AO5" s="60">
        <f t="shared" ref="AO5:AO68" si="36">$AO$3</f>
        <v>176.81257896138806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2.1333333333333333</v>
      </c>
      <c r="BD5" s="13">
        <f>IF('Données projet'!$A$88&gt;35,BD4+BC5-BL4,IF(A5&lt;'Données projet'!$A$88,$BA$205^A5,IF(A5='Données projet'!$A$88,'Données projet'!$B$88,BD4+BC5-BL4)))</f>
        <v>1.5874010519681996</v>
      </c>
      <c r="BE5" s="14">
        <f>BD5*VLOOKUP('Données projet'!$B$11,Paramètres!$A$1:$I$89,3,0)*VLOOKUP('Données projet'!$B$11,Paramètres!$A$1:$I$89,5,0)</f>
        <v>1.2876997333566036</v>
      </c>
      <c r="BF5" s="14">
        <f t="shared" ref="BF5:BF68" si="37">EXP(-1.0587+0.8836*LN(BE5)+0.284)</f>
        <v>0.57621458989117558</v>
      </c>
      <c r="BG5" s="22">
        <f t="shared" si="7"/>
        <v>3.2463174463232147</v>
      </c>
      <c r="BH5" s="60">
        <f t="shared" si="8"/>
        <v>262.35742855743433</v>
      </c>
      <c r="BI5" s="60">
        <f ca="1">AVERAGE(OFFSET($BH$3,0,0,'Données projet'!$E$11+1,1))-AVERAGE(OFFSET($H$3,0,0,'Données projet'!$E$11+1,1))</f>
        <v>236.22643401787644</v>
      </c>
      <c r="BJ5" s="60">
        <f t="shared" ref="BJ5:BJ68" si="38">$BJ$3</f>
        <v>188.80444043778022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0.9</v>
      </c>
      <c r="BY5" s="13">
        <f>IF('Données projet'!$A$114&gt;35,BY4+BX5-CG4,IF(A5&lt;'Données projet'!$A$114,$BV$205^A5,IF(A5='Données projet'!$A$114,'Données projet'!$B$114,BY4+BX5-CG4)))</f>
        <v>1.335141362540313</v>
      </c>
      <c r="BZ5" s="14">
        <f>BY5*VLOOKUP('Données projet'!$B$12,Paramètres!$A$1:$I$89,3,0)*VLOOKUP('Données projet'!$B$12,Paramètres!$A$1:$I$89,5,0)</f>
        <v>1.1663794943152175</v>
      </c>
      <c r="CA5" s="14">
        <f t="shared" ref="CA5:CA68" si="39">EXP(-1.0587+0.8836*LN(BZ5)+0.284)</f>
        <v>0.52797307958445927</v>
      </c>
      <c r="CB5" s="22">
        <f t="shared" si="10"/>
        <v>2.9509973995419365</v>
      </c>
      <c r="CC5" s="60">
        <f t="shared" si="11"/>
        <v>262.0621085106531</v>
      </c>
      <c r="CD5" s="60">
        <f ca="1">AVERAGE(OFFSET($CC$3,0,0,'Données projet'!$E$12+1,1))-AVERAGE(OFFSET($H$3,0,0,'Données projet'!$E$12+1,1))</f>
        <v>202.86354781280403</v>
      </c>
      <c r="CE5" s="60">
        <f t="shared" ref="CE5:CE68" si="40">$CE$3</f>
        <v>217.25323885665131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0">
        <f t="shared" si="14"/>
        <v>262.32793292279484</v>
      </c>
      <c r="CY5" s="60">
        <f ca="1">AVERAGE(OFFSET($CX$3,0,0,'Données projet'!$E$13+1,1))-AVERAGE(OFFSET($H$3,0,0,'Données projet'!$E$13+1,1))</f>
        <v>288.82868507674738</v>
      </c>
      <c r="CZ5" s="60">
        <f t="shared" ref="CZ5:CZ68" si="42">$CZ$3</f>
        <v>283.48738729114024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1.4757260774621526</v>
      </c>
      <c r="P6" s="14">
        <f t="shared" si="33"/>
        <v>0.64995837934402878</v>
      </c>
      <c r="Q6" s="22">
        <f t="shared" si="2"/>
        <v>3.7022337622707653</v>
      </c>
      <c r="R6" s="60">
        <f t="shared" si="0"/>
        <v>264.03556709560405</v>
      </c>
      <c r="S6" s="60">
        <f ca="1">AVERAGE(OFFSET($R$3,0,0,'Données projet'!$E$9+1,1))-AVERAGE(OFFSET($H$3,0,0,'Données projet'!$E$9+1,1))</f>
        <v>402.79698021419853</v>
      </c>
      <c r="T6" s="60">
        <f t="shared" si="34"/>
        <v>218.26721063098552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1.6</v>
      </c>
      <c r="AI6" s="14">
        <f>IF('Données projet'!$A$62&gt;35,AI5+AH6-AQ5,IF(A6&lt;'Données projet'!$A$62,$AF$205^A6,IF(A6='Données projet'!$A$62,'Données projet'!$B$62,AI5+AH6-AQ5)))</f>
        <v>1.5568515341151439</v>
      </c>
      <c r="AJ6" s="14">
        <f>AI6*VLOOKUP('Données projet'!$B$10,Paramètres!$A$1:$I$89,3,0)*VLOOKUP('Données projet'!$B$10,Paramètres!$A$1:$I$89,5,0)</f>
        <v>1.3357786162707936</v>
      </c>
      <c r="AK6" s="14">
        <f t="shared" si="35"/>
        <v>0.5951837390848197</v>
      </c>
      <c r="AL6" s="22">
        <f t="shared" si="4"/>
        <v>3.3630927689110268</v>
      </c>
      <c r="AM6" s="60">
        <f t="shared" si="5"/>
        <v>263.69642610224435</v>
      </c>
      <c r="AN6" s="60">
        <f ca="1">AVERAGE(OFFSET($AM$3,0,0,'Données projet'!$E$10+1,1))-AVERAGE(OFFSET($H$3,0,0,'Données projet'!$E$10+1,1))</f>
        <v>440.51611312502263</v>
      </c>
      <c r="AO6" s="60">
        <f t="shared" si="36"/>
        <v>176.81257896138806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2.1333333333333333</v>
      </c>
      <c r="BD6" s="13">
        <f>IF('Données projet'!$A$88&gt;35,BD5+BC6-BL5,IF(A6&lt;'Données projet'!$A$88,$BA$205^A6,IF(A6='Données projet'!$A$88,'Données projet'!$B$88,BD5+BC6-BL5)))</f>
        <v>2</v>
      </c>
      <c r="BE6" s="14">
        <f>BD6*VLOOKUP('Données projet'!$B$11,Paramètres!$A$1:$I$89,3,0)*VLOOKUP('Données projet'!$B$11,Paramètres!$A$1:$I$89,5,0)</f>
        <v>1.6224000000000001</v>
      </c>
      <c r="BF6" s="14">
        <f t="shared" si="37"/>
        <v>0.70672038512206192</v>
      </c>
      <c r="BG6" s="22">
        <f t="shared" si="7"/>
        <v>4.0565513374209239</v>
      </c>
      <c r="BH6" s="60">
        <f t="shared" si="8"/>
        <v>264.38988467075421</v>
      </c>
      <c r="BI6" s="60">
        <f ca="1">AVERAGE(OFFSET($BH$3,0,0,'Données projet'!$E$11+1,1))-AVERAGE(OFFSET($H$3,0,0,'Données projet'!$E$11+1,1))</f>
        <v>236.22643401787644</v>
      </c>
      <c r="BJ6" s="60">
        <f t="shared" si="38"/>
        <v>188.80444043778022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0.9</v>
      </c>
      <c r="BY6" s="13">
        <f>IF('Données projet'!$A$114&gt;35,BY5+BX6-CG5,IF(A6&lt;'Données projet'!$A$114,$BV$205^A6,IF(A6='Données projet'!$A$114,'Données projet'!$B$114,BY5+BX6-CG5)))</f>
        <v>1.5427333776762726</v>
      </c>
      <c r="BZ6" s="14">
        <f>BY6*VLOOKUP('Données projet'!$B$12,Paramètres!$A$1:$I$89,3,0)*VLOOKUP('Données projet'!$B$12,Paramètres!$A$1:$I$89,5,0)</f>
        <v>1.3477318787379919</v>
      </c>
      <c r="CA6" s="14">
        <f t="shared" si="39"/>
        <v>0.59988737006377257</v>
      </c>
      <c r="CB6" s="22">
        <f t="shared" si="10"/>
        <v>3.3921035249964064</v>
      </c>
      <c r="CC6" s="60">
        <f t="shared" si="11"/>
        <v>263.72543685832972</v>
      </c>
      <c r="CD6" s="60">
        <f ca="1">AVERAGE(OFFSET($CC$3,0,0,'Données projet'!$E$12+1,1))-AVERAGE(OFFSET($H$3,0,0,'Données projet'!$E$12+1,1))</f>
        <v>202.86354781280403</v>
      </c>
      <c r="CE6" s="60">
        <f t="shared" si="40"/>
        <v>217.25323885665131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0">
        <f t="shared" si="14"/>
        <v>264.41110313686249</v>
      </c>
      <c r="CY6" s="60">
        <f ca="1">AVERAGE(OFFSET($CX$3,0,0,'Données projet'!$E$13+1,1))-AVERAGE(OFFSET($H$3,0,0,'Données projet'!$E$13+1,1))</f>
        <v>288.82868507674738</v>
      </c>
      <c r="CZ6" s="60">
        <f t="shared" si="42"/>
        <v>283.48738729114024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1.7789683284079942</v>
      </c>
      <c r="P7" s="14">
        <f t="shared" si="33"/>
        <v>0.76665628572357314</v>
      </c>
      <c r="Q7" s="22">
        <f t="shared" si="2"/>
        <v>4.4336295362791462</v>
      </c>
      <c r="R7" s="60">
        <f t="shared" si="0"/>
        <v>265.98918509183471</v>
      </c>
      <c r="S7" s="60">
        <f ca="1">AVERAGE(OFFSET($R$3,0,0,'Données projet'!$E$9+1,1))-AVERAGE(OFFSET($H$3,0,0,'Données projet'!$E$9+1,1))</f>
        <v>402.79698021419853</v>
      </c>
      <c r="T7" s="60">
        <f t="shared" si="34"/>
        <v>218.26721063098552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1.6</v>
      </c>
      <c r="AI7" s="14">
        <f>IF('Données projet'!$A$62&gt;35,AI6+AH7-AQ6,IF(A7&lt;'Données projet'!$A$62,$AF$205^A7,IF(A7='Données projet'!$A$62,'Données projet'!$B$62,AI6+AH7-AQ6)))</f>
        <v>1.8043866224194838</v>
      </c>
      <c r="AJ7" s="14">
        <f>AI7*VLOOKUP('Données projet'!$B$10,Paramètres!$A$1:$I$89,3,0)*VLOOKUP('Données projet'!$B$10,Paramètres!$A$1:$I$89,5,0)</f>
        <v>1.5481637220359172</v>
      </c>
      <c r="AK7" s="14">
        <f t="shared" si="35"/>
        <v>0.67806958708066833</v>
      </c>
      <c r="AL7" s="22">
        <f t="shared" si="4"/>
        <v>3.8773563467113861</v>
      </c>
      <c r="AM7" s="60">
        <f t="shared" si="5"/>
        <v>265.43291190226694</v>
      </c>
      <c r="AN7" s="60">
        <f ca="1">AVERAGE(OFFSET($AM$3,0,0,'Données projet'!$E$10+1,1))-AVERAGE(OFFSET($H$3,0,0,'Données projet'!$E$10+1,1))</f>
        <v>440.51611312502263</v>
      </c>
      <c r="AO7" s="60">
        <f t="shared" si="36"/>
        <v>176.81257896138806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2.1333333333333333</v>
      </c>
      <c r="BD7" s="13">
        <f>IF('Données projet'!$A$88&gt;35,BD6+BC7-BL6,IF(A7&lt;'Données projet'!$A$88,$BA$205^A7,IF(A7='Données projet'!$A$88,'Données projet'!$B$88,BD6+BC7-BL6)))</f>
        <v>2.5198420997897468</v>
      </c>
      <c r="BE7" s="14">
        <f>BD7*VLOOKUP('Données projet'!$B$11,Paramètres!$A$1:$I$89,3,0)*VLOOKUP('Données projet'!$B$11,Paramètres!$A$1:$I$89,5,0)</f>
        <v>2.0440959113494426</v>
      </c>
      <c r="BF7" s="14">
        <f t="shared" si="37"/>
        <v>0.86678420072876483</v>
      </c>
      <c r="BG7" s="22">
        <f t="shared" si="7"/>
        <v>5.0697828618695446</v>
      </c>
      <c r="BH7" s="60">
        <f t="shared" si="8"/>
        <v>266.6253384174251</v>
      </c>
      <c r="BI7" s="60">
        <f ca="1">AVERAGE(OFFSET($BH$3,0,0,'Données projet'!$E$11+1,1))-AVERAGE(OFFSET($H$3,0,0,'Données projet'!$E$11+1,1))</f>
        <v>236.22643401787644</v>
      </c>
      <c r="BJ7" s="60">
        <f t="shared" si="38"/>
        <v>188.80444043778022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0.9</v>
      </c>
      <c r="BY7" s="13">
        <f>IF('Données projet'!$A$114&gt;35,BY6+BX7-CG6,IF(A7&lt;'Données projet'!$A$114,$BV$205^A7,IF(A7='Données projet'!$A$114,'Données projet'!$B$114,BY6+BX7-CG6)))</f>
        <v>1.7826024579660036</v>
      </c>
      <c r="BZ7" s="14">
        <f>BY7*VLOOKUP('Données projet'!$B$12,Paramètres!$A$1:$I$89,3,0)*VLOOKUP('Données projet'!$B$12,Paramètres!$A$1:$I$89,5,0)</f>
        <v>1.5572815072791011</v>
      </c>
      <c r="CA7" s="14">
        <f t="shared" si="39"/>
        <v>0.68159698037116012</v>
      </c>
      <c r="CB7" s="22">
        <f t="shared" si="10"/>
        <v>3.8993800326575379</v>
      </c>
      <c r="CC7" s="60">
        <f t="shared" si="11"/>
        <v>265.45493558821306</v>
      </c>
      <c r="CD7" s="60">
        <f ca="1">AVERAGE(OFFSET($CC$3,0,0,'Données projet'!$E$12+1,1))-AVERAGE(OFFSET($H$3,0,0,'Données projet'!$E$12+1,1))</f>
        <v>202.86354781280403</v>
      </c>
      <c r="CE7" s="60">
        <f t="shared" si="40"/>
        <v>217.25323885665131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0">
        <f t="shared" si="14"/>
        <v>266.72559198951097</v>
      </c>
      <c r="CY7" s="60">
        <f ca="1">AVERAGE(OFFSET($CX$3,0,0,'Données projet'!$E$13+1,1))-AVERAGE(OFFSET($H$3,0,0,'Données projet'!$E$13+1,1))</f>
        <v>288.82868507674738</v>
      </c>
      <c r="CZ7" s="60">
        <f t="shared" si="42"/>
        <v>283.48738729114024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2.1445228635663907</v>
      </c>
      <c r="P8" s="14">
        <f t="shared" si="33"/>
        <v>0.90430692044106609</v>
      </c>
      <c r="Q8" s="22">
        <f t="shared" si="2"/>
        <v>5.3100452071463202</v>
      </c>
      <c r="R8" s="60">
        <f t="shared" si="0"/>
        <v>268.08782298492412</v>
      </c>
      <c r="S8" s="60">
        <f ca="1">AVERAGE(OFFSET($R$3,0,0,'Données projet'!$E$9+1,1))-AVERAGE(OFFSET($H$3,0,0,'Données projet'!$E$9+1,1))</f>
        <v>402.79698021419853</v>
      </c>
      <c r="T8" s="60">
        <f t="shared" si="34"/>
        <v>218.26721063098552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1.6</v>
      </c>
      <c r="AI8" s="14">
        <f>IF('Données projet'!$A$62&gt;35,AI7+AH8-AQ7,IF(A8&lt;'Données projet'!$A$62,$AF$205^A8,IF(A8='Données projet'!$A$62,'Données projet'!$B$62,AI7+AH8-AQ7)))</f>
        <v>2.0912791051825463</v>
      </c>
      <c r="AJ8" s="14">
        <f>AI8*VLOOKUP('Données projet'!$B$10,Paramètres!$A$1:$I$89,3,0)*VLOOKUP('Données projet'!$B$10,Paramètres!$A$1:$I$89,5,0)</f>
        <v>1.7943174722466249</v>
      </c>
      <c r="AK8" s="14">
        <f t="shared" si="35"/>
        <v>0.77249819632290906</v>
      </c>
      <c r="AL8" s="22">
        <f t="shared" si="4"/>
        <v>4.4705372894252715</v>
      </c>
      <c r="AM8" s="60">
        <f t="shared" si="5"/>
        <v>267.24831506720307</v>
      </c>
      <c r="AN8" s="60">
        <f ca="1">AVERAGE(OFFSET($AM$3,0,0,'Données projet'!$E$10+1,1))-AVERAGE(OFFSET($H$3,0,0,'Données projet'!$E$10+1,1))</f>
        <v>440.51611312502263</v>
      </c>
      <c r="AO8" s="60">
        <f t="shared" si="36"/>
        <v>176.81257896138806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2.1333333333333333</v>
      </c>
      <c r="BD8" s="13">
        <f>IF('Données projet'!$A$88&gt;35,BD7+BC8-BL7,IF(A8&lt;'Données projet'!$A$88,$BA$205^A8,IF(A8='Données projet'!$A$88,'Données projet'!$B$88,BD7+BC8-BL7)))</f>
        <v>3.1748021039363996</v>
      </c>
      <c r="BE8" s="14">
        <f>BD8*VLOOKUP('Données projet'!$B$11,Paramètres!$A$1:$I$89,3,0)*VLOOKUP('Données projet'!$B$11,Paramètres!$A$1:$I$89,5,0)</f>
        <v>2.5753994667132076</v>
      </c>
      <c r="BF8" s="14">
        <f t="shared" si="37"/>
        <v>1.0631005790263708</v>
      </c>
      <c r="BG8" s="22">
        <f t="shared" si="7"/>
        <v>6.3370542463297648</v>
      </c>
      <c r="BH8" s="60">
        <f t="shared" si="8"/>
        <v>269.11483202410756</v>
      </c>
      <c r="BI8" s="60">
        <f ca="1">AVERAGE(OFFSET($BH$3,0,0,'Données projet'!$E$11+1,1))-AVERAGE(OFFSET($H$3,0,0,'Données projet'!$E$11+1,1))</f>
        <v>236.22643401787644</v>
      </c>
      <c r="BJ8" s="60">
        <f t="shared" si="38"/>
        <v>188.80444043778022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0.9</v>
      </c>
      <c r="BY8" s="13">
        <f>IF('Données projet'!$A$114&gt;35,BY7+BX8-CG7,IF(A8&lt;'Données projet'!$A$114,$BV$205^A8,IF(A8='Données projet'!$A$114,'Données projet'!$B$114,BY7+BX8-CG7)))</f>
        <v>2.0597671439071181</v>
      </c>
      <c r="BZ8" s="14">
        <f>BY8*VLOOKUP('Données projet'!$B$12,Paramètres!$A$1:$I$89,3,0)*VLOOKUP('Données projet'!$B$12,Paramètres!$A$1:$I$89,5,0)</f>
        <v>1.7994125769172586</v>
      </c>
      <c r="CA8" s="14">
        <f t="shared" si="39"/>
        <v>0.77443611390200762</v>
      </c>
      <c r="CB8" s="22">
        <f t="shared" si="10"/>
        <v>4.4827864698435551</v>
      </c>
      <c r="CC8" s="60">
        <f t="shared" si="11"/>
        <v>267.26056424762135</v>
      </c>
      <c r="CD8" s="60">
        <f ca="1">AVERAGE(OFFSET($CC$3,0,0,'Données projet'!$E$12+1,1))-AVERAGE(OFFSET($H$3,0,0,'Données projet'!$E$12+1,1))</f>
        <v>202.86354781280403</v>
      </c>
      <c r="CE8" s="60">
        <f t="shared" si="40"/>
        <v>217.25323885665131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0">
        <f t="shared" si="14"/>
        <v>269.33377625930052</v>
      </c>
      <c r="CY8" s="60">
        <f ca="1">AVERAGE(OFFSET($CX$3,0,0,'Données projet'!$E$13+1,1))-AVERAGE(OFFSET($H$3,0,0,'Données projet'!$E$13+1,1))</f>
        <v>288.82868507674738</v>
      </c>
      <c r="CZ8" s="60">
        <f t="shared" si="42"/>
        <v>283.48738729114024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2.5851940357334171</v>
      </c>
      <c r="P9" s="14">
        <f t="shared" si="33"/>
        <v>1.0666722775067177</v>
      </c>
      <c r="Q9" s="22">
        <f t="shared" si="2"/>
        <v>6.3603338288932347</v>
      </c>
      <c r="R9" s="60">
        <f t="shared" si="0"/>
        <v>270.36033382889326</v>
      </c>
      <c r="S9" s="60">
        <f ca="1">AVERAGE(OFFSET($R$3,0,0,'Données projet'!$E$9+1,1))-AVERAGE(OFFSET($H$3,0,0,'Données projet'!$E$9+1,1))</f>
        <v>402.79698021419853</v>
      </c>
      <c r="T9" s="60">
        <f t="shared" si="34"/>
        <v>218.26721063098552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1.6</v>
      </c>
      <c r="AI9" s="14">
        <f>IF('Données projet'!$A$62&gt;35,AI8+AH9-AQ8,IF(A9&lt;'Données projet'!$A$62,$AF$205^A9,IF(A9='Données projet'!$A$62,'Données projet'!$B$62,AI8+AH9-AQ8)))</f>
        <v>2.4237866992766768</v>
      </c>
      <c r="AJ9" s="14">
        <f>AI9*VLOOKUP('Données projet'!$B$10,Paramètres!$A$1:$I$89,3,0)*VLOOKUP('Données projet'!$B$10,Paramètres!$A$1:$I$89,5,0)</f>
        <v>2.0796089879793889</v>
      </c>
      <c r="AK9" s="14">
        <f t="shared" si="35"/>
        <v>0.88007702261265608</v>
      </c>
      <c r="AL9" s="22">
        <f t="shared" si="4"/>
        <v>5.1547864684478117</v>
      </c>
      <c r="AM9" s="60">
        <f t="shared" si="5"/>
        <v>269.15478646844781</v>
      </c>
      <c r="AN9" s="60">
        <f ca="1">AVERAGE(OFFSET($AM$3,0,0,'Données projet'!$E$10+1,1))-AVERAGE(OFFSET($H$3,0,0,'Données projet'!$E$10+1,1))</f>
        <v>440.51611312502263</v>
      </c>
      <c r="AO9" s="60">
        <f t="shared" si="36"/>
        <v>176.81257896138806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2.1333333333333333</v>
      </c>
      <c r="BD9" s="13">
        <f>IF('Données projet'!$A$88&gt;35,BD8+BC9-BL8,IF(A9&lt;'Données projet'!$A$88,$BA$205^A9,IF(A9='Données projet'!$A$88,'Données projet'!$B$88,BD8+BC9-BL8)))</f>
        <v>4.0000000000000009</v>
      </c>
      <c r="BE9" s="14">
        <f>BD9*VLOOKUP('Données projet'!$B$11,Paramètres!$A$1:$I$89,3,0)*VLOOKUP('Données projet'!$B$11,Paramètres!$A$1:$I$89,5,0)</f>
        <v>3.244800000000001</v>
      </c>
      <c r="BF9" s="14">
        <f t="shared" si="37"/>
        <v>1.3038802970520027</v>
      </c>
      <c r="BG9" s="22">
        <f t="shared" si="7"/>
        <v>7.9222848506989054</v>
      </c>
      <c r="BH9" s="60">
        <f t="shared" si="8"/>
        <v>271.92228485069893</v>
      </c>
      <c r="BI9" s="60">
        <f ca="1">AVERAGE(OFFSET($BH$3,0,0,'Données projet'!$E$11+1,1))-AVERAGE(OFFSET($H$3,0,0,'Données projet'!$E$11+1,1))</f>
        <v>236.22643401787644</v>
      </c>
      <c r="BJ9" s="60">
        <f t="shared" si="38"/>
        <v>188.80444043778022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0.9</v>
      </c>
      <c r="BY9" s="13">
        <f>IF('Données projet'!$A$114&gt;35,BY8+BX9-CG8,IF(A9&lt;'Données projet'!$A$114,$BV$205^A9,IF(A9='Données projet'!$A$114,'Données projet'!$B$114,BY8+BX9-CG8)))</f>
        <v>2.3800262745964411</v>
      </c>
      <c r="BZ9" s="14">
        <f>BY9*VLOOKUP('Données projet'!$B$12,Paramètres!$A$1:$I$89,3,0)*VLOOKUP('Données projet'!$B$12,Paramètres!$A$1:$I$89,5,0)</f>
        <v>2.0791909534874513</v>
      </c>
      <c r="CA9" s="14">
        <f t="shared" si="39"/>
        <v>0.87992070356451979</v>
      </c>
      <c r="CB9" s="22">
        <f t="shared" si="10"/>
        <v>5.1537861360321822</v>
      </c>
      <c r="CC9" s="60">
        <f t="shared" si="11"/>
        <v>269.15378613603218</v>
      </c>
      <c r="CD9" s="60">
        <f ca="1">AVERAGE(OFFSET($CC$3,0,0,'Données projet'!$E$12+1,1))-AVERAGE(OFFSET($H$3,0,0,'Données projet'!$E$12+1,1))</f>
        <v>202.86354781280403</v>
      </c>
      <c r="CE9" s="60">
        <f t="shared" si="40"/>
        <v>217.25323885665131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0">
        <f t="shared" si="14"/>
        <v>272.31491008523295</v>
      </c>
      <c r="CY9" s="60">
        <f ca="1">AVERAGE(OFFSET($CX$3,0,0,'Données projet'!$E$13+1,1))-AVERAGE(OFFSET($H$3,0,0,'Données projet'!$E$13+1,1))</f>
        <v>288.82868507674738</v>
      </c>
      <c r="CZ9" s="60">
        <f t="shared" si="42"/>
        <v>283.48738729114024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3.1164173233748005</v>
      </c>
      <c r="P10" s="14">
        <f t="shared" si="33"/>
        <v>1.2581898046809412</v>
      </c>
      <c r="Q10" s="22">
        <f t="shared" si="2"/>
        <v>7.6191074146970825</v>
      </c>
      <c r="R10" s="60">
        <f t="shared" si="0"/>
        <v>272.84132963691928</v>
      </c>
      <c r="S10" s="60">
        <f ca="1">AVERAGE(OFFSET($R$3,0,0,'Données projet'!$E$9+1,1))-AVERAGE(OFFSET($H$3,0,0,'Données projet'!$E$9+1,1))</f>
        <v>402.79698021419853</v>
      </c>
      <c r="T10" s="60">
        <f t="shared" si="34"/>
        <v>218.26721063098552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1.6</v>
      </c>
      <c r="AI10" s="14">
        <f>IF('Données projet'!$A$62&gt;35,AI9+AH10-AQ9,IF(A10&lt;'Données projet'!$A$62,$AF$205^A10,IF(A10='Données projet'!$A$62,'Données projet'!$B$62,AI9+AH10-AQ9)))</f>
        <v>2.8091620812506162</v>
      </c>
      <c r="AJ10" s="14">
        <f>AI10*VLOOKUP('Données projet'!$B$10,Paramètres!$A$1:$I$89,3,0)*VLOOKUP('Données projet'!$B$10,Paramètres!$A$1:$I$89,5,0)</f>
        <v>2.410261065713029</v>
      </c>
      <c r="AK10" s="14">
        <f t="shared" si="35"/>
        <v>1.0026373775596455</v>
      </c>
      <c r="AL10" s="22">
        <f t="shared" si="4"/>
        <v>5.9441314553665761</v>
      </c>
      <c r="AM10" s="60">
        <f t="shared" si="5"/>
        <v>271.1663536775888</v>
      </c>
      <c r="AN10" s="60">
        <f ca="1">AVERAGE(OFFSET($AM$3,0,0,'Données projet'!$E$10+1,1))-AVERAGE(OFFSET($H$3,0,0,'Données projet'!$E$10+1,1))</f>
        <v>440.51611312502263</v>
      </c>
      <c r="AO10" s="60">
        <f t="shared" si="36"/>
        <v>176.81257896138806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2.1333333333333333</v>
      </c>
      <c r="BD10" s="13">
        <f>IF('Données projet'!$A$88&gt;35,BD9+BC10-BL9,IF(A10&lt;'Données projet'!$A$88,$BA$205^A10,IF(A10='Données projet'!$A$88,'Données projet'!$B$88,BD9+BC10-BL9)))</f>
        <v>5.0396841995794937</v>
      </c>
      <c r="BE10" s="14">
        <f>BD10*VLOOKUP('Données projet'!$B$11,Paramètres!$A$1:$I$89,3,0)*VLOOKUP('Données projet'!$B$11,Paramètres!$A$1:$I$89,5,0)</f>
        <v>4.0881918226988851</v>
      </c>
      <c r="BF10" s="14">
        <f t="shared" si="37"/>
        <v>1.5991937758113535</v>
      </c>
      <c r="BG10" s="22">
        <f t="shared" si="7"/>
        <v>9.9055299174053317</v>
      </c>
      <c r="BH10" s="60">
        <f t="shared" si="8"/>
        <v>275.12775213962755</v>
      </c>
      <c r="BI10" s="60">
        <f ca="1">AVERAGE(OFFSET($BH$3,0,0,'Données projet'!$E$11+1,1))-AVERAGE(OFFSET($H$3,0,0,'Données projet'!$E$11+1,1))</f>
        <v>236.22643401787644</v>
      </c>
      <c r="BJ10" s="60">
        <f t="shared" si="38"/>
        <v>188.80444043778022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0.9</v>
      </c>
      <c r="BY10" s="13">
        <f>IF('Données projet'!$A$114&gt;35,BY9+BX10-CG9,IF(A10&lt;'Données projet'!$A$114,$BV$205^A10,IF(A10='Données projet'!$A$114,'Données projet'!$B$114,BY9+BX10-CG9)))</f>
        <v>2.7500803110319185</v>
      </c>
      <c r="BZ10" s="14">
        <f>BY10*VLOOKUP('Données projet'!$B$12,Paramètres!$A$1:$I$89,3,0)*VLOOKUP('Données projet'!$B$12,Paramètres!$A$1:$I$89,5,0)</f>
        <v>2.4024701597174842</v>
      </c>
      <c r="CA10" s="14">
        <f t="shared" si="39"/>
        <v>0.9997731648390682</v>
      </c>
      <c r="CB10" s="22">
        <f t="shared" si="10"/>
        <v>5.9255737902693291</v>
      </c>
      <c r="CC10" s="60">
        <f t="shared" si="11"/>
        <v>271.14779601249154</v>
      </c>
      <c r="CD10" s="60">
        <f ca="1">AVERAGE(OFFSET($CC$3,0,0,'Données projet'!$E$12+1,1))-AVERAGE(OFFSET($H$3,0,0,'Données projet'!$E$12+1,1))</f>
        <v>202.86354781280403</v>
      </c>
      <c r="CE10" s="60">
        <f t="shared" si="40"/>
        <v>217.25323885665131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0">
        <f t="shared" si="14"/>
        <v>275.76970579909499</v>
      </c>
      <c r="CY10" s="60">
        <f ca="1">AVERAGE(OFFSET($CX$3,0,0,'Données projet'!$E$13+1,1))-AVERAGE(OFFSET($H$3,0,0,'Données projet'!$E$13+1,1))</f>
        <v>288.82868507674738</v>
      </c>
      <c r="CZ10" s="60">
        <f t="shared" si="42"/>
        <v>283.48738729114024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3.7567999922587045</v>
      </c>
      <c r="P11" s="14">
        <f t="shared" si="33"/>
        <v>1.4840936789913857</v>
      </c>
      <c r="Q11" s="22">
        <f t="shared" si="2"/>
        <v>9.127889810760573</v>
      </c>
      <c r="R11" s="60">
        <f t="shared" si="0"/>
        <v>275.57233425520502</v>
      </c>
      <c r="S11" s="60">
        <f ca="1">AVERAGE(OFFSET($R$3,0,0,'Données projet'!$E$9+1,1))-AVERAGE(OFFSET($H$3,0,0,'Données projet'!$E$9+1,1))</f>
        <v>402.79698021419853</v>
      </c>
      <c r="T11" s="60">
        <f t="shared" si="34"/>
        <v>218.26721063098552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1.6</v>
      </c>
      <c r="AI11" s="14">
        <f>IF('Données projet'!$A$62&gt;35,AI10+AH11-AQ10,IF(A11&lt;'Données projet'!$A$62,$AF$205^A11,IF(A11='Données projet'!$A$62,'Données projet'!$B$62,AI10+AH11-AQ10)))</f>
        <v>3.2558110831663929</v>
      </c>
      <c r="AJ11" s="14">
        <f>AI11*VLOOKUP('Données projet'!$B$10,Paramètres!$A$1:$I$89,3,0)*VLOOKUP('Données projet'!$B$10,Paramètres!$A$1:$I$89,5,0)</f>
        <v>2.7934859093567654</v>
      </c>
      <c r="AK11" s="14">
        <f t="shared" si="35"/>
        <v>1.1422656029529505</v>
      </c>
      <c r="AL11" s="22">
        <f t="shared" si="4"/>
        <v>6.8547672172727552</v>
      </c>
      <c r="AM11" s="60">
        <f t="shared" si="5"/>
        <v>273.29921166171721</v>
      </c>
      <c r="AN11" s="60">
        <f ca="1">AVERAGE(OFFSET($AM$3,0,0,'Données projet'!$E$10+1,1))-AVERAGE(OFFSET($H$3,0,0,'Données projet'!$E$10+1,1))</f>
        <v>440.51611312502263</v>
      </c>
      <c r="AO11" s="60">
        <f t="shared" si="36"/>
        <v>176.81257896138806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2.1333333333333333</v>
      </c>
      <c r="BD11" s="13">
        <f>IF('Données projet'!$A$88&gt;35,BD10+BC11-BL10,IF(A11&lt;'Données projet'!$A$88,$BA$205^A11,IF(A11='Données projet'!$A$88,'Données projet'!$B$88,BD10+BC11-BL10)))</f>
        <v>6.3496042078728001</v>
      </c>
      <c r="BE11" s="14">
        <f>BD11*VLOOKUP('Données projet'!$B$11,Paramètres!$A$1:$I$89,3,0)*VLOOKUP('Données projet'!$B$11,Paramètres!$A$1:$I$89,5,0)</f>
        <v>5.1507989334264161</v>
      </c>
      <c r="BF11" s="14">
        <f t="shared" si="37"/>
        <v>1.9613922676613451</v>
      </c>
      <c r="BG11" s="22">
        <f t="shared" si="7"/>
        <v>12.387066341894517</v>
      </c>
      <c r="BH11" s="60">
        <f t="shared" si="8"/>
        <v>278.83151078633898</v>
      </c>
      <c r="BI11" s="60">
        <f ca="1">AVERAGE(OFFSET($BH$3,0,0,'Données projet'!$E$11+1,1))-AVERAGE(OFFSET($H$3,0,0,'Données projet'!$E$11+1,1))</f>
        <v>236.22643401787644</v>
      </c>
      <c r="BJ11" s="60">
        <f t="shared" si="38"/>
        <v>188.80444043778022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0.9</v>
      </c>
      <c r="BY11" s="13">
        <f>IF('Données projet'!$A$114&gt;35,BY10+BX11-CG10,IF(A11&lt;'Données projet'!$A$114,$BV$205^A11,IF(A11='Données projet'!$A$114,'Données projet'!$B$114,BY10+BX11-CG10)))</f>
        <v>3.1776715231464374</v>
      </c>
      <c r="BZ11" s="14">
        <f>BY11*VLOOKUP('Données projet'!$B$12,Paramètres!$A$1:$I$89,3,0)*VLOOKUP('Données projet'!$B$12,Paramètres!$A$1:$I$89,5,0)</f>
        <v>2.7760138426207281</v>
      </c>
      <c r="CA11" s="14">
        <f t="shared" si="39"/>
        <v>1.135950520408497</v>
      </c>
      <c r="CB11" s="22">
        <f t="shared" si="10"/>
        <v>6.8133379322758998</v>
      </c>
      <c r="CC11" s="60">
        <f t="shared" si="11"/>
        <v>273.25778237672034</v>
      </c>
      <c r="CD11" s="60">
        <f ca="1">AVERAGE(OFFSET($CC$3,0,0,'Données projet'!$E$12+1,1))-AVERAGE(OFFSET($H$3,0,0,'Données projet'!$E$12+1,1))</f>
        <v>202.86354781280403</v>
      </c>
      <c r="CE11" s="60">
        <f t="shared" si="40"/>
        <v>217.25323885665131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0">
        <f t="shared" si="14"/>
        <v>279.82616165924384</v>
      </c>
      <c r="CY11" s="60">
        <f ca="1">AVERAGE(OFFSET($CX$3,0,0,'Données projet'!$E$13+1,1))-AVERAGE(OFFSET($H$3,0,0,'Données projet'!$E$13+1,1))</f>
        <v>288.82868507674738</v>
      </c>
      <c r="CZ11" s="60">
        <f t="shared" si="42"/>
        <v>283.48738729114024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4.5287728559252471</v>
      </c>
      <c r="P12" s="14">
        <f t="shared" si="33"/>
        <v>1.7505578568733651</v>
      </c>
      <c r="Q12" s="22">
        <f t="shared" si="2"/>
        <v>10.93650099145758</v>
      </c>
      <c r="R12" s="60">
        <f t="shared" si="0"/>
        <v>278.60316765812428</v>
      </c>
      <c r="S12" s="60">
        <f ca="1">AVERAGE(OFFSET($R$3,0,0,'Données projet'!$E$9+1,1))-AVERAGE(OFFSET($H$3,0,0,'Données projet'!$E$9+1,1))</f>
        <v>402.79698021419853</v>
      </c>
      <c r="T12" s="60">
        <f t="shared" si="34"/>
        <v>218.26721063098552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1.6</v>
      </c>
      <c r="AI12" s="14">
        <f>IF('Données projet'!$A$62&gt;35,AI11+AH12-AQ11,IF(A12&lt;'Données projet'!$A$62,$AF$205^A12,IF(A12='Données projet'!$A$62,'Données projet'!$B$62,AI11+AH12-AQ11)))</f>
        <v>3.7734760411367758</v>
      </c>
      <c r="AJ12" s="14">
        <f>AI12*VLOOKUP('Données projet'!$B$10,Paramètres!$A$1:$I$89,3,0)*VLOOKUP('Données projet'!$B$10,Paramètres!$A$1:$I$89,5,0)</f>
        <v>3.2376424432953543</v>
      </c>
      <c r="AK12" s="14">
        <f t="shared" si="35"/>
        <v>1.3013385865039213</v>
      </c>
      <c r="AL12" s="22">
        <f t="shared" si="4"/>
        <v>7.9053919602337386</v>
      </c>
      <c r="AM12" s="60">
        <f t="shared" si="5"/>
        <v>275.5720586269004</v>
      </c>
      <c r="AN12" s="60">
        <f ca="1">AVERAGE(OFFSET($AM$3,0,0,'Données projet'!$E$10+1,1))-AVERAGE(OFFSET($H$3,0,0,'Données projet'!$E$10+1,1))</f>
        <v>440.51611312502263</v>
      </c>
      <c r="AO12" s="60">
        <f t="shared" si="36"/>
        <v>176.81257896138806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2.1333333333333333</v>
      </c>
      <c r="BD12" s="13">
        <f>IF('Données projet'!$A$88&gt;35,BD11+BC12-BL11,IF(A12&lt;'Données projet'!$A$88,$BA$205^A12,IF(A12='Données projet'!$A$88,'Données projet'!$B$88,BD11+BC12-BL11)))</f>
        <v>8.0000000000000036</v>
      </c>
      <c r="BE12" s="14">
        <f>BD12*VLOOKUP('Données projet'!$B$11,Paramètres!$A$1:$I$89,3,0)*VLOOKUP('Données projet'!$B$11,Paramètres!$A$1:$I$89,5,0)</f>
        <v>6.4896000000000029</v>
      </c>
      <c r="BF12" s="14">
        <f t="shared" si="37"/>
        <v>2.4056244376575937</v>
      </c>
      <c r="BG12" s="22">
        <f t="shared" si="7"/>
        <v>15.492515895586982</v>
      </c>
      <c r="BH12" s="60">
        <f t="shared" si="8"/>
        <v>283.15918256225365</v>
      </c>
      <c r="BI12" s="60">
        <f ca="1">AVERAGE(OFFSET($BH$3,0,0,'Données projet'!$E$11+1,1))-AVERAGE(OFFSET($H$3,0,0,'Données projet'!$E$11+1,1))</f>
        <v>236.22643401787644</v>
      </c>
      <c r="BJ12" s="60">
        <f t="shared" si="38"/>
        <v>188.80444043778022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0.9</v>
      </c>
      <c r="BY12" s="13">
        <f>IF('Données projet'!$A$114&gt;35,BY11+BX12-CG11,IF(A12&lt;'Données projet'!$A$114,$BV$205^A12,IF(A12='Données projet'!$A$114,'Données projet'!$B$114,BY11+BX12-CG11)))</f>
        <v>3.6717459735664435</v>
      </c>
      <c r="BZ12" s="14">
        <f>BY12*VLOOKUP('Données projet'!$B$12,Paramètres!$A$1:$I$89,3,0)*VLOOKUP('Données projet'!$B$12,Paramètres!$A$1:$I$89,5,0)</f>
        <v>3.2076372825076458</v>
      </c>
      <c r="CA12" s="14">
        <f t="shared" si="39"/>
        <v>1.290676355595167</v>
      </c>
      <c r="CB12" s="22">
        <f t="shared" si="10"/>
        <v>7.834562919695732</v>
      </c>
      <c r="CC12" s="60">
        <f t="shared" si="11"/>
        <v>275.5012295863624</v>
      </c>
      <c r="CD12" s="60">
        <f ca="1">AVERAGE(OFFSET($CC$3,0,0,'Données projet'!$E$12+1,1))-AVERAGE(OFFSET($H$3,0,0,'Données projet'!$E$12+1,1))</f>
        <v>202.86354781280403</v>
      </c>
      <c r="CE12" s="60">
        <f t="shared" si="40"/>
        <v>217.25323885665131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0">
        <f t="shared" si="14"/>
        <v>284.64697678406844</v>
      </c>
      <c r="CY12" s="60">
        <f ca="1">AVERAGE(OFFSET($CX$3,0,0,'Données projet'!$E$13+1,1))-AVERAGE(OFFSET($H$3,0,0,'Données projet'!$E$13+1,1))</f>
        <v>288.82868507674738</v>
      </c>
      <c r="CZ12" s="60">
        <f t="shared" si="42"/>
        <v>283.48738729114024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5.4593759643387862</v>
      </c>
      <c r="P13" s="14">
        <f t="shared" si="33"/>
        <v>2.0648648084962673</v>
      </c>
      <c r="Q13" s="22">
        <f t="shared" si="2"/>
        <v>13.104719346021051</v>
      </c>
      <c r="R13" s="60">
        <f t="shared" si="0"/>
        <v>281.99360823490991</v>
      </c>
      <c r="S13" s="60">
        <f ca="1">AVERAGE(OFFSET($R$3,0,0,'Données projet'!$E$9+1,1))-AVERAGE(OFFSET($H$3,0,0,'Données projet'!$E$9+1,1))</f>
        <v>402.79698021419853</v>
      </c>
      <c r="T13" s="60">
        <f t="shared" si="34"/>
        <v>218.26721063098552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1.6</v>
      </c>
      <c r="AI13" s="14">
        <f>IF('Données projet'!$A$62&gt;35,AI12+AH13-AQ12,IF(A13&lt;'Données projet'!$A$62,$AF$205^A13,IF(A13='Données projet'!$A$62,'Données projet'!$B$62,AI12+AH13-AQ12)))</f>
        <v>4.3734482957731124</v>
      </c>
      <c r="AJ13" s="14">
        <f>AI13*VLOOKUP('Données projet'!$B$10,Paramètres!$A$1:$I$89,3,0)*VLOOKUP('Données projet'!$B$10,Paramètres!$A$1:$I$89,5,0)</f>
        <v>3.7524186377733306</v>
      </c>
      <c r="AK13" s="14">
        <f t="shared" si="35"/>
        <v>1.482564223544931</v>
      </c>
      <c r="AL13" s="22">
        <f t="shared" si="4"/>
        <v>9.117595150129306</v>
      </c>
      <c r="AM13" s="60">
        <f t="shared" si="5"/>
        <v>278.00648403901818</v>
      </c>
      <c r="AN13" s="60">
        <f ca="1">AVERAGE(OFFSET($AM$3,0,0,'Données projet'!$E$10+1,1))-AVERAGE(OFFSET($H$3,0,0,'Données projet'!$E$10+1,1))</f>
        <v>440.51611312502263</v>
      </c>
      <c r="AO13" s="60">
        <f t="shared" si="36"/>
        <v>176.81257896138806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2.1333333333333333</v>
      </c>
      <c r="BD13" s="13">
        <f>IF('Données projet'!$A$88&gt;35,BD12+BC13-BL12,IF(A13&lt;'Données projet'!$A$88,$BA$205^A13,IF(A13='Données projet'!$A$88,'Données projet'!$B$88,BD12+BC13-BL12)))</f>
        <v>10.079368399158989</v>
      </c>
      <c r="BE13" s="14">
        <f>BD13*VLOOKUP('Données projet'!$B$11,Paramètres!$A$1:$I$89,3,0)*VLOOKUP('Données projet'!$B$11,Paramètres!$A$1:$I$89,5,0)</f>
        <v>8.1763836453977721</v>
      </c>
      <c r="BF13" s="14">
        <f t="shared" si="37"/>
        <v>2.9504699444724252</v>
      </c>
      <c r="BG13" s="22">
        <f t="shared" si="7"/>
        <v>19.379270002357259</v>
      </c>
      <c r="BH13" s="60">
        <f t="shared" si="8"/>
        <v>288.26815889124612</v>
      </c>
      <c r="BI13" s="60">
        <f ca="1">AVERAGE(OFFSET($BH$3,0,0,'Données projet'!$E$11+1,1))-AVERAGE(OFFSET($H$3,0,0,'Données projet'!$E$11+1,1))</f>
        <v>236.22643401787644</v>
      </c>
      <c r="BJ13" s="60">
        <f t="shared" si="38"/>
        <v>188.80444043778022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0.9</v>
      </c>
      <c r="BY13" s="13">
        <f>IF('Données projet'!$A$114&gt;35,BY12+BX13-CG12,IF(A13&lt;'Données projet'!$A$114,$BV$205^A13,IF(A13='Données projet'!$A$114,'Données projet'!$B$114,BY12+BX13-CG12)))</f>
        <v>4.2426406871192865</v>
      </c>
      <c r="BZ13" s="14">
        <f>BY13*VLOOKUP('Données projet'!$B$12,Paramètres!$A$1:$I$89,3,0)*VLOOKUP('Données projet'!$B$12,Paramètres!$A$1:$I$89,5,0)</f>
        <v>3.7063709042674091</v>
      </c>
      <c r="CA13" s="14">
        <f t="shared" si="39"/>
        <v>1.4664771263922398</v>
      </c>
      <c r="CB13" s="22">
        <f t="shared" si="10"/>
        <v>9.0093769867322209</v>
      </c>
      <c r="CC13" s="60">
        <f t="shared" si="11"/>
        <v>277.89826587562106</v>
      </c>
      <c r="CD13" s="60">
        <f ca="1">AVERAGE(OFFSET($CC$3,0,0,'Données projet'!$E$12+1,1))-AVERAGE(OFFSET($H$3,0,0,'Données projet'!$E$12+1,1))</f>
        <v>202.86354781280403</v>
      </c>
      <c r="CE13" s="60">
        <f t="shared" si="40"/>
        <v>217.25323885665131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0">
        <f t="shared" si="14"/>
        <v>290.43898667763051</v>
      </c>
      <c r="CY13" s="60">
        <f ca="1">AVERAGE(OFFSET($CX$3,0,0,'Données projet'!$E$13+1,1))-AVERAGE(OFFSET($H$3,0,0,'Données projet'!$E$13+1,1))</f>
        <v>288.82868507674738</v>
      </c>
      <c r="CZ13" s="60">
        <f t="shared" si="42"/>
        <v>283.48738729114024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6.5812057411986977</v>
      </c>
      <c r="P14" s="14">
        <f t="shared" si="33"/>
        <v>2.4356045477877388</v>
      </c>
      <c r="Q14" s="22">
        <f t="shared" si="2"/>
        <v>15.70427791998471</v>
      </c>
      <c r="R14" s="60">
        <f t="shared" si="0"/>
        <v>285.81538903109583</v>
      </c>
      <c r="S14" s="60">
        <f ca="1">AVERAGE(OFFSET($R$3,0,0,'Données projet'!$E$9+1,1))-AVERAGE(OFFSET($H$3,0,0,'Données projet'!$E$9+1,1))</f>
        <v>402.79698021419853</v>
      </c>
      <c r="T14" s="60">
        <f t="shared" si="34"/>
        <v>218.26721063098552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1.6</v>
      </c>
      <c r="AI14" s="14">
        <f>IF('Données projet'!$A$62&gt;35,AI13+AH14-AQ13,IF(A14&lt;'Données projet'!$A$62,$AF$205^A14,IF(A14='Données projet'!$A$62,'Données projet'!$B$62,AI13+AH14-AQ13)))</f>
        <v>5.0688144796166874</v>
      </c>
      <c r="AJ14" s="14">
        <f>AI14*VLOOKUP('Données projet'!$B$10,Paramètres!$A$1:$I$89,3,0)*VLOOKUP('Données projet'!$B$10,Paramètres!$A$1:$I$89,5,0)</f>
        <v>4.3490428235111187</v>
      </c>
      <c r="AK14" s="14">
        <f t="shared" si="35"/>
        <v>1.6890275134623942</v>
      </c>
      <c r="AL14" s="22">
        <f t="shared" si="4"/>
        <v>10.516305836895535</v>
      </c>
      <c r="AM14" s="60">
        <f t="shared" si="5"/>
        <v>280.62741694800667</v>
      </c>
      <c r="AN14" s="60">
        <f ca="1">AVERAGE(OFFSET($AM$3,0,0,'Données projet'!$E$10+1,1))-AVERAGE(OFFSET($H$3,0,0,'Données projet'!$E$10+1,1))</f>
        <v>440.51611312502263</v>
      </c>
      <c r="AO14" s="60">
        <f t="shared" si="36"/>
        <v>176.81257896138806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2.1333333333333333</v>
      </c>
      <c r="BD14" s="13">
        <f>IF('Données projet'!$A$88&gt;35,BD13+BC14-BL13,IF(A14&lt;'Données projet'!$A$88,$BA$205^A14,IF(A14='Données projet'!$A$88,'Données projet'!$B$88,BD13+BC14-BL13)))</f>
        <v>12.6992084157456</v>
      </c>
      <c r="BE14" s="14">
        <f>BD14*VLOOKUP('Données projet'!$B$11,Paramètres!$A$1:$I$89,3,0)*VLOOKUP('Données projet'!$B$11,Paramètres!$A$1:$I$89,5,0)</f>
        <v>10.301597866852832</v>
      </c>
      <c r="BF14" s="14">
        <f t="shared" si="37"/>
        <v>3.6187165199035083</v>
      </c>
      <c r="BG14" s="22">
        <f t="shared" si="7"/>
        <v>24.244547556933963</v>
      </c>
      <c r="BH14" s="60">
        <f t="shared" si="8"/>
        <v>294.35565866804512</v>
      </c>
      <c r="BI14" s="60">
        <f ca="1">AVERAGE(OFFSET($BH$3,0,0,'Données projet'!$E$11+1,1))-AVERAGE(OFFSET($H$3,0,0,'Données projet'!$E$11+1,1))</f>
        <v>236.22643401787644</v>
      </c>
      <c r="BJ14" s="60">
        <f t="shared" si="38"/>
        <v>188.80444043778022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0.9</v>
      </c>
      <c r="BY14" s="13">
        <f>IF('Données projet'!$A$114&gt;35,BY13+BX14-CG13,IF(A14&lt;'Données projet'!$A$114,$BV$205^A14,IF(A14='Données projet'!$A$114,'Données projet'!$B$114,BY13+BX14-CG13)))</f>
        <v>4.9022999220494095</v>
      </c>
      <c r="BZ14" s="14">
        <f>BY14*VLOOKUP('Données projet'!$B$12,Paramètres!$A$1:$I$89,3,0)*VLOOKUP('Données projet'!$B$12,Paramètres!$A$1:$I$89,5,0)</f>
        <v>4.2826492119023651</v>
      </c>
      <c r="CA14" s="14">
        <f t="shared" si="39"/>
        <v>1.6662234129484463</v>
      </c>
      <c r="CB14" s="22">
        <f t="shared" si="10"/>
        <v>10.360953154948495</v>
      </c>
      <c r="CC14" s="60">
        <f t="shared" si="11"/>
        <v>280.47206426605965</v>
      </c>
      <c r="CD14" s="60">
        <f ca="1">AVERAGE(OFFSET($CC$3,0,0,'Données projet'!$E$12+1,1))-AVERAGE(OFFSET($H$3,0,0,'Données projet'!$E$12+1,1))</f>
        <v>202.86354781280403</v>
      </c>
      <c r="CE14" s="60">
        <f t="shared" si="40"/>
        <v>217.25323885665131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0">
        <f t="shared" si="14"/>
        <v>297.46517135674492</v>
      </c>
      <c r="CY14" s="60">
        <f ca="1">AVERAGE(OFFSET($CX$3,0,0,'Données projet'!$E$13+1,1))-AVERAGE(OFFSET($H$3,0,0,'Données projet'!$E$13+1,1))</f>
        <v>288.82868507674738</v>
      </c>
      <c r="CZ14" s="60">
        <f t="shared" si="42"/>
        <v>283.48738729114024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7.9335567454791462</v>
      </c>
      <c r="P15" s="14">
        <f t="shared" si="33"/>
        <v>2.8729093976493338</v>
      </c>
      <c r="Q15" s="22">
        <f t="shared" si="2"/>
        <v>18.82126186594877</v>
      </c>
      <c r="R15" s="60">
        <f t="shared" si="0"/>
        <v>290.15459519928208</v>
      </c>
      <c r="S15" s="60">
        <f ca="1">AVERAGE(OFFSET($R$3,0,0,'Données projet'!$E$9+1,1))-AVERAGE(OFFSET($H$3,0,0,'Données projet'!$E$9+1,1))</f>
        <v>402.79698021419853</v>
      </c>
      <c r="T15" s="60">
        <f t="shared" si="34"/>
        <v>218.26721063098552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1.6</v>
      </c>
      <c r="AI15" s="14">
        <f>IF('Données projet'!$A$62&gt;35,AI14+AH15-AQ14,IF(A15&lt;'Données projet'!$A$62,$AF$205^A15,IF(A15='Données projet'!$A$62,'Données projet'!$B$62,AI14+AH15-AQ14)))</f>
        <v>5.8747419635905285</v>
      </c>
      <c r="AJ15" s="14">
        <f>AI15*VLOOKUP('Données projet'!$B$10,Paramètres!$A$1:$I$89,3,0)*VLOOKUP('Données projet'!$B$10,Paramètres!$A$1:$I$89,5,0)</f>
        <v>5.0405286047606745</v>
      </c>
      <c r="AK15" s="14">
        <f t="shared" si="35"/>
        <v>1.9242430755624527</v>
      </c>
      <c r="AL15" s="22">
        <f t="shared" si="4"/>
        <v>12.130310676562779</v>
      </c>
      <c r="AM15" s="60">
        <f t="shared" si="5"/>
        <v>283.46364400989609</v>
      </c>
      <c r="AN15" s="60">
        <f ca="1">AVERAGE(OFFSET($AM$3,0,0,'Données projet'!$E$10+1,1))-AVERAGE(OFFSET($H$3,0,0,'Données projet'!$E$10+1,1))</f>
        <v>440.51611312502263</v>
      </c>
      <c r="AO15" s="60">
        <f t="shared" si="36"/>
        <v>176.81257896138806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2.1333333333333333</v>
      </c>
      <c r="BD15" s="13">
        <f>IF('Données projet'!$A$88&gt;35,BD14+BC15-BL14,IF(A15&lt;'Données projet'!$A$88,$BA$205^A15,IF(A15='Données projet'!$A$88,'Données projet'!$B$88,BD14+BC15-BL14)))</f>
        <v>16.000000000000007</v>
      </c>
      <c r="BE15" s="14">
        <f>BD15*VLOOKUP('Données projet'!$B$11,Paramètres!$A$1:$I$89,3,0)*VLOOKUP('Données projet'!$B$11,Paramètres!$A$1:$I$89,5,0)</f>
        <v>12.979200000000006</v>
      </c>
      <c r="BF15" s="14">
        <f t="shared" si="37"/>
        <v>4.4383130477080988</v>
      </c>
      <c r="BG15" s="22">
        <f t="shared" si="7"/>
        <v>30.335501891424943</v>
      </c>
      <c r="BH15" s="60">
        <f t="shared" si="8"/>
        <v>301.66883522475825</v>
      </c>
      <c r="BI15" s="60">
        <f ca="1">AVERAGE(OFFSET($BH$3,0,0,'Données projet'!$E$11+1,1))-AVERAGE(OFFSET($H$3,0,0,'Données projet'!$E$11+1,1))</f>
        <v>236.22643401787644</v>
      </c>
      <c r="BJ15" s="60">
        <f t="shared" si="38"/>
        <v>188.80444043778022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0.9</v>
      </c>
      <c r="BY15" s="13">
        <f>IF('Données projet'!$A$114&gt;35,BY14+BX15-CG14,IF(A15&lt;'Données projet'!$A$114,$BV$205^A15,IF(A15='Données projet'!$A$114,'Données projet'!$B$114,BY14+BX15-CG14)))</f>
        <v>5.6645250677694134</v>
      </c>
      <c r="BZ15" s="14">
        <f>BY15*VLOOKUP('Données projet'!$B$12,Paramètres!$A$1:$I$89,3,0)*VLOOKUP('Données projet'!$B$12,Paramètres!$A$1:$I$89,5,0)</f>
        <v>4.9485290992033608</v>
      </c>
      <c r="CA15" s="14">
        <f t="shared" si="39"/>
        <v>1.8931767921179217</v>
      </c>
      <c r="CB15" s="22">
        <f t="shared" si="10"/>
        <v>11.915971094051232</v>
      </c>
      <c r="CC15" s="60">
        <f t="shared" si="11"/>
        <v>283.24930442738457</v>
      </c>
      <c r="CD15" s="60">
        <f ca="1">AVERAGE(OFFSET($CC$3,0,0,'Données projet'!$E$12+1,1))-AVERAGE(OFFSET($H$3,0,0,'Données projet'!$E$12+1,1))</f>
        <v>202.86354781280403</v>
      </c>
      <c r="CE15" s="60">
        <f t="shared" si="40"/>
        <v>217.25323885665131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0">
        <f t="shared" si="14"/>
        <v>306.05993923876133</v>
      </c>
      <c r="CY15" s="60">
        <f ca="1">AVERAGE(OFFSET($CX$3,0,0,'Données projet'!$E$13+1,1))-AVERAGE(OFFSET($H$3,0,0,'Données projet'!$E$13+1,1))</f>
        <v>288.82868507674738</v>
      </c>
      <c r="CZ15" s="60">
        <f t="shared" si="42"/>
        <v>283.48738729114024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9.5637980499107691</v>
      </c>
      <c r="P16" s="14">
        <f t="shared" si="33"/>
        <v>3.3887309065006521</v>
      </c>
      <c r="Q16" s="22">
        <f t="shared" si="2"/>
        <v>22.558987932416557</v>
      </c>
      <c r="R16" s="60">
        <f t="shared" si="0"/>
        <v>295.11454348797213</v>
      </c>
      <c r="S16" s="60">
        <f ca="1">AVERAGE(OFFSET($R$3,0,0,'Données projet'!$E$9+1,1))-AVERAGE(OFFSET($H$3,0,0,'Données projet'!$E$9+1,1))</f>
        <v>402.79698021419853</v>
      </c>
      <c r="T16" s="60">
        <f t="shared" si="34"/>
        <v>218.26721063098552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1.6</v>
      </c>
      <c r="AI16" s="14">
        <f>IF('Données projet'!$A$62&gt;35,AI15+AH16-AQ15,IF(A16&lt;'Données projet'!$A$62,$AF$205^A16,IF(A16='Données projet'!$A$62,'Données projet'!$B$62,AI15+AH16-AQ15)))</f>
        <v>6.8088096886476315</v>
      </c>
      <c r="AJ16" s="14">
        <f>AI16*VLOOKUP('Données projet'!$B$10,Paramètres!$A$1:$I$89,3,0)*VLOOKUP('Données projet'!$B$10,Paramètres!$A$1:$I$89,5,0)</f>
        <v>5.8419587128596682</v>
      </c>
      <c r="AK16" s="14">
        <f t="shared" si="35"/>
        <v>2.1922149783455773</v>
      </c>
      <c r="AL16" s="22">
        <f t="shared" si="4"/>
        <v>13.992852512182466</v>
      </c>
      <c r="AM16" s="60">
        <f t="shared" si="5"/>
        <v>286.54840806773802</v>
      </c>
      <c r="AN16" s="60">
        <f ca="1">AVERAGE(OFFSET($AM$3,0,0,'Données projet'!$E$10+1,1))-AVERAGE(OFFSET($H$3,0,0,'Données projet'!$E$10+1,1))</f>
        <v>440.51611312502263</v>
      </c>
      <c r="AO16" s="60">
        <f t="shared" si="36"/>
        <v>176.81257896138806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2.1333333333333333</v>
      </c>
      <c r="BD16" s="13">
        <f>IF('Données projet'!$A$88&gt;35,BD15+BC16-BL15,IF(A16&lt;'Données projet'!$A$88,$BA$205^A16,IF(A16='Données projet'!$A$88,'Données projet'!$B$88,BD15+BC16-BL15)))</f>
        <v>20.158736798317982</v>
      </c>
      <c r="BE16" s="14">
        <f>BD16*VLOOKUP('Données projet'!$B$11,Paramètres!$A$1:$I$89,3,0)*VLOOKUP('Données projet'!$B$11,Paramètres!$A$1:$I$89,5,0)</f>
        <v>16.352767290795548</v>
      </c>
      <c r="BF16" s="14">
        <f t="shared" si="37"/>
        <v>5.4435385035303101</v>
      </c>
      <c r="BG16" s="22">
        <f t="shared" si="7"/>
        <v>37.961899258450863</v>
      </c>
      <c r="BH16" s="60">
        <f t="shared" si="8"/>
        <v>310.51745481400638</v>
      </c>
      <c r="BI16" s="60">
        <f ca="1">AVERAGE(OFFSET($BH$3,0,0,'Données projet'!$E$11+1,1))-AVERAGE(OFFSET($H$3,0,0,'Données projet'!$E$11+1,1))</f>
        <v>236.22643401787644</v>
      </c>
      <c r="BJ16" s="60">
        <f t="shared" si="38"/>
        <v>188.80444043778022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0.9</v>
      </c>
      <c r="BY16" s="13">
        <f>IF('Données projet'!$A$114&gt;35,BY15+BX16-CG15,IF(A16&lt;'Données projet'!$A$114,$BV$205^A16,IF(A16='Données projet'!$A$114,'Données projet'!$B$114,BY15+BX16-CG15)))</f>
        <v>6.5452633975063188</v>
      </c>
      <c r="BZ16" s="14">
        <f>BY16*VLOOKUP('Données projet'!$B$12,Paramètres!$A$1:$I$89,3,0)*VLOOKUP('Données projet'!$B$12,Paramètres!$A$1:$I$89,5,0)</f>
        <v>5.717942104061521</v>
      </c>
      <c r="CA16" s="14">
        <f t="shared" si="39"/>
        <v>2.1510430944381391</v>
      </c>
      <c r="CB16" s="22">
        <f t="shared" si="10"/>
        <v>13.705149220720239</v>
      </c>
      <c r="CC16" s="60">
        <f t="shared" si="11"/>
        <v>286.26070477627576</v>
      </c>
      <c r="CD16" s="60">
        <f ca="1">AVERAGE(OFFSET($CC$3,0,0,'Données projet'!$E$12+1,1))-AVERAGE(OFFSET($H$3,0,0,'Données projet'!$E$12+1,1))</f>
        <v>202.86354781280403</v>
      </c>
      <c r="CE16" s="60">
        <f t="shared" si="40"/>
        <v>217.25323885665131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0">
        <f t="shared" si="14"/>
        <v>316.64858257249887</v>
      </c>
      <c r="CY16" s="60">
        <f ca="1">AVERAGE(OFFSET($CX$3,0,0,'Données projet'!$E$13+1,1))-AVERAGE(OFFSET($H$3,0,0,'Données projet'!$E$13+1,1))</f>
        <v>288.82868507674738</v>
      </c>
      <c r="CZ16" s="60">
        <f t="shared" si="42"/>
        <v>283.48738729114024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11.529032447092296</v>
      </c>
      <c r="P17" s="14">
        <f t="shared" si="33"/>
        <v>3.9971664842854926</v>
      </c>
      <c r="Q17" s="22">
        <f t="shared" si="2"/>
        <v>27.041463138816312</v>
      </c>
      <c r="R17" s="60">
        <f t="shared" si="0"/>
        <v>300.81924091659408</v>
      </c>
      <c r="S17" s="60">
        <f ca="1">AVERAGE(OFFSET($R$3,0,0,'Données projet'!$E$9+1,1))-AVERAGE(OFFSET($H$3,0,0,'Données projet'!$E$9+1,1))</f>
        <v>402.79698021419853</v>
      </c>
      <c r="T17" s="60">
        <f t="shared" si="34"/>
        <v>218.26721063098552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1.6</v>
      </c>
      <c r="AI17" s="14">
        <f>IF('Données projet'!$A$62&gt;35,AI16+AH17-AQ16,IF(A17&lt;'Données projet'!$A$62,$AF$205^A17,IF(A17='Données projet'!$A$62,'Données projet'!$B$62,AI16+AH17-AQ16)))</f>
        <v>7.891391598736293</v>
      </c>
      <c r="AJ17" s="14">
        <f>AI17*VLOOKUP('Données projet'!$B$10,Paramètres!$A$1:$I$89,3,0)*VLOOKUP('Données projet'!$B$10,Paramètres!$A$1:$I$89,5,0)</f>
        <v>6.7708139917157402</v>
      </c>
      <c r="AK17" s="14">
        <f t="shared" si="35"/>
        <v>2.4975049006622885</v>
      </c>
      <c r="AL17" s="22">
        <f t="shared" si="4"/>
        <v>16.142322070891733</v>
      </c>
      <c r="AM17" s="60">
        <f t="shared" si="5"/>
        <v>289.92009984866951</v>
      </c>
      <c r="AN17" s="60">
        <f ca="1">AVERAGE(OFFSET($AM$3,0,0,'Données projet'!$E$10+1,1))-AVERAGE(OFFSET($H$3,0,0,'Données projet'!$E$10+1,1))</f>
        <v>440.51611312502263</v>
      </c>
      <c r="AO17" s="60">
        <f t="shared" si="36"/>
        <v>176.81257896138806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2.1333333333333333</v>
      </c>
      <c r="BD17" s="13">
        <f>IF('Données projet'!$A$88&gt;35,BD16+BC17-BL16,IF(A17&lt;'Données projet'!$A$88,$BA$205^A17,IF(A17='Données projet'!$A$88,'Données projet'!$B$88,BD16+BC17-BL16)))</f>
        <v>25.398416831491208</v>
      </c>
      <c r="BE17" s="14">
        <f>BD17*VLOOKUP('Données projet'!$B$11,Paramètres!$A$1:$I$89,3,0)*VLOOKUP('Données projet'!$B$11,Paramètres!$A$1:$I$89,5,0)</f>
        <v>20.603195733705668</v>
      </c>
      <c r="BF17" s="14">
        <f t="shared" si="37"/>
        <v>6.6764356459080147</v>
      </c>
      <c r="BG17" s="22">
        <f t="shared" si="7"/>
        <v>47.512024652827165</v>
      </c>
      <c r="BH17" s="60">
        <f t="shared" si="8"/>
        <v>321.28980243060494</v>
      </c>
      <c r="BI17" s="60">
        <f ca="1">AVERAGE(OFFSET($BH$3,0,0,'Données projet'!$E$11+1,1))-AVERAGE(OFFSET($H$3,0,0,'Données projet'!$E$11+1,1))</f>
        <v>236.22643401787644</v>
      </c>
      <c r="BJ17" s="60">
        <f t="shared" si="38"/>
        <v>188.80444043778022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0.9</v>
      </c>
      <c r="BY17" s="13">
        <f>IF('Données projet'!$A$114&gt;35,BY16+BX17-CG16,IF(A17&lt;'Données projet'!$A$114,$BV$205^A17,IF(A17='Données projet'!$A$114,'Données projet'!$B$114,BY16+BX17-CG16)))</f>
        <v>7.5629417171254145</v>
      </c>
      <c r="BZ17" s="14">
        <f>BY17*VLOOKUP('Données projet'!$B$12,Paramètres!$A$1:$I$89,3,0)*VLOOKUP('Données projet'!$B$12,Paramètres!$A$1:$I$89,5,0)</f>
        <v>6.6069858840807631</v>
      </c>
      <c r="CA17" s="14">
        <f t="shared" si="39"/>
        <v>2.4440329151477385</v>
      </c>
      <c r="CB17" s="22">
        <f t="shared" si="10"/>
        <v>15.763857741989639</v>
      </c>
      <c r="CC17" s="60">
        <f t="shared" si="11"/>
        <v>289.5416355197674</v>
      </c>
      <c r="CD17" s="60">
        <f ca="1">AVERAGE(OFFSET($CC$3,0,0,'Données projet'!$E$12+1,1))-AVERAGE(OFFSET($H$3,0,0,'Données projet'!$E$12+1,1))</f>
        <v>202.86354781280403</v>
      </c>
      <c r="CE17" s="60">
        <f t="shared" si="40"/>
        <v>217.25323885665131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0">
        <f t="shared" si="14"/>
        <v>329.77204569188632</v>
      </c>
      <c r="CY17" s="60">
        <f ca="1">AVERAGE(OFFSET($CX$3,0,0,'Données projet'!$E$13+1,1))-AVERAGE(OFFSET($H$3,0,0,'Données projet'!$E$13+1,1))</f>
        <v>288.82868507674738</v>
      </c>
      <c r="CZ17" s="60">
        <f t="shared" si="42"/>
        <v>283.48738729114024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13.898096600580887</v>
      </c>
      <c r="P18" s="14">
        <f t="shared" si="33"/>
        <v>4.7148446849071632</v>
      </c>
      <c r="Q18" s="22">
        <f t="shared" si="2"/>
        <v>32.417539405558351</v>
      </c>
      <c r="R18" s="60">
        <f t="shared" si="0"/>
        <v>307.41753940555833</v>
      </c>
      <c r="S18" s="60">
        <f ca="1">AVERAGE(OFFSET($R$3,0,0,'Données projet'!$E$9+1,1))-AVERAGE(OFFSET($H$3,0,0,'Données projet'!$E$9+1,1))</f>
        <v>402.79698021419853</v>
      </c>
      <c r="T18" s="60">
        <f t="shared" si="34"/>
        <v>218.26721063098552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1.6</v>
      </c>
      <c r="AI18" s="14">
        <f>IF('Données projet'!$A$62&gt;35,AI17+AH18-AQ17,IF(A18&lt;'Données projet'!$A$62,$AF$205^A18,IF(A18='Données projet'!$A$62,'Données projet'!$B$62,AI17+AH18-AQ17)))</f>
        <v>9.1461010385465276</v>
      </c>
      <c r="AJ18" s="14">
        <f>AI18*VLOOKUP('Données projet'!$B$10,Paramètres!$A$1:$I$89,3,0)*VLOOKUP('Données projet'!$B$10,Paramètres!$A$1:$I$89,5,0)</f>
        <v>7.8473546910729226</v>
      </c>
      <c r="AK18" s="14">
        <f t="shared" si="35"/>
        <v>2.8453097850556128</v>
      </c>
      <c r="AL18" s="22">
        <f t="shared" si="4"/>
        <v>18.623057295923864</v>
      </c>
      <c r="AM18" s="60">
        <f t="shared" si="5"/>
        <v>293.62305729592384</v>
      </c>
      <c r="AN18" s="60">
        <f ca="1">AVERAGE(OFFSET($AM$3,0,0,'Données projet'!$E$10+1,1))-AVERAGE(OFFSET($H$3,0,0,'Données projet'!$E$10+1,1))</f>
        <v>440.51611312502263</v>
      </c>
      <c r="AO18" s="60">
        <f t="shared" si="36"/>
        <v>176.81257896138806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32</v>
      </c>
      <c r="BB18" s="13">
        <f>VLOOKUP(A18,'Données projet'!$A$87:$I$107,9,0)</f>
        <v>2.1333333333333333</v>
      </c>
      <c r="BC18" s="13">
        <f t="array" ref="BC18">INDEX(BB:BB,MIN(IF(ISNUMBER(BB18:BB214),ROW(BB18:BB214),"")))</f>
        <v>2.1333333333333333</v>
      </c>
      <c r="BD18" s="13">
        <f>IF('Données projet'!$A$88&gt;35,BD17+BC18-BL17,IF(A18&lt;'Données projet'!$A$88,$BA$205^A18,IF(A18='Données projet'!$A$88,'Données projet'!$B$88,BD17+BC18-BL17)))</f>
        <v>32</v>
      </c>
      <c r="BE18" s="14">
        <f>BD18*VLOOKUP('Données projet'!$B$11,Paramètres!$A$1:$I$89,3,0)*VLOOKUP('Données projet'!$B$11,Paramètres!$A$1:$I$89,5,0)</f>
        <v>25.958400000000001</v>
      </c>
      <c r="BF18" s="14">
        <f t="shared" si="37"/>
        <v>8.1885694213502802</v>
      </c>
      <c r="BG18" s="22">
        <f t="shared" si="7"/>
        <v>59.472638408851729</v>
      </c>
      <c r="BH18" s="60">
        <f t="shared" si="8"/>
        <v>334.47263840885171</v>
      </c>
      <c r="BI18" s="60">
        <f ca="1">AVERAGE(OFFSET($BH$3,0,0,'Données projet'!$E$11+1,1))-AVERAGE(OFFSET($H$3,0,0,'Données projet'!$E$11+1,1))</f>
        <v>236.22643401787644</v>
      </c>
      <c r="BJ18" s="60">
        <f t="shared" si="38"/>
        <v>188.80444043778022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0.9</v>
      </c>
      <c r="BY18" s="13">
        <f>IF('Données projet'!$A$114&gt;35,BY17+BX18-CG17,IF(A18&lt;'Données projet'!$A$114,$BV$205^A18,IF(A18='Données projet'!$A$114,'Données projet'!$B$114,BY17+BX18-CG17)))</f>
        <v>8.7388518907318247</v>
      </c>
      <c r="BZ18" s="14">
        <f>BY18*VLOOKUP('Données projet'!$B$12,Paramètres!$A$1:$I$89,3,0)*VLOOKUP('Données projet'!$B$12,Paramètres!$A$1:$I$89,5,0)</f>
        <v>7.6342610117433241</v>
      </c>
      <c r="CA18" s="14">
        <f t="shared" si="39"/>
        <v>2.7769303673043324</v>
      </c>
      <c r="CB18" s="22">
        <f t="shared" si="10"/>
        <v>18.132824985174668</v>
      </c>
      <c r="CC18" s="60">
        <f t="shared" si="11"/>
        <v>293.13282498517469</v>
      </c>
      <c r="CD18" s="60">
        <f ca="1">AVERAGE(OFFSET($CC$3,0,0,'Données projet'!$E$12+1,1))-AVERAGE(OFFSET($H$3,0,0,'Données projet'!$E$12+1,1))</f>
        <v>202.86354781280403</v>
      </c>
      <c r="CE18" s="60">
        <f t="shared" si="40"/>
        <v>217.25323885665131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0">
        <f t="shared" si="14"/>
        <v>346.11846028285146</v>
      </c>
      <c r="CY18" s="60">
        <f ca="1">AVERAGE(OFFSET($CX$3,0,0,'Données projet'!$E$13+1,1))-AVERAGE(OFFSET($H$3,0,0,'Données projet'!$E$13+1,1))</f>
        <v>288.82868507674738</v>
      </c>
      <c r="CZ18" s="60">
        <f t="shared" si="42"/>
        <v>283.48738729114024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3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16.753972200658836</v>
      </c>
      <c r="P19" s="14">
        <f t="shared" si="33"/>
        <v>5.5613796648680189</v>
      </c>
      <c r="Q19" s="22">
        <f t="shared" si="2"/>
        <v>38.865904499125939</v>
      </c>
      <c r="R19" s="60">
        <f t="shared" si="0"/>
        <v>315.08812672134815</v>
      </c>
      <c r="S19" s="60">
        <f ca="1">AVERAGE(OFFSET($R$3,0,0,'Données projet'!$E$9+1,1))-AVERAGE(OFFSET($H$3,0,0,'Données projet'!$E$9+1,1))</f>
        <v>402.79698021419853</v>
      </c>
      <c r="T19" s="60">
        <f t="shared" si="34"/>
        <v>218.26721063098552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1.6</v>
      </c>
      <c r="AI19" s="14">
        <f>IF('Données projet'!$A$62&gt;35,AI18+AH19-AQ18,IF(A19&lt;'Données projet'!$A$62,$AF$205^A19,IF(A19='Données projet'!$A$62,'Données projet'!$B$62,AI18+AH19-AQ18)))</f>
        <v>10.60030580926912</v>
      </c>
      <c r="AJ19" s="14">
        <f>AI19*VLOOKUP('Données projet'!$B$10,Paramètres!$A$1:$I$89,3,0)*VLOOKUP('Données projet'!$B$10,Paramètres!$A$1:$I$89,5,0)</f>
        <v>9.0950623843529055</v>
      </c>
      <c r="AK19" s="14">
        <f t="shared" si="35"/>
        <v>3.2415503051811316</v>
      </c>
      <c r="AL19" s="22">
        <f t="shared" si="4"/>
        <v>21.486267100938448</v>
      </c>
      <c r="AM19" s="60">
        <f t="shared" si="5"/>
        <v>297.70848932316068</v>
      </c>
      <c r="AN19" s="60">
        <f ca="1">AVERAGE(OFFSET($AM$3,0,0,'Données projet'!$E$10+1,1))-AVERAGE(OFFSET($H$3,0,0,'Données projet'!$E$10+1,1))</f>
        <v>440.51611312502263</v>
      </c>
      <c r="AO19" s="60">
        <f t="shared" si="36"/>
        <v>176.81257896138806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4.4000000000000004</v>
      </c>
      <c r="BD19" s="13">
        <f>IF('Données projet'!$A$88&gt;35,BD18+BC19-BL18,IF(A19&lt;'Données projet'!$A$88,$BA$205^A19,IF(A19='Données projet'!$A$88,'Données projet'!$B$88,BD18+BC19-BL18)))</f>
        <v>36.4</v>
      </c>
      <c r="BE19" s="14">
        <f>BD19*VLOOKUP('Données projet'!$B$11,Paramètres!$A$1:$I$89,3,0)*VLOOKUP('Données projet'!$B$11,Paramètres!$A$1:$I$89,5,0)</f>
        <v>29.527680000000004</v>
      </c>
      <c r="BF19" s="14">
        <f t="shared" si="37"/>
        <v>9.1758582733085685</v>
      </c>
      <c r="BG19" s="22">
        <f t="shared" si="7"/>
        <v>67.408662492679099</v>
      </c>
      <c r="BH19" s="60">
        <f t="shared" si="8"/>
        <v>343.6308847149013</v>
      </c>
      <c r="BI19" s="60">
        <f ca="1">AVERAGE(OFFSET($BH$3,0,0,'Données projet'!$E$11+1,1))-AVERAGE(OFFSET($H$3,0,0,'Données projet'!$E$11+1,1))</f>
        <v>236.22643401787644</v>
      </c>
      <c r="BJ19" s="60">
        <f t="shared" si="38"/>
        <v>188.80444043778022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0.9</v>
      </c>
      <c r="BY19" s="13">
        <f>IF('Données projet'!$A$114&gt;35,BY18+BX19-CG18,IF(A19&lt;'Données projet'!$A$114,$BV$205^A19,IF(A19='Données projet'!$A$114,'Données projet'!$B$114,BY18+BX19-CG18)))</f>
        <v>10.097596309015799</v>
      </c>
      <c r="BZ19" s="14">
        <f>BY19*VLOOKUP('Données projet'!$B$12,Paramètres!$A$1:$I$89,3,0)*VLOOKUP('Données projet'!$B$12,Paramètres!$A$1:$I$89,5,0)</f>
        <v>8.8212601355562033</v>
      </c>
      <c r="CA19" s="14">
        <f t="shared" si="39"/>
        <v>3.1551711996443523</v>
      </c>
      <c r="CB19" s="22">
        <f t="shared" si="10"/>
        <v>20.858951242140964</v>
      </c>
      <c r="CC19" s="60">
        <f t="shared" si="11"/>
        <v>297.08117346436319</v>
      </c>
      <c r="CD19" s="60">
        <f ca="1">AVERAGE(OFFSET($CC$3,0,0,'Données projet'!$E$12+1,1))-AVERAGE(OFFSET($H$3,0,0,'Données projet'!$E$12+1,1))</f>
        <v>202.86354781280403</v>
      </c>
      <c r="CE19" s="60">
        <f t="shared" si="40"/>
        <v>217.25323885665131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46.6</v>
      </c>
      <c r="CU19" s="18">
        <f>CT19*VLOOKUP('Données projet'!$B$13,Paramètres!$A$1:$I$89,3,0)*VLOOKUP('Données projet'!$B$13,Paramètres!$A$1:$I$89,5,0)</f>
        <v>36.347999999999999</v>
      </c>
      <c r="CV19" s="14">
        <f t="shared" si="41"/>
        <v>11.025356771848859</v>
      </c>
      <c r="CW19" s="22">
        <f t="shared" si="13"/>
        <v>82.508596377636763</v>
      </c>
      <c r="CX19" s="60">
        <f t="shared" si="14"/>
        <v>358.73081859985899</v>
      </c>
      <c r="CY19" s="60">
        <f ca="1">AVERAGE(OFFSET($CX$3,0,0,'Données projet'!$E$13+1,1))-AVERAGE(OFFSET($H$3,0,0,'Données projet'!$E$13+1,1))</f>
        <v>288.82868507674738</v>
      </c>
      <c r="CZ19" s="60">
        <f t="shared" si="42"/>
        <v>283.48738729114024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20.196692580818372</v>
      </c>
      <c r="P20" s="14">
        <f t="shared" si="33"/>
        <v>6.5599072384749233</v>
      </c>
      <c r="Q20" s="22">
        <f t="shared" si="2"/>
        <v>46.601078018602493</v>
      </c>
      <c r="R20" s="60">
        <f t="shared" si="0"/>
        <v>324.04552246304695</v>
      </c>
      <c r="S20" s="60">
        <f ca="1">AVERAGE(OFFSET($R$3,0,0,'Données projet'!$E$9+1,1))-AVERAGE(OFFSET($H$3,0,0,'Données projet'!$E$9+1,1))</f>
        <v>402.79698021419853</v>
      </c>
      <c r="T20" s="60">
        <f t="shared" si="34"/>
        <v>218.26721063098552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1.6</v>
      </c>
      <c r="AI20" s="14">
        <f>IF('Données projet'!$A$62&gt;35,AI19+AH20-AQ19,IF(A20&lt;'Données projet'!$A$62,$AF$205^A20,IF(A20='Données projet'!$A$62,'Données projet'!$B$62,AI19+AH20-AQ19)))</f>
        <v>12.285725116795957</v>
      </c>
      <c r="AJ20" s="14">
        <f>AI20*VLOOKUP('Données projet'!$B$10,Paramètres!$A$1:$I$89,3,0)*VLOOKUP('Données projet'!$B$10,Paramètres!$A$1:$I$89,5,0)</f>
        <v>10.541152150210932</v>
      </c>
      <c r="AK20" s="14">
        <f t="shared" si="35"/>
        <v>3.6929716532832697</v>
      </c>
      <c r="AL20" s="22">
        <f t="shared" si="4"/>
        <v>24.7910989577524</v>
      </c>
      <c r="AM20" s="60">
        <f t="shared" si="5"/>
        <v>302.23554340219687</v>
      </c>
      <c r="AN20" s="60">
        <f ca="1">AVERAGE(OFFSET($AM$3,0,0,'Données projet'!$E$10+1,1))-AVERAGE(OFFSET($H$3,0,0,'Données projet'!$E$10+1,1))</f>
        <v>440.51611312502263</v>
      </c>
      <c r="AO20" s="60">
        <f t="shared" si="36"/>
        <v>176.81257896138806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4.4000000000000004</v>
      </c>
      <c r="BD20" s="13">
        <f>IF('Données projet'!$A$88&gt;35,BD19+BC20-BL19,IF(A20&lt;'Données projet'!$A$88,$BA$205^A20,IF(A20='Données projet'!$A$88,'Données projet'!$B$88,BD19+BC20-BL19)))</f>
        <v>40.799999999999997</v>
      </c>
      <c r="BE20" s="14">
        <f>BD20*VLOOKUP('Données projet'!$B$11,Paramètres!$A$1:$I$89,3,0)*VLOOKUP('Données projet'!$B$11,Paramètres!$A$1:$I$89,5,0)</f>
        <v>33.096959999999996</v>
      </c>
      <c r="BF20" s="14">
        <f t="shared" si="37"/>
        <v>10.149317402083243</v>
      </c>
      <c r="BG20" s="22">
        <f t="shared" si="7"/>
        <v>75.320599808628302</v>
      </c>
      <c r="BH20" s="60">
        <f t="shared" si="8"/>
        <v>352.76504425307274</v>
      </c>
      <c r="BI20" s="60">
        <f ca="1">AVERAGE(OFFSET($BH$3,0,0,'Données projet'!$E$11+1,1))-AVERAGE(OFFSET($H$3,0,0,'Données projet'!$E$11+1,1))</f>
        <v>236.22643401787644</v>
      </c>
      <c r="BJ20" s="60">
        <f t="shared" si="38"/>
        <v>188.80444043778022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0.9</v>
      </c>
      <c r="BY20" s="13">
        <f>IF('Données projet'!$A$114&gt;35,BY19+BX20-CG19,IF(A20&lt;'Données projet'!$A$114,$BV$205^A20,IF(A20='Données projet'!$A$114,'Données projet'!$B$114,BY19+BX20-CG19)))</f>
        <v>11.667602620429678</v>
      </c>
      <c r="BZ20" s="14">
        <f>BY20*VLOOKUP('Données projet'!$B$12,Paramètres!$A$1:$I$89,3,0)*VLOOKUP('Données projet'!$B$12,Paramètres!$A$1:$I$89,5,0)</f>
        <v>10.192817649207369</v>
      </c>
      <c r="CA20" s="14">
        <f t="shared" si="39"/>
        <v>3.5849315547400531</v>
      </c>
      <c r="CB20" s="22">
        <f t="shared" si="10"/>
        <v>23.996246530208428</v>
      </c>
      <c r="CC20" s="60">
        <f t="shared" si="11"/>
        <v>301.44069097465291</v>
      </c>
      <c r="CD20" s="60">
        <f ca="1">AVERAGE(OFFSET($CC$3,0,0,'Données projet'!$E$12+1,1))-AVERAGE(OFFSET($H$3,0,0,'Données projet'!$E$12+1,1))</f>
        <v>202.86354781280403</v>
      </c>
      <c r="CE20" s="60">
        <f t="shared" si="40"/>
        <v>217.25323885665131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56.2</v>
      </c>
      <c r="CU20" s="18">
        <f>CT20*VLOOKUP('Données projet'!$B$13,Paramètres!$A$1:$I$89,3,0)*VLOOKUP('Données projet'!$B$13,Paramètres!$A$1:$I$89,5,0)</f>
        <v>43.836000000000006</v>
      </c>
      <c r="CV20" s="14">
        <f t="shared" si="41"/>
        <v>13.009897179721728</v>
      </c>
      <c r="CW20" s="22">
        <f t="shared" si="13"/>
        <v>99.006604254682017</v>
      </c>
      <c r="CX20" s="60">
        <f t="shared" si="14"/>
        <v>376.45104869912649</v>
      </c>
      <c r="CY20" s="60">
        <f ca="1">AVERAGE(OFFSET($CX$3,0,0,'Données projet'!$E$13+1,1))-AVERAGE(OFFSET($H$3,0,0,'Données projet'!$E$13+1,1))</f>
        <v>288.82868507674738</v>
      </c>
      <c r="CZ20" s="60">
        <f t="shared" si="42"/>
        <v>283.48738729114024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24.346846605609343</v>
      </c>
      <c r="P21" s="14">
        <f t="shared" si="33"/>
        <v>7.7377171800078735</v>
      </c>
      <c r="Q21" s="22">
        <f t="shared" si="2"/>
        <v>55.880615259949991</v>
      </c>
      <c r="R21" s="60">
        <f t="shared" si="0"/>
        <v>334.54728192661668</v>
      </c>
      <c r="S21" s="60">
        <f ca="1">AVERAGE(OFFSET($R$3,0,0,'Données projet'!$E$9+1,1))-AVERAGE(OFFSET($H$3,0,0,'Données projet'!$E$9+1,1))</f>
        <v>402.79698021419853</v>
      </c>
      <c r="T21" s="60">
        <f t="shared" si="34"/>
        <v>218.26721063098552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1.6</v>
      </c>
      <c r="AI21" s="14">
        <f>IF('Données projet'!$A$62&gt;35,AI20+AH21-AQ20,IF(A21&lt;'Données projet'!$A$62,$AF$205^A21,IF(A21='Données projet'!$A$62,'Données projet'!$B$62,AI20+AH21-AQ20)))</f>
        <v>14.23912143303327</v>
      </c>
      <c r="AJ21" s="14">
        <f>AI21*VLOOKUP('Données projet'!$B$10,Paramètres!$A$1:$I$89,3,0)*VLOOKUP('Données projet'!$B$10,Paramètres!$A$1:$I$89,5,0)</f>
        <v>12.217166189542548</v>
      </c>
      <c r="AK21" s="14">
        <f t="shared" si="35"/>
        <v>4.2072583634304257</v>
      </c>
      <c r="AL21" s="22">
        <f t="shared" si="4"/>
        <v>28.605872763094592</v>
      </c>
      <c r="AM21" s="60">
        <f t="shared" si="5"/>
        <v>307.27253942976125</v>
      </c>
      <c r="AN21" s="60">
        <f ca="1">AVERAGE(OFFSET($AM$3,0,0,'Données projet'!$E$10+1,1))-AVERAGE(OFFSET($H$3,0,0,'Données projet'!$E$10+1,1))</f>
        <v>440.51611312502263</v>
      </c>
      <c r="AO21" s="60">
        <f t="shared" si="36"/>
        <v>176.81257896138806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4.4000000000000004</v>
      </c>
      <c r="BD21" s="13">
        <f>IF('Données projet'!$A$88&gt;35,BD20+BC21-BL20,IF(A21&lt;'Données projet'!$A$88,$BA$205^A21,IF(A21='Données projet'!$A$88,'Données projet'!$B$88,BD20+BC21-BL20)))</f>
        <v>45.199999999999996</v>
      </c>
      <c r="BE21" s="14">
        <f>BD21*VLOOKUP('Données projet'!$B$11,Paramètres!$A$1:$I$89,3,0)*VLOOKUP('Données projet'!$B$11,Paramètres!$A$1:$I$89,5,0)</f>
        <v>36.666239999999995</v>
      </c>
      <c r="BF21" s="14">
        <f t="shared" si="37"/>
        <v>11.110608259650514</v>
      </c>
      <c r="BG21" s="22">
        <f t="shared" si="7"/>
        <v>83.211344052224632</v>
      </c>
      <c r="BH21" s="60">
        <f t="shared" si="8"/>
        <v>361.87801071889135</v>
      </c>
      <c r="BI21" s="60">
        <f ca="1">AVERAGE(OFFSET($BH$3,0,0,'Données projet'!$E$11+1,1))-AVERAGE(OFFSET($H$3,0,0,'Données projet'!$E$11+1,1))</f>
        <v>236.22643401787644</v>
      </c>
      <c r="BJ21" s="60">
        <f t="shared" si="38"/>
        <v>188.80444043778022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0.9</v>
      </c>
      <c r="BY21" s="13">
        <f>IF('Données projet'!$A$114&gt;35,BY20+BX21-CG20,IF(A21&lt;'Données projet'!$A$114,$BV$205^A21,IF(A21='Données projet'!$A$114,'Données projet'!$B$114,BY20+BX21-CG20)))</f>
        <v>13.48171849440139</v>
      </c>
      <c r="BZ21" s="14">
        <f>BY21*VLOOKUP('Données projet'!$B$12,Paramètres!$A$1:$I$89,3,0)*VLOOKUP('Données projet'!$B$12,Paramètres!$A$1:$I$89,5,0)</f>
        <v>11.777629276709055</v>
      </c>
      <c r="CA21" s="14">
        <f t="shared" si="39"/>
        <v>4.0732288167499631</v>
      </c>
      <c r="CB21" s="22">
        <f t="shared" si="10"/>
        <v>27.606911179441123</v>
      </c>
      <c r="CC21" s="60">
        <f t="shared" si="11"/>
        <v>306.2735778461078</v>
      </c>
      <c r="CD21" s="60">
        <f ca="1">AVERAGE(OFFSET($CC$3,0,0,'Données projet'!$E$12+1,1))-AVERAGE(OFFSET($H$3,0,0,'Données projet'!$E$12+1,1))</f>
        <v>202.86354781280403</v>
      </c>
      <c r="CE21" s="60">
        <f t="shared" si="40"/>
        <v>217.25323885665131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65.8</v>
      </c>
      <c r="CU21" s="18">
        <f>CT21*VLOOKUP('Données projet'!$B$13,Paramètres!$A$1:$I$89,3,0)*VLOOKUP('Données projet'!$B$13,Paramètres!$A$1:$I$89,5,0)</f>
        <v>51.323999999999998</v>
      </c>
      <c r="CV21" s="14">
        <f t="shared" si="41"/>
        <v>14.95516659950003</v>
      </c>
      <c r="CW21" s="22">
        <f t="shared" si="13"/>
        <v>115.43621516079588</v>
      </c>
      <c r="CX21" s="60">
        <f t="shared" si="14"/>
        <v>394.10288182746257</v>
      </c>
      <c r="CY21" s="60">
        <f ca="1">AVERAGE(OFFSET($CX$3,0,0,'Données projet'!$E$13+1,1))-AVERAGE(OFFSET($H$3,0,0,'Données projet'!$E$13+1,1))</f>
        <v>288.82868507674738</v>
      </c>
      <c r="CZ21" s="60">
        <f t="shared" si="42"/>
        <v>283.48738729114024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29.349802561239567</v>
      </c>
      <c r="P22" s="14">
        <f t="shared" si="33"/>
        <v>9.1269990536799668</v>
      </c>
      <c r="Q22" s="22">
        <f t="shared" si="2"/>
        <v>67.013762812651535</v>
      </c>
      <c r="R22" s="60">
        <f t="shared" si="0"/>
        <v>346.90265170154038</v>
      </c>
      <c r="S22" s="60">
        <f ca="1">AVERAGE(OFFSET($R$3,0,0,'Données projet'!$E$9+1,1))-AVERAGE(OFFSET($H$3,0,0,'Données projet'!$E$9+1,1))</f>
        <v>402.79698021419853</v>
      </c>
      <c r="T22" s="60">
        <f t="shared" si="34"/>
        <v>218.26721063098552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1.6</v>
      </c>
      <c r="AI22" s="14">
        <f>IF('Données projet'!$A$62&gt;35,AI21+AH22-AQ21,IF(A22&lt;'Données projet'!$A$62,$AF$205^A22,IF(A22='Données projet'!$A$62,'Données projet'!$B$62,AI21+AH22-AQ21)))</f>
        <v>16.503102361250299</v>
      </c>
      <c r="AJ22" s="14">
        <f>AI22*VLOOKUP('Données projet'!$B$10,Paramètres!$A$1:$I$89,3,0)*VLOOKUP('Données projet'!$B$10,Paramètres!$A$1:$I$89,5,0)</f>
        <v>14.159661825952757</v>
      </c>
      <c r="AK22" s="14">
        <f t="shared" si="35"/>
        <v>4.7931651251419742</v>
      </c>
      <c r="AL22" s="22">
        <f t="shared" si="4"/>
        <v>33.009506939823325</v>
      </c>
      <c r="AM22" s="60">
        <f t="shared" si="5"/>
        <v>312.89839582871218</v>
      </c>
      <c r="AN22" s="60">
        <f ca="1">AVERAGE(OFFSET($AM$3,0,0,'Données projet'!$E$10+1,1))-AVERAGE(OFFSET($H$3,0,0,'Données projet'!$E$10+1,1))</f>
        <v>440.51611312502263</v>
      </c>
      <c r="AO22" s="60">
        <f t="shared" si="36"/>
        <v>176.81257896138806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4.4000000000000004</v>
      </c>
      <c r="BD22" s="13">
        <f>IF('Données projet'!$A$88&gt;35,BD21+BC22-BL21,IF(A22&lt;'Données projet'!$A$88,$BA$205^A22,IF(A22='Données projet'!$A$88,'Données projet'!$B$88,BD21+BC22-BL21)))</f>
        <v>49.599999999999994</v>
      </c>
      <c r="BE22" s="14">
        <f>BD22*VLOOKUP('Données projet'!$B$11,Paramètres!$A$1:$I$89,3,0)*VLOOKUP('Données projet'!$B$11,Paramètres!$A$1:$I$89,5,0)</f>
        <v>40.235520000000001</v>
      </c>
      <c r="BF22" s="14">
        <f t="shared" si="37"/>
        <v>12.061050163607481</v>
      </c>
      <c r="BG22" s="22">
        <f t="shared" si="7"/>
        <v>91.083193034949701</v>
      </c>
      <c r="BH22" s="60">
        <f t="shared" si="8"/>
        <v>370.97208192383857</v>
      </c>
      <c r="BI22" s="60">
        <f ca="1">AVERAGE(OFFSET($BH$3,0,0,'Données projet'!$E$11+1,1))-AVERAGE(OFFSET($H$3,0,0,'Données projet'!$E$11+1,1))</f>
        <v>236.22643401787644</v>
      </c>
      <c r="BJ22" s="60">
        <f t="shared" si="38"/>
        <v>188.80444043778022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0.9</v>
      </c>
      <c r="BY22" s="13">
        <f>IF('Données projet'!$A$114&gt;35,BY21+BX22-CG21,IF(A22&lt;'Données projet'!$A$114,$BV$205^A22,IF(A22='Données projet'!$A$114,'Données projet'!$B$114,BY21+BX22-CG21)))</f>
        <v>15.577898860219406</v>
      </c>
      <c r="BZ22" s="14">
        <f>BY22*VLOOKUP('Données projet'!$B$12,Paramètres!$A$1:$I$89,3,0)*VLOOKUP('Données projet'!$B$12,Paramètres!$A$1:$I$89,5,0)</f>
        <v>13.608852444287676</v>
      </c>
      <c r="CA22" s="14">
        <f t="shared" si="39"/>
        <v>4.6280361954652021</v>
      </c>
      <c r="CB22" s="22">
        <f t="shared" si="10"/>
        <v>31.762581047569586</v>
      </c>
      <c r="CC22" s="60">
        <f t="shared" si="11"/>
        <v>311.65146993645845</v>
      </c>
      <c r="CD22" s="60">
        <f ca="1">AVERAGE(OFFSET($CC$3,0,0,'Données projet'!$E$12+1,1))-AVERAGE(OFFSET($H$3,0,0,'Données projet'!$E$12+1,1))</f>
        <v>202.86354781280403</v>
      </c>
      <c r="CE22" s="60">
        <f t="shared" si="40"/>
        <v>217.25323885665131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75.399999999999991</v>
      </c>
      <c r="CU22" s="18">
        <f>CT22*VLOOKUP('Données projet'!$B$13,Paramètres!$A$1:$I$89,3,0)*VLOOKUP('Données projet'!$B$13,Paramètres!$A$1:$I$89,5,0)</f>
        <v>58.811999999999998</v>
      </c>
      <c r="CV22" s="14">
        <f t="shared" si="41"/>
        <v>16.86755663452599</v>
      </c>
      <c r="CW22" s="22">
        <f t="shared" si="13"/>
        <v>131.8085611384661</v>
      </c>
      <c r="CX22" s="60">
        <f t="shared" si="14"/>
        <v>411.69745002735499</v>
      </c>
      <c r="CY22" s="60">
        <f ca="1">AVERAGE(OFFSET($CX$3,0,0,'Données projet'!$E$13+1,1))-AVERAGE(OFFSET($H$3,0,0,'Données projet'!$E$13+1,1))</f>
        <v>288.82868507674738</v>
      </c>
      <c r="CZ22" s="60">
        <f t="shared" si="42"/>
        <v>283.48738729114024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35.380800000000001</v>
      </c>
      <c r="P23" s="14">
        <f t="shared" si="33"/>
        <v>10.765721954933243</v>
      </c>
      <c r="Q23" s="22">
        <f t="shared" si="2"/>
        <v>80.371859071508723</v>
      </c>
      <c r="R23" s="60">
        <f t="shared" si="0"/>
        <v>361.48297018261985</v>
      </c>
      <c r="S23" s="60">
        <f ca="1">AVERAGE(OFFSET($R$3,0,0,'Données projet'!$E$9+1,1))-AVERAGE(OFFSET($H$3,0,0,'Données projet'!$E$9+1,1))</f>
        <v>402.79698021419853</v>
      </c>
      <c r="T23" s="60">
        <f t="shared" si="34"/>
        <v>218.26721063098552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1.6</v>
      </c>
      <c r="AI23" s="14">
        <f>IF('Données projet'!$A$62&gt;35,AI22+AH23-AQ22,IF(A23&lt;'Données projet'!$A$62,$AF$205^A23,IF(A23='Données projet'!$A$62,'Données projet'!$B$62,AI22+AH23-AQ22)))</f>
        <v>19.127049995800739</v>
      </c>
      <c r="AJ23" s="14">
        <f>AI23*VLOOKUP('Données projet'!$B$10,Paramètres!$A$1:$I$89,3,0)*VLOOKUP('Données projet'!$B$10,Paramètres!$A$1:$I$89,5,0)</f>
        <v>16.411008896397036</v>
      </c>
      <c r="AK23" s="14">
        <f t="shared" si="35"/>
        <v>5.4606658142441402</v>
      </c>
      <c r="AL23" s="22">
        <f t="shared" si="4"/>
        <v>38.093166787700049</v>
      </c>
      <c r="AM23" s="60">
        <f t="shared" si="5"/>
        <v>319.2042778988112</v>
      </c>
      <c r="AN23" s="60">
        <f ca="1">AVERAGE(OFFSET($AM$3,0,0,'Données projet'!$E$10+1,1))-AVERAGE(OFFSET($H$3,0,0,'Données projet'!$E$10+1,1))</f>
        <v>440.51611312502263</v>
      </c>
      <c r="AO23" s="60">
        <f t="shared" si="36"/>
        <v>176.81257896138806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54</v>
      </c>
      <c r="BB23" s="13">
        <f>VLOOKUP(A23,'Données projet'!$A$87:$I$107,9,0)</f>
        <v>4.4000000000000004</v>
      </c>
      <c r="BC23" s="13">
        <f t="array" ref="BC23">INDEX(BB:BB,MIN(IF(ISNUMBER(BB23:BB219),ROW(BB23:BB219),"")))</f>
        <v>4.4000000000000004</v>
      </c>
      <c r="BD23" s="13">
        <f>IF('Données projet'!$A$88&gt;35,BD22+BC23-BL22,IF(A23&lt;'Données projet'!$A$88,$BA$205^A23,IF(A23='Données projet'!$A$88,'Données projet'!$B$88,BD22+BC23-BL22)))</f>
        <v>53.999999999999993</v>
      </c>
      <c r="BE23" s="14">
        <f>BD23*VLOOKUP('Données projet'!$B$11,Paramètres!$A$1:$I$89,3,0)*VLOOKUP('Données projet'!$B$11,Paramètres!$A$1:$I$89,5,0)</f>
        <v>43.8048</v>
      </c>
      <c r="BF23" s="14">
        <f t="shared" si="37"/>
        <v>13.001714958042189</v>
      </c>
      <c r="BG23" s="22">
        <f t="shared" si="7"/>
        <v>98.938013551923461</v>
      </c>
      <c r="BH23" s="60">
        <f t="shared" si="8"/>
        <v>380.0491246630346</v>
      </c>
      <c r="BI23" s="60">
        <f ca="1">AVERAGE(OFFSET($BH$3,0,0,'Données projet'!$E$11+1,1))-AVERAGE(OFFSET($H$3,0,0,'Données projet'!$E$11+1,1))</f>
        <v>236.22643401787644</v>
      </c>
      <c r="BJ23" s="60">
        <f t="shared" si="38"/>
        <v>188.80444043778022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18</v>
      </c>
      <c r="BW23" s="13">
        <f>VLOOKUP(A23,'Données projet'!$A$113:$I$133,9,0)</f>
        <v>0.9</v>
      </c>
      <c r="BX23" s="13">
        <f t="array" ref="BX23">INDEX(BW:BW,MIN(IF(ISNUMBER(BW23:BW219),ROW(BW23:BW219),"")))</f>
        <v>0.9</v>
      </c>
      <c r="BY23" s="13">
        <f>IF('Données projet'!$A$114&gt;35,BY22+BX23-CG22,IF(A23&lt;'Données projet'!$A$114,$BV$205^A23,IF(A23='Données projet'!$A$114,'Données projet'!$B$114,BY22+BX23-CG22)))</f>
        <v>18</v>
      </c>
      <c r="BZ23" s="14">
        <f>BY23*VLOOKUP('Données projet'!$B$12,Paramètres!$A$1:$I$89,3,0)*VLOOKUP('Données projet'!$B$12,Paramètres!$A$1:$I$89,5,0)</f>
        <v>15.724800000000004</v>
      </c>
      <c r="CA23" s="14">
        <f t="shared" si="39"/>
        <v>5.2584129176484753</v>
      </c>
      <c r="CB23" s="22">
        <f t="shared" si="10"/>
        <v>36.545762498237771</v>
      </c>
      <c r="CC23" s="60">
        <f t="shared" si="11"/>
        <v>317.65687360934891</v>
      </c>
      <c r="CD23" s="60">
        <f ca="1">AVERAGE(OFFSET($CC$3,0,0,'Données projet'!$E$12+1,1))-AVERAGE(OFFSET($H$3,0,0,'Données projet'!$E$12+1,1))</f>
        <v>202.86354781280403</v>
      </c>
      <c r="CE23" s="60">
        <f t="shared" si="40"/>
        <v>217.25323885665131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85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84.999999999999986</v>
      </c>
      <c r="CU23" s="18">
        <f>CT23*VLOOKUP('Données projet'!$B$13,Paramètres!$A$1:$I$89,3,0)*VLOOKUP('Données projet'!$B$13,Paramètres!$A$1:$I$89,5,0)</f>
        <v>66.3</v>
      </c>
      <c r="CV23" s="14">
        <f t="shared" si="41"/>
        <v>18.751733344032118</v>
      </c>
      <c r="CW23" s="22">
        <f t="shared" si="13"/>
        <v>148.13176890752257</v>
      </c>
      <c r="CX23" s="60">
        <f t="shared" si="14"/>
        <v>429.24288001863374</v>
      </c>
      <c r="CY23" s="60">
        <f ca="1">AVERAGE(OFFSET($CX$3,0,0,'Données projet'!$E$13+1,1))-AVERAGE(OFFSET($H$3,0,0,'Données projet'!$E$13+1,1))</f>
        <v>288.82868507674738</v>
      </c>
      <c r="CZ23" s="60">
        <f t="shared" si="42"/>
        <v>283.48738729114024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40.098240000000011</v>
      </c>
      <c r="P24" s="14">
        <f t="shared" si="33"/>
        <v>12.024681710991171</v>
      </c>
      <c r="Q24" s="22">
        <f t="shared" si="2"/>
        <v>90.780755313309626</v>
      </c>
      <c r="R24" s="60">
        <f t="shared" si="0"/>
        <v>373.11408864664293</v>
      </c>
      <c r="S24" s="60">
        <f ca="1">AVERAGE(OFFSET($R$3,0,0,'Données projet'!$E$9+1,1))-AVERAGE(OFFSET($H$3,0,0,'Données projet'!$E$9+1,1))</f>
        <v>402.79698021419853</v>
      </c>
      <c r="T24" s="60">
        <f t="shared" si="34"/>
        <v>218.26721063098552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1.6</v>
      </c>
      <c r="AI24" s="14">
        <f>IF('Données projet'!$A$62&gt;35,AI23+AH24-AQ23,IF(A24&lt;'Données projet'!$A$62,$AF$205^A24,IF(A24='Données projet'!$A$62,'Données projet'!$B$62,AI23+AH24-AQ23)))</f>
        <v>22.168198047469673</v>
      </c>
      <c r="AJ24" s="14">
        <f>AI24*VLOOKUP('Données projet'!$B$10,Paramètres!$A$1:$I$89,3,0)*VLOOKUP('Données projet'!$B$10,Paramètres!$A$1:$I$89,5,0)</f>
        <v>19.020313924728981</v>
      </c>
      <c r="AK24" s="14">
        <f t="shared" si="35"/>
        <v>6.2211232779032164</v>
      </c>
      <c r="AL24" s="22">
        <f t="shared" si="4"/>
        <v>43.962169794584405</v>
      </c>
      <c r="AM24" s="60">
        <f t="shared" si="5"/>
        <v>326.2955031279177</v>
      </c>
      <c r="AN24" s="60">
        <f ca="1">AVERAGE(OFFSET($AM$3,0,0,'Données projet'!$E$10+1,1))-AVERAGE(OFFSET($H$3,0,0,'Données projet'!$E$10+1,1))</f>
        <v>440.51611312502263</v>
      </c>
      <c r="AO24" s="60">
        <f t="shared" si="36"/>
        <v>176.81257896138806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4.5999999999999996</v>
      </c>
      <c r="BD24" s="13">
        <f>IF('Données projet'!$A$88&gt;35,BD23+BC24-BL23,IF(A24&lt;'Données projet'!$A$88,$BA$205^A24,IF(A24='Données projet'!$A$88,'Données projet'!$B$88,BD23+BC24-BL23)))</f>
        <v>58.599999999999994</v>
      </c>
      <c r="BE24" s="14">
        <f>BD24*VLOOKUP('Données projet'!$B$11,Paramètres!$A$1:$I$89,3,0)*VLOOKUP('Données projet'!$B$11,Paramètres!$A$1:$I$89,5,0)</f>
        <v>47.536319999999996</v>
      </c>
      <c r="BF24" s="14">
        <f t="shared" si="37"/>
        <v>13.975644596726255</v>
      </c>
      <c r="BG24" s="22">
        <f t="shared" si="7"/>
        <v>107.13333833929822</v>
      </c>
      <c r="BH24" s="60">
        <f t="shared" si="8"/>
        <v>389.46667167263155</v>
      </c>
      <c r="BI24" s="60">
        <f ca="1">AVERAGE(OFFSET($BH$3,0,0,'Données projet'!$E$11+1,1))-AVERAGE(OFFSET($H$3,0,0,'Données projet'!$E$11+1,1))</f>
        <v>236.22643401787644</v>
      </c>
      <c r="BJ24" s="60">
        <f t="shared" si="38"/>
        <v>188.80444043778022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7.6</v>
      </c>
      <c r="BY24" s="13">
        <f>IF('Données projet'!$A$114&gt;35,BY23+BX24-CG23,IF(A24&lt;'Données projet'!$A$114,$BV$205^A24,IF(A24='Données projet'!$A$114,'Données projet'!$B$114,BY23+BX24-CG23)))</f>
        <v>25.6</v>
      </c>
      <c r="BZ24" s="14">
        <f>BY24*VLOOKUP('Données projet'!$B$12,Paramètres!$A$1:$I$89,3,0)*VLOOKUP('Données projet'!$B$12,Paramètres!$A$1:$I$89,5,0)</f>
        <v>22.364160000000005</v>
      </c>
      <c r="CA24" s="14">
        <f t="shared" si="39"/>
        <v>7.1782194944528523</v>
      </c>
      <c r="CB24" s="22">
        <f t="shared" si="10"/>
        <v>51.452977619505397</v>
      </c>
      <c r="CC24" s="60">
        <f t="shared" si="11"/>
        <v>333.78631095283873</v>
      </c>
      <c r="CD24" s="60">
        <f ca="1">AVERAGE(OFFSET($CC$3,0,0,'Données projet'!$E$12+1,1))-AVERAGE(OFFSET($H$3,0,0,'Données projet'!$E$12+1,1))</f>
        <v>202.86354781280403</v>
      </c>
      <c r="CE24" s="60">
        <f t="shared" si="40"/>
        <v>217.25323885665131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70.59999999999998</v>
      </c>
      <c r="CU24" s="18">
        <f>CT24*VLOOKUP('Données projet'!$B$13,Paramètres!$A$1:$I$89,3,0)*VLOOKUP('Données projet'!$B$13,Paramètres!$A$1:$I$89,5,0)</f>
        <v>55.067999999999984</v>
      </c>
      <c r="CV24" s="14">
        <f t="shared" si="41"/>
        <v>15.915148294580479</v>
      </c>
      <c r="CW24" s="22">
        <f t="shared" si="13"/>
        <v>123.62898327972762</v>
      </c>
      <c r="CX24" s="60">
        <f t="shared" si="14"/>
        <v>405.96231661306092</v>
      </c>
      <c r="CY24" s="60">
        <f ca="1">AVERAGE(OFFSET($CX$3,0,0,'Données projet'!$E$13+1,1))-AVERAGE(OFFSET($H$3,0,0,'Données projet'!$E$13+1,1))</f>
        <v>288.82868507674738</v>
      </c>
      <c r="CZ24" s="60">
        <f t="shared" si="42"/>
        <v>283.48738729114024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44.815680000000008</v>
      </c>
      <c r="P25" s="14">
        <f t="shared" si="33"/>
        <v>13.266476878569183</v>
      </c>
      <c r="Q25" s="22">
        <f t="shared" si="2"/>
        <v>101.159756563508</v>
      </c>
      <c r="R25" s="60">
        <f t="shared" si="0"/>
        <v>384.71531211906353</v>
      </c>
      <c r="S25" s="60">
        <f ca="1">AVERAGE(OFFSET($R$3,0,0,'Données projet'!$E$9+1,1))-AVERAGE(OFFSET($H$3,0,0,'Données projet'!$E$9+1,1))</f>
        <v>402.79698021419853</v>
      </c>
      <c r="T25" s="60">
        <f t="shared" si="34"/>
        <v>218.26721063098552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1.6</v>
      </c>
      <c r="AI25" s="14">
        <f>IF('Données projet'!$A$62&gt;35,AI24+AH25-AQ24,IF(A25&lt;'Données projet'!$A$62,$AF$205^A25,IF(A25='Données projet'!$A$62,'Données projet'!$B$62,AI24+AH25-AQ24)))</f>
        <v>25.692880228771781</v>
      </c>
      <c r="AJ25" s="14">
        <f>AI25*VLOOKUP('Données projet'!$B$10,Paramètres!$A$1:$I$89,3,0)*VLOOKUP('Données projet'!$B$10,Paramètres!$A$1:$I$89,5,0)</f>
        <v>22.044491236286191</v>
      </c>
      <c r="AK25" s="14">
        <f t="shared" si="35"/>
        <v>7.0874827640823872</v>
      </c>
      <c r="AL25" s="22">
        <f t="shared" si="4"/>
        <v>50.738188050641945</v>
      </c>
      <c r="AM25" s="60">
        <f t="shared" si="5"/>
        <v>334.29374360619749</v>
      </c>
      <c r="AN25" s="60">
        <f ca="1">AVERAGE(OFFSET($AM$3,0,0,'Données projet'!$E$10+1,1))-AVERAGE(OFFSET($H$3,0,0,'Données projet'!$E$10+1,1))</f>
        <v>440.51611312502263</v>
      </c>
      <c r="AO25" s="60">
        <f t="shared" si="36"/>
        <v>176.81257896138806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4.5999999999999996</v>
      </c>
      <c r="BD25" s="13">
        <f>IF('Données projet'!$A$88&gt;35,BD24+BC25-BL24,IF(A25&lt;'Données projet'!$A$88,$BA$205^A25,IF(A25='Données projet'!$A$88,'Données projet'!$B$88,BD24+BC25-BL24)))</f>
        <v>63.199999999999996</v>
      </c>
      <c r="BE25" s="14">
        <f>BD25*VLOOKUP('Données projet'!$B$11,Paramètres!$A$1:$I$89,3,0)*VLOOKUP('Données projet'!$B$11,Paramètres!$A$1:$I$89,5,0)</f>
        <v>51.26784</v>
      </c>
      <c r="BF25" s="14">
        <f t="shared" si="37"/>
        <v>14.940706168637671</v>
      </c>
      <c r="BG25" s="22">
        <f t="shared" si="7"/>
        <v>115.31321791037726</v>
      </c>
      <c r="BH25" s="60">
        <f t="shared" si="8"/>
        <v>398.8687734659328</v>
      </c>
      <c r="BI25" s="60">
        <f ca="1">AVERAGE(OFFSET($BH$3,0,0,'Données projet'!$E$11+1,1))-AVERAGE(OFFSET($H$3,0,0,'Données projet'!$E$11+1,1))</f>
        <v>236.22643401787644</v>
      </c>
      <c r="BJ25" s="60">
        <f t="shared" si="38"/>
        <v>188.80444043778022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7.6</v>
      </c>
      <c r="BY25" s="13">
        <f>IF('Données projet'!$A$114&gt;35,BY24+BX25-CG24,IF(A25&lt;'Données projet'!$A$114,$BV$205^A25,IF(A25='Données projet'!$A$114,'Données projet'!$B$114,BY24+BX25-CG24)))</f>
        <v>33.200000000000003</v>
      </c>
      <c r="BZ25" s="14">
        <f>BY25*VLOOKUP('Données projet'!$B$12,Paramètres!$A$1:$I$89,3,0)*VLOOKUP('Données projet'!$B$12,Paramètres!$A$1:$I$89,5,0)</f>
        <v>29.003520000000005</v>
      </c>
      <c r="CA25" s="14">
        <f t="shared" si="39"/>
        <v>9.0317833500167612</v>
      </c>
      <c r="CB25" s="22">
        <f t="shared" si="10"/>
        <v>66.244820001279194</v>
      </c>
      <c r="CC25" s="60">
        <f t="shared" si="11"/>
        <v>349.80037555683475</v>
      </c>
      <c r="CD25" s="60">
        <f ca="1">AVERAGE(OFFSET($CC$3,0,0,'Données projet'!$E$12+1,1))-AVERAGE(OFFSET($H$3,0,0,'Données projet'!$E$12+1,1))</f>
        <v>202.86354781280403</v>
      </c>
      <c r="CE25" s="60">
        <f t="shared" si="40"/>
        <v>217.25323885665131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81.199999999999974</v>
      </c>
      <c r="CU25" s="18">
        <f>CT25*VLOOKUP('Données projet'!$B$13,Paramètres!$A$1:$I$89,3,0)*VLOOKUP('Données projet'!$B$13,Paramètres!$A$1:$I$89,5,0)</f>
        <v>63.335999999999984</v>
      </c>
      <c r="CV25" s="14">
        <f t="shared" si="41"/>
        <v>18.009040022946227</v>
      </c>
      <c r="CW25" s="22">
        <f t="shared" si="13"/>
        <v>141.67594470663133</v>
      </c>
      <c r="CX25" s="60">
        <f t="shared" si="14"/>
        <v>425.23150026218684</v>
      </c>
      <c r="CY25" s="60">
        <f ca="1">AVERAGE(OFFSET($CX$3,0,0,'Données projet'!$E$13+1,1))-AVERAGE(OFFSET($H$3,0,0,'Données projet'!$E$13+1,1))</f>
        <v>288.82868507674738</v>
      </c>
      <c r="CZ25" s="60">
        <f t="shared" si="42"/>
        <v>283.48738729114024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49.533120000000011</v>
      </c>
      <c r="P26" s="14">
        <f t="shared" si="33"/>
        <v>14.493120113047395</v>
      </c>
      <c r="Q26" s="22">
        <f t="shared" si="2"/>
        <v>111.5123681968909</v>
      </c>
      <c r="R26" s="60">
        <f t="shared" si="0"/>
        <v>396.29014597466869</v>
      </c>
      <c r="S26" s="60">
        <f ca="1">AVERAGE(OFFSET($R$3,0,0,'Données projet'!$E$9+1,1))-AVERAGE(OFFSET($H$3,0,0,'Données projet'!$E$9+1,1))</f>
        <v>402.79698021419853</v>
      </c>
      <c r="T26" s="60">
        <f t="shared" si="34"/>
        <v>218.26721063098552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1.6</v>
      </c>
      <c r="AI26" s="14">
        <f>IF('Données projet'!$A$62&gt;35,AI25+AH26-AQ25,IF(A26&lt;'Données projet'!$A$62,$AF$205^A26,IF(A26='Données projet'!$A$62,'Données projet'!$B$62,AI25+AH26-AQ25)))</f>
        <v>29.777977129059437</v>
      </c>
      <c r="AJ26" s="14">
        <f>AI26*VLOOKUP('Données projet'!$B$10,Paramètres!$A$1:$I$89,3,0)*VLOOKUP('Données projet'!$B$10,Paramètres!$A$1:$I$89,5,0)</f>
        <v>25.549504376733001</v>
      </c>
      <c r="AK26" s="14">
        <f t="shared" si="35"/>
        <v>8.074492288166871</v>
      </c>
      <c r="AL26" s="22">
        <f t="shared" si="4"/>
        <v>58.561794191367277</v>
      </c>
      <c r="AM26" s="60">
        <f t="shared" si="5"/>
        <v>343.33957196914503</v>
      </c>
      <c r="AN26" s="60">
        <f ca="1">AVERAGE(OFFSET($AM$3,0,0,'Données projet'!$E$10+1,1))-AVERAGE(OFFSET($H$3,0,0,'Données projet'!$E$10+1,1))</f>
        <v>440.51611312502263</v>
      </c>
      <c r="AO26" s="60">
        <f t="shared" si="36"/>
        <v>176.81257896138806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4.5999999999999996</v>
      </c>
      <c r="BD26" s="13">
        <f>IF('Données projet'!$A$88&gt;35,BD25+BC26-BL25,IF(A26&lt;'Données projet'!$A$88,$BA$205^A26,IF(A26='Données projet'!$A$88,'Données projet'!$B$88,BD25+BC26-BL25)))</f>
        <v>67.8</v>
      </c>
      <c r="BE26" s="14">
        <f>BD26*VLOOKUP('Données projet'!$B$11,Paramètres!$A$1:$I$89,3,0)*VLOOKUP('Données projet'!$B$11,Paramètres!$A$1:$I$89,5,0)</f>
        <v>54.999360000000003</v>
      </c>
      <c r="BF26" s="14">
        <f t="shared" si="37"/>
        <v>15.897618537944966</v>
      </c>
      <c r="BG26" s="22">
        <f t="shared" si="7"/>
        <v>123.47890428692084</v>
      </c>
      <c r="BH26" s="60">
        <f t="shared" si="8"/>
        <v>408.25668206469862</v>
      </c>
      <c r="BI26" s="60">
        <f ca="1">AVERAGE(OFFSET($BH$3,0,0,'Données projet'!$E$11+1,1))-AVERAGE(OFFSET($H$3,0,0,'Données projet'!$E$11+1,1))</f>
        <v>236.22643401787644</v>
      </c>
      <c r="BJ26" s="60">
        <f t="shared" si="38"/>
        <v>188.80444043778022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7.6</v>
      </c>
      <c r="BY26" s="13">
        <f>IF('Données projet'!$A$114&gt;35,BY25+BX26-CG25,IF(A26&lt;'Données projet'!$A$114,$BV$205^A26,IF(A26='Données projet'!$A$114,'Données projet'!$B$114,BY25+BX26-CG25)))</f>
        <v>40.800000000000004</v>
      </c>
      <c r="BZ26" s="14">
        <f>BY26*VLOOKUP('Données projet'!$B$12,Paramètres!$A$1:$I$89,3,0)*VLOOKUP('Données projet'!$B$12,Paramètres!$A$1:$I$89,5,0)</f>
        <v>35.642880000000012</v>
      </c>
      <c r="CA26" s="14">
        <f t="shared" si="39"/>
        <v>10.836155304531358</v>
      </c>
      <c r="CB26" s="22">
        <f t="shared" si="10"/>
        <v>80.950986488725476</v>
      </c>
      <c r="CC26" s="60">
        <f t="shared" si="11"/>
        <v>365.72876426650328</v>
      </c>
      <c r="CD26" s="60">
        <f ca="1">AVERAGE(OFFSET($CC$3,0,0,'Données projet'!$E$12+1,1))-AVERAGE(OFFSET($H$3,0,0,'Données projet'!$E$12+1,1))</f>
        <v>202.86354781280403</v>
      </c>
      <c r="CE26" s="60">
        <f t="shared" si="40"/>
        <v>217.25323885665131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91.799999999999969</v>
      </c>
      <c r="CU26" s="18">
        <f>CT26*VLOOKUP('Données projet'!$B$13,Paramètres!$A$1:$I$89,3,0)*VLOOKUP('Données projet'!$B$13,Paramètres!$A$1:$I$89,5,0)</f>
        <v>71.603999999999985</v>
      </c>
      <c r="CV26" s="14">
        <f t="shared" si="41"/>
        <v>20.071260561992585</v>
      </c>
      <c r="CW26" s="22">
        <f t="shared" si="13"/>
        <v>159.66774547880371</v>
      </c>
      <c r="CX26" s="60">
        <f t="shared" si="14"/>
        <v>444.44552325658151</v>
      </c>
      <c r="CY26" s="60">
        <f ca="1">AVERAGE(OFFSET($CX$3,0,0,'Données projet'!$E$13+1,1))-AVERAGE(OFFSET($H$3,0,0,'Données projet'!$E$13+1,1))</f>
        <v>288.82868507674738</v>
      </c>
      <c r="CZ26" s="60">
        <f t="shared" si="42"/>
        <v>283.48738729114024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54.250560000000007</v>
      </c>
      <c r="P27" s="14">
        <f t="shared" si="33"/>
        <v>15.706218631166928</v>
      </c>
      <c r="Q27" s="22">
        <f t="shared" si="2"/>
        <v>121.84138944928242</v>
      </c>
      <c r="R27" s="60">
        <f t="shared" si="0"/>
        <v>407.84138944928242</v>
      </c>
      <c r="S27" s="60">
        <f ca="1">AVERAGE(OFFSET($R$3,0,0,'Données projet'!$E$9+1,1))-AVERAGE(OFFSET($H$3,0,0,'Données projet'!$E$9+1,1))</f>
        <v>402.79698021419853</v>
      </c>
      <c r="T27" s="60">
        <f t="shared" si="34"/>
        <v>218.26721063098552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1.6</v>
      </c>
      <c r="AI27" s="14">
        <f>IF('Données projet'!$A$62&gt;35,AI26+AH27-AQ26,IF(A27&lt;'Données projet'!$A$62,$AF$205^A27,IF(A27='Données projet'!$A$62,'Données projet'!$B$62,AI26+AH27-AQ26)))</f>
        <v>34.5125931387715</v>
      </c>
      <c r="AJ27" s="14">
        <f>AI27*VLOOKUP('Données projet'!$B$10,Paramètres!$A$1:$I$89,3,0)*VLOOKUP('Données projet'!$B$10,Paramètres!$A$1:$I$89,5,0)</f>
        <v>29.611804913065949</v>
      </c>
      <c r="AK27" s="14">
        <f t="shared" si="35"/>
        <v>9.1989536880527911</v>
      </c>
      <c r="AL27" s="22">
        <f t="shared" si="4"/>
        <v>67.595404563615133</v>
      </c>
      <c r="AM27" s="60">
        <f t="shared" si="5"/>
        <v>353.59540456361515</v>
      </c>
      <c r="AN27" s="60">
        <f ca="1">AVERAGE(OFFSET($AM$3,0,0,'Données projet'!$E$10+1,1))-AVERAGE(OFFSET($H$3,0,0,'Données projet'!$E$10+1,1))</f>
        <v>440.51611312502263</v>
      </c>
      <c r="AO27" s="60">
        <f t="shared" si="36"/>
        <v>176.81257896138806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4.5999999999999996</v>
      </c>
      <c r="BD27" s="13">
        <f>IF('Données projet'!$A$88&gt;35,BD26+BC27-BL26,IF(A27&lt;'Données projet'!$A$88,$BA$205^A27,IF(A27='Données projet'!$A$88,'Données projet'!$B$88,BD26+BC27-BL26)))</f>
        <v>72.399999999999991</v>
      </c>
      <c r="BE27" s="14">
        <f>BD27*VLOOKUP('Données projet'!$B$11,Paramètres!$A$1:$I$89,3,0)*VLOOKUP('Données projet'!$B$11,Paramètres!$A$1:$I$89,5,0)</f>
        <v>58.730879999999999</v>
      </c>
      <c r="BF27" s="14">
        <f t="shared" si="37"/>
        <v>16.846997503350572</v>
      </c>
      <c r="BG27" s="22">
        <f t="shared" si="7"/>
        <v>131.63146998500227</v>
      </c>
      <c r="BH27" s="60">
        <f t="shared" si="8"/>
        <v>417.63146998500224</v>
      </c>
      <c r="BI27" s="60">
        <f ca="1">AVERAGE(OFFSET($BH$3,0,0,'Données projet'!$E$11+1,1))-AVERAGE(OFFSET($H$3,0,0,'Données projet'!$E$11+1,1))</f>
        <v>236.22643401787644</v>
      </c>
      <c r="BJ27" s="60">
        <f t="shared" si="38"/>
        <v>188.80444043778022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7.6</v>
      </c>
      <c r="BY27" s="13">
        <f>IF('Données projet'!$A$114&gt;35,BY26+BX27-CG26,IF(A27&lt;'Données projet'!$A$114,$BV$205^A27,IF(A27='Données projet'!$A$114,'Données projet'!$B$114,BY26+BX27-CG26)))</f>
        <v>48.400000000000006</v>
      </c>
      <c r="BZ27" s="14">
        <f>BY27*VLOOKUP('Données projet'!$B$12,Paramètres!$A$1:$I$89,3,0)*VLOOKUP('Données projet'!$B$12,Paramètres!$A$1:$I$89,5,0)</f>
        <v>42.282240000000009</v>
      </c>
      <c r="CA27" s="14">
        <f t="shared" si="39"/>
        <v>12.60158758294113</v>
      </c>
      <c r="CB27" s="22">
        <f t="shared" si="10"/>
        <v>95.589333040289148</v>
      </c>
      <c r="CC27" s="60">
        <f t="shared" si="11"/>
        <v>381.58933304028915</v>
      </c>
      <c r="CD27" s="60">
        <f ca="1">AVERAGE(OFFSET($CC$3,0,0,'Données projet'!$E$12+1,1))-AVERAGE(OFFSET($H$3,0,0,'Données projet'!$E$12+1,1))</f>
        <v>202.86354781280403</v>
      </c>
      <c r="CE27" s="60">
        <f t="shared" si="40"/>
        <v>217.25323885665131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projet'!$B$13,Paramètres!$A$1:$I$89,3,0)*VLOOKUP('Données projet'!$B$13,Paramètres!$A$1:$I$89,5,0)</f>
        <v>79.871999999999971</v>
      </c>
      <c r="CV27" s="14">
        <f t="shared" si="41"/>
        <v>22.105884547145401</v>
      </c>
      <c r="CW27" s="22">
        <f t="shared" si="13"/>
        <v>177.61148225294485</v>
      </c>
      <c r="CX27" s="60">
        <f t="shared" si="14"/>
        <v>463.61148225294482</v>
      </c>
      <c r="CY27" s="60">
        <f ca="1">AVERAGE(OFFSET($CX$3,0,0,'Données projet'!$E$13+1,1))-AVERAGE(OFFSET($H$3,0,0,'Données projet'!$E$13+1,1))</f>
        <v>288.82868507674738</v>
      </c>
      <c r="CZ27" s="60">
        <f t="shared" si="42"/>
        <v>283.48738729114024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58.968000000000011</v>
      </c>
      <c r="P28" s="14">
        <f t="shared" si="33"/>
        <v>16.907084152971134</v>
      </c>
      <c r="Q28" s="22">
        <f t="shared" si="2"/>
        <v>132.14910489975807</v>
      </c>
      <c r="R28" s="60">
        <f t="shared" si="0"/>
        <v>419.3713271219803</v>
      </c>
      <c r="S28" s="60">
        <f ca="1">AVERAGE(OFFSET($R$3,0,0,'Données projet'!$E$9+1,1))-AVERAGE(OFFSET($H$3,0,0,'Données projet'!$E$9+1,1))</f>
        <v>402.79698021419853</v>
      </c>
      <c r="T28" s="60">
        <f t="shared" si="34"/>
        <v>218.26721063098552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40</v>
      </c>
      <c r="AG28" s="13">
        <f>VLOOKUP(A28,'Données projet'!$A$61:$I$81,9,0)</f>
        <v>1.6</v>
      </c>
      <c r="AH28" s="13">
        <f t="array" ref="AH28">INDEX(AG:AG,MIN(IF(ISNUMBER(AG28:AG224),ROW(AG28:AG224),"")))</f>
        <v>1.6</v>
      </c>
      <c r="AI28" s="14">
        <f>IF('Données projet'!$A$62&gt;35,AI27+AH28-AQ27,IF(A28&lt;'Données projet'!$A$62,$AF$205^A28,IF(A28='Données projet'!$A$62,'Données projet'!$B$62,AI27+AH28-AQ27)))</f>
        <v>40</v>
      </c>
      <c r="AJ28" s="14">
        <f>AI28*VLOOKUP('Données projet'!$B$10,Paramètres!$A$1:$I$89,3,0)*VLOOKUP('Données projet'!$B$10,Paramètres!$A$1:$I$89,5,0)</f>
        <v>34.32</v>
      </c>
      <c r="AK28" s="14">
        <f t="shared" si="35"/>
        <v>10.480008641404153</v>
      </c>
      <c r="AL28" s="22">
        <f t="shared" si="4"/>
        <v>78.026681717112226</v>
      </c>
      <c r="AM28" s="60">
        <f t="shared" si="5"/>
        <v>365.24890393933447</v>
      </c>
      <c r="AN28" s="60">
        <f ca="1">AVERAGE(OFFSET($AM$3,0,0,'Données projet'!$E$10+1,1))-AVERAGE(OFFSET($H$3,0,0,'Données projet'!$E$10+1,1))</f>
        <v>440.51611312502263</v>
      </c>
      <c r="AO28" s="60">
        <f t="shared" si="36"/>
        <v>176.81257896138806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77</v>
      </c>
      <c r="BB28" s="13">
        <f>VLOOKUP(A28,'Données projet'!$A$87:$I$107,9,0)</f>
        <v>4.5999999999999996</v>
      </c>
      <c r="BC28" s="13">
        <f t="array" ref="BC28">INDEX(BB:BB,MIN(IF(ISNUMBER(BB28:BB224),ROW(BB28:BB224),"")))</f>
        <v>4.5999999999999996</v>
      </c>
      <c r="BD28" s="13">
        <f>IF('Données projet'!$A$88&gt;35,BD27+BC28-BL27,IF(A28&lt;'Données projet'!$A$88,$BA$205^A28,IF(A28='Données projet'!$A$88,'Données projet'!$B$88,BD27+BC28-BL27)))</f>
        <v>76.999999999999986</v>
      </c>
      <c r="BE28" s="14">
        <f>BD28*VLOOKUP('Données projet'!$B$11,Paramètres!$A$1:$I$89,3,0)*VLOOKUP('Données projet'!$B$11,Paramètres!$A$1:$I$89,5,0)</f>
        <v>62.462399999999988</v>
      </c>
      <c r="BF28" s="14">
        <f t="shared" si="37"/>
        <v>17.789376189256878</v>
      </c>
      <c r="BG28" s="22">
        <f t="shared" si="7"/>
        <v>139.7718435296224</v>
      </c>
      <c r="BH28" s="60">
        <f t="shared" si="8"/>
        <v>426.99406575184463</v>
      </c>
      <c r="BI28" s="60">
        <f ca="1">AVERAGE(OFFSET($BH$3,0,0,'Données projet'!$E$11+1,1))-AVERAGE(OFFSET($H$3,0,0,'Données projet'!$E$11+1,1))</f>
        <v>236.22643401787644</v>
      </c>
      <c r="BJ28" s="60">
        <f t="shared" si="38"/>
        <v>188.80444043778022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13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56</v>
      </c>
      <c r="BW28" s="13">
        <f>VLOOKUP(A28,'Données projet'!$A$113:$I$133,9,0)</f>
        <v>7.6</v>
      </c>
      <c r="BX28" s="13">
        <f t="array" ref="BX28">INDEX(BW:BW,MIN(IF(ISNUMBER(BW28:BW224),ROW(BW28:BW224),"")))</f>
        <v>7.6</v>
      </c>
      <c r="BY28" s="13">
        <f>IF('Données projet'!$A$114&gt;35,BY27+BX28-CG27,IF(A28&lt;'Données projet'!$A$114,$BV$205^A28,IF(A28='Données projet'!$A$114,'Données projet'!$B$114,BY27+BX28-CG27)))</f>
        <v>56.000000000000007</v>
      </c>
      <c r="BZ28" s="14">
        <f>BY28*VLOOKUP('Données projet'!$B$12,Paramètres!$A$1:$I$89,3,0)*VLOOKUP('Données projet'!$B$12,Paramètres!$A$1:$I$89,5,0)</f>
        <v>48.921600000000012</v>
      </c>
      <c r="CA28" s="14">
        <f t="shared" si="39"/>
        <v>14.334905731333873</v>
      </c>
      <c r="CB28" s="22">
        <f t="shared" si="10"/>
        <v>110.1717474820732</v>
      </c>
      <c r="CC28" s="60">
        <f t="shared" si="11"/>
        <v>397.39396970429544</v>
      </c>
      <c r="CD28" s="60">
        <f ca="1">AVERAGE(OFFSET($CC$3,0,0,'Données projet'!$E$12+1,1))-AVERAGE(OFFSET($H$3,0,0,'Données projet'!$E$12+1,1))</f>
        <v>202.86354781280403</v>
      </c>
      <c r="CE28" s="60">
        <f t="shared" si="40"/>
        <v>217.25323885665131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113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112.99999999999996</v>
      </c>
      <c r="CU28" s="18">
        <f>CT28*VLOOKUP('Données projet'!$B$13,Paramètres!$A$1:$I$89,3,0)*VLOOKUP('Données projet'!$B$13,Paramètres!$A$1:$I$89,5,0)</f>
        <v>88.139999999999972</v>
      </c>
      <c r="CV28" s="14">
        <f t="shared" si="41"/>
        <v>24.116094026318823</v>
      </c>
      <c r="CW28" s="22">
        <f t="shared" si="13"/>
        <v>195.51269709583855</v>
      </c>
      <c r="CX28" s="60">
        <f t="shared" si="14"/>
        <v>482.73491931806075</v>
      </c>
      <c r="CY28" s="60">
        <f ca="1">AVERAGE(OFFSET($CX$3,0,0,'Données projet'!$E$13+1,1))-AVERAGE(OFFSET($H$3,0,0,'Données projet'!$E$13+1,1))</f>
        <v>288.82868507674738</v>
      </c>
      <c r="CZ28" s="60">
        <f t="shared" si="42"/>
        <v>283.48738729114024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27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58.125600000000013</v>
      </c>
      <c r="P29" s="14">
        <f t="shared" si="33"/>
        <v>16.693490054590175</v>
      </c>
      <c r="Q29" s="22">
        <f t="shared" si="2"/>
        <v>130.30991517841125</v>
      </c>
      <c r="R29" s="60">
        <f t="shared" si="0"/>
        <v>418.7543596228557</v>
      </c>
      <c r="S29" s="60">
        <f ca="1">AVERAGE(OFFSET($R$3,0,0,'Données projet'!$E$9+1,1))-AVERAGE(OFFSET($H$3,0,0,'Données projet'!$E$9+1,1))</f>
        <v>402.79698021419853</v>
      </c>
      <c r="T29" s="60">
        <f t="shared" si="34"/>
        <v>218.26721063098552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6.6</v>
      </c>
      <c r="AI29" s="14">
        <f>IF('Données projet'!$A$62&gt;35,AI28+AH29-AQ28,IF(A29&lt;'Données projet'!$A$62,$AF$205^A29,IF(A29='Données projet'!$A$62,'Données projet'!$B$62,AI28+AH29-AQ28)))</f>
        <v>46.6</v>
      </c>
      <c r="AJ29" s="14">
        <f>AI29*VLOOKUP('Données projet'!$B$10,Paramètres!$A$1:$I$89,3,0)*VLOOKUP('Données projet'!$B$10,Paramètres!$A$1:$I$89,5,0)</f>
        <v>39.982800000000005</v>
      </c>
      <c r="AK29" s="14">
        <f t="shared" si="35"/>
        <v>11.994087930693277</v>
      </c>
      <c r="AL29" s="22">
        <f t="shared" si="4"/>
        <v>90.526413145957463</v>
      </c>
      <c r="AM29" s="60">
        <f t="shared" si="5"/>
        <v>378.97085759040192</v>
      </c>
      <c r="AN29" s="60">
        <f ca="1">AVERAGE(OFFSET($AM$3,0,0,'Données projet'!$E$10+1,1))-AVERAGE(OFFSET($H$3,0,0,'Données projet'!$E$10+1,1))</f>
        <v>440.51611312502263</v>
      </c>
      <c r="AO29" s="60">
        <f t="shared" si="36"/>
        <v>176.81257896138806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</v>
      </c>
      <c r="BD29" s="13">
        <f>IF('Données projet'!$A$88&gt;35,BD28+BC29-BL28,IF(A29&lt;'Données projet'!$A$88,$BA$205^A29,IF(A29='Données projet'!$A$88,'Données projet'!$B$88,BD28+BC29-BL28)))</f>
        <v>67.999999999999986</v>
      </c>
      <c r="BE29" s="14">
        <f>BD29*VLOOKUP('Données projet'!$B$11,Paramètres!$A$1:$I$89,3,0)*VLOOKUP('Données projet'!$B$11,Paramètres!$A$1:$I$89,5,0)</f>
        <v>55.161599999999993</v>
      </c>
      <c r="BF29" s="14">
        <f t="shared" si="37"/>
        <v>15.939048410367359</v>
      </c>
      <c r="BG29" s="22">
        <f t="shared" si="7"/>
        <v>123.83362931472313</v>
      </c>
      <c r="BH29" s="60">
        <f t="shared" si="8"/>
        <v>412.27807375916757</v>
      </c>
      <c r="BI29" s="60">
        <f ca="1">AVERAGE(OFFSET($BH$3,0,0,'Données projet'!$E$11+1,1))-AVERAGE(OFFSET($H$3,0,0,'Données projet'!$E$11+1,1))</f>
        <v>236.22643401787644</v>
      </c>
      <c r="BJ29" s="60">
        <f t="shared" si="38"/>
        <v>188.80444043778022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7.4</v>
      </c>
      <c r="BY29" s="13">
        <f>IF('Données projet'!$A$114&gt;35,BY28+BX29-CG28,IF(A29&lt;'Données projet'!$A$114,$BV$205^A29,IF(A29='Données projet'!$A$114,'Données projet'!$B$114,BY28+BX29-CG28)))</f>
        <v>63.400000000000006</v>
      </c>
      <c r="BZ29" s="14">
        <f>BY29*VLOOKUP('Données projet'!$B$12,Paramètres!$A$1:$I$89,3,0)*VLOOKUP('Données projet'!$B$12,Paramètres!$A$1:$I$89,5,0)</f>
        <v>55.386240000000008</v>
      </c>
      <c r="CA29" s="14">
        <f t="shared" si="39"/>
        <v>15.996389447319554</v>
      </c>
      <c r="CB29" s="22">
        <f t="shared" si="10"/>
        <v>124.32474628741488</v>
      </c>
      <c r="CC29" s="60">
        <f t="shared" si="11"/>
        <v>412.76919073185934</v>
      </c>
      <c r="CD29" s="60">
        <f ca="1">AVERAGE(OFFSET($CC$3,0,0,'Données projet'!$E$12+1,1))-AVERAGE(OFFSET($H$3,0,0,'Données projet'!$E$12+1,1))</f>
        <v>202.86354781280403</v>
      </c>
      <c r="CE29" s="60">
        <f t="shared" si="40"/>
        <v>217.25323885665131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97.499999999999957</v>
      </c>
      <c r="CU29" s="18">
        <f>CT29*VLOOKUP('Données projet'!$B$13,Paramètres!$A$1:$I$89,3,0)*VLOOKUP('Données projet'!$B$13,Paramètres!$A$1:$I$89,5,0)</f>
        <v>76.049999999999969</v>
      </c>
      <c r="CV29" s="14">
        <f t="shared" si="41"/>
        <v>21.168560890749262</v>
      </c>
      <c r="CW29" s="22">
        <f t="shared" si="13"/>
        <v>169.32232688472158</v>
      </c>
      <c r="CX29" s="60">
        <f t="shared" si="14"/>
        <v>457.76677132916603</v>
      </c>
      <c r="CY29" s="60">
        <f ca="1">AVERAGE(OFFSET($CX$3,0,0,'Données projet'!$E$13+1,1))-AVERAGE(OFFSET($H$3,0,0,'Données projet'!$E$13+1,1))</f>
        <v>288.82868507674738</v>
      </c>
      <c r="CZ29" s="60">
        <f t="shared" si="42"/>
        <v>283.48738729114024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64.022400000000019</v>
      </c>
      <c r="P30" s="14">
        <f t="shared" si="33"/>
        <v>18.181385543312242</v>
      </c>
      <c r="Q30" s="22">
        <f t="shared" si="2"/>
        <v>143.17159315460219</v>
      </c>
      <c r="R30" s="60">
        <f t="shared" si="0"/>
        <v>432.83825982126888</v>
      </c>
      <c r="S30" s="60">
        <f ca="1">AVERAGE(OFFSET($R$3,0,0,'Données projet'!$E$9+1,1))-AVERAGE(OFFSET($H$3,0,0,'Données projet'!$E$9+1,1))</f>
        <v>402.79698021419853</v>
      </c>
      <c r="T30" s="60">
        <f t="shared" si="34"/>
        <v>218.26721063098552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6.6</v>
      </c>
      <c r="AI30" s="14">
        <f>IF('Données projet'!$A$62&gt;35,AI29+AH30-AQ29,IF(A30&lt;'Données projet'!$A$62,$AF$205^A30,IF(A30='Données projet'!$A$62,'Données projet'!$B$62,AI29+AH30-AQ29)))</f>
        <v>53.2</v>
      </c>
      <c r="AJ30" s="14">
        <f>AI30*VLOOKUP('Données projet'!$B$10,Paramètres!$A$1:$I$89,3,0)*VLOOKUP('Données projet'!$B$10,Paramètres!$A$1:$I$89,5,0)</f>
        <v>45.645600000000009</v>
      </c>
      <c r="AK30" s="14">
        <f t="shared" si="35"/>
        <v>13.483323382303894</v>
      </c>
      <c r="AL30" s="22">
        <f t="shared" si="4"/>
        <v>102.98287489084596</v>
      </c>
      <c r="AM30" s="60">
        <f t="shared" si="5"/>
        <v>392.64954155751263</v>
      </c>
      <c r="AN30" s="60">
        <f ca="1">AVERAGE(OFFSET($AM$3,0,0,'Données projet'!$E$10+1,1))-AVERAGE(OFFSET($H$3,0,0,'Données projet'!$E$10+1,1))</f>
        <v>440.51611312502263</v>
      </c>
      <c r="AO30" s="60">
        <f t="shared" si="36"/>
        <v>176.81257896138806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</v>
      </c>
      <c r="BD30" s="13">
        <f>IF('Données projet'!$A$88&gt;35,BD29+BC30-BL29,IF(A30&lt;'Données projet'!$A$88,$BA$205^A30,IF(A30='Données projet'!$A$88,'Données projet'!$B$88,BD29+BC30-BL29)))</f>
        <v>71.999999999999986</v>
      </c>
      <c r="BE30" s="14">
        <f>BD30*VLOOKUP('Données projet'!$B$11,Paramètres!$A$1:$I$89,3,0)*VLOOKUP('Données projet'!$B$11,Paramètres!$A$1:$I$89,5,0)</f>
        <v>58.406399999999991</v>
      </c>
      <c r="BF30" s="14">
        <f t="shared" si="37"/>
        <v>16.764727871227809</v>
      </c>
      <c r="BG30" s="22">
        <f t="shared" si="7"/>
        <v>130.92304770905506</v>
      </c>
      <c r="BH30" s="60">
        <f t="shared" si="8"/>
        <v>420.58971437572177</v>
      </c>
      <c r="BI30" s="60">
        <f ca="1">AVERAGE(OFFSET($BH$3,0,0,'Données projet'!$E$11+1,1))-AVERAGE(OFFSET($H$3,0,0,'Données projet'!$E$11+1,1))</f>
        <v>236.22643401787644</v>
      </c>
      <c r="BJ30" s="60">
        <f t="shared" si="38"/>
        <v>188.80444043778022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7.4</v>
      </c>
      <c r="BY30" s="13">
        <f>IF('Données projet'!$A$114&gt;35,BY29+BX30-CG29,IF(A30&lt;'Données projet'!$A$114,$BV$205^A30,IF(A30='Données projet'!$A$114,'Données projet'!$B$114,BY29+BX30-CG29)))</f>
        <v>70.800000000000011</v>
      </c>
      <c r="BZ30" s="14">
        <f>BY30*VLOOKUP('Données projet'!$B$12,Paramètres!$A$1:$I$89,3,0)*VLOOKUP('Données projet'!$B$12,Paramètres!$A$1:$I$89,5,0)</f>
        <v>61.850880000000018</v>
      </c>
      <c r="CA30" s="14">
        <f t="shared" si="39"/>
        <v>17.635398883369188</v>
      </c>
      <c r="CB30" s="22">
        <f t="shared" si="10"/>
        <v>138.43860238853472</v>
      </c>
      <c r="CC30" s="60">
        <f t="shared" si="11"/>
        <v>428.1052690552014</v>
      </c>
      <c r="CD30" s="60">
        <f ca="1">AVERAGE(OFFSET($CC$3,0,0,'Données projet'!$E$12+1,1))-AVERAGE(OFFSET($H$3,0,0,'Données projet'!$E$12+1,1))</f>
        <v>202.86354781280403</v>
      </c>
      <c r="CE30" s="60">
        <f t="shared" si="40"/>
        <v>217.25323885665131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108.99999999999996</v>
      </c>
      <c r="CU30" s="18">
        <f>CT30*VLOOKUP('Données projet'!$B$13,Paramètres!$A$1:$I$89,3,0)*VLOOKUP('Données projet'!$B$13,Paramètres!$A$1:$I$89,5,0)</f>
        <v>85.019999999999968</v>
      </c>
      <c r="CV30" s="14">
        <f t="shared" si="41"/>
        <v>23.360218970693097</v>
      </c>
      <c r="CW30" s="22">
        <f t="shared" si="13"/>
        <v>188.76221470729038</v>
      </c>
      <c r="CX30" s="60">
        <f t="shared" si="14"/>
        <v>478.4288813739571</v>
      </c>
      <c r="CY30" s="60">
        <f ca="1">AVERAGE(OFFSET($CX$3,0,0,'Données projet'!$E$13+1,1))-AVERAGE(OFFSET($H$3,0,0,'Données projet'!$E$13+1,1))</f>
        <v>288.82868507674738</v>
      </c>
      <c r="CZ30" s="60">
        <f t="shared" si="42"/>
        <v>283.48738729114024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69.919200000000004</v>
      </c>
      <c r="P31" s="14">
        <f t="shared" si="33"/>
        <v>19.653390735061731</v>
      </c>
      <c r="Q31" s="22">
        <f t="shared" si="2"/>
        <v>156.00559553023251</v>
      </c>
      <c r="R31" s="60">
        <f t="shared" si="0"/>
        <v>446.89448441912134</v>
      </c>
      <c r="S31" s="60">
        <f ca="1">AVERAGE(OFFSET($R$3,0,0,'Données projet'!$E$9+1,1))-AVERAGE(OFFSET($H$3,0,0,'Données projet'!$E$9+1,1))</f>
        <v>402.79698021419853</v>
      </c>
      <c r="T31" s="60">
        <f t="shared" si="34"/>
        <v>218.26721063098552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6.6</v>
      </c>
      <c r="AI31" s="14">
        <f>IF('Données projet'!$A$62&gt;35,AI30+AH31-AQ30,IF(A31&lt;'Données projet'!$A$62,$AF$205^A31,IF(A31='Données projet'!$A$62,'Données projet'!$B$62,AI30+AH31-AQ30)))</f>
        <v>59.800000000000004</v>
      </c>
      <c r="AJ31" s="14">
        <f>AI31*VLOOKUP('Données projet'!$B$10,Paramètres!$A$1:$I$89,3,0)*VLOOKUP('Données projet'!$B$10,Paramètres!$A$1:$I$89,5,0)</f>
        <v>51.308400000000013</v>
      </c>
      <c r="AK31" s="14">
        <f t="shared" si="35"/>
        <v>14.95114999798154</v>
      </c>
      <c r="AL31" s="22">
        <f t="shared" si="4"/>
        <v>115.40204957981786</v>
      </c>
      <c r="AM31" s="60">
        <f t="shared" si="5"/>
        <v>406.29093846870671</v>
      </c>
      <c r="AN31" s="60">
        <f ca="1">AVERAGE(OFFSET($AM$3,0,0,'Données projet'!$E$10+1,1))-AVERAGE(OFFSET($H$3,0,0,'Données projet'!$E$10+1,1))</f>
        <v>440.51611312502263</v>
      </c>
      <c r="AO31" s="60">
        <f t="shared" si="36"/>
        <v>176.81257896138806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</v>
      </c>
      <c r="BD31" s="13">
        <f>IF('Données projet'!$A$88&gt;35,BD30+BC31-BL30,IF(A31&lt;'Données projet'!$A$88,$BA$205^A31,IF(A31='Données projet'!$A$88,'Données projet'!$B$88,BD30+BC31-BL30)))</f>
        <v>75.999999999999986</v>
      </c>
      <c r="BE31" s="14">
        <f>BD31*VLOOKUP('Données projet'!$B$11,Paramètres!$A$1:$I$89,3,0)*VLOOKUP('Données projet'!$B$11,Paramètres!$A$1:$I$89,5,0)</f>
        <v>61.651199999999996</v>
      </c>
      <c r="BF31" s="14">
        <f t="shared" si="37"/>
        <v>17.585082273674896</v>
      </c>
      <c r="BG31" s="22">
        <f t="shared" si="7"/>
        <v>138.00319162665042</v>
      </c>
      <c r="BH31" s="60">
        <f t="shared" si="8"/>
        <v>428.89208051553931</v>
      </c>
      <c r="BI31" s="60">
        <f ca="1">AVERAGE(OFFSET($BH$3,0,0,'Données projet'!$E$11+1,1))-AVERAGE(OFFSET($H$3,0,0,'Données projet'!$E$11+1,1))</f>
        <v>236.22643401787644</v>
      </c>
      <c r="BJ31" s="60">
        <f t="shared" si="38"/>
        <v>188.80444043778022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7.4</v>
      </c>
      <c r="BY31" s="13">
        <f>IF('Données projet'!$A$114&gt;35,BY30+BX31-CG30,IF(A31&lt;'Données projet'!$A$114,$BV$205^A31,IF(A31='Données projet'!$A$114,'Données projet'!$B$114,BY30+BX31-CG30)))</f>
        <v>78.200000000000017</v>
      </c>
      <c r="BZ31" s="14">
        <f>BY31*VLOOKUP('Données projet'!$B$12,Paramètres!$A$1:$I$89,3,0)*VLOOKUP('Données projet'!$B$12,Paramètres!$A$1:$I$89,5,0)</f>
        <v>68.315520000000021</v>
      </c>
      <c r="CA31" s="14">
        <f t="shared" si="39"/>
        <v>19.254550643039188</v>
      </c>
      <c r="CB31" s="22">
        <f t="shared" si="10"/>
        <v>152.51787303662658</v>
      </c>
      <c r="CC31" s="60">
        <f t="shared" si="11"/>
        <v>443.40676192551541</v>
      </c>
      <c r="CD31" s="60">
        <f ca="1">AVERAGE(OFFSET($CC$3,0,0,'Données projet'!$E$12+1,1))-AVERAGE(OFFSET($H$3,0,0,'Données projet'!$E$12+1,1))</f>
        <v>202.86354781280403</v>
      </c>
      <c r="CE31" s="60">
        <f t="shared" si="40"/>
        <v>217.25323885665131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120.49999999999996</v>
      </c>
      <c r="CU31" s="18">
        <f>CT31*VLOOKUP('Données projet'!$B$13,Paramètres!$A$1:$I$89,3,0)*VLOOKUP('Données projet'!$B$13,Paramètres!$A$1:$I$89,5,0)</f>
        <v>93.989999999999966</v>
      </c>
      <c r="CV31" s="14">
        <f t="shared" si="41"/>
        <v>25.525074036970054</v>
      </c>
      <c r="CW31" s="22">
        <f t="shared" si="13"/>
        <v>208.15542061438944</v>
      </c>
      <c r="CX31" s="60">
        <f t="shared" si="14"/>
        <v>499.04430950327833</v>
      </c>
      <c r="CY31" s="60">
        <f ca="1">AVERAGE(OFFSET($CX$3,0,0,'Données projet'!$E$13+1,1))-AVERAGE(OFFSET($H$3,0,0,'Données projet'!$E$13+1,1))</f>
        <v>288.82868507674738</v>
      </c>
      <c r="CZ31" s="60">
        <f t="shared" si="42"/>
        <v>283.48738729114024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75.816000000000003</v>
      </c>
      <c r="P32" s="14">
        <f t="shared" si="33"/>
        <v>21.110998140607162</v>
      </c>
      <c r="Q32" s="22">
        <f t="shared" si="2"/>
        <v>168.81452176155747</v>
      </c>
      <c r="R32" s="60">
        <f t="shared" si="0"/>
        <v>460.92563287266864</v>
      </c>
      <c r="S32" s="60">
        <f ca="1">AVERAGE(OFFSET($R$3,0,0,'Données projet'!$E$9+1,1))-AVERAGE(OFFSET($H$3,0,0,'Données projet'!$E$9+1,1))</f>
        <v>402.79698021419853</v>
      </c>
      <c r="T32" s="60">
        <f t="shared" si="34"/>
        <v>218.26721063098552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6.6</v>
      </c>
      <c r="AI32" s="14">
        <f>IF('Données projet'!$A$62&gt;35,AI31+AH32-AQ31,IF(A32&lt;'Données projet'!$A$62,$AF$205^A32,IF(A32='Données projet'!$A$62,'Données projet'!$B$62,AI31+AH32-AQ31)))</f>
        <v>66.400000000000006</v>
      </c>
      <c r="AJ32" s="14">
        <f>AI32*VLOOKUP('Données projet'!$B$10,Paramètres!$A$1:$I$89,3,0)*VLOOKUP('Données projet'!$B$10,Paramètres!$A$1:$I$89,5,0)</f>
        <v>56.97120000000001</v>
      </c>
      <c r="AK32" s="14">
        <f t="shared" si="35"/>
        <v>16.400200115277677</v>
      </c>
      <c r="AL32" s="22">
        <f t="shared" si="4"/>
        <v>127.78852186744196</v>
      </c>
      <c r="AM32" s="60">
        <f t="shared" si="5"/>
        <v>419.89963297855309</v>
      </c>
      <c r="AN32" s="60">
        <f ca="1">AVERAGE(OFFSET($AM$3,0,0,'Données projet'!$E$10+1,1))-AVERAGE(OFFSET($H$3,0,0,'Données projet'!$E$10+1,1))</f>
        <v>440.51611312502263</v>
      </c>
      <c r="AO32" s="60">
        <f t="shared" si="36"/>
        <v>176.81257896138806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</v>
      </c>
      <c r="BD32" s="13">
        <f>IF('Données projet'!$A$88&gt;35,BD31+BC32-BL31,IF(A32&lt;'Données projet'!$A$88,$BA$205^A32,IF(A32='Données projet'!$A$88,'Données projet'!$B$88,BD31+BC32-BL31)))</f>
        <v>79.999999999999986</v>
      </c>
      <c r="BE32" s="14">
        <f>BD32*VLOOKUP('Données projet'!$B$11,Paramètres!$A$1:$I$89,3,0)*VLOOKUP('Données projet'!$B$11,Paramètres!$A$1:$I$89,5,0)</f>
        <v>64.895999999999987</v>
      </c>
      <c r="BF32" s="14">
        <f t="shared" si="37"/>
        <v>18.400423846102949</v>
      </c>
      <c r="BG32" s="22">
        <f t="shared" si="7"/>
        <v>145.07460486529592</v>
      </c>
      <c r="BH32" s="60">
        <f t="shared" si="8"/>
        <v>437.1857159764071</v>
      </c>
      <c r="BI32" s="60">
        <f ca="1">AVERAGE(OFFSET($BH$3,0,0,'Données projet'!$E$11+1,1))-AVERAGE(OFFSET($H$3,0,0,'Données projet'!$E$11+1,1))</f>
        <v>236.22643401787644</v>
      </c>
      <c r="BJ32" s="60">
        <f t="shared" si="38"/>
        <v>188.80444043778022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7.4</v>
      </c>
      <c r="BY32" s="13">
        <f>IF('Données projet'!$A$114&gt;35,BY31+BX32-CG31,IF(A32&lt;'Données projet'!$A$114,$BV$205^A32,IF(A32='Données projet'!$A$114,'Données projet'!$B$114,BY31+BX32-CG31)))</f>
        <v>85.600000000000023</v>
      </c>
      <c r="BZ32" s="14">
        <f>BY32*VLOOKUP('Données projet'!$B$12,Paramètres!$A$1:$I$89,3,0)*VLOOKUP('Données projet'!$B$12,Paramètres!$A$1:$I$89,5,0)</f>
        <v>74.780160000000024</v>
      </c>
      <c r="CA32" s="14">
        <f t="shared" si="39"/>
        <v>20.85593761602691</v>
      </c>
      <c r="CB32" s="22">
        <f t="shared" si="10"/>
        <v>166.56620334791356</v>
      </c>
      <c r="CC32" s="60">
        <f t="shared" si="11"/>
        <v>458.67731445902473</v>
      </c>
      <c r="CD32" s="60">
        <f ca="1">AVERAGE(OFFSET($CC$3,0,0,'Données projet'!$E$12+1,1))-AVERAGE(OFFSET($H$3,0,0,'Données projet'!$E$12+1,1))</f>
        <v>202.86354781280403</v>
      </c>
      <c r="CE32" s="60">
        <f t="shared" si="40"/>
        <v>217.25323885665131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131.99999999999994</v>
      </c>
      <c r="CU32" s="18">
        <f>CT32*VLOOKUP('Données projet'!$B$13,Paramètres!$A$1:$I$89,3,0)*VLOOKUP('Données projet'!$B$13,Paramètres!$A$1:$I$89,5,0)</f>
        <v>102.95999999999997</v>
      </c>
      <c r="CV32" s="14">
        <f t="shared" si="41"/>
        <v>27.665975080374633</v>
      </c>
      <c r="CW32" s="22">
        <f t="shared" si="13"/>
        <v>227.50690659831903</v>
      </c>
      <c r="CX32" s="60">
        <f t="shared" si="14"/>
        <v>519.61801770943021</v>
      </c>
      <c r="CY32" s="60">
        <f ca="1">AVERAGE(OFFSET($CX$3,0,0,'Données projet'!$E$13+1,1))-AVERAGE(OFFSET($H$3,0,0,'Données projet'!$E$13+1,1))</f>
        <v>288.82868507674738</v>
      </c>
      <c r="CZ32" s="60">
        <f t="shared" si="42"/>
        <v>283.48738729114024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81.712800000000001</v>
      </c>
      <c r="P33" s="14">
        <f t="shared" si="33"/>
        <v>22.55545490774292</v>
      </c>
      <c r="Q33" s="22">
        <f t="shared" si="2"/>
        <v>181.60054396431892</v>
      </c>
      <c r="R33" s="60">
        <f t="shared" si="0"/>
        <v>474.9338772976522</v>
      </c>
      <c r="S33" s="60">
        <f ca="1">AVERAGE(OFFSET($R$3,0,0,'Données projet'!$E$9+1,1))-AVERAGE(OFFSET($H$3,0,0,'Données projet'!$E$9+1,1))</f>
        <v>402.79698021419853</v>
      </c>
      <c r="T33" s="60">
        <f t="shared" si="34"/>
        <v>218.26721063098552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73</v>
      </c>
      <c r="AG33" s="13">
        <f>VLOOKUP(A33,'Données projet'!$A$61:$I$81,9,0)</f>
        <v>6.6</v>
      </c>
      <c r="AH33" s="13">
        <f t="array" ref="AH33">INDEX(AG:AG,MIN(IF(ISNUMBER(AG33:AG229),ROW(AG33:AG229),"")))</f>
        <v>6.6</v>
      </c>
      <c r="AI33" s="14">
        <f>IF('Données projet'!$A$62&gt;35,AI32+AH33-AQ32,IF(A33&lt;'Données projet'!$A$62,$AF$205^A33,IF(A33='Données projet'!$A$62,'Données projet'!$B$62,AI32+AH33-AQ32)))</f>
        <v>73</v>
      </c>
      <c r="AJ33" s="14">
        <f>AI33*VLOOKUP('Données projet'!$B$10,Paramètres!$A$1:$I$89,3,0)*VLOOKUP('Données projet'!$B$10,Paramètres!$A$1:$I$89,5,0)</f>
        <v>62.634000000000015</v>
      </c>
      <c r="AK33" s="14">
        <f t="shared" si="35"/>
        <v>17.832552513715669</v>
      </c>
      <c r="AL33" s="22">
        <f t="shared" si="4"/>
        <v>140.14591229472146</v>
      </c>
      <c r="AM33" s="60">
        <f t="shared" si="5"/>
        <v>433.47924562805474</v>
      </c>
      <c r="AN33" s="60">
        <f ca="1">AVERAGE(OFFSET($AM$3,0,0,'Données projet'!$E$10+1,1))-AVERAGE(OFFSET($H$3,0,0,'Données projet'!$E$10+1,1))</f>
        <v>440.51611312502263</v>
      </c>
      <c r="AO33" s="60">
        <f t="shared" si="36"/>
        <v>176.81257896138806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84</v>
      </c>
      <c r="BB33" s="13">
        <f>VLOOKUP(A33,'Données projet'!$A$87:$I$107,9,0)</f>
        <v>4</v>
      </c>
      <c r="BC33" s="13">
        <f t="array" ref="BC33">INDEX(BB:BB,MIN(IF(ISNUMBER(BB33:BB229),ROW(BB33:BB229),"")))</f>
        <v>4</v>
      </c>
      <c r="BD33" s="13">
        <f>IF('Données projet'!$A$88&gt;35,BD32+BC33-BL32,IF(A33&lt;'Données projet'!$A$88,$BA$205^A33,IF(A33='Données projet'!$A$88,'Données projet'!$B$88,BD32+BC33-BL32)))</f>
        <v>83.999999999999986</v>
      </c>
      <c r="BE33" s="14">
        <f>BD33*VLOOKUP('Données projet'!$B$11,Paramètres!$A$1:$I$89,3,0)*VLOOKUP('Données projet'!$B$11,Paramètres!$A$1:$I$89,5,0)</f>
        <v>68.140799999999984</v>
      </c>
      <c r="BF33" s="14">
        <f t="shared" si="37"/>
        <v>19.21103183030446</v>
      </c>
      <c r="BG33" s="22">
        <f t="shared" si="7"/>
        <v>152.13777377111359</v>
      </c>
      <c r="BH33" s="60">
        <f t="shared" si="8"/>
        <v>445.4711071044469</v>
      </c>
      <c r="BI33" s="60">
        <f ca="1">AVERAGE(OFFSET($BH$3,0,0,'Données projet'!$E$11+1,1))-AVERAGE(OFFSET($H$3,0,0,'Données projet'!$E$11+1,1))</f>
        <v>236.22643401787644</v>
      </c>
      <c r="BJ33" s="60">
        <f t="shared" si="38"/>
        <v>188.80444043778022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93</v>
      </c>
      <c r="BW33" s="13">
        <f>VLOOKUP(A33,'Données projet'!$A$113:$I$133,9,0)</f>
        <v>7.4</v>
      </c>
      <c r="BX33" s="13">
        <f t="array" ref="BX33">INDEX(BW:BW,MIN(IF(ISNUMBER(BW33:BW229),ROW(BW33:BW229),"")))</f>
        <v>7.4</v>
      </c>
      <c r="BY33" s="13">
        <f>IF('Données projet'!$A$114&gt;35,BY32+BX33-CG32,IF(A33&lt;'Données projet'!$A$114,$BV$205^A33,IF(A33='Données projet'!$A$114,'Données projet'!$B$114,BY32+BX33-CG32)))</f>
        <v>93.000000000000028</v>
      </c>
      <c r="BZ33" s="14">
        <f>BY33*VLOOKUP('Données projet'!$B$12,Paramètres!$A$1:$I$89,3,0)*VLOOKUP('Données projet'!$B$12,Paramètres!$A$1:$I$89,5,0)</f>
        <v>81.244800000000026</v>
      </c>
      <c r="CA33" s="14">
        <f t="shared" si="39"/>
        <v>22.441270156928962</v>
      </c>
      <c r="CB33" s="22">
        <f t="shared" si="10"/>
        <v>180.58657218998465</v>
      </c>
      <c r="CC33" s="60">
        <f t="shared" si="11"/>
        <v>473.91990552331799</v>
      </c>
      <c r="CD33" s="60">
        <f ca="1">AVERAGE(OFFSET($CC$3,0,0,'Données projet'!$E$12+1,1))-AVERAGE(OFFSET($H$3,0,0,'Données projet'!$E$12+1,1))</f>
        <v>202.86354781280403</v>
      </c>
      <c r="CE33" s="60">
        <f t="shared" si="40"/>
        <v>217.25323885665131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31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143.49999999999994</v>
      </c>
      <c r="CU33" s="18">
        <f>CT33*VLOOKUP('Données projet'!$B$13,Paramètres!$A$1:$I$89,3,0)*VLOOKUP('Données projet'!$B$13,Paramètres!$A$1:$I$89,5,0)</f>
        <v>111.92999999999996</v>
      </c>
      <c r="CV33" s="14">
        <f t="shared" si="41"/>
        <v>29.785246291563833</v>
      </c>
      <c r="CW33" s="22">
        <f t="shared" si="13"/>
        <v>246.82072062447358</v>
      </c>
      <c r="CX33" s="60">
        <f t="shared" si="14"/>
        <v>540.15405395780692</v>
      </c>
      <c r="CY33" s="60">
        <f ca="1">AVERAGE(OFFSET($CX$3,0,0,'Données projet'!$E$13+1,1))-AVERAGE(OFFSET($H$3,0,0,'Données projet'!$E$13+1,1))</f>
        <v>288.82868507674738</v>
      </c>
      <c r="CZ33" s="60">
        <f t="shared" si="42"/>
        <v>283.48738729114024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88.452000000000012</v>
      </c>
      <c r="P34" s="14">
        <f t="shared" si="33"/>
        <v>24.191508526943956</v>
      </c>
      <c r="Q34" s="22">
        <f t="shared" si="2"/>
        <v>196.18744401776075</v>
      </c>
      <c r="R34" s="60">
        <f t="shared" si="0"/>
        <v>489.52077735109407</v>
      </c>
      <c r="S34" s="60">
        <f ca="1">AVERAGE(OFFSET($R$3,0,0,'Données projet'!$E$9+1,1))-AVERAGE(OFFSET($H$3,0,0,'Données projet'!$E$9+1,1))</f>
        <v>402.79698021419853</v>
      </c>
      <c r="T34" s="60">
        <f t="shared" si="34"/>
        <v>218.26721063098552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7.2</v>
      </c>
      <c r="AI34" s="14">
        <f>IF('Données projet'!$A$62&gt;35,AI33+AH34-AQ33,IF(A34&lt;'Données projet'!$A$62,$AF$205^A34,IF(A34='Données projet'!$A$62,'Données projet'!$B$62,AI33+AH34-AQ33)))</f>
        <v>80.2</v>
      </c>
      <c r="AJ34" s="14">
        <f>AI34*VLOOKUP('Données projet'!$B$10,Paramètres!$A$1:$I$89,3,0)*VLOOKUP('Données projet'!$B$10,Paramètres!$A$1:$I$89,5,0)</f>
        <v>68.811600000000013</v>
      </c>
      <c r="AK34" s="14">
        <f t="shared" si="35"/>
        <v>19.378042507190422</v>
      </c>
      <c r="AL34" s="22">
        <f t="shared" si="4"/>
        <v>153.59696070002332</v>
      </c>
      <c r="AM34" s="60">
        <f t="shared" si="5"/>
        <v>446.93029403335663</v>
      </c>
      <c r="AN34" s="60">
        <f ca="1">AVERAGE(OFFSET($AM$3,0,0,'Données projet'!$E$10+1,1))-AVERAGE(OFFSET($H$3,0,0,'Données projet'!$E$10+1,1))</f>
        <v>440.51611312502263</v>
      </c>
      <c r="AO34" s="60">
        <f t="shared" si="36"/>
        <v>176.81257896138806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4.8</v>
      </c>
      <c r="BD34" s="13">
        <f>IF('Données projet'!$A$88&gt;35,BD33+BC34-BL33,IF(A34&lt;'Données projet'!$A$88,$BA$205^A34,IF(A34='Données projet'!$A$88,'Données projet'!$B$88,BD33+BC34-BL33)))</f>
        <v>88.799999999999983</v>
      </c>
      <c r="BE34" s="14">
        <f>BD34*VLOOKUP('Données projet'!$B$11,Paramètres!$A$1:$I$89,3,0)*VLOOKUP('Données projet'!$B$11,Paramètres!$A$1:$I$89,5,0)</f>
        <v>72.034559999999999</v>
      </c>
      <c r="BF34" s="14">
        <f t="shared" si="37"/>
        <v>20.177864949465988</v>
      </c>
      <c r="BG34" s="22">
        <f t="shared" si="7"/>
        <v>160.60330678698656</v>
      </c>
      <c r="BH34" s="60">
        <f t="shared" si="8"/>
        <v>453.93664012031991</v>
      </c>
      <c r="BI34" s="60">
        <f ca="1">AVERAGE(OFFSET($BH$3,0,0,'Données projet'!$E$11+1,1))-AVERAGE(OFFSET($H$3,0,0,'Données projet'!$E$11+1,1))</f>
        <v>236.22643401787644</v>
      </c>
      <c r="BJ34" s="60">
        <f t="shared" si="38"/>
        <v>188.80444043778022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6.6</v>
      </c>
      <c r="BY34" s="13">
        <f>IF('Données projet'!$A$114&gt;35,BY33+BX34-CG33,IF(A34&lt;'Données projet'!$A$114,$BV$205^A34,IF(A34='Données projet'!$A$114,'Données projet'!$B$114,BY33+BX34-CG33)))</f>
        <v>68.600000000000023</v>
      </c>
      <c r="BZ34" s="14">
        <f>BY34*VLOOKUP('Données projet'!$B$12,Paramètres!$A$1:$I$89,3,0)*VLOOKUP('Données projet'!$B$12,Paramètres!$A$1:$I$89,5,0)</f>
        <v>59.928960000000032</v>
      </c>
      <c r="CA34" s="14">
        <f t="shared" si="39"/>
        <v>17.150306633391647</v>
      </c>
      <c r="CB34" s="22">
        <f t="shared" si="10"/>
        <v>134.24638938649051</v>
      </c>
      <c r="CC34" s="60">
        <f t="shared" si="11"/>
        <v>427.57972271982385</v>
      </c>
      <c r="CD34" s="60">
        <f ca="1">AVERAGE(OFFSET($CC$3,0,0,'Données projet'!$E$12+1,1))-AVERAGE(OFFSET($H$3,0,0,'Données projet'!$E$12+1,1))</f>
        <v>202.86354781280403</v>
      </c>
      <c r="CE34" s="60">
        <f t="shared" si="40"/>
        <v>217.25323885665131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154.99999999999994</v>
      </c>
      <c r="CU34" s="18">
        <f>CT34*VLOOKUP('Données projet'!$B$13,Paramètres!$A$1:$I$89,3,0)*VLOOKUP('Données projet'!$B$13,Paramètres!$A$1:$I$89,5,0)</f>
        <v>120.89999999999996</v>
      </c>
      <c r="CV34" s="14">
        <f t="shared" si="41"/>
        <v>31.884818143351602</v>
      </c>
      <c r="CW34" s="22">
        <f t="shared" si="13"/>
        <v>266.10022493300397</v>
      </c>
      <c r="CX34" s="60">
        <f t="shared" si="14"/>
        <v>559.43355826633729</v>
      </c>
      <c r="CY34" s="60">
        <f ca="1">AVERAGE(OFFSET($CX$3,0,0,'Données projet'!$E$13+1,1))-AVERAGE(OFFSET($H$3,0,0,'Données projet'!$E$13+1,1))</f>
        <v>288.82868507674738</v>
      </c>
      <c r="CZ34" s="60">
        <f t="shared" si="42"/>
        <v>283.48738729114024</v>
      </c>
      <c r="DA34" s="16">
        <f>IF(ISNA(VLOOKUP(A34,'Données projet'!$A$139:$I$159,3,0)),0,VLOOKUP(A34,'Données projet'!$A$139:$I$159,3,0))</f>
        <v>4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95.191200000000009</v>
      </c>
      <c r="P35" s="14">
        <f t="shared" si="33"/>
        <v>25.8131020775105</v>
      </c>
      <c r="Q35" s="22">
        <f t="shared" ref="Q35:Q66" si="53">(O35+P35)*0.475*44/12</f>
        <v>210.74915945166413</v>
      </c>
      <c r="R35" s="60">
        <f t="shared" si="0"/>
        <v>504.08249278499744</v>
      </c>
      <c r="S35" s="60">
        <f ca="1">AVERAGE(OFFSET($R$3,0,0,'Données projet'!$E$9+1,1))-AVERAGE(OFFSET($H$3,0,0,'Données projet'!$E$9+1,1))</f>
        <v>402.79698021419853</v>
      </c>
      <c r="T35" s="60">
        <f t="shared" si="34"/>
        <v>218.26721063098552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7.2</v>
      </c>
      <c r="AI35" s="14">
        <f>IF('Données projet'!$A$62&gt;35,AI34+AH35-AQ34,IF(A35&lt;'Données projet'!$A$62,$AF$205^A35,IF(A35='Données projet'!$A$62,'Données projet'!$B$62,AI34+AH35-AQ34)))</f>
        <v>87.4</v>
      </c>
      <c r="AJ35" s="14">
        <f>AI35*VLOOKUP('Données projet'!$B$10,Paramètres!$A$1:$I$89,3,0)*VLOOKUP('Données projet'!$B$10,Paramètres!$A$1:$I$89,5,0)</f>
        <v>74.989200000000011</v>
      </c>
      <c r="AK35" s="14">
        <f t="shared" si="35"/>
        <v>20.907443618509163</v>
      </c>
      <c r="AL35" s="22">
        <f t="shared" si="4"/>
        <v>167.01998763557012</v>
      </c>
      <c r="AM35" s="60">
        <f t="shared" si="5"/>
        <v>460.3533209689034</v>
      </c>
      <c r="AN35" s="60">
        <f ca="1">AVERAGE(OFFSET($AM$3,0,0,'Données projet'!$E$10+1,1))-AVERAGE(OFFSET($H$3,0,0,'Données projet'!$E$10+1,1))</f>
        <v>440.51611312502263</v>
      </c>
      <c r="AO35" s="60">
        <f t="shared" si="36"/>
        <v>176.81257896138806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4.8</v>
      </c>
      <c r="BD35" s="13">
        <f>IF('Données projet'!$A$88&gt;35,BD34+BC35-BL34,IF(A35&lt;'Données projet'!$A$88,$BA$205^A35,IF(A35='Données projet'!$A$88,'Données projet'!$B$88,BD34+BC35-BL34)))</f>
        <v>93.59999999999998</v>
      </c>
      <c r="BE35" s="14">
        <f>BD35*VLOOKUP('Données projet'!$B$11,Paramètres!$A$1:$I$89,3,0)*VLOOKUP('Données projet'!$B$11,Paramètres!$A$1:$I$89,5,0)</f>
        <v>75.928319999999985</v>
      </c>
      <c r="BF35" s="14">
        <f t="shared" si="37"/>
        <v>21.138630837616763</v>
      </c>
      <c r="BG35" s="22">
        <f t="shared" si="7"/>
        <v>169.05827270884916</v>
      </c>
      <c r="BH35" s="60">
        <f t="shared" si="8"/>
        <v>462.3916060421825</v>
      </c>
      <c r="BI35" s="60">
        <f ca="1">AVERAGE(OFFSET($BH$3,0,0,'Données projet'!$E$11+1,1))-AVERAGE(OFFSET($H$3,0,0,'Données projet'!$E$11+1,1))</f>
        <v>236.22643401787644</v>
      </c>
      <c r="BJ35" s="60">
        <f t="shared" si="38"/>
        <v>188.80444043778022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6.6</v>
      </c>
      <c r="BY35" s="13">
        <f>IF('Données projet'!$A$114&gt;35,BY34+BX35-CG34,IF(A35&lt;'Données projet'!$A$114,$BV$205^A35,IF(A35='Données projet'!$A$114,'Données projet'!$B$114,BY34+BX35-CG34)))</f>
        <v>75.200000000000017</v>
      </c>
      <c r="BZ35" s="14">
        <f>BY35*VLOOKUP('Données projet'!$B$12,Paramètres!$A$1:$I$89,3,0)*VLOOKUP('Données projet'!$B$12,Paramètres!$A$1:$I$89,5,0)</f>
        <v>65.694720000000032</v>
      </c>
      <c r="CA35" s="14">
        <f t="shared" si="39"/>
        <v>18.600387185619521</v>
      </c>
      <c r="CB35" s="22">
        <f t="shared" si="10"/>
        <v>146.81397834828738</v>
      </c>
      <c r="CC35" s="60">
        <f t="shared" si="11"/>
        <v>440.14731168162069</v>
      </c>
      <c r="CD35" s="60">
        <f ca="1">AVERAGE(OFFSET($CC$3,0,0,'Données projet'!$E$12+1,1))-AVERAGE(OFFSET($H$3,0,0,'Données projet'!$E$12+1,1))</f>
        <v>202.86354781280403</v>
      </c>
      <c r="CE35" s="60">
        <f t="shared" si="40"/>
        <v>217.25323885665131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130.49999999999994</v>
      </c>
      <c r="CU35" s="18">
        <f>CT35*VLOOKUP('Données projet'!$B$13,Paramètres!$A$1:$I$89,3,0)*VLOOKUP('Données projet'!$B$13,Paramètres!$A$1:$I$89,5,0)</f>
        <v>101.78999999999996</v>
      </c>
      <c r="CV35" s="14">
        <f t="shared" si="41"/>
        <v>27.38799903683508</v>
      </c>
      <c r="CW35" s="22">
        <f t="shared" si="13"/>
        <v>224.98501498915437</v>
      </c>
      <c r="CX35" s="60">
        <f t="shared" si="14"/>
        <v>518.31834832248774</v>
      </c>
      <c r="CY35" s="60">
        <f ca="1">AVERAGE(OFFSET($CX$3,0,0,'Données projet'!$E$13+1,1))-AVERAGE(OFFSET($H$3,0,0,'Données projet'!$E$13+1,1))</f>
        <v>288.82868507674738</v>
      </c>
      <c r="CZ35" s="60">
        <f t="shared" si="42"/>
        <v>283.48738729114024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101.93040000000001</v>
      </c>
      <c r="P36" s="14">
        <f t="shared" si="33"/>
        <v>27.421375718582158</v>
      </c>
      <c r="Q36" s="22">
        <f t="shared" si="53"/>
        <v>225.28767604319728</v>
      </c>
      <c r="R36" s="60">
        <f t="shared" si="0"/>
        <v>518.62100937653054</v>
      </c>
      <c r="S36" s="60">
        <f ca="1">AVERAGE(OFFSET($R$3,0,0,'Données projet'!$E$9+1,1))-AVERAGE(OFFSET($H$3,0,0,'Données projet'!$E$9+1,1))</f>
        <v>402.79698021419853</v>
      </c>
      <c r="T36" s="60">
        <f t="shared" si="34"/>
        <v>218.26721063098552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7.2</v>
      </c>
      <c r="AI36" s="14">
        <f>IF('Données projet'!$A$62&gt;35,AI35+AH36-AQ35,IF(A36&lt;'Données projet'!$A$62,$AF$205^A36,IF(A36='Données projet'!$A$62,'Données projet'!$B$62,AI35+AH36-AQ35)))</f>
        <v>94.600000000000009</v>
      </c>
      <c r="AJ36" s="14">
        <f>AI36*VLOOKUP('Données projet'!$B$10,Paramètres!$A$1:$I$89,3,0)*VLOOKUP('Données projet'!$B$10,Paramètres!$A$1:$I$89,5,0)</f>
        <v>81.166800000000009</v>
      </c>
      <c r="AK36" s="14">
        <f t="shared" si="35"/>
        <v>22.422231932399924</v>
      </c>
      <c r="AL36" s="22">
        <f t="shared" si="4"/>
        <v>180.41756394892988</v>
      </c>
      <c r="AM36" s="60">
        <f t="shared" si="5"/>
        <v>473.75089728226317</v>
      </c>
      <c r="AN36" s="60">
        <f ca="1">AVERAGE(OFFSET($AM$3,0,0,'Données projet'!$E$10+1,1))-AVERAGE(OFFSET($H$3,0,0,'Données projet'!$E$10+1,1))</f>
        <v>440.51611312502263</v>
      </c>
      <c r="AO36" s="60">
        <f t="shared" si="36"/>
        <v>176.81257896138806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4.8</v>
      </c>
      <c r="BD36" s="13">
        <f>IF('Données projet'!$A$88&gt;35,BD35+BC36-BL35,IF(A36&lt;'Données projet'!$A$88,$BA$205^A36,IF(A36='Données projet'!$A$88,'Données projet'!$B$88,BD35+BC36-BL35)))</f>
        <v>98.399999999999977</v>
      </c>
      <c r="BE36" s="14">
        <f>BD36*VLOOKUP('Données projet'!$B$11,Paramètres!$A$1:$I$89,3,0)*VLOOKUP('Données projet'!$B$11,Paramètres!$A$1:$I$89,5,0)</f>
        <v>79.822079999999985</v>
      </c>
      <c r="BF36" s="14">
        <f t="shared" si="37"/>
        <v>22.093676128235838</v>
      </c>
      <c r="BG36" s="22">
        <f t="shared" si="7"/>
        <v>177.5032752566774</v>
      </c>
      <c r="BH36" s="60">
        <f t="shared" si="8"/>
        <v>470.83660859001071</v>
      </c>
      <c r="BI36" s="60">
        <f ca="1">AVERAGE(OFFSET($BH$3,0,0,'Données projet'!$E$11+1,1))-AVERAGE(OFFSET($H$3,0,0,'Données projet'!$E$11+1,1))</f>
        <v>236.22643401787644</v>
      </c>
      <c r="BJ36" s="60">
        <f t="shared" si="38"/>
        <v>188.80444043778022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6.6</v>
      </c>
      <c r="BY36" s="13">
        <f>IF('Données projet'!$A$114&gt;35,BY35+BX36-CG35,IF(A36&lt;'Données projet'!$A$114,$BV$205^A36,IF(A36='Données projet'!$A$114,'Données projet'!$B$114,BY35+BX36-CG35)))</f>
        <v>81.800000000000011</v>
      </c>
      <c r="BZ36" s="14">
        <f>BY36*VLOOKUP('Données projet'!$B$12,Paramètres!$A$1:$I$89,3,0)*VLOOKUP('Données projet'!$B$12,Paramètres!$A$1:$I$89,5,0)</f>
        <v>71.460480000000018</v>
      </c>
      <c r="CA36" s="14">
        <f t="shared" si="39"/>
        <v>20.035709203981977</v>
      </c>
      <c r="CB36" s="22">
        <f t="shared" si="10"/>
        <v>159.35586286360197</v>
      </c>
      <c r="CC36" s="60">
        <f t="shared" si="11"/>
        <v>452.68919619693531</v>
      </c>
      <c r="CD36" s="60">
        <f ca="1">AVERAGE(OFFSET($CC$3,0,0,'Données projet'!$E$12+1,1))-AVERAGE(OFFSET($H$3,0,0,'Données projet'!$E$12+1,1))</f>
        <v>202.86354781280403</v>
      </c>
      <c r="CE36" s="60">
        <f t="shared" si="40"/>
        <v>217.25323885665131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141.99999999999994</v>
      </c>
      <c r="CU36" s="18">
        <f>CT36*VLOOKUP('Données projet'!$B$13,Paramètres!$A$1:$I$89,3,0)*VLOOKUP('Données projet'!$B$13,Paramètres!$A$1:$I$89,5,0)</f>
        <v>110.75999999999996</v>
      </c>
      <c r="CV36" s="14">
        <f t="shared" si="41"/>
        <v>29.509974682362923</v>
      </c>
      <c r="CW36" s="22">
        <f t="shared" si="13"/>
        <v>244.30353923844871</v>
      </c>
      <c r="CX36" s="60">
        <f t="shared" si="14"/>
        <v>537.63687257178208</v>
      </c>
      <c r="CY36" s="60">
        <f ca="1">AVERAGE(OFFSET($CX$3,0,0,'Données projet'!$E$13+1,1))-AVERAGE(OFFSET($H$3,0,0,'Données projet'!$E$13+1,1))</f>
        <v>288.82868507674738</v>
      </c>
      <c r="CZ36" s="60">
        <f t="shared" si="42"/>
        <v>283.48738729114024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108.66960000000002</v>
      </c>
      <c r="P37" s="14">
        <f t="shared" si="33"/>
        <v>29.017310316271104</v>
      </c>
      <c r="Q37" s="22">
        <f t="shared" si="53"/>
        <v>239.8047021341722</v>
      </c>
      <c r="R37" s="60">
        <f t="shared" si="0"/>
        <v>533.13803546750546</v>
      </c>
      <c r="S37" s="60">
        <f ca="1">AVERAGE(OFFSET($R$3,0,0,'Données projet'!$E$9+1,1))-AVERAGE(OFFSET($H$3,0,0,'Données projet'!$E$9+1,1))</f>
        <v>402.79698021419853</v>
      </c>
      <c r="T37" s="60">
        <f t="shared" si="34"/>
        <v>218.26721063098552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7.2</v>
      </c>
      <c r="AI37" s="14">
        <f>IF('Données projet'!$A$62&gt;35,AI36+AH37-AQ36,IF(A37&lt;'Données projet'!$A$62,$AF$205^A37,IF(A37='Données projet'!$A$62,'Données projet'!$B$62,AI36+AH37-AQ36)))</f>
        <v>101.80000000000001</v>
      </c>
      <c r="AJ37" s="14">
        <f>AI37*VLOOKUP('Données projet'!$B$10,Paramètres!$A$1:$I$89,3,0)*VLOOKUP('Données projet'!$B$10,Paramètres!$A$1:$I$89,5,0)</f>
        <v>87.344400000000022</v>
      </c>
      <c r="AK37" s="14">
        <f t="shared" si="35"/>
        <v>23.923646085648929</v>
      </c>
      <c r="AL37" s="22">
        <f t="shared" si="4"/>
        <v>193.79184693250525</v>
      </c>
      <c r="AM37" s="60">
        <f t="shared" si="5"/>
        <v>487.12518026583859</v>
      </c>
      <c r="AN37" s="60">
        <f ca="1">AVERAGE(OFFSET($AM$3,0,0,'Données projet'!$E$10+1,1))-AVERAGE(OFFSET($H$3,0,0,'Données projet'!$E$10+1,1))</f>
        <v>440.51611312502263</v>
      </c>
      <c r="AO37" s="60">
        <f t="shared" si="36"/>
        <v>176.81257896138806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4.8</v>
      </c>
      <c r="BD37" s="13">
        <f>IF('Données projet'!$A$88&gt;35,BD36+BC37-BL36,IF(A37&lt;'Données projet'!$A$88,$BA$205^A37,IF(A37='Données projet'!$A$88,'Données projet'!$B$88,BD36+BC37-BL36)))</f>
        <v>103.19999999999997</v>
      </c>
      <c r="BE37" s="14">
        <f>BD37*VLOOKUP('Données projet'!$B$11,Paramètres!$A$1:$I$89,3,0)*VLOOKUP('Données projet'!$B$11,Paramètres!$A$1:$I$89,5,0)</f>
        <v>83.715839999999986</v>
      </c>
      <c r="BF37" s="14">
        <f t="shared" si="37"/>
        <v>23.043311726295538</v>
      </c>
      <c r="BG37" s="22">
        <f t="shared" si="7"/>
        <v>185.93885592329801</v>
      </c>
      <c r="BH37" s="60">
        <f t="shared" si="8"/>
        <v>479.27218925663135</v>
      </c>
      <c r="BI37" s="60">
        <f ca="1">AVERAGE(OFFSET($BH$3,0,0,'Données projet'!$E$11+1,1))-AVERAGE(OFFSET($H$3,0,0,'Données projet'!$E$11+1,1))</f>
        <v>236.22643401787644</v>
      </c>
      <c r="BJ37" s="60">
        <f t="shared" si="38"/>
        <v>188.80444043778022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6.6</v>
      </c>
      <c r="BY37" s="13">
        <f>IF('Données projet'!$A$114&gt;35,BY36+BX37-CG36,IF(A37&lt;'Données projet'!$A$114,$BV$205^A37,IF(A37='Données projet'!$A$114,'Données projet'!$B$114,BY36+BX37-CG36)))</f>
        <v>88.4</v>
      </c>
      <c r="BZ37" s="14">
        <f>BY37*VLOOKUP('Données projet'!$B$12,Paramètres!$A$1:$I$89,3,0)*VLOOKUP('Données projet'!$B$12,Paramètres!$A$1:$I$89,5,0)</f>
        <v>77.226240000000004</v>
      </c>
      <c r="CA37" s="14">
        <f t="shared" si="39"/>
        <v>21.457598855530147</v>
      </c>
      <c r="CB37" s="22">
        <f t="shared" si="10"/>
        <v>171.87435267338171</v>
      </c>
      <c r="CC37" s="60">
        <f t="shared" si="11"/>
        <v>465.20768600671499</v>
      </c>
      <c r="CD37" s="60">
        <f ca="1">AVERAGE(OFFSET($CC$3,0,0,'Données projet'!$E$12+1,1))-AVERAGE(OFFSET($H$3,0,0,'Données projet'!$E$12+1,1))</f>
        <v>202.86354781280403</v>
      </c>
      <c r="CE37" s="60">
        <f t="shared" si="40"/>
        <v>217.25323885665131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153.49999999999994</v>
      </c>
      <c r="CU37" s="18">
        <f>CT37*VLOOKUP('Données projet'!$B$13,Paramètres!$A$1:$I$89,3,0)*VLOOKUP('Données projet'!$B$13,Paramètres!$A$1:$I$89,5,0)</f>
        <v>119.72999999999996</v>
      </c>
      <c r="CV37" s="14">
        <f t="shared" si="41"/>
        <v>31.612017974790529</v>
      </c>
      <c r="CW37" s="22">
        <f t="shared" si="13"/>
        <v>263.58734797276003</v>
      </c>
      <c r="CX37" s="60">
        <f t="shared" si="14"/>
        <v>556.92068130609334</v>
      </c>
      <c r="CY37" s="60">
        <f ca="1">AVERAGE(OFFSET($CX$3,0,0,'Données projet'!$E$13+1,1))-AVERAGE(OFFSET($H$3,0,0,'Données projet'!$E$13+1,1))</f>
        <v>288.82868507674738</v>
      </c>
      <c r="CZ37" s="60">
        <f t="shared" si="42"/>
        <v>283.48738729114024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115.40880000000001</v>
      </c>
      <c r="P38" s="14">
        <f t="shared" si="33"/>
        <v>30.60175820334798</v>
      </c>
      <c r="Q38" s="22">
        <f t="shared" si="53"/>
        <v>254.30172220416441</v>
      </c>
      <c r="R38" s="60">
        <f t="shared" si="0"/>
        <v>547.63505553749769</v>
      </c>
      <c r="S38" s="60">
        <f ca="1">AVERAGE(OFFSET($R$3,0,0,'Données projet'!$E$9+1,1))-AVERAGE(OFFSET($H$3,0,0,'Données projet'!$E$9+1,1))</f>
        <v>402.79698021419853</v>
      </c>
      <c r="T38" s="60">
        <f t="shared" si="34"/>
        <v>218.26721063098552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109</v>
      </c>
      <c r="AG38" s="13">
        <f>VLOOKUP(A38,'Données projet'!$A$61:$I$81,9,0)</f>
        <v>7.2</v>
      </c>
      <c r="AH38" s="13">
        <f t="array" ref="AH38">INDEX(AG:AG,MIN(IF(ISNUMBER(AG38:AG234),ROW(AG38:AG234),"")))</f>
        <v>7.2</v>
      </c>
      <c r="AI38" s="14">
        <f>IF('Données projet'!$A$62&gt;35,AI37+AH38-AQ37,IF(A38&lt;'Données projet'!$A$62,$AF$205^A38,IF(A38='Données projet'!$A$62,'Données projet'!$B$62,AI37+AH38-AQ37)))</f>
        <v>109.00000000000001</v>
      </c>
      <c r="AJ38" s="14">
        <f>AI38*VLOOKUP('Données projet'!$B$10,Paramètres!$A$1:$I$89,3,0)*VLOOKUP('Données projet'!$B$10,Paramètres!$A$1:$I$89,5,0)</f>
        <v>93.52200000000002</v>
      </c>
      <c r="AK38" s="14">
        <f t="shared" si="35"/>
        <v>25.41273957956081</v>
      </c>
      <c r="AL38" s="22">
        <f t="shared" si="4"/>
        <v>207.14467143440174</v>
      </c>
      <c r="AM38" s="60">
        <f t="shared" si="5"/>
        <v>500.47800476773506</v>
      </c>
      <c r="AN38" s="60">
        <f ca="1">AVERAGE(OFFSET($AM$3,0,0,'Données projet'!$E$10+1,1))-AVERAGE(OFFSET($H$3,0,0,'Données projet'!$E$10+1,1))</f>
        <v>440.51611312502263</v>
      </c>
      <c r="AO38" s="60">
        <f t="shared" si="36"/>
        <v>176.81257896138806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33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108</v>
      </c>
      <c r="BB38" s="13">
        <f>VLOOKUP(A38,'Données projet'!$A$87:$I$107,9,0)</f>
        <v>4.8</v>
      </c>
      <c r="BC38" s="13">
        <f t="array" ref="BC38">INDEX(BB:BB,MIN(IF(ISNUMBER(BB38:BB234),ROW(BB38:BB234),"")))</f>
        <v>4.8</v>
      </c>
      <c r="BD38" s="13">
        <f>IF('Données projet'!$A$88&gt;35,BD37+BC38-BL37,IF(A38&lt;'Données projet'!$A$88,$BA$205^A38,IF(A38='Données projet'!$A$88,'Données projet'!$B$88,BD37+BC38-BL37)))</f>
        <v>107.99999999999997</v>
      </c>
      <c r="BE38" s="14">
        <f>BD38*VLOOKUP('Données projet'!$B$11,Paramètres!$A$1:$I$89,3,0)*VLOOKUP('Données projet'!$B$11,Paramètres!$A$1:$I$89,5,0)</f>
        <v>87.609599999999986</v>
      </c>
      <c r="BF38" s="14">
        <f t="shared" si="37"/>
        <v>23.987817980868787</v>
      </c>
      <c r="BG38" s="22">
        <f t="shared" si="7"/>
        <v>194.36550298334643</v>
      </c>
      <c r="BH38" s="60">
        <f t="shared" si="8"/>
        <v>487.69883631667972</v>
      </c>
      <c r="BI38" s="60">
        <f ca="1">AVERAGE(OFFSET($BH$3,0,0,'Données projet'!$E$11+1,1))-AVERAGE(OFFSET($H$3,0,0,'Données projet'!$E$11+1,1))</f>
        <v>236.22643401787644</v>
      </c>
      <c r="BJ38" s="60">
        <f t="shared" si="38"/>
        <v>188.80444043778022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19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95</v>
      </c>
      <c r="BW38" s="13">
        <f>VLOOKUP(A38,'Données projet'!$A$113:$I$133,9,0)</f>
        <v>6.6</v>
      </c>
      <c r="BX38" s="13">
        <f t="array" ref="BX38">INDEX(BW:BW,MIN(IF(ISNUMBER(BW38:BW234),ROW(BW38:BW234),"")))</f>
        <v>6.6</v>
      </c>
      <c r="BY38" s="13">
        <f>IF('Données projet'!$A$114&gt;35,BY37+BX38-CG37,IF(A38&lt;'Données projet'!$A$114,$BV$205^A38,IF(A38='Données projet'!$A$114,'Données projet'!$B$114,BY37+BX38-CG37)))</f>
        <v>95</v>
      </c>
      <c r="BZ38" s="14">
        <f>BY38*VLOOKUP('Données projet'!$B$12,Paramètres!$A$1:$I$89,3,0)*VLOOKUP('Données projet'!$B$12,Paramètres!$A$1:$I$89,5,0)</f>
        <v>82.992000000000004</v>
      </c>
      <c r="CA38" s="14">
        <f t="shared" si="39"/>
        <v>22.867173045817324</v>
      </c>
      <c r="CB38" s="22">
        <f t="shared" si="10"/>
        <v>184.37139305479852</v>
      </c>
      <c r="CC38" s="60">
        <f t="shared" si="11"/>
        <v>477.7047263881318</v>
      </c>
      <c r="CD38" s="60">
        <f ca="1">AVERAGE(OFFSET($CC$3,0,0,'Données projet'!$E$12+1,1))-AVERAGE(OFFSET($H$3,0,0,'Données projet'!$E$12+1,1))</f>
        <v>202.86354781280403</v>
      </c>
      <c r="CE38" s="60">
        <f t="shared" si="40"/>
        <v>217.25323885665131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164.99999999999994</v>
      </c>
      <c r="CU38" s="18">
        <f>CT38*VLOOKUP('Données projet'!$B$13,Paramètres!$A$1:$I$89,3,0)*VLOOKUP('Données projet'!$B$13,Paramètres!$A$1:$I$89,5,0)</f>
        <v>128.69999999999996</v>
      </c>
      <c r="CV38" s="14">
        <f t="shared" si="41"/>
        <v>33.695792019186115</v>
      </c>
      <c r="CW38" s="22">
        <f t="shared" si="13"/>
        <v>282.83933776674911</v>
      </c>
      <c r="CX38" s="60">
        <f t="shared" si="14"/>
        <v>576.17267110008243</v>
      </c>
      <c r="CY38" s="60">
        <f ca="1">AVERAGE(OFFSET($CX$3,0,0,'Données projet'!$E$13+1,1))-AVERAGE(OFFSET($H$3,0,0,'Données projet'!$E$13+1,1))</f>
        <v>288.82868507674738</v>
      </c>
      <c r="CZ38" s="60">
        <f t="shared" si="42"/>
        <v>283.48738729114024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87.104160000000007</v>
      </c>
      <c r="P39" s="14">
        <f t="shared" si="33"/>
        <v>23.865494318543401</v>
      </c>
      <c r="Q39" s="22">
        <f t="shared" si="53"/>
        <v>193.27214793812973</v>
      </c>
      <c r="R39" s="60">
        <f t="shared" si="0"/>
        <v>486.60548127146308</v>
      </c>
      <c r="S39" s="60">
        <f ca="1">AVERAGE(OFFSET($R$3,0,0,'Données projet'!$E$9+1,1))-AVERAGE(OFFSET($H$3,0,0,'Données projet'!$E$9+1,1))</f>
        <v>402.79698021419853</v>
      </c>
      <c r="T39" s="60">
        <f t="shared" si="34"/>
        <v>218.26721063098552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83.800000000000011</v>
      </c>
      <c r="AJ39" s="14">
        <f>AI39*VLOOKUP('Données projet'!$B$10,Paramètres!$A$1:$I$89,3,0)*VLOOKUP('Données projet'!$B$10,Paramètres!$A$1:$I$89,5,0)</f>
        <v>71.900400000000019</v>
      </c>
      <c r="AK39" s="14">
        <f t="shared" si="35"/>
        <v>20.144655615547983</v>
      </c>
      <c r="AL39" s="22">
        <f t="shared" si="4"/>
        <v>160.31180519707939</v>
      </c>
      <c r="AM39" s="60">
        <f t="shared" si="5"/>
        <v>453.64513853041274</v>
      </c>
      <c r="AN39" s="60">
        <f ca="1">AVERAGE(OFFSET($AM$3,0,0,'Données projet'!$E$10+1,1))-AVERAGE(OFFSET($H$3,0,0,'Données projet'!$E$10+1,1))</f>
        <v>440.51611312502263</v>
      </c>
      <c r="AO39" s="60">
        <f t="shared" si="36"/>
        <v>176.81257896138806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4.8</v>
      </c>
      <c r="BD39" s="13">
        <f>IF('Données projet'!$A$88&gt;35,BD38+BC39-BL38,IF(A39&lt;'Données projet'!$A$88,$BA$205^A39,IF(A39='Données projet'!$A$88,'Données projet'!$B$88,BD38+BC39-BL38)))</f>
        <v>93.799999999999969</v>
      </c>
      <c r="BE39" s="14">
        <f>BD39*VLOOKUP('Données projet'!$B$11,Paramètres!$A$1:$I$89,3,0)*VLOOKUP('Données projet'!$B$11,Paramètres!$A$1:$I$89,5,0)</f>
        <v>76.090559999999968</v>
      </c>
      <c r="BF39" s="14">
        <f t="shared" si="37"/>
        <v>21.178536336044907</v>
      </c>
      <c r="BG39" s="22">
        <f t="shared" si="7"/>
        <v>169.41034278527815</v>
      </c>
      <c r="BH39" s="60">
        <f t="shared" si="8"/>
        <v>462.74367611861146</v>
      </c>
      <c r="BI39" s="60">
        <f ca="1">AVERAGE(OFFSET($BH$3,0,0,'Données projet'!$E$11+1,1))-AVERAGE(OFFSET($H$3,0,0,'Données projet'!$E$11+1,1))</f>
        <v>236.22643401787644</v>
      </c>
      <c r="BJ39" s="60">
        <f t="shared" si="38"/>
        <v>188.80444043778022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5.6</v>
      </c>
      <c r="BY39" s="13">
        <f>IF('Données projet'!$A$114&gt;35,BY38+BX39-CG38,IF(A39&lt;'Données projet'!$A$114,$BV$205^A39,IF(A39='Données projet'!$A$114,'Données projet'!$B$114,BY38+BX39-CG38)))</f>
        <v>100.6</v>
      </c>
      <c r="BZ39" s="14">
        <f>BY39*VLOOKUP('Données projet'!$B$12,Paramètres!$A$1:$I$89,3,0)*VLOOKUP('Données projet'!$B$12,Paramètres!$A$1:$I$89,5,0)</f>
        <v>87.884160000000008</v>
      </c>
      <c r="CA39" s="14">
        <f t="shared" si="39"/>
        <v>24.054230949481131</v>
      </c>
      <c r="CB39" s="22">
        <f t="shared" si="10"/>
        <v>194.95936423701301</v>
      </c>
      <c r="CC39" s="60">
        <f t="shared" si="11"/>
        <v>488.29269757034632</v>
      </c>
      <c r="CD39" s="60">
        <f ca="1">AVERAGE(OFFSET($CC$3,0,0,'Données projet'!$E$12+1,1))-AVERAGE(OFFSET($H$3,0,0,'Données projet'!$E$12+1,1))</f>
        <v>202.86354781280403</v>
      </c>
      <c r="CE39" s="60">
        <f t="shared" si="40"/>
        <v>217.25323885665131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176.49999999999994</v>
      </c>
      <c r="CU39" s="18">
        <f>CT39*VLOOKUP('Données projet'!$B$13,Paramètres!$A$1:$I$89,3,0)*VLOOKUP('Données projet'!$B$13,Paramètres!$A$1:$I$89,5,0)</f>
        <v>137.66999999999996</v>
      </c>
      <c r="CV39" s="14">
        <f t="shared" si="41"/>
        <v>35.762714965854656</v>
      </c>
      <c r="CW39" s="22">
        <f t="shared" si="13"/>
        <v>302.06197856553007</v>
      </c>
      <c r="CX39" s="60">
        <f t="shared" si="14"/>
        <v>595.39531189886338</v>
      </c>
      <c r="CY39" s="60">
        <f ca="1">AVERAGE(OFFSET($CX$3,0,0,'Données projet'!$E$13+1,1))-AVERAGE(OFFSET($H$3,0,0,'Données projet'!$E$13+1,1))</f>
        <v>288.82868507674738</v>
      </c>
      <c r="CZ39" s="60">
        <f t="shared" si="42"/>
        <v>283.48738729114024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94.180320000000009</v>
      </c>
      <c r="P40" s="14">
        <f t="shared" si="33"/>
        <v>25.570738079029208</v>
      </c>
      <c r="Q40" s="22">
        <f t="shared" si="53"/>
        <v>208.5664261543092</v>
      </c>
      <c r="R40" s="60">
        <f t="shared" si="0"/>
        <v>501.89975948764254</v>
      </c>
      <c r="S40" s="60">
        <f ca="1">AVERAGE(OFFSET($R$3,0,0,'Données projet'!$E$9+1,1))-AVERAGE(OFFSET($H$3,0,0,'Données projet'!$E$9+1,1))</f>
        <v>402.79698021419853</v>
      </c>
      <c r="T40" s="60">
        <f t="shared" si="34"/>
        <v>218.26721063098552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91.600000000000009</v>
      </c>
      <c r="AJ40" s="14">
        <f>AI40*VLOOKUP('Données projet'!$B$10,Paramètres!$A$1:$I$89,3,0)*VLOOKUP('Données projet'!$B$10,Paramètres!$A$1:$I$89,5,0)</f>
        <v>78.592800000000011</v>
      </c>
      <c r="AK40" s="14">
        <f t="shared" si="35"/>
        <v>21.792761850487381</v>
      </c>
      <c r="AL40" s="22">
        <f t="shared" si="4"/>
        <v>174.83818688959886</v>
      </c>
      <c r="AM40" s="60">
        <f t="shared" si="5"/>
        <v>468.17152022293214</v>
      </c>
      <c r="AN40" s="60">
        <f ca="1">AVERAGE(OFFSET($AM$3,0,0,'Données projet'!$E$10+1,1))-AVERAGE(OFFSET($H$3,0,0,'Données projet'!$E$10+1,1))</f>
        <v>440.51611312502263</v>
      </c>
      <c r="AO40" s="60">
        <f t="shared" si="36"/>
        <v>176.81257896138806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4.8</v>
      </c>
      <c r="BD40" s="13">
        <f>IF('Données projet'!$A$88&gt;35,BD39+BC40-BL39,IF(A40&lt;'Données projet'!$A$88,$BA$205^A40,IF(A40='Données projet'!$A$88,'Données projet'!$B$88,BD39+BC40-BL39)))</f>
        <v>98.599999999999966</v>
      </c>
      <c r="BE40" s="14">
        <f>BD40*VLOOKUP('Données projet'!$B$11,Paramètres!$A$1:$I$89,3,0)*VLOOKUP('Données projet'!$B$11,Paramètres!$A$1:$I$89,5,0)</f>
        <v>79.984319999999983</v>
      </c>
      <c r="BF40" s="14">
        <f t="shared" si="37"/>
        <v>22.133350243409112</v>
      </c>
      <c r="BG40" s="22">
        <f t="shared" si="7"/>
        <v>177.85494234060414</v>
      </c>
      <c r="BH40" s="60">
        <f t="shared" si="8"/>
        <v>471.18827567393748</v>
      </c>
      <c r="BI40" s="60">
        <f ca="1">AVERAGE(OFFSET($BH$3,0,0,'Données projet'!$E$11+1,1))-AVERAGE(OFFSET($H$3,0,0,'Données projet'!$E$11+1,1))</f>
        <v>236.22643401787644</v>
      </c>
      <c r="BJ40" s="60">
        <f t="shared" si="38"/>
        <v>188.80444043778022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5.6</v>
      </c>
      <c r="BY40" s="13">
        <f>IF('Données projet'!$A$114&gt;35,BY39+BX40-CG39,IF(A40&lt;'Données projet'!$A$114,$BV$205^A40,IF(A40='Données projet'!$A$114,'Données projet'!$B$114,BY39+BX40-CG39)))</f>
        <v>106.19999999999999</v>
      </c>
      <c r="BZ40" s="14">
        <f>BY40*VLOOKUP('Données projet'!$B$12,Paramètres!$A$1:$I$89,3,0)*VLOOKUP('Données projet'!$B$12,Paramètres!$A$1:$I$89,5,0)</f>
        <v>92.776319999999998</v>
      </c>
      <c r="CA40" s="14">
        <f t="shared" si="39"/>
        <v>25.233617967655977</v>
      </c>
      <c r="CB40" s="22">
        <f t="shared" si="10"/>
        <v>205.53397529366748</v>
      </c>
      <c r="CC40" s="60">
        <f t="shared" si="11"/>
        <v>498.8673086270008</v>
      </c>
      <c r="CD40" s="60">
        <f ca="1">AVERAGE(OFFSET($CC$3,0,0,'Données projet'!$E$12+1,1))-AVERAGE(OFFSET($H$3,0,0,'Données projet'!$E$12+1,1))</f>
        <v>202.86354781280403</v>
      </c>
      <c r="CE40" s="60">
        <f t="shared" si="40"/>
        <v>217.25323885665131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187.99999999999994</v>
      </c>
      <c r="CU40" s="18">
        <f>CT40*VLOOKUP('Données projet'!$B$13,Paramètres!$A$1:$I$89,3,0)*VLOOKUP('Données projet'!$B$13,Paramètres!$A$1:$I$89,5,0)</f>
        <v>146.63999999999996</v>
      </c>
      <c r="CV40" s="14">
        <f t="shared" si="41"/>
        <v>37.814009712703026</v>
      </c>
      <c r="CW40" s="22">
        <f t="shared" si="13"/>
        <v>321.25740024962437</v>
      </c>
      <c r="CX40" s="60">
        <f t="shared" si="14"/>
        <v>614.59073358295768</v>
      </c>
      <c r="CY40" s="60">
        <f ca="1">AVERAGE(OFFSET($CX$3,0,0,'Données projet'!$E$13+1,1))-AVERAGE(OFFSET($H$3,0,0,'Données projet'!$E$13+1,1))</f>
        <v>288.82868507674738</v>
      </c>
      <c r="CZ40" s="60">
        <f t="shared" si="42"/>
        <v>283.48738729114024</v>
      </c>
      <c r="DA40" s="16">
        <f>IF(ISNA(VLOOKUP(A40,'Données projet'!$A$139:$I$159,3,0)),0,VLOOKUP(A40,'Données projet'!$A$139:$I$159,3,0))</f>
        <v>5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101.25648000000002</v>
      </c>
      <c r="P41" s="14">
        <f t="shared" si="33"/>
        <v>27.261118700621143</v>
      </c>
      <c r="Q41" s="22">
        <f t="shared" si="53"/>
        <v>223.83481773691517</v>
      </c>
      <c r="R41" s="60">
        <f t="shared" si="0"/>
        <v>517.16815107024854</v>
      </c>
      <c r="S41" s="60">
        <f ca="1">AVERAGE(OFFSET($R$3,0,0,'Données projet'!$E$9+1,1))-AVERAGE(OFFSET($H$3,0,0,'Données projet'!$E$9+1,1))</f>
        <v>402.79698021419853</v>
      </c>
      <c r="T41" s="60">
        <f t="shared" si="34"/>
        <v>218.26721063098552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99.4</v>
      </c>
      <c r="AJ41" s="14">
        <f>AI41*VLOOKUP('Données projet'!$B$10,Paramètres!$A$1:$I$89,3,0)*VLOOKUP('Données projet'!$B$10,Paramètres!$A$1:$I$89,5,0)</f>
        <v>85.285200000000017</v>
      </c>
      <c r="AK41" s="14">
        <f t="shared" si="35"/>
        <v>23.424592345455938</v>
      </c>
      <c r="AL41" s="22">
        <f t="shared" si="4"/>
        <v>189.33622166833575</v>
      </c>
      <c r="AM41" s="60">
        <f t="shared" si="5"/>
        <v>482.6695550016691</v>
      </c>
      <c r="AN41" s="60">
        <f ca="1">AVERAGE(OFFSET($AM$3,0,0,'Données projet'!$E$10+1,1))-AVERAGE(OFFSET($H$3,0,0,'Données projet'!$E$10+1,1))</f>
        <v>440.51611312502263</v>
      </c>
      <c r="AO41" s="60">
        <f t="shared" si="36"/>
        <v>176.81257896138806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4.8</v>
      </c>
      <c r="BD41" s="13">
        <f>IF('Données projet'!$A$88&gt;35,BD40+BC41-BL40,IF(A41&lt;'Données projet'!$A$88,$BA$205^A41,IF(A41='Données projet'!$A$88,'Données projet'!$B$88,BD40+BC41-BL40)))</f>
        <v>103.39999999999996</v>
      </c>
      <c r="BE41" s="14">
        <f>BD41*VLOOKUP('Données projet'!$B$11,Paramètres!$A$1:$I$89,3,0)*VLOOKUP('Données projet'!$B$11,Paramètres!$A$1:$I$89,5,0)</f>
        <v>83.878079999999969</v>
      </c>
      <c r="BF41" s="14">
        <f t="shared" si="37"/>
        <v>23.082766717296661</v>
      </c>
      <c r="BG41" s="22">
        <f t="shared" si="7"/>
        <v>186.29014136595831</v>
      </c>
      <c r="BH41" s="60">
        <f t="shared" si="8"/>
        <v>479.62347469929159</v>
      </c>
      <c r="BI41" s="60">
        <f ca="1">AVERAGE(OFFSET($BH$3,0,0,'Données projet'!$E$11+1,1))-AVERAGE(OFFSET($H$3,0,0,'Données projet'!$E$11+1,1))</f>
        <v>236.22643401787644</v>
      </c>
      <c r="BJ41" s="60">
        <f t="shared" si="38"/>
        <v>188.80444043778022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5.6</v>
      </c>
      <c r="BY41" s="13">
        <f>IF('Données projet'!$A$114&gt;35,BY40+BX41-CG40,IF(A41&lt;'Données projet'!$A$114,$BV$205^A41,IF(A41='Données projet'!$A$114,'Données projet'!$B$114,BY40+BX41-CG40)))</f>
        <v>111.79999999999998</v>
      </c>
      <c r="BZ41" s="14">
        <f>BY41*VLOOKUP('Données projet'!$B$12,Paramètres!$A$1:$I$89,3,0)*VLOOKUP('Données projet'!$B$12,Paramètres!$A$1:$I$89,5,0)</f>
        <v>97.668480000000002</v>
      </c>
      <c r="CA41" s="14">
        <f t="shared" si="39"/>
        <v>26.405784719550642</v>
      </c>
      <c r="CB41" s="22">
        <f t="shared" si="10"/>
        <v>216.09601105321735</v>
      </c>
      <c r="CC41" s="60">
        <f t="shared" si="11"/>
        <v>509.42934438655067</v>
      </c>
      <c r="CD41" s="60">
        <f ca="1">AVERAGE(OFFSET($CC$3,0,0,'Données projet'!$E$12+1,1))-AVERAGE(OFFSET($H$3,0,0,'Données projet'!$E$12+1,1))</f>
        <v>202.86354781280403</v>
      </c>
      <c r="CE41" s="60">
        <f t="shared" si="40"/>
        <v>217.25323885665131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163.14285714285708</v>
      </c>
      <c r="CU41" s="18">
        <f>CT41*VLOOKUP('Données projet'!$B$13,Paramètres!$A$1:$I$89,3,0)*VLOOKUP('Données projet'!$B$13,Paramètres!$A$1:$I$89,5,0)</f>
        <v>127.25142857142853</v>
      </c>
      <c r="CV41" s="14">
        <f t="shared" si="41"/>
        <v>33.360457439554281</v>
      </c>
      <c r="CW41" s="22">
        <f t="shared" si="13"/>
        <v>279.73236813579501</v>
      </c>
      <c r="CX41" s="60">
        <f t="shared" si="14"/>
        <v>573.06570146912827</v>
      </c>
      <c r="CY41" s="60">
        <f ca="1">AVERAGE(OFFSET($CX$3,0,0,'Données projet'!$E$13+1,1))-AVERAGE(OFFSET($H$3,0,0,'Données projet'!$E$13+1,1))</f>
        <v>288.82868507674738</v>
      </c>
      <c r="CZ41" s="60">
        <f t="shared" si="42"/>
        <v>283.48738729114024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108.33264000000003</v>
      </c>
      <c r="P42" s="14">
        <f t="shared" si="33"/>
        <v>28.937793020723745</v>
      </c>
      <c r="Q42" s="22">
        <f t="shared" si="53"/>
        <v>239.07933751109388</v>
      </c>
      <c r="R42" s="60">
        <f t="shared" si="0"/>
        <v>532.41267084442723</v>
      </c>
      <c r="S42" s="60">
        <f ca="1">AVERAGE(OFFSET($R$3,0,0,'Données projet'!$E$9+1,1))-AVERAGE(OFFSET($H$3,0,0,'Données projet'!$E$9+1,1))</f>
        <v>402.79698021419853</v>
      </c>
      <c r="T42" s="60">
        <f t="shared" si="34"/>
        <v>218.26721063098552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107.2</v>
      </c>
      <c r="AJ42" s="14">
        <f>AI42*VLOOKUP('Données projet'!$B$10,Paramètres!$A$1:$I$89,3,0)*VLOOKUP('Données projet'!$B$10,Paramètres!$A$1:$I$89,5,0)</f>
        <v>91.97760000000001</v>
      </c>
      <c r="AK42" s="14">
        <f t="shared" si="35"/>
        <v>25.041569477819937</v>
      </c>
      <c r="AL42" s="22">
        <f t="shared" si="4"/>
        <v>203.8083868405364</v>
      </c>
      <c r="AM42" s="60">
        <f t="shared" si="5"/>
        <v>497.14172017386971</v>
      </c>
      <c r="AN42" s="60">
        <f ca="1">AVERAGE(OFFSET($AM$3,0,0,'Données projet'!$E$10+1,1))-AVERAGE(OFFSET($H$3,0,0,'Données projet'!$E$10+1,1))</f>
        <v>440.51611312502263</v>
      </c>
      <c r="AO42" s="60">
        <f t="shared" si="36"/>
        <v>176.81257896138806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4.8</v>
      </c>
      <c r="BD42" s="13">
        <f>IF('Données projet'!$A$88&gt;35,BD41+BC42-BL41,IF(A42&lt;'Données projet'!$A$88,$BA$205^A42,IF(A42='Données projet'!$A$88,'Données projet'!$B$88,BD41+BC42-BL41)))</f>
        <v>108.19999999999996</v>
      </c>
      <c r="BE42" s="14">
        <f>BD42*VLOOKUP('Données projet'!$B$11,Paramètres!$A$1:$I$89,3,0)*VLOOKUP('Données projet'!$B$11,Paramètres!$A$1:$I$89,5,0)</f>
        <v>87.771839999999969</v>
      </c>
      <c r="BF42" s="14">
        <f t="shared" si="37"/>
        <v>24.027064931094866</v>
      </c>
      <c r="BG42" s="22">
        <f t="shared" si="7"/>
        <v>194.71642608832349</v>
      </c>
      <c r="BH42" s="60">
        <f t="shared" si="8"/>
        <v>488.0497594216568</v>
      </c>
      <c r="BI42" s="60">
        <f ca="1">AVERAGE(OFFSET($BH$3,0,0,'Données projet'!$E$11+1,1))-AVERAGE(OFFSET($H$3,0,0,'Données projet'!$E$11+1,1))</f>
        <v>236.22643401787644</v>
      </c>
      <c r="BJ42" s="60">
        <f t="shared" si="38"/>
        <v>188.80444043778022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5.6</v>
      </c>
      <c r="BY42" s="13">
        <f>IF('Données projet'!$A$114&gt;35,BY41+BX42-CG41,IF(A42&lt;'Données projet'!$A$114,$BV$205^A42,IF(A42='Données projet'!$A$114,'Données projet'!$B$114,BY41+BX42-CG41)))</f>
        <v>117.39999999999998</v>
      </c>
      <c r="BZ42" s="14">
        <f>BY42*VLOOKUP('Données projet'!$B$12,Paramètres!$A$1:$I$89,3,0)*VLOOKUP('Données projet'!$B$12,Paramètres!$A$1:$I$89,5,0)</f>
        <v>102.56064000000001</v>
      </c>
      <c r="CA42" s="14">
        <f t="shared" si="39"/>
        <v>27.571134131783779</v>
      </c>
      <c r="CB42" s="22">
        <f t="shared" si="10"/>
        <v>226.64617327952342</v>
      </c>
      <c r="CC42" s="60">
        <f t="shared" si="11"/>
        <v>519.97950661285677</v>
      </c>
      <c r="CD42" s="60">
        <f ca="1">AVERAGE(OFFSET($CC$3,0,0,'Données projet'!$E$12+1,1))-AVERAGE(OFFSET($H$3,0,0,'Données projet'!$E$12+1,1))</f>
        <v>202.86354781280403</v>
      </c>
      <c r="CE42" s="60">
        <f t="shared" si="40"/>
        <v>217.25323885665131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174.28571428571422</v>
      </c>
      <c r="CU42" s="18">
        <f>CT42*VLOOKUP('Données projet'!$B$13,Paramètres!$A$1:$I$89,3,0)*VLOOKUP('Données projet'!$B$13,Paramètres!$A$1:$I$89,5,0)</f>
        <v>135.94285714285709</v>
      </c>
      <c r="CV42" s="14">
        <f t="shared" si="41"/>
        <v>35.365986273808367</v>
      </c>
      <c r="CW42" s="22">
        <f t="shared" si="13"/>
        <v>298.36290228402567</v>
      </c>
      <c r="CX42" s="60">
        <f t="shared" si="14"/>
        <v>591.69623561735898</v>
      </c>
      <c r="CY42" s="60">
        <f ca="1">AVERAGE(OFFSET($CX$3,0,0,'Données projet'!$E$13+1,1))-AVERAGE(OFFSET($H$3,0,0,'Données projet'!$E$13+1,1))</f>
        <v>288.82868507674738</v>
      </c>
      <c r="CZ42" s="60">
        <f t="shared" si="42"/>
        <v>283.48738729114024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115.40880000000003</v>
      </c>
      <c r="P43" s="14">
        <f t="shared" si="33"/>
        <v>30.60175820334798</v>
      </c>
      <c r="Q43" s="22">
        <f t="shared" si="53"/>
        <v>254.30172220416443</v>
      </c>
      <c r="R43" s="60">
        <f t="shared" si="0"/>
        <v>547.63505553749769</v>
      </c>
      <c r="S43" s="60">
        <f ca="1">AVERAGE(OFFSET($R$3,0,0,'Données projet'!$E$9+1,1))-AVERAGE(OFFSET($H$3,0,0,'Données projet'!$E$9+1,1))</f>
        <v>402.79698021419853</v>
      </c>
      <c r="T43" s="60">
        <f t="shared" si="34"/>
        <v>218.26721063098552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115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115</v>
      </c>
      <c r="AJ43" s="14">
        <f>AI43*VLOOKUP('Données projet'!$B$10,Paramètres!$A$1:$I$89,3,0)*VLOOKUP('Données projet'!$B$10,Paramètres!$A$1:$I$89,5,0)</f>
        <v>98.670000000000016</v>
      </c>
      <c r="AK43" s="14">
        <f t="shared" si="35"/>
        <v>26.644896901954091</v>
      </c>
      <c r="AL43" s="22">
        <f t="shared" si="4"/>
        <v>218.25677877090342</v>
      </c>
      <c r="AM43" s="60">
        <f t="shared" si="5"/>
        <v>511.59011210423671</v>
      </c>
      <c r="AN43" s="60">
        <f ca="1">AVERAGE(OFFSET($AM$3,0,0,'Données projet'!$E$10+1,1))-AVERAGE(OFFSET($H$3,0,0,'Données projet'!$E$10+1,1))</f>
        <v>440.51611312502263</v>
      </c>
      <c r="AO43" s="60">
        <f t="shared" si="36"/>
        <v>176.81257896138806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113</v>
      </c>
      <c r="BB43" s="13">
        <f>VLOOKUP(A43,'Données projet'!$A$87:$I$107,9,0)</f>
        <v>4.8</v>
      </c>
      <c r="BC43" s="13">
        <f t="array" ref="BC43">INDEX(BB:BB,MIN(IF(ISNUMBER(BB43:BB239),ROW(BB43:BB239),"")))</f>
        <v>4.8</v>
      </c>
      <c r="BD43" s="13">
        <f>IF('Données projet'!$A$88&gt;35,BD42+BC43-BL42,IF(A43&lt;'Données projet'!$A$88,$BA$205^A43,IF(A43='Données projet'!$A$88,'Données projet'!$B$88,BD42+BC43-BL42)))</f>
        <v>112.99999999999996</v>
      </c>
      <c r="BE43" s="14">
        <f>BD43*VLOOKUP('Données projet'!$B$11,Paramètres!$A$1:$I$89,3,0)*VLOOKUP('Données projet'!$B$11,Paramètres!$A$1:$I$89,5,0)</f>
        <v>91.665599999999969</v>
      </c>
      <c r="BF43" s="14">
        <f t="shared" si="37"/>
        <v>24.966497888207439</v>
      </c>
      <c r="BG43" s="22">
        <f t="shared" si="7"/>
        <v>203.13423715529458</v>
      </c>
      <c r="BH43" s="60">
        <f t="shared" si="8"/>
        <v>496.46757048862787</v>
      </c>
      <c r="BI43" s="60">
        <f ca="1">AVERAGE(OFFSET($BH$3,0,0,'Données projet'!$E$11+1,1))-AVERAGE(OFFSET($H$3,0,0,'Données projet'!$E$11+1,1))</f>
        <v>236.22643401787644</v>
      </c>
      <c r="BJ43" s="60">
        <f t="shared" si="38"/>
        <v>188.80444043778022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123</v>
      </c>
      <c r="BW43" s="13">
        <f>VLOOKUP(A43,'Données projet'!$A$113:$I$133,9,0)</f>
        <v>5.6</v>
      </c>
      <c r="BX43" s="13">
        <f t="array" ref="BX43">INDEX(BW:BW,MIN(IF(ISNUMBER(BW43:BW239),ROW(BW43:BW239),"")))</f>
        <v>5.6</v>
      </c>
      <c r="BY43" s="13">
        <f>IF('Données projet'!$A$114&gt;35,BY42+BX43-CG42,IF(A43&lt;'Données projet'!$A$114,$BV$205^A43,IF(A43='Données projet'!$A$114,'Données projet'!$B$114,BY42+BX43-CG42)))</f>
        <v>122.99999999999997</v>
      </c>
      <c r="BZ43" s="14">
        <f>BY43*VLOOKUP('Données projet'!$B$12,Paramètres!$A$1:$I$89,3,0)*VLOOKUP('Données projet'!$B$12,Paramètres!$A$1:$I$89,5,0)</f>
        <v>107.4528</v>
      </c>
      <c r="CA43" s="14">
        <f t="shared" si="39"/>
        <v>28.7300285196239</v>
      </c>
      <c r="CB43" s="22">
        <f t="shared" si="10"/>
        <v>237.18509300501162</v>
      </c>
      <c r="CC43" s="60">
        <f t="shared" si="11"/>
        <v>530.51842633834497</v>
      </c>
      <c r="CD43" s="60">
        <f ca="1">AVERAGE(OFFSET($CC$3,0,0,'Données projet'!$E$12+1,1))-AVERAGE(OFFSET($H$3,0,0,'Données projet'!$E$12+1,1))</f>
        <v>202.86354781280403</v>
      </c>
      <c r="CE43" s="60">
        <f t="shared" si="40"/>
        <v>217.25323885665131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185.42857142857136</v>
      </c>
      <c r="CU43" s="18">
        <f>CT43*VLOOKUP('Données projet'!$B$13,Paramètres!$A$1:$I$89,3,0)*VLOOKUP('Données projet'!$B$13,Paramètres!$A$1:$I$89,5,0)</f>
        <v>144.63428571428565</v>
      </c>
      <c r="CV43" s="14">
        <f t="shared" si="41"/>
        <v>37.356634728420524</v>
      </c>
      <c r="CW43" s="22">
        <f t="shared" si="13"/>
        <v>316.96751977104657</v>
      </c>
      <c r="CX43" s="60">
        <f t="shared" si="14"/>
        <v>610.30085310437994</v>
      </c>
      <c r="CY43" s="60">
        <f ca="1">AVERAGE(OFFSET($CX$3,0,0,'Données projet'!$E$13+1,1))-AVERAGE(OFFSET($H$3,0,0,'Données projet'!$E$13+1,1))</f>
        <v>288.82868507674738</v>
      </c>
      <c r="CZ43" s="60">
        <f t="shared" si="42"/>
        <v>283.48738729114024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122.48496000000003</v>
      </c>
      <c r="P44" s="14">
        <f t="shared" si="33"/>
        <v>32.25388222264565</v>
      </c>
      <c r="Q44" s="22">
        <f t="shared" si="53"/>
        <v>269.50348353777451</v>
      </c>
      <c r="R44" s="60">
        <f t="shared" si="0"/>
        <v>562.83681687110789</v>
      </c>
      <c r="S44" s="60">
        <f ca="1">AVERAGE(OFFSET($R$3,0,0,'Données projet'!$E$9+1,1))-AVERAGE(OFFSET($H$3,0,0,'Données projet'!$E$9+1,1))</f>
        <v>402.79698021419853</v>
      </c>
      <c r="T44" s="60">
        <f t="shared" si="34"/>
        <v>218.26721063098552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</v>
      </c>
      <c r="AI44" s="14">
        <f>IF('Données projet'!$A$62&gt;35,AI43+AH44-AQ43,IF(A44&lt;'Données projet'!$A$62,$AF$205^A44,IF(A44='Données projet'!$A$62,'Données projet'!$B$62,AI43+AH44-AQ43)))</f>
        <v>123</v>
      </c>
      <c r="AJ44" s="14">
        <f>AI44*VLOOKUP('Données projet'!$B$10,Paramètres!$A$1:$I$89,3,0)*VLOOKUP('Données projet'!$B$10,Paramètres!$A$1:$I$89,5,0)</f>
        <v>105.53400000000001</v>
      </c>
      <c r="AK44" s="14">
        <f t="shared" si="35"/>
        <v>28.276235424052324</v>
      </c>
      <c r="AL44" s="22">
        <f t="shared" si="4"/>
        <v>233.05282669689112</v>
      </c>
      <c r="AM44" s="60">
        <f t="shared" si="5"/>
        <v>526.38616003022446</v>
      </c>
      <c r="AN44" s="60">
        <f ca="1">AVERAGE(OFFSET($AM$3,0,0,'Données projet'!$E$10+1,1))-AVERAGE(OFFSET($H$3,0,0,'Données projet'!$E$10+1,1))</f>
        <v>440.51611312502263</v>
      </c>
      <c r="AO44" s="60">
        <f t="shared" si="36"/>
        <v>176.81257896138806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4.8</v>
      </c>
      <c r="BD44" s="13">
        <f>IF('Données projet'!$A$88&gt;35,BD43+BC44-BL43,IF(A44&lt;'Données projet'!$A$88,$BA$205^A44,IF(A44='Données projet'!$A$88,'Données projet'!$B$88,BD43+BC44-BL43)))</f>
        <v>117.79999999999995</v>
      </c>
      <c r="BE44" s="14">
        <f>BD44*VLOOKUP('Données projet'!$B$11,Paramètres!$A$1:$I$89,3,0)*VLOOKUP('Données projet'!$B$11,Paramètres!$A$1:$I$89,5,0)</f>
        <v>95.55935999999997</v>
      </c>
      <c r="BF44" s="14">
        <f t="shared" si="37"/>
        <v>25.901295882154653</v>
      </c>
      <c r="BG44" s="22">
        <f t="shared" si="7"/>
        <v>211.5439756614193</v>
      </c>
      <c r="BH44" s="60">
        <f t="shared" si="8"/>
        <v>504.87730899475264</v>
      </c>
      <c r="BI44" s="60">
        <f ca="1">AVERAGE(OFFSET($BH$3,0,0,'Données projet'!$E$11+1,1))-AVERAGE(OFFSET($H$3,0,0,'Données projet'!$E$11+1,1))</f>
        <v>236.22643401787644</v>
      </c>
      <c r="BJ44" s="60">
        <f t="shared" si="38"/>
        <v>188.80444043778022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</v>
      </c>
      <c r="BY44" s="13">
        <f>IF('Données projet'!$A$114&gt;35,BY43+BX44-CG43,IF(A44&lt;'Données projet'!$A$114,$BV$205^A44,IF(A44='Données projet'!$A$114,'Données projet'!$B$114,BY43+BX44-CG43)))</f>
        <v>99.999999999999972</v>
      </c>
      <c r="BZ44" s="14">
        <f>BY44*VLOOKUP('Données projet'!$B$12,Paramètres!$A$1:$I$89,3,0)*VLOOKUP('Données projet'!$B$12,Paramètres!$A$1:$I$89,5,0)</f>
        <v>87.359999999999985</v>
      </c>
      <c r="CA44" s="14">
        <f t="shared" si="39"/>
        <v>23.927421530185931</v>
      </c>
      <c r="CB44" s="22">
        <f t="shared" si="10"/>
        <v>193.82559249840713</v>
      </c>
      <c r="CC44" s="60">
        <f t="shared" si="11"/>
        <v>487.15892583174048</v>
      </c>
      <c r="CD44" s="60">
        <f ca="1">AVERAGE(OFFSET($CC$3,0,0,'Données projet'!$E$12+1,1))-AVERAGE(OFFSET($H$3,0,0,'Données projet'!$E$12+1,1))</f>
        <v>202.86354781280403</v>
      </c>
      <c r="CE44" s="60">
        <f t="shared" si="40"/>
        <v>217.25323885665131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</v>
      </c>
      <c r="CU44" s="18">
        <f>CT44*VLOOKUP('Données projet'!$B$13,Paramètres!$A$1:$I$89,3,0)*VLOOKUP('Données projet'!$B$13,Paramètres!$A$1:$I$89,5,0)</f>
        <v>153.32571428571424</v>
      </c>
      <c r="CV44" s="14">
        <f t="shared" si="41"/>
        <v>39.333398837614155</v>
      </c>
      <c r="CW44" s="22">
        <f t="shared" si="13"/>
        <v>335.5479553564636</v>
      </c>
      <c r="CX44" s="60">
        <f t="shared" si="14"/>
        <v>628.88128868979697</v>
      </c>
      <c r="CY44" s="60">
        <f ca="1">AVERAGE(OFFSET($CX$3,0,0,'Données projet'!$E$13+1,1))-AVERAGE(OFFSET($H$3,0,0,'Données projet'!$E$13+1,1))</f>
        <v>288.82868507674738</v>
      </c>
      <c r="CZ44" s="60">
        <f t="shared" si="42"/>
        <v>283.48738729114024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129.56112000000005</v>
      </c>
      <c r="P45" s="14">
        <f t="shared" si="33"/>
        <v>33.894927099295955</v>
      </c>
      <c r="Q45" s="22">
        <f t="shared" si="53"/>
        <v>284.68594869794055</v>
      </c>
      <c r="R45" s="60">
        <f t="shared" si="0"/>
        <v>578.01928203127386</v>
      </c>
      <c r="S45" s="60">
        <f ca="1">AVERAGE(OFFSET($R$3,0,0,'Données projet'!$E$9+1,1))-AVERAGE(OFFSET($H$3,0,0,'Données projet'!$E$9+1,1))</f>
        <v>402.79698021419853</v>
      </c>
      <c r="T45" s="60">
        <f t="shared" si="34"/>
        <v>218.26721063098552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</v>
      </c>
      <c r="AI45" s="14">
        <f>IF('Données projet'!$A$62&gt;35,AI44+AH45-AQ44,IF(A45&lt;'Données projet'!$A$62,$AF$205^A45,IF(A45='Données projet'!$A$62,'Données projet'!$B$62,AI44+AH45-AQ44)))</f>
        <v>131</v>
      </c>
      <c r="AJ45" s="14">
        <f>AI45*VLOOKUP('Données projet'!$B$10,Paramètres!$A$1:$I$89,3,0)*VLOOKUP('Données projet'!$B$10,Paramètres!$A$1:$I$89,5,0)</f>
        <v>112.39800000000002</v>
      </c>
      <c r="AK45" s="14">
        <f t="shared" si="35"/>
        <v>29.895260991861875</v>
      </c>
      <c r="AL45" s="22">
        <f t="shared" si="4"/>
        <v>247.82742956082612</v>
      </c>
      <c r="AM45" s="60">
        <f t="shared" si="5"/>
        <v>541.16076289415946</v>
      </c>
      <c r="AN45" s="60">
        <f ca="1">AVERAGE(OFFSET($AM$3,0,0,'Données projet'!$E$10+1,1))-AVERAGE(OFFSET($H$3,0,0,'Données projet'!$E$10+1,1))</f>
        <v>440.51611312502263</v>
      </c>
      <c r="AO45" s="60">
        <f t="shared" si="36"/>
        <v>176.81257896138806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4.8</v>
      </c>
      <c r="BD45" s="13">
        <f>IF('Données projet'!$A$88&gt;35,BD44+BC45-BL44,IF(A45&lt;'Données projet'!$A$88,$BA$205^A45,IF(A45='Données projet'!$A$88,'Données projet'!$B$88,BD44+BC45-BL44)))</f>
        <v>122.59999999999995</v>
      </c>
      <c r="BE45" s="14">
        <f>BD45*VLOOKUP('Données projet'!$B$11,Paramètres!$A$1:$I$89,3,0)*VLOOKUP('Données projet'!$B$11,Paramètres!$A$1:$I$89,5,0)</f>
        <v>99.453119999999956</v>
      </c>
      <c r="BF45" s="14">
        <f t="shared" si="37"/>
        <v>26.831669376836924</v>
      </c>
      <c r="BG45" s="22">
        <f t="shared" si="7"/>
        <v>219.94600816465757</v>
      </c>
      <c r="BH45" s="60">
        <f t="shared" si="8"/>
        <v>513.27934149799091</v>
      </c>
      <c r="BI45" s="60">
        <f ca="1">AVERAGE(OFFSET($BH$3,0,0,'Données projet'!$E$11+1,1))-AVERAGE(OFFSET($H$3,0,0,'Données projet'!$E$11+1,1))</f>
        <v>236.22643401787644</v>
      </c>
      <c r="BJ45" s="60">
        <f t="shared" si="38"/>
        <v>188.80444043778022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</v>
      </c>
      <c r="BY45" s="13">
        <f>IF('Données projet'!$A$114&gt;35,BY44+BX45-CG44,IF(A45&lt;'Données projet'!$A$114,$BV$205^A45,IF(A45='Données projet'!$A$114,'Données projet'!$B$114,BY44+BX45-CG44)))</f>
        <v>104.99999999999997</v>
      </c>
      <c r="BZ45" s="14">
        <f>BY45*VLOOKUP('Données projet'!$B$12,Paramètres!$A$1:$I$89,3,0)*VLOOKUP('Données projet'!$B$12,Paramètres!$A$1:$I$89,5,0)</f>
        <v>91.727999999999994</v>
      </c>
      <c r="CA45" s="14">
        <f t="shared" si="39"/>
        <v>24.981514582386563</v>
      </c>
      <c r="CB45" s="22">
        <f t="shared" si="10"/>
        <v>203.26907123098991</v>
      </c>
      <c r="CC45" s="60">
        <f t="shared" si="11"/>
        <v>496.60240456432325</v>
      </c>
      <c r="CD45" s="60">
        <f ca="1">AVERAGE(OFFSET($CC$3,0,0,'Données projet'!$E$12+1,1))-AVERAGE(OFFSET($H$3,0,0,'Données projet'!$E$12+1,1))</f>
        <v>202.86354781280403</v>
      </c>
      <c r="CE45" s="60">
        <f t="shared" si="40"/>
        <v>217.25323885665131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207.71428571428564</v>
      </c>
      <c r="CU45" s="18">
        <f>CT45*VLOOKUP('Données projet'!$B$13,Paramètres!$A$1:$I$89,3,0)*VLOOKUP('Données projet'!$B$13,Paramètres!$A$1:$I$89,5,0)</f>
        <v>162.0171428571428</v>
      </c>
      <c r="CV45" s="14">
        <f t="shared" si="41"/>
        <v>41.29715533509664</v>
      </c>
      <c r="CW45" s="22">
        <f t="shared" si="13"/>
        <v>354.10573601815037</v>
      </c>
      <c r="CX45" s="60">
        <f t="shared" si="14"/>
        <v>647.43906935148368</v>
      </c>
      <c r="CY45" s="60">
        <f ca="1">AVERAGE(OFFSET($CX$3,0,0,'Données projet'!$E$13+1,1))-AVERAGE(OFFSET($H$3,0,0,'Données projet'!$E$13+1,1))</f>
        <v>288.82868507674738</v>
      </c>
      <c r="CZ45" s="60">
        <f t="shared" si="42"/>
        <v>283.48738729114024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136.63728000000006</v>
      </c>
      <c r="P46" s="14">
        <f t="shared" si="33"/>
        <v>35.525566915250494</v>
      </c>
      <c r="Q46" s="22">
        <f t="shared" si="53"/>
        <v>299.85029171072807</v>
      </c>
      <c r="R46" s="60">
        <f t="shared" si="0"/>
        <v>593.18362504406139</v>
      </c>
      <c r="S46" s="60">
        <f ca="1">AVERAGE(OFFSET($R$3,0,0,'Données projet'!$E$9+1,1))-AVERAGE(OFFSET($H$3,0,0,'Données projet'!$E$9+1,1))</f>
        <v>402.79698021419853</v>
      </c>
      <c r="T46" s="60">
        <f t="shared" si="34"/>
        <v>218.26721063098552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</v>
      </c>
      <c r="AI46" s="14">
        <f>IF('Données projet'!$A$62&gt;35,AI45+AH46-AQ45,IF(A46&lt;'Données projet'!$A$62,$AF$205^A46,IF(A46='Données projet'!$A$62,'Données projet'!$B$62,AI45+AH46-AQ45)))</f>
        <v>139</v>
      </c>
      <c r="AJ46" s="14">
        <f>AI46*VLOOKUP('Données projet'!$B$10,Paramètres!$A$1:$I$89,3,0)*VLOOKUP('Données projet'!$B$10,Paramètres!$A$1:$I$89,5,0)</f>
        <v>119.26200000000001</v>
      </c>
      <c r="AK46" s="14">
        <f t="shared" si="35"/>
        <v>31.502811162802828</v>
      </c>
      <c r="AL46" s="22">
        <f t="shared" si="4"/>
        <v>262.58204610854824</v>
      </c>
      <c r="AM46" s="60">
        <f t="shared" si="5"/>
        <v>555.91537944188156</v>
      </c>
      <c r="AN46" s="60">
        <f ca="1">AVERAGE(OFFSET($AM$3,0,0,'Données projet'!$E$10+1,1))-AVERAGE(OFFSET($H$3,0,0,'Données projet'!$E$10+1,1))</f>
        <v>440.51611312502263</v>
      </c>
      <c r="AO46" s="60">
        <f t="shared" si="36"/>
        <v>176.81257896138806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4.8</v>
      </c>
      <c r="BD46" s="13">
        <f>IF('Données projet'!$A$88&gt;35,BD45+BC46-BL45,IF(A46&lt;'Données projet'!$A$88,$BA$205^A46,IF(A46='Données projet'!$A$88,'Données projet'!$B$88,BD45+BC46-BL45)))</f>
        <v>127.39999999999995</v>
      </c>
      <c r="BE46" s="14">
        <f>BD46*VLOOKUP('Données projet'!$B$11,Paramètres!$A$1:$I$89,3,0)*VLOOKUP('Données projet'!$B$11,Paramètres!$A$1:$I$89,5,0)</f>
        <v>103.34687999999997</v>
      </c>
      <c r="BF46" s="14">
        <f t="shared" si="37"/>
        <v>27.757811423037616</v>
      </c>
      <c r="BG46" s="22">
        <f t="shared" si="7"/>
        <v>228.34067089512379</v>
      </c>
      <c r="BH46" s="60">
        <f t="shared" si="8"/>
        <v>521.67400422845708</v>
      </c>
      <c r="BI46" s="60">
        <f ca="1">AVERAGE(OFFSET($BH$3,0,0,'Données projet'!$E$11+1,1))-AVERAGE(OFFSET($H$3,0,0,'Données projet'!$E$11+1,1))</f>
        <v>236.22643401787644</v>
      </c>
      <c r="BJ46" s="60">
        <f t="shared" si="38"/>
        <v>188.80444043778022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</v>
      </c>
      <c r="BY46" s="13">
        <f>IF('Données projet'!$A$114&gt;35,BY45+BX46-CG45,IF(A46&lt;'Données projet'!$A$114,$BV$205^A46,IF(A46='Données projet'!$A$114,'Données projet'!$B$114,BY45+BX46-CG45)))</f>
        <v>109.99999999999997</v>
      </c>
      <c r="BZ46" s="14">
        <f>BY46*VLOOKUP('Données projet'!$B$12,Paramètres!$A$1:$I$89,3,0)*VLOOKUP('Données projet'!$B$12,Paramètres!$A$1:$I$89,5,0)</f>
        <v>96.095999999999989</v>
      </c>
      <c r="CA46" s="14">
        <f t="shared" si="39"/>
        <v>26.029778784173352</v>
      </c>
      <c r="CB46" s="22">
        <f t="shared" si="10"/>
        <v>212.70239804910193</v>
      </c>
      <c r="CC46" s="60">
        <f t="shared" si="11"/>
        <v>506.03573138243524</v>
      </c>
      <c r="CD46" s="60">
        <f ca="1">AVERAGE(OFFSET($CC$3,0,0,'Données projet'!$E$12+1,1))-AVERAGE(OFFSET($H$3,0,0,'Données projet'!$E$12+1,1))</f>
        <v>202.86354781280403</v>
      </c>
      <c r="CE46" s="60">
        <f t="shared" si="40"/>
        <v>217.25323885665131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218.85714285714278</v>
      </c>
      <c r="CU46" s="18">
        <f>CT46*VLOOKUP('Données projet'!$B$13,Paramètres!$A$1:$I$89,3,0)*VLOOKUP('Données projet'!$B$13,Paramètres!$A$1:$I$89,5,0)</f>
        <v>170.70857142857136</v>
      </c>
      <c r="CV46" s="14">
        <f t="shared" si="41"/>
        <v>43.248681576985376</v>
      </c>
      <c r="CW46" s="22">
        <f t="shared" si="13"/>
        <v>372.64221565134466</v>
      </c>
      <c r="CX46" s="60">
        <f t="shared" si="14"/>
        <v>665.97554898467797</v>
      </c>
      <c r="CY46" s="60">
        <f ca="1">AVERAGE(OFFSET($CX$3,0,0,'Données projet'!$E$13+1,1))-AVERAGE(OFFSET($H$3,0,0,'Données projet'!$E$13+1,1))</f>
        <v>288.82868507674738</v>
      </c>
      <c r="CZ46" s="60">
        <f t="shared" si="42"/>
        <v>283.48738729114024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143.71344000000008</v>
      </c>
      <c r="P47" s="14">
        <f t="shared" si="33"/>
        <v>37.146401990372148</v>
      </c>
      <c r="Q47" s="22">
        <f t="shared" si="53"/>
        <v>314.99755813323162</v>
      </c>
      <c r="R47" s="60">
        <f t="shared" si="0"/>
        <v>608.33089146656494</v>
      </c>
      <c r="S47" s="60">
        <f ca="1">AVERAGE(OFFSET($R$3,0,0,'Données projet'!$E$9+1,1))-AVERAGE(OFFSET($H$3,0,0,'Données projet'!$E$9+1,1))</f>
        <v>402.79698021419853</v>
      </c>
      <c r="T47" s="60">
        <f t="shared" si="34"/>
        <v>218.26721063098552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</v>
      </c>
      <c r="AI47" s="14">
        <f>IF('Données projet'!$A$62&gt;35,AI46+AH47-AQ46,IF(A47&lt;'Données projet'!$A$62,$AF$205^A47,IF(A47='Données projet'!$A$62,'Données projet'!$B$62,AI46+AH47-AQ46)))</f>
        <v>147</v>
      </c>
      <c r="AJ47" s="14">
        <f>AI47*VLOOKUP('Données projet'!$B$10,Paramètres!$A$1:$I$89,3,0)*VLOOKUP('Données projet'!$B$10,Paramètres!$A$1:$I$89,5,0)</f>
        <v>126.12600000000002</v>
      </c>
      <c r="AK47" s="14">
        <f t="shared" si="35"/>
        <v>33.099621639161391</v>
      </c>
      <c r="AL47" s="22">
        <f t="shared" si="4"/>
        <v>277.31795768820609</v>
      </c>
      <c r="AM47" s="60">
        <f t="shared" si="5"/>
        <v>570.65129102153946</v>
      </c>
      <c r="AN47" s="60">
        <f ca="1">AVERAGE(OFFSET($AM$3,0,0,'Données projet'!$E$10+1,1))-AVERAGE(OFFSET($H$3,0,0,'Données projet'!$E$10+1,1))</f>
        <v>440.51611312502263</v>
      </c>
      <c r="AO47" s="60">
        <f t="shared" si="36"/>
        <v>176.81257896138806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4.8</v>
      </c>
      <c r="BD47" s="13">
        <f>IF('Données projet'!$A$88&gt;35,BD46+BC47-BL46,IF(A47&lt;'Données projet'!$A$88,$BA$205^A47,IF(A47='Données projet'!$A$88,'Données projet'!$B$88,BD46+BC47-BL46)))</f>
        <v>132.19999999999996</v>
      </c>
      <c r="BE47" s="14">
        <f>BD47*VLOOKUP('Données projet'!$B$11,Paramètres!$A$1:$I$89,3,0)*VLOOKUP('Données projet'!$B$11,Paramètres!$A$1:$I$89,5,0)</f>
        <v>107.24063999999998</v>
      </c>
      <c r="BF47" s="14">
        <f t="shared" si="37"/>
        <v>28.679899700503601</v>
      </c>
      <c r="BG47" s="22">
        <f t="shared" si="7"/>
        <v>236.72827331171041</v>
      </c>
      <c r="BH47" s="60">
        <f t="shared" si="8"/>
        <v>530.06160664504375</v>
      </c>
      <c r="BI47" s="60">
        <f ca="1">AVERAGE(OFFSET($BH$3,0,0,'Données projet'!$E$11+1,1))-AVERAGE(OFFSET($H$3,0,0,'Données projet'!$E$11+1,1))</f>
        <v>236.22643401787644</v>
      </c>
      <c r="BJ47" s="60">
        <f t="shared" si="38"/>
        <v>188.80444043778022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</v>
      </c>
      <c r="BY47" s="13">
        <f>IF('Données projet'!$A$114&gt;35,BY46+BX47-CG46,IF(A47&lt;'Données projet'!$A$114,$BV$205^A47,IF(A47='Données projet'!$A$114,'Données projet'!$B$114,BY46+BX47-CG46)))</f>
        <v>114.99999999999997</v>
      </c>
      <c r="BZ47" s="14">
        <f>BY47*VLOOKUP('Données projet'!$B$12,Paramètres!$A$1:$I$89,3,0)*VLOOKUP('Données projet'!$B$12,Paramètres!$A$1:$I$89,5,0)</f>
        <v>100.46399999999998</v>
      </c>
      <c r="CA47" s="14">
        <f t="shared" si="39"/>
        <v>27.072509349827456</v>
      </c>
      <c r="CB47" s="22">
        <f t="shared" si="10"/>
        <v>222.12608711761615</v>
      </c>
      <c r="CC47" s="60">
        <f t="shared" si="11"/>
        <v>515.45942045094944</v>
      </c>
      <c r="CD47" s="60">
        <f ca="1">AVERAGE(OFFSET($CC$3,0,0,'Données projet'!$E$12+1,1))-AVERAGE(OFFSET($H$3,0,0,'Données projet'!$E$12+1,1))</f>
        <v>202.86354781280403</v>
      </c>
      <c r="CE47" s="60">
        <f t="shared" si="40"/>
        <v>217.25323885665131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229.99999999999991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0">
        <f t="shared" si="14"/>
        <v>684.49193583334397</v>
      </c>
      <c r="CY47" s="60">
        <f ca="1">AVERAGE(OFFSET($CX$3,0,0,'Données projet'!$E$13+1,1))-AVERAGE(OFFSET($H$3,0,0,'Données projet'!$E$13+1,1))</f>
        <v>288.82868507674738</v>
      </c>
      <c r="CZ47" s="60">
        <f t="shared" si="42"/>
        <v>283.48738729114024</v>
      </c>
      <c r="DA47" s="16">
        <f>IF(ISNA(VLOOKUP(A47,'Données projet'!$A$139:$I$159,3,0)),0,VLOOKUP(A47,'Données projet'!$A$139:$I$159,3,0))</f>
        <v>6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150.78960000000006</v>
      </c>
      <c r="P48" s="14">
        <f t="shared" si="33"/>
        <v>38.757970187689722</v>
      </c>
      <c r="Q48" s="22">
        <f t="shared" si="53"/>
        <v>330.12868474355969</v>
      </c>
      <c r="R48" s="60">
        <f t="shared" si="0"/>
        <v>623.46201807689295</v>
      </c>
      <c r="S48" s="60">
        <f ca="1">AVERAGE(OFFSET($R$3,0,0,'Données projet'!$E$9+1,1))-AVERAGE(OFFSET($H$3,0,0,'Données projet'!$E$9+1,1))</f>
        <v>402.79698021419853</v>
      </c>
      <c r="T48" s="60">
        <f t="shared" si="34"/>
        <v>218.26721063098552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155</v>
      </c>
      <c r="AG48" s="13">
        <f>VLOOKUP(A48,'Données projet'!$A$61:$I$81,9,0)</f>
        <v>8</v>
      </c>
      <c r="AH48" s="13">
        <f t="array" ref="AH48">INDEX(AG:AG,MIN(IF(ISNUMBER(AG48:AG244),ROW(AG48:AG244),"")))</f>
        <v>8</v>
      </c>
      <c r="AI48" s="14">
        <f>IF('Données projet'!$A$62&gt;35,AI47+AH48-AQ47,IF(A48&lt;'Données projet'!$A$62,$AF$205^A48,IF(A48='Données projet'!$A$62,'Données projet'!$B$62,AI47+AH48-AQ47)))</f>
        <v>155</v>
      </c>
      <c r="AJ48" s="14">
        <f>AI48*VLOOKUP('Données projet'!$B$10,Paramètres!$A$1:$I$89,3,0)*VLOOKUP('Données projet'!$B$10,Paramètres!$A$1:$I$89,5,0)</f>
        <v>132.99</v>
      </c>
      <c r="AK48" s="14">
        <f t="shared" si="35"/>
        <v>34.686343524228057</v>
      </c>
      <c r="AL48" s="22">
        <f t="shared" si="4"/>
        <v>292.0362983046972</v>
      </c>
      <c r="AM48" s="60">
        <f t="shared" si="5"/>
        <v>585.36963163803057</v>
      </c>
      <c r="AN48" s="60">
        <f ca="1">AVERAGE(OFFSET($AM$3,0,0,'Données projet'!$E$10+1,1))-AVERAGE(OFFSET($H$3,0,0,'Données projet'!$E$10+1,1))</f>
        <v>440.51611312502263</v>
      </c>
      <c r="AO48" s="60">
        <f t="shared" si="36"/>
        <v>176.81257896138806</v>
      </c>
      <c r="AP48" s="16">
        <f>IF(ISNA(VLOOKUP(A48,'Données projet'!$A$61:$I$81,3,0)),0,VLOOKUP(A48,'Données projet'!$A$61:$I$81,3,0))</f>
        <v>2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137</v>
      </c>
      <c r="BB48" s="13">
        <f>VLOOKUP(A48,'Données projet'!$A$87:$I$107,9,0)</f>
        <v>4.8</v>
      </c>
      <c r="BC48" s="13">
        <f t="array" ref="BC48">INDEX(BB:BB,MIN(IF(ISNUMBER(BB48:BB244),ROW(BB48:BB244),"")))</f>
        <v>4.8</v>
      </c>
      <c r="BD48" s="13">
        <f>IF('Données projet'!$A$88&gt;35,BD47+BC48-BL47,IF(A48&lt;'Données projet'!$A$88,$BA$205^A48,IF(A48='Données projet'!$A$88,'Données projet'!$B$88,BD47+BC48-BL47)))</f>
        <v>136.99999999999997</v>
      </c>
      <c r="BE48" s="14">
        <f>BD48*VLOOKUP('Données projet'!$B$11,Paramètres!$A$1:$I$89,3,0)*VLOOKUP('Données projet'!$B$11,Paramètres!$A$1:$I$89,5,0)</f>
        <v>111.13439999999997</v>
      </c>
      <c r="BF48" s="14">
        <f t="shared" si="37"/>
        <v>29.598098255109335</v>
      </c>
      <c r="BG48" s="22">
        <f t="shared" si="7"/>
        <v>245.10910112764864</v>
      </c>
      <c r="BH48" s="60">
        <f t="shared" si="8"/>
        <v>538.44243446098199</v>
      </c>
      <c r="BI48" s="60">
        <f ca="1">AVERAGE(OFFSET($BH$3,0,0,'Données projet'!$E$11+1,1))-AVERAGE(OFFSET($H$3,0,0,'Données projet'!$E$11+1,1))</f>
        <v>236.22643401787644</v>
      </c>
      <c r="BJ48" s="60">
        <f t="shared" si="38"/>
        <v>188.80444043778022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120</v>
      </c>
      <c r="BW48" s="13">
        <f>VLOOKUP(A48,'Données projet'!$A$113:$I$133,9,0)</f>
        <v>5</v>
      </c>
      <c r="BX48" s="13">
        <f t="array" ref="BX48">INDEX(BW:BW,MIN(IF(ISNUMBER(BW48:BW244),ROW(BW48:BW244),"")))</f>
        <v>5</v>
      </c>
      <c r="BY48" s="13">
        <f>IF('Données projet'!$A$114&gt;35,BY47+BX48-CG47,IF(A48&lt;'Données projet'!$A$114,$BV$205^A48,IF(A48='Données projet'!$A$114,'Données projet'!$B$114,BY47+BX48-CG47)))</f>
        <v>119.99999999999997</v>
      </c>
      <c r="BZ48" s="14">
        <f>BY48*VLOOKUP('Données projet'!$B$12,Paramètres!$A$1:$I$89,3,0)*VLOOKUP('Données projet'!$B$12,Paramètres!$A$1:$I$89,5,0)</f>
        <v>104.83199999999998</v>
      </c>
      <c r="CA48" s="14">
        <f t="shared" si="39"/>
        <v>28.109974371137692</v>
      </c>
      <c r="CB48" s="22">
        <f t="shared" si="10"/>
        <v>231.54060536306474</v>
      </c>
      <c r="CC48" s="60">
        <f t="shared" si="11"/>
        <v>524.873938696398</v>
      </c>
      <c r="CD48" s="60">
        <f ca="1">AVERAGE(OFFSET($CC$3,0,0,'Données projet'!$E$12+1,1))-AVERAGE(OFFSET($H$3,0,0,'Données projet'!$E$12+1,1))</f>
        <v>202.86354781280403</v>
      </c>
      <c r="CE48" s="60">
        <f t="shared" si="40"/>
        <v>217.25323885665131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197.37499999999991</v>
      </c>
      <c r="CU48" s="18">
        <f>CT48*VLOOKUP('Données projet'!$B$13,Paramètres!$A$1:$I$89,3,0)*VLOOKUP('Données projet'!$B$13,Paramètres!$A$1:$I$89,5,0)</f>
        <v>153.95249999999993</v>
      </c>
      <c r="CV48" s="14">
        <f t="shared" si="41"/>
        <v>39.475441267837361</v>
      </c>
      <c r="CW48" s="22">
        <f t="shared" si="13"/>
        <v>336.88699770814992</v>
      </c>
      <c r="CX48" s="60">
        <f t="shared" si="14"/>
        <v>630.22033104148318</v>
      </c>
      <c r="CY48" s="60">
        <f ca="1">AVERAGE(OFFSET($CX$3,0,0,'Données projet'!$E$13+1,1))-AVERAGE(OFFSET($H$3,0,0,'Données projet'!$E$13+1,1))</f>
        <v>288.82868507674738</v>
      </c>
      <c r="CZ48" s="60">
        <f t="shared" si="42"/>
        <v>283.48738729114024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122.31648000000006</v>
      </c>
      <c r="P49" s="14">
        <f t="shared" si="33"/>
        <v>32.214677527967339</v>
      </c>
      <c r="Q49" s="22">
        <f t="shared" si="53"/>
        <v>269.14176602787654</v>
      </c>
      <c r="R49" s="60">
        <f t="shared" si="0"/>
        <v>562.47509936120991</v>
      </c>
      <c r="S49" s="60">
        <f ca="1">AVERAGE(OFFSET($R$3,0,0,'Données projet'!$E$9+1,1))-AVERAGE(OFFSET($H$3,0,0,'Données projet'!$E$9+1,1))</f>
        <v>402.79698021419853</v>
      </c>
      <c r="T49" s="60">
        <f t="shared" si="34"/>
        <v>218.26721063098552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121.19999999999999</v>
      </c>
      <c r="AJ49" s="14">
        <f>AI49*VLOOKUP('Données projet'!$B$10,Paramètres!$A$1:$I$89,3,0)*VLOOKUP('Données projet'!$B$10,Paramètres!$A$1:$I$89,5,0)</f>
        <v>103.9896</v>
      </c>
      <c r="AK49" s="14">
        <f t="shared" si="35"/>
        <v>27.91028988913331</v>
      </c>
      <c r="AL49" s="22">
        <f t="shared" si="4"/>
        <v>229.72564155690716</v>
      </c>
      <c r="AM49" s="60">
        <f t="shared" si="5"/>
        <v>523.05897489024051</v>
      </c>
      <c r="AN49" s="60">
        <f ca="1">AVERAGE(OFFSET($AM$3,0,0,'Données projet'!$E$10+1,1))-AVERAGE(OFFSET($H$3,0,0,'Données projet'!$E$10+1,1))</f>
        <v>440.51611312502263</v>
      </c>
      <c r="AO49" s="60">
        <f t="shared" si="36"/>
        <v>176.81257896138806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4.5999999999999996</v>
      </c>
      <c r="BD49" s="13">
        <f>IF('Données projet'!$A$88&gt;35,BD48+BC49-BL48,IF(A49&lt;'Données projet'!$A$88,$BA$205^A49,IF(A49='Données projet'!$A$88,'Données projet'!$B$88,BD48+BC49-BL48)))</f>
        <v>120.59999999999997</v>
      </c>
      <c r="BE49" s="14">
        <f>BD49*VLOOKUP('Données projet'!$B$11,Paramètres!$A$1:$I$89,3,0)*VLOOKUP('Données projet'!$B$11,Paramètres!$A$1:$I$89,5,0)</f>
        <v>97.830719999999971</v>
      </c>
      <c r="BF49" s="14">
        <f t="shared" si="37"/>
        <v>26.444538701397263</v>
      </c>
      <c r="BG49" s="22">
        <f t="shared" si="7"/>
        <v>216.44607557160018</v>
      </c>
      <c r="BH49" s="60">
        <f t="shared" si="8"/>
        <v>509.77940890493346</v>
      </c>
      <c r="BI49" s="60">
        <f ca="1">AVERAGE(OFFSET($BH$3,0,0,'Données projet'!$E$11+1,1))-AVERAGE(OFFSET($H$3,0,0,'Données projet'!$E$11+1,1))</f>
        <v>236.22643401787644</v>
      </c>
      <c r="BJ49" s="60">
        <f t="shared" si="38"/>
        <v>188.80444043778022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4.2</v>
      </c>
      <c r="BY49" s="13">
        <f>IF('Données projet'!$A$114&gt;35,BY48+BX49-CG48,IF(A49&lt;'Données projet'!$A$114,$BV$205^A49,IF(A49='Données projet'!$A$114,'Données projet'!$B$114,BY48+BX49-CG48)))</f>
        <v>124.19999999999997</v>
      </c>
      <c r="BZ49" s="14">
        <f>BY49*VLOOKUP('Données projet'!$B$12,Paramètres!$A$1:$I$89,3,0)*VLOOKUP('Données projet'!$B$12,Paramètres!$A$1:$I$89,5,0)</f>
        <v>108.50111999999999</v>
      </c>
      <c r="CA49" s="14">
        <f t="shared" si="39"/>
        <v>28.977555261594095</v>
      </c>
      <c r="CB49" s="22">
        <f t="shared" si="10"/>
        <v>239.44202608060968</v>
      </c>
      <c r="CC49" s="60">
        <f t="shared" si="11"/>
        <v>532.77535941394297</v>
      </c>
      <c r="CD49" s="60">
        <f ca="1">AVERAGE(OFFSET($CC$3,0,0,'Données projet'!$E$12+1,1))-AVERAGE(OFFSET($H$3,0,0,'Données projet'!$E$12+1,1))</f>
        <v>202.86354781280403</v>
      </c>
      <c r="CE49" s="60">
        <f t="shared" si="40"/>
        <v>217.25323885665131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207.74999999999991</v>
      </c>
      <c r="CU49" s="18">
        <f>CT49*VLOOKUP('Données projet'!$B$13,Paramètres!$A$1:$I$89,3,0)*VLOOKUP('Données projet'!$B$13,Paramètres!$A$1:$I$89,5,0)</f>
        <v>162.04499999999993</v>
      </c>
      <c r="CV49" s="14">
        <f t="shared" si="41"/>
        <v>41.303429372463391</v>
      </c>
      <c r="CW49" s="22">
        <f t="shared" si="13"/>
        <v>354.16518115704025</v>
      </c>
      <c r="CX49" s="60">
        <f t="shared" si="14"/>
        <v>647.49851449037351</v>
      </c>
      <c r="CY49" s="60">
        <f ca="1">AVERAGE(OFFSET($CX$3,0,0,'Données projet'!$E$13+1,1))-AVERAGE(OFFSET($H$3,0,0,'Données projet'!$E$13+1,1))</f>
        <v>288.82868507674738</v>
      </c>
      <c r="CZ49" s="60">
        <f t="shared" si="42"/>
        <v>283.48738729114024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129.22416000000004</v>
      </c>
      <c r="P50" s="14">
        <f t="shared" si="33"/>
        <v>33.817023080295762</v>
      </c>
      <c r="Q50" s="22">
        <f t="shared" si="53"/>
        <v>283.96339386484851</v>
      </c>
      <c r="R50" s="60">
        <f t="shared" si="0"/>
        <v>577.29672719818177</v>
      </c>
      <c r="S50" s="60">
        <f ca="1">AVERAGE(OFFSET($R$3,0,0,'Données projet'!$E$9+1,1))-AVERAGE(OFFSET($H$3,0,0,'Données projet'!$E$9+1,1))</f>
        <v>402.79698021419853</v>
      </c>
      <c r="T50" s="60">
        <f t="shared" si="34"/>
        <v>218.26721063098552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129.39999999999998</v>
      </c>
      <c r="AJ50" s="14">
        <f>AI50*VLOOKUP('Données projet'!$B$10,Paramètres!$A$1:$I$89,3,0)*VLOOKUP('Données projet'!$B$10,Paramètres!$A$1:$I$89,5,0)</f>
        <v>111.02519999999998</v>
      </c>
      <c r="AK50" s="14">
        <f t="shared" si="35"/>
        <v>29.572399121141618</v>
      </c>
      <c r="AL50" s="22">
        <f t="shared" si="4"/>
        <v>244.87415180265498</v>
      </c>
      <c r="AM50" s="60">
        <f t="shared" si="5"/>
        <v>538.20748513598824</v>
      </c>
      <c r="AN50" s="60">
        <f ca="1">AVERAGE(OFFSET($AM$3,0,0,'Données projet'!$E$10+1,1))-AVERAGE(OFFSET($H$3,0,0,'Données projet'!$E$10+1,1))</f>
        <v>440.51611312502263</v>
      </c>
      <c r="AO50" s="60">
        <f t="shared" si="36"/>
        <v>176.81257896138806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4.5999999999999996</v>
      </c>
      <c r="BD50" s="13">
        <f>IF('Données projet'!$A$88&gt;35,BD49+BC50-BL49,IF(A50&lt;'Données projet'!$A$88,$BA$205^A50,IF(A50='Données projet'!$A$88,'Données projet'!$B$88,BD49+BC50-BL49)))</f>
        <v>125.19999999999996</v>
      </c>
      <c r="BE50" s="14">
        <f>BD50*VLOOKUP('Données projet'!$B$11,Paramètres!$A$1:$I$89,3,0)*VLOOKUP('Données projet'!$B$11,Paramètres!$A$1:$I$89,5,0)</f>
        <v>101.56223999999997</v>
      </c>
      <c r="BF50" s="14">
        <f t="shared" si="37"/>
        <v>27.333843239980062</v>
      </c>
      <c r="BG50" s="22">
        <f t="shared" si="7"/>
        <v>224.49401164296523</v>
      </c>
      <c r="BH50" s="60">
        <f t="shared" si="8"/>
        <v>517.82734497629849</v>
      </c>
      <c r="BI50" s="60">
        <f ca="1">AVERAGE(OFFSET($BH$3,0,0,'Données projet'!$E$11+1,1))-AVERAGE(OFFSET($H$3,0,0,'Données projet'!$E$11+1,1))</f>
        <v>236.22643401787644</v>
      </c>
      <c r="BJ50" s="60">
        <f t="shared" si="38"/>
        <v>188.80444043778022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4.2</v>
      </c>
      <c r="BY50" s="13">
        <f>IF('Données projet'!$A$114&gt;35,BY49+BX50-CG49,IF(A50&lt;'Données projet'!$A$114,$BV$205^A50,IF(A50='Données projet'!$A$114,'Données projet'!$B$114,BY49+BX50-CG49)))</f>
        <v>128.39999999999998</v>
      </c>
      <c r="BZ50" s="14">
        <f>BY50*VLOOKUP('Données projet'!$B$12,Paramètres!$A$1:$I$89,3,0)*VLOOKUP('Données projet'!$B$12,Paramètres!$A$1:$I$89,5,0)</f>
        <v>112.17023999999999</v>
      </c>
      <c r="CA50" s="14">
        <f t="shared" si="39"/>
        <v>29.841727178418456</v>
      </c>
      <c r="CB50" s="22">
        <f t="shared" si="10"/>
        <v>247.3375095024121</v>
      </c>
      <c r="CC50" s="60">
        <f t="shared" si="11"/>
        <v>540.67084283574536</v>
      </c>
      <c r="CD50" s="60">
        <f ca="1">AVERAGE(OFFSET($CC$3,0,0,'Données projet'!$E$12+1,1))-AVERAGE(OFFSET($H$3,0,0,'Données projet'!$E$12+1,1))</f>
        <v>202.86354781280403</v>
      </c>
      <c r="CE50" s="60">
        <f t="shared" si="40"/>
        <v>217.25323885665131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218.12499999999991</v>
      </c>
      <c r="CU50" s="18">
        <f>CT50*VLOOKUP('Données projet'!$B$13,Paramètres!$A$1:$I$89,3,0)*VLOOKUP('Données projet'!$B$13,Paramètres!$A$1:$I$89,5,0)</f>
        <v>170.13749999999993</v>
      </c>
      <c r="CV50" s="14">
        <f t="shared" si="41"/>
        <v>43.120817562072375</v>
      </c>
      <c r="CW50" s="22">
        <f t="shared" si="13"/>
        <v>371.42490308727588</v>
      </c>
      <c r="CX50" s="60">
        <f t="shared" si="14"/>
        <v>664.75823642060914</v>
      </c>
      <c r="CY50" s="60">
        <f ca="1">AVERAGE(OFFSET($CX$3,0,0,'Données projet'!$E$13+1,1))-AVERAGE(OFFSET($H$3,0,0,'Données projet'!$E$13+1,1))</f>
        <v>288.82868507674738</v>
      </c>
      <c r="CZ50" s="60">
        <f t="shared" si="42"/>
        <v>283.48738729114024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136.13184000000004</v>
      </c>
      <c r="P51" s="14">
        <f t="shared" si="33"/>
        <v>35.40942452951419</v>
      </c>
      <c r="Q51" s="22">
        <f t="shared" si="53"/>
        <v>298.7677023889039</v>
      </c>
      <c r="R51" s="60">
        <f t="shared" si="0"/>
        <v>592.10103572223716</v>
      </c>
      <c r="S51" s="60">
        <f ca="1">AVERAGE(OFFSET($R$3,0,0,'Données projet'!$E$9+1,1))-AVERAGE(OFFSET($H$3,0,0,'Données projet'!$E$9+1,1))</f>
        <v>402.79698021419853</v>
      </c>
      <c r="T51" s="60">
        <f t="shared" si="34"/>
        <v>218.26721063098552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137.59999999999997</v>
      </c>
      <c r="AJ51" s="14">
        <f>AI51*VLOOKUP('Données projet'!$B$10,Paramètres!$A$1:$I$89,3,0)*VLOOKUP('Données projet'!$B$10,Paramètres!$A$1:$I$89,5,0)</f>
        <v>118.06079999999999</v>
      </c>
      <c r="AK51" s="14">
        <f t="shared" si="35"/>
        <v>31.222284778272353</v>
      </c>
      <c r="AL51" s="22">
        <f t="shared" si="4"/>
        <v>260.00137265549091</v>
      </c>
      <c r="AM51" s="60">
        <f t="shared" si="5"/>
        <v>553.33470598882423</v>
      </c>
      <c r="AN51" s="60">
        <f ca="1">AVERAGE(OFFSET($AM$3,0,0,'Données projet'!$E$10+1,1))-AVERAGE(OFFSET($H$3,0,0,'Données projet'!$E$10+1,1))</f>
        <v>440.51611312502263</v>
      </c>
      <c r="AO51" s="60">
        <f t="shared" si="36"/>
        <v>176.81257896138806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4.5999999999999996</v>
      </c>
      <c r="BD51" s="13">
        <f>IF('Données projet'!$A$88&gt;35,BD50+BC51-BL50,IF(A51&lt;'Données projet'!$A$88,$BA$205^A51,IF(A51='Données projet'!$A$88,'Données projet'!$B$88,BD50+BC51-BL50)))</f>
        <v>129.79999999999995</v>
      </c>
      <c r="BE51" s="14">
        <f>BD51*VLOOKUP('Données projet'!$B$11,Paramètres!$A$1:$I$89,3,0)*VLOOKUP('Données projet'!$B$11,Paramètres!$A$1:$I$89,5,0)</f>
        <v>105.29375999999998</v>
      </c>
      <c r="BF51" s="14">
        <f t="shared" si="37"/>
        <v>28.219351728981561</v>
      </c>
      <c r="BG51" s="22">
        <f t="shared" si="7"/>
        <v>232.53533626130948</v>
      </c>
      <c r="BH51" s="60">
        <f t="shared" si="8"/>
        <v>525.86866959464282</v>
      </c>
      <c r="BI51" s="60">
        <f ca="1">AVERAGE(OFFSET($BH$3,0,0,'Données projet'!$E$11+1,1))-AVERAGE(OFFSET($H$3,0,0,'Données projet'!$E$11+1,1))</f>
        <v>236.22643401787644</v>
      </c>
      <c r="BJ51" s="60">
        <f t="shared" si="38"/>
        <v>188.80444043778022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4.2</v>
      </c>
      <c r="BY51" s="13">
        <f>IF('Données projet'!$A$114&gt;35,BY50+BX51-CG50,IF(A51&lt;'Données projet'!$A$114,$BV$205^A51,IF(A51='Données projet'!$A$114,'Données projet'!$B$114,BY50+BX51-CG50)))</f>
        <v>132.59999999999997</v>
      </c>
      <c r="BZ51" s="14">
        <f>BY51*VLOOKUP('Données projet'!$B$12,Paramètres!$A$1:$I$89,3,0)*VLOOKUP('Données projet'!$B$12,Paramètres!$A$1:$I$89,5,0)</f>
        <v>115.83935999999999</v>
      </c>
      <c r="CA51" s="14">
        <f t="shared" si="39"/>
        <v>30.70261441799703</v>
      </c>
      <c r="CB51" s="22">
        <f t="shared" si="10"/>
        <v>255.22727211134475</v>
      </c>
      <c r="CC51" s="60">
        <f t="shared" si="11"/>
        <v>548.560605444678</v>
      </c>
      <c r="CD51" s="60">
        <f ca="1">AVERAGE(OFFSET($CC$3,0,0,'Données projet'!$E$12+1,1))-AVERAGE(OFFSET($H$3,0,0,'Données projet'!$E$12+1,1))</f>
        <v>202.86354781280403</v>
      </c>
      <c r="CE51" s="60">
        <f t="shared" si="40"/>
        <v>217.25323885665131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228.49999999999991</v>
      </c>
      <c r="CU51" s="18">
        <f>CT51*VLOOKUP('Données projet'!$B$13,Paramètres!$A$1:$I$89,3,0)*VLOOKUP('Données projet'!$B$13,Paramètres!$A$1:$I$89,5,0)</f>
        <v>178.22999999999993</v>
      </c>
      <c r="CV51" s="14">
        <f t="shared" si="41"/>
        <v>44.928167580487852</v>
      </c>
      <c r="CW51" s="22">
        <f t="shared" si="13"/>
        <v>388.66714186934951</v>
      </c>
      <c r="CX51" s="60">
        <f t="shared" si="14"/>
        <v>682.00047520268276</v>
      </c>
      <c r="CY51" s="60">
        <f ca="1">AVERAGE(OFFSET($CX$3,0,0,'Données projet'!$E$13+1,1))-AVERAGE(OFFSET($H$3,0,0,'Données projet'!$E$13+1,1))</f>
        <v>288.82868507674738</v>
      </c>
      <c r="CZ51" s="60">
        <f t="shared" si="42"/>
        <v>283.48738729114024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143.03952000000001</v>
      </c>
      <c r="P52" s="14">
        <f t="shared" si="33"/>
        <v>36.992444033168439</v>
      </c>
      <c r="Q52" s="22">
        <f t="shared" si="53"/>
        <v>313.55567069110168</v>
      </c>
      <c r="R52" s="60">
        <f t="shared" si="0"/>
        <v>606.88900402443505</v>
      </c>
      <c r="S52" s="60">
        <f ca="1">AVERAGE(OFFSET($R$3,0,0,'Données projet'!$E$9+1,1))-AVERAGE(OFFSET($H$3,0,0,'Données projet'!$E$9+1,1))</f>
        <v>402.79698021419853</v>
      </c>
      <c r="T52" s="60">
        <f t="shared" si="34"/>
        <v>218.26721063098552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145.79999999999995</v>
      </c>
      <c r="AJ52" s="14">
        <f>AI52*VLOOKUP('Données projet'!$B$10,Paramètres!$A$1:$I$89,3,0)*VLOOKUP('Données projet'!$B$10,Paramètres!$A$1:$I$89,5,0)</f>
        <v>125.09639999999997</v>
      </c>
      <c r="AK52" s="14">
        <f t="shared" si="35"/>
        <v>32.860758265272182</v>
      </c>
      <c r="AL52" s="22">
        <f t="shared" si="4"/>
        <v>275.10871731201564</v>
      </c>
      <c r="AM52" s="60">
        <f t="shared" si="5"/>
        <v>568.4420506453489</v>
      </c>
      <c r="AN52" s="60">
        <f ca="1">AVERAGE(OFFSET($AM$3,0,0,'Données projet'!$E$10+1,1))-AVERAGE(OFFSET($H$3,0,0,'Données projet'!$E$10+1,1))</f>
        <v>440.51611312502263</v>
      </c>
      <c r="AO52" s="60">
        <f t="shared" si="36"/>
        <v>176.81257896138806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4.5999999999999996</v>
      </c>
      <c r="BD52" s="13">
        <f>IF('Données projet'!$A$88&gt;35,BD51+BC52-BL51,IF(A52&lt;'Données projet'!$A$88,$BA$205^A52,IF(A52='Données projet'!$A$88,'Données projet'!$B$88,BD51+BC52-BL51)))</f>
        <v>134.39999999999995</v>
      </c>
      <c r="BE52" s="14">
        <f>BD52*VLOOKUP('Données projet'!$B$11,Paramètres!$A$1:$I$89,3,0)*VLOOKUP('Données projet'!$B$11,Paramètres!$A$1:$I$89,5,0)</f>
        <v>109.02527999999997</v>
      </c>
      <c r="BF52" s="14">
        <f t="shared" si="37"/>
        <v>29.101214110737224</v>
      </c>
      <c r="BG52" s="22">
        <f t="shared" si="7"/>
        <v>240.57031057620057</v>
      </c>
      <c r="BH52" s="60">
        <f t="shared" si="8"/>
        <v>533.90364390953391</v>
      </c>
      <c r="BI52" s="60">
        <f ca="1">AVERAGE(OFFSET($BH$3,0,0,'Données projet'!$E$11+1,1))-AVERAGE(OFFSET($H$3,0,0,'Données projet'!$E$11+1,1))</f>
        <v>236.22643401787644</v>
      </c>
      <c r="BJ52" s="60">
        <f t="shared" si="38"/>
        <v>188.80444043778022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4.2</v>
      </c>
      <c r="BY52" s="13">
        <f>IF('Données projet'!$A$114&gt;35,BY51+BX52-CG51,IF(A52&lt;'Données projet'!$A$114,$BV$205^A52,IF(A52='Données projet'!$A$114,'Données projet'!$B$114,BY51+BX52-CG51)))</f>
        <v>136.79999999999995</v>
      </c>
      <c r="BZ52" s="14">
        <f>BY52*VLOOKUP('Données projet'!$B$12,Paramètres!$A$1:$I$89,3,0)*VLOOKUP('Données projet'!$B$12,Paramètres!$A$1:$I$89,5,0)</f>
        <v>119.50847999999996</v>
      </c>
      <c r="CA52" s="14">
        <f t="shared" si="39"/>
        <v>31.560332955588962</v>
      </c>
      <c r="CB52" s="22">
        <f t="shared" si="10"/>
        <v>263.11151589765069</v>
      </c>
      <c r="CC52" s="60">
        <f t="shared" si="11"/>
        <v>556.444849230984</v>
      </c>
      <c r="CD52" s="60">
        <f ca="1">AVERAGE(OFFSET($CC$3,0,0,'Données projet'!$E$12+1,1))-AVERAGE(OFFSET($H$3,0,0,'Données projet'!$E$12+1,1))</f>
        <v>202.86354781280403</v>
      </c>
      <c r="CE52" s="60">
        <f t="shared" si="40"/>
        <v>217.25323885665131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238.87499999999991</v>
      </c>
      <c r="CU52" s="18">
        <f>CT52*VLOOKUP('Données projet'!$B$13,Paramètres!$A$1:$I$89,3,0)*VLOOKUP('Données projet'!$B$13,Paramètres!$A$1:$I$89,5,0)</f>
        <v>186.32249999999993</v>
      </c>
      <c r="CV52" s="14">
        <f t="shared" si="41"/>
        <v>46.725987276254116</v>
      </c>
      <c r="CW52" s="22">
        <f t="shared" si="13"/>
        <v>405.8927820061424</v>
      </c>
      <c r="CX52" s="60">
        <f t="shared" si="14"/>
        <v>699.22611533947565</v>
      </c>
      <c r="CY52" s="60">
        <f ca="1">AVERAGE(OFFSET($CX$3,0,0,'Données projet'!$E$13+1,1))-AVERAGE(OFFSET($H$3,0,0,'Données projet'!$E$13+1,1))</f>
        <v>288.82868507674738</v>
      </c>
      <c r="CZ52" s="60">
        <f t="shared" si="42"/>
        <v>283.48738729114024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149.94720000000001</v>
      </c>
      <c r="P53" s="14">
        <f t="shared" si="33"/>
        <v>38.566586385539779</v>
      </c>
      <c r="Q53" s="22">
        <f t="shared" si="53"/>
        <v>328.32817795481515</v>
      </c>
      <c r="R53" s="60">
        <f t="shared" si="0"/>
        <v>621.6615112881484</v>
      </c>
      <c r="S53" s="60">
        <f ca="1">AVERAGE(OFFSET($R$3,0,0,'Données projet'!$E$9+1,1))-AVERAGE(OFFSET($H$3,0,0,'Données projet'!$E$9+1,1))</f>
        <v>402.79698021419853</v>
      </c>
      <c r="T53" s="60">
        <f t="shared" si="34"/>
        <v>218.26721063098552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154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153.99999999999994</v>
      </c>
      <c r="AJ53" s="14">
        <f>AI53*VLOOKUP('Données projet'!$B$10,Paramètres!$A$1:$I$89,3,0)*VLOOKUP('Données projet'!$B$10,Paramètres!$A$1:$I$89,5,0)</f>
        <v>132.13199999999998</v>
      </c>
      <c r="AK53" s="14">
        <f t="shared" si="35"/>
        <v>34.488534562859115</v>
      </c>
      <c r="AL53" s="22">
        <f t="shared" si="4"/>
        <v>290.19743103031288</v>
      </c>
      <c r="AM53" s="60">
        <f t="shared" si="5"/>
        <v>583.5307643636462</v>
      </c>
      <c r="AN53" s="60">
        <f ca="1">AVERAGE(OFFSET($AM$3,0,0,'Données projet'!$E$10+1,1))-AVERAGE(OFFSET($H$3,0,0,'Données projet'!$E$10+1,1))</f>
        <v>440.51611312502263</v>
      </c>
      <c r="AO53" s="60">
        <f t="shared" si="36"/>
        <v>176.81257896138806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139</v>
      </c>
      <c r="BB53" s="13">
        <f>VLOOKUP(A53,'Données projet'!$A$87:$I$107,9,0)</f>
        <v>4.5999999999999996</v>
      </c>
      <c r="BC53" s="13">
        <f t="array" ref="BC53">INDEX(BB:BB,MIN(IF(ISNUMBER(BB53:BB249),ROW(BB53:BB249),"")))</f>
        <v>4.5999999999999996</v>
      </c>
      <c r="BD53" s="13">
        <f>IF('Données projet'!$A$88&gt;35,BD52+BC53-BL52,IF(A53&lt;'Données projet'!$A$88,$BA$205^A53,IF(A53='Données projet'!$A$88,'Données projet'!$B$88,BD52+BC53-BL52)))</f>
        <v>138.99999999999994</v>
      </c>
      <c r="BE53" s="14">
        <f>BD53*VLOOKUP('Données projet'!$B$11,Paramètres!$A$1:$I$89,3,0)*VLOOKUP('Données projet'!$B$11,Paramètres!$A$1:$I$89,5,0)</f>
        <v>112.75679999999996</v>
      </c>
      <c r="BF53" s="14">
        <f t="shared" si="37"/>
        <v>29.979569481474449</v>
      </c>
      <c r="BG53" s="22">
        <f t="shared" si="7"/>
        <v>248.59917684690126</v>
      </c>
      <c r="BH53" s="60">
        <f t="shared" si="8"/>
        <v>541.93251018023454</v>
      </c>
      <c r="BI53" s="60">
        <f ca="1">AVERAGE(OFFSET($BH$3,0,0,'Données projet'!$E$11+1,1))-AVERAGE(OFFSET($H$3,0,0,'Données projet'!$E$11+1,1))</f>
        <v>236.22643401787644</v>
      </c>
      <c r="BJ53" s="60">
        <f t="shared" si="38"/>
        <v>188.80444043778022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141</v>
      </c>
      <c r="BW53" s="13">
        <f>VLOOKUP(A53,'Données projet'!$A$113:$I$133,9,0)</f>
        <v>4.2</v>
      </c>
      <c r="BX53" s="13">
        <f t="array" ref="BX53">INDEX(BW:BW,MIN(IF(ISNUMBER(BW53:BW249),ROW(BW53:BW249),"")))</f>
        <v>4.2</v>
      </c>
      <c r="BY53" s="13">
        <f>IF('Données projet'!$A$114&gt;35,BY52+BX53-CG52,IF(A53&lt;'Données projet'!$A$114,$BV$205^A53,IF(A53='Données projet'!$A$114,'Données projet'!$B$114,BY52+BX53-CG52)))</f>
        <v>140.99999999999994</v>
      </c>
      <c r="BZ53" s="14">
        <f>BY53*VLOOKUP('Données projet'!$B$12,Paramètres!$A$1:$I$89,3,0)*VLOOKUP('Données projet'!$B$12,Paramètres!$A$1:$I$89,5,0)</f>
        <v>123.17759999999997</v>
      </c>
      <c r="CA53" s="14">
        <f t="shared" si="39"/>
        <v>32.414991240570416</v>
      </c>
      <c r="CB53" s="22">
        <f t="shared" si="10"/>
        <v>270.99042974399339</v>
      </c>
      <c r="CC53" s="60">
        <f t="shared" si="11"/>
        <v>564.3237630773267</v>
      </c>
      <c r="CD53" s="60">
        <f ca="1">AVERAGE(OFFSET($CC$3,0,0,'Données projet'!$E$12+1,1))-AVERAGE(OFFSET($H$3,0,0,'Données projet'!$E$12+1,1))</f>
        <v>202.86354781280403</v>
      </c>
      <c r="CE53" s="60">
        <f t="shared" si="40"/>
        <v>217.25323885665131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25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249.24999999999991</v>
      </c>
      <c r="CU53" s="18">
        <f>CT53*VLOOKUP('Données projet'!$B$13,Paramètres!$A$1:$I$89,3,0)*VLOOKUP('Données projet'!$B$13,Paramètres!$A$1:$I$89,5,0)</f>
        <v>194.41499999999994</v>
      </c>
      <c r="CV53" s="14">
        <f t="shared" si="41"/>
        <v>48.514737888684927</v>
      </c>
      <c r="CW53" s="22">
        <f t="shared" si="13"/>
        <v>423.10262682279273</v>
      </c>
      <c r="CX53" s="60">
        <f t="shared" si="14"/>
        <v>716.43596015612604</v>
      </c>
      <c r="CY53" s="60">
        <f ca="1">AVERAGE(OFFSET($CX$3,0,0,'Données projet'!$E$13+1,1))-AVERAGE(OFFSET($H$3,0,0,'Données projet'!$E$13+1,1))</f>
        <v>288.82868507674738</v>
      </c>
      <c r="CZ53" s="60">
        <f t="shared" si="42"/>
        <v>283.48738729114024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156.68640000000002</v>
      </c>
      <c r="P54" s="14">
        <f t="shared" si="33"/>
        <v>40.094215809840712</v>
      </c>
      <c r="Q54" s="22">
        <f t="shared" si="53"/>
        <v>342.7262392021392</v>
      </c>
      <c r="R54" s="60">
        <f t="shared" si="0"/>
        <v>636.05957253547251</v>
      </c>
      <c r="S54" s="60">
        <f ca="1">AVERAGE(OFFSET($R$3,0,0,'Données projet'!$E$9+1,1))-AVERAGE(OFFSET($H$3,0,0,'Données projet'!$E$9+1,1))</f>
        <v>402.79698021419853</v>
      </c>
      <c r="T54" s="60">
        <f t="shared" si="34"/>
        <v>218.26721063098552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IF('Données projet'!$A$62&gt;35,AI53+AH54-AQ53,IF(A54&lt;'Données projet'!$A$62,$AF$205^A54,IF(A54='Données projet'!$A$62,'Données projet'!$B$62,AI53+AH54-AQ53)))</f>
        <v>162.59999999999994</v>
      </c>
      <c r="AJ54" s="14">
        <f>AI54*VLOOKUP('Données projet'!$B$10,Paramètres!$A$1:$I$89,3,0)*VLOOKUP('Données projet'!$B$10,Paramètres!$A$1:$I$89,5,0)</f>
        <v>139.51079999999996</v>
      </c>
      <c r="AK54" s="14">
        <f t="shared" si="35"/>
        <v>36.184913823735059</v>
      </c>
      <c r="AL54" s="22">
        <f t="shared" si="4"/>
        <v>306.00336824300513</v>
      </c>
      <c r="AM54" s="60">
        <f t="shared" si="5"/>
        <v>599.33670157633844</v>
      </c>
      <c r="AN54" s="60">
        <f ca="1">AVERAGE(OFFSET($AM$3,0,0,'Données projet'!$E$10+1,1))-AVERAGE(OFFSET($H$3,0,0,'Données projet'!$E$10+1,1))</f>
        <v>440.51611312502263</v>
      </c>
      <c r="AO54" s="60">
        <f t="shared" si="36"/>
        <v>176.81257896138806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4.4000000000000004</v>
      </c>
      <c r="BD54" s="13">
        <f>IF('Données projet'!$A$88&gt;35,BD53+BC54-BL53,IF(A54&lt;'Données projet'!$A$88,$BA$205^A54,IF(A54='Données projet'!$A$88,'Données projet'!$B$88,BD53+BC54-BL53)))</f>
        <v>143.39999999999995</v>
      </c>
      <c r="BE54" s="14">
        <f>BD54*VLOOKUP('Données projet'!$B$11,Paramètres!$A$1:$I$89,3,0)*VLOOKUP('Données projet'!$B$11,Paramètres!$A$1:$I$89,5,0)</f>
        <v>116.32607999999996</v>
      </c>
      <c r="BF54" s="14">
        <f t="shared" si="37"/>
        <v>30.816573268521257</v>
      </c>
      <c r="BG54" s="22">
        <f t="shared" si="7"/>
        <v>256.27345444267445</v>
      </c>
      <c r="BH54" s="60">
        <f t="shared" si="8"/>
        <v>549.60678777600776</v>
      </c>
      <c r="BI54" s="60">
        <f ca="1">AVERAGE(OFFSET($BH$3,0,0,'Données projet'!$E$11+1,1))-AVERAGE(OFFSET($H$3,0,0,'Données projet'!$E$11+1,1))</f>
        <v>236.22643401787644</v>
      </c>
      <c r="BJ54" s="60">
        <f t="shared" si="38"/>
        <v>188.80444043778022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3.4</v>
      </c>
      <c r="BY54" s="13">
        <f>IF('Données projet'!$A$114&gt;35,BY53+BX54-CG53,IF(A54&lt;'Données projet'!$A$114,$BV$205^A54,IF(A54='Données projet'!$A$114,'Données projet'!$B$114,BY53+BX54-CG53)))</f>
        <v>119.39999999999995</v>
      </c>
      <c r="BZ54" s="14">
        <f>BY54*VLOOKUP('Données projet'!$B$12,Paramètres!$A$1:$I$89,3,0)*VLOOKUP('Données projet'!$B$12,Paramètres!$A$1:$I$89,5,0)</f>
        <v>104.30783999999997</v>
      </c>
      <c r="CA54" s="14">
        <f t="shared" si="39"/>
        <v>27.985748297693238</v>
      </c>
      <c r="CB54" s="22">
        <f t="shared" si="10"/>
        <v>230.41133295181569</v>
      </c>
      <c r="CC54" s="60">
        <f t="shared" si="11"/>
        <v>523.74466628514904</v>
      </c>
      <c r="CD54" s="60">
        <f ca="1">AVERAGE(OFFSET($CC$3,0,0,'Données projet'!$E$12+1,1))-AVERAGE(OFFSET($H$3,0,0,'Données projet'!$E$12+1,1))</f>
        <v>202.86354781280403</v>
      </c>
      <c r="CE54" s="60">
        <f t="shared" si="40"/>
        <v>217.25323885665131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259.62499999999989</v>
      </c>
      <c r="CU54" s="18">
        <f>CT54*VLOOKUP('Données projet'!$B$13,Paramètres!$A$1:$I$89,3,0)*VLOOKUP('Données projet'!$B$13,Paramètres!$A$1:$I$89,5,0)</f>
        <v>202.50749999999991</v>
      </c>
      <c r="CV54" s="14">
        <f t="shared" si="41"/>
        <v>50.294840086606349</v>
      </c>
      <c r="CW54" s="22">
        <f t="shared" si="13"/>
        <v>440.29740898417253</v>
      </c>
      <c r="CX54" s="60">
        <f t="shared" si="14"/>
        <v>733.63074231750579</v>
      </c>
      <c r="CY54" s="60">
        <f ca="1">AVERAGE(OFFSET($CX$3,0,0,'Données projet'!$E$13+1,1))-AVERAGE(OFFSET($H$3,0,0,'Données projet'!$E$13+1,1))</f>
        <v>288.82868507674738</v>
      </c>
      <c r="CZ54" s="60">
        <f t="shared" si="42"/>
        <v>283.48738729114024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163.4256</v>
      </c>
      <c r="P55" s="14">
        <f t="shared" si="33"/>
        <v>41.614213859377173</v>
      </c>
      <c r="Q55" s="22">
        <f t="shared" si="53"/>
        <v>357.11100913841528</v>
      </c>
      <c r="R55" s="60">
        <f t="shared" si="0"/>
        <v>650.44434247174854</v>
      </c>
      <c r="S55" s="60">
        <f ca="1">AVERAGE(OFFSET($R$3,0,0,'Données projet'!$E$9+1,1))-AVERAGE(OFFSET($H$3,0,0,'Données projet'!$E$9+1,1))</f>
        <v>402.79698021419853</v>
      </c>
      <c r="T55" s="60">
        <f t="shared" si="34"/>
        <v>218.26721063098552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IF('Données projet'!$A$62&gt;35,AI54+AH55-AQ54,IF(A55&lt;'Données projet'!$A$62,$AF$205^A55,IF(A55='Données projet'!$A$62,'Données projet'!$B$62,AI54+AH55-AQ54)))</f>
        <v>171.19999999999993</v>
      </c>
      <c r="AJ55" s="14">
        <f>AI55*VLOOKUP('Données projet'!$B$10,Paramètres!$A$1:$I$89,3,0)*VLOOKUP('Données projet'!$B$10,Paramètres!$A$1:$I$89,5,0)</f>
        <v>146.88959999999994</v>
      </c>
      <c r="AK55" s="14">
        <f t="shared" si="35"/>
        <v>37.870876352891472</v>
      </c>
      <c r="AL55" s="22">
        <f t="shared" si="4"/>
        <v>321.79116298128594</v>
      </c>
      <c r="AM55" s="60">
        <f t="shared" si="5"/>
        <v>615.12449631461925</v>
      </c>
      <c r="AN55" s="60">
        <f ca="1">AVERAGE(OFFSET($AM$3,0,0,'Données projet'!$E$10+1,1))-AVERAGE(OFFSET($H$3,0,0,'Données projet'!$E$10+1,1))</f>
        <v>440.51611312502263</v>
      </c>
      <c r="AO55" s="60">
        <f t="shared" si="36"/>
        <v>176.81257896138806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4.4000000000000004</v>
      </c>
      <c r="BD55" s="13">
        <f>IF('Données projet'!$A$88&gt;35,BD54+BC55-BL54,IF(A55&lt;'Données projet'!$A$88,$BA$205^A55,IF(A55='Données projet'!$A$88,'Données projet'!$B$88,BD54+BC55-BL54)))</f>
        <v>147.79999999999995</v>
      </c>
      <c r="BE55" s="14">
        <f>BD55*VLOOKUP('Données projet'!$B$11,Paramètres!$A$1:$I$89,3,0)*VLOOKUP('Données projet'!$B$11,Paramètres!$A$1:$I$89,5,0)</f>
        <v>119.89535999999997</v>
      </c>
      <c r="BF55" s="14">
        <f t="shared" si="37"/>
        <v>31.650592493512779</v>
      </c>
      <c r="BG55" s="22">
        <f t="shared" si="7"/>
        <v>263.94253392620135</v>
      </c>
      <c r="BH55" s="60">
        <f t="shared" si="8"/>
        <v>557.27586725953461</v>
      </c>
      <c r="BI55" s="60">
        <f ca="1">AVERAGE(OFFSET($BH$3,0,0,'Données projet'!$E$11+1,1))-AVERAGE(OFFSET($H$3,0,0,'Données projet'!$E$11+1,1))</f>
        <v>236.22643401787644</v>
      </c>
      <c r="BJ55" s="60">
        <f t="shared" si="38"/>
        <v>188.80444043778022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3.4</v>
      </c>
      <c r="BY55" s="13">
        <f>IF('Données projet'!$A$114&gt;35,BY54+BX55-CG54,IF(A55&lt;'Données projet'!$A$114,$BV$205^A55,IF(A55='Données projet'!$A$114,'Données projet'!$B$114,BY54+BX55-CG54)))</f>
        <v>122.79999999999995</v>
      </c>
      <c r="BZ55" s="14">
        <f>BY55*VLOOKUP('Données projet'!$B$12,Paramètres!$A$1:$I$89,3,0)*VLOOKUP('Données projet'!$B$12,Paramètres!$A$1:$I$89,5,0)</f>
        <v>107.27807999999999</v>
      </c>
      <c r="CA55" s="14">
        <f t="shared" si="39"/>
        <v>28.688746800886673</v>
      </c>
      <c r="CB55" s="22">
        <f t="shared" si="10"/>
        <v>236.80889001154424</v>
      </c>
      <c r="CC55" s="60">
        <f t="shared" si="11"/>
        <v>530.14222334487749</v>
      </c>
      <c r="CD55" s="60">
        <f ca="1">AVERAGE(OFFSET($CC$3,0,0,'Données projet'!$E$12+1,1))-AVERAGE(OFFSET($H$3,0,0,'Données projet'!$E$12+1,1))</f>
        <v>202.86354781280403</v>
      </c>
      <c r="CE55" s="60">
        <f t="shared" si="40"/>
        <v>217.25323885665131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269.99999999999989</v>
      </c>
      <c r="CU55" s="18">
        <f>CT55*VLOOKUP('Données projet'!$B$13,Paramètres!$A$1:$I$89,3,0)*VLOOKUP('Données projet'!$B$13,Paramètres!$A$1:$I$89,5,0)</f>
        <v>210.59999999999991</v>
      </c>
      <c r="CV55" s="14">
        <f t="shared" si="41"/>
        <v>52.066679014659961</v>
      </c>
      <c r="CW55" s="22">
        <f t="shared" si="13"/>
        <v>457.47779928386586</v>
      </c>
      <c r="CX55" s="60">
        <f t="shared" si="14"/>
        <v>750.81113261719918</v>
      </c>
      <c r="CY55" s="60">
        <f ca="1">AVERAGE(OFFSET($CX$3,0,0,'Données projet'!$E$13+1,1))-AVERAGE(OFFSET($H$3,0,0,'Données projet'!$E$13+1,1))</f>
        <v>288.82868507674738</v>
      </c>
      <c r="CZ55" s="60">
        <f t="shared" si="42"/>
        <v>283.48738729114024</v>
      </c>
      <c r="DA55" s="16">
        <f>IF(ISNA(VLOOKUP(A55,'Données projet'!$A$139:$I$159,3,0)),0,VLOOKUP(A55,'Données projet'!$A$139:$I$159,3,0))</f>
        <v>7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170.16480000000001</v>
      </c>
      <c r="P56" s="14">
        <f t="shared" si="33"/>
        <v>43.126931221446739</v>
      </c>
      <c r="Q56" s="22">
        <f t="shared" si="53"/>
        <v>371.4830985440197</v>
      </c>
      <c r="R56" s="60">
        <f t="shared" si="0"/>
        <v>664.81643187735301</v>
      </c>
      <c r="S56" s="60">
        <f ca="1">AVERAGE(OFFSET($R$3,0,0,'Données projet'!$E$9+1,1))-AVERAGE(OFFSET($H$3,0,0,'Données projet'!$E$9+1,1))</f>
        <v>402.79698021419853</v>
      </c>
      <c r="T56" s="60">
        <f t="shared" si="34"/>
        <v>218.26721063098552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IF('Données projet'!$A$62&gt;35,AI55+AH56-AQ55,IF(A56&lt;'Données projet'!$A$62,$AF$205^A56,IF(A56='Données projet'!$A$62,'Données projet'!$B$62,AI55+AH56-AQ55)))</f>
        <v>179.79999999999993</v>
      </c>
      <c r="AJ56" s="14">
        <f>AI56*VLOOKUP('Données projet'!$B$10,Paramètres!$A$1:$I$89,3,0)*VLOOKUP('Données projet'!$B$10,Paramètres!$A$1:$I$89,5,0)</f>
        <v>154.26839999999996</v>
      </c>
      <c r="AK56" s="14">
        <f t="shared" si="35"/>
        <v>39.547005127064722</v>
      </c>
      <c r="AL56" s="22">
        <f t="shared" si="4"/>
        <v>337.56183059630433</v>
      </c>
      <c r="AM56" s="60">
        <f t="shared" si="5"/>
        <v>630.89516392963765</v>
      </c>
      <c r="AN56" s="60">
        <f ca="1">AVERAGE(OFFSET($AM$3,0,0,'Données projet'!$E$10+1,1))-AVERAGE(OFFSET($H$3,0,0,'Données projet'!$E$10+1,1))</f>
        <v>440.51611312502263</v>
      </c>
      <c r="AO56" s="60">
        <f t="shared" si="36"/>
        <v>176.81257896138806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4.4000000000000004</v>
      </c>
      <c r="BD56" s="13">
        <f>IF('Données projet'!$A$88&gt;35,BD55+BC56-BL55,IF(A56&lt;'Données projet'!$A$88,$BA$205^A56,IF(A56='Données projet'!$A$88,'Données projet'!$B$88,BD55+BC56-BL55)))</f>
        <v>152.19999999999996</v>
      </c>
      <c r="BE56" s="14">
        <f>BD56*VLOOKUP('Données projet'!$B$11,Paramètres!$A$1:$I$89,3,0)*VLOOKUP('Données projet'!$B$11,Paramètres!$A$1:$I$89,5,0)</f>
        <v>123.46463999999997</v>
      </c>
      <c r="BF56" s="14">
        <f t="shared" si="37"/>
        <v>32.481726206916214</v>
      </c>
      <c r="BG56" s="22">
        <f t="shared" si="7"/>
        <v>271.60658781037904</v>
      </c>
      <c r="BH56" s="60">
        <f t="shared" si="8"/>
        <v>564.93992114371235</v>
      </c>
      <c r="BI56" s="60">
        <f ca="1">AVERAGE(OFFSET($BH$3,0,0,'Données projet'!$E$11+1,1))-AVERAGE(OFFSET($H$3,0,0,'Données projet'!$E$11+1,1))</f>
        <v>236.22643401787644</v>
      </c>
      <c r="BJ56" s="60">
        <f t="shared" si="38"/>
        <v>188.80444043778022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3.4</v>
      </c>
      <c r="BY56" s="13">
        <f>IF('Données projet'!$A$114&gt;35,BY55+BX56-CG55,IF(A56&lt;'Données projet'!$A$114,$BV$205^A56,IF(A56='Données projet'!$A$114,'Données projet'!$B$114,BY55+BX56-CG55)))</f>
        <v>126.19999999999996</v>
      </c>
      <c r="BZ56" s="14">
        <f>BY56*VLOOKUP('Données projet'!$B$12,Paramètres!$A$1:$I$89,3,0)*VLOOKUP('Données projet'!$B$12,Paramètres!$A$1:$I$89,5,0)</f>
        <v>110.24831999999998</v>
      </c>
      <c r="CA56" s="14">
        <f t="shared" si="39"/>
        <v>29.389483021072536</v>
      </c>
      <c r="CB56" s="22">
        <f t="shared" si="10"/>
        <v>243.20250692836794</v>
      </c>
      <c r="CC56" s="60">
        <f t="shared" si="11"/>
        <v>536.5358402617012</v>
      </c>
      <c r="CD56" s="60">
        <f ca="1">AVERAGE(OFFSET($CC$3,0,0,'Données projet'!$E$12+1,1))-AVERAGE(OFFSET($H$3,0,0,'Données projet'!$E$12+1,1))</f>
        <v>202.86354781280403</v>
      </c>
      <c r="CE56" s="60">
        <f t="shared" si="40"/>
        <v>217.25323885665131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231.37499999999989</v>
      </c>
      <c r="CU56" s="18">
        <f>CT56*VLOOKUP('Données projet'!$B$13,Paramètres!$A$1:$I$89,3,0)*VLOOKUP('Données projet'!$B$13,Paramètres!$A$1:$I$89,5,0)</f>
        <v>180.47249999999991</v>
      </c>
      <c r="CV56" s="14">
        <f t="shared" si="41"/>
        <v>45.427292666837829</v>
      </c>
      <c r="CW56" s="22">
        <f t="shared" si="13"/>
        <v>393.44213889474241</v>
      </c>
      <c r="CX56" s="60">
        <f t="shared" si="14"/>
        <v>686.77547222807573</v>
      </c>
      <c r="CY56" s="60">
        <f ca="1">AVERAGE(OFFSET($CX$3,0,0,'Données projet'!$E$13+1,1))-AVERAGE(OFFSET($H$3,0,0,'Données projet'!$E$13+1,1))</f>
        <v>288.82868507674738</v>
      </c>
      <c r="CZ56" s="60">
        <f t="shared" si="42"/>
        <v>283.48738729114024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176.90400000000002</v>
      </c>
      <c r="P57" s="14">
        <f t="shared" si="33"/>
        <v>44.632689233663157</v>
      </c>
      <c r="Q57" s="22">
        <f t="shared" si="53"/>
        <v>385.8430670819634</v>
      </c>
      <c r="R57" s="60">
        <f t="shared" si="0"/>
        <v>679.17640041529671</v>
      </c>
      <c r="S57" s="60">
        <f ca="1">AVERAGE(OFFSET($R$3,0,0,'Données projet'!$E$9+1,1))-AVERAGE(OFFSET($H$3,0,0,'Données projet'!$E$9+1,1))</f>
        <v>402.79698021419853</v>
      </c>
      <c r="T57" s="60">
        <f t="shared" si="34"/>
        <v>218.26721063098552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IF('Données projet'!$A$62&gt;35,AI56+AH57-AQ56,IF(A57&lt;'Données projet'!$A$62,$AF$205^A57,IF(A57='Données projet'!$A$62,'Données projet'!$B$62,AI56+AH57-AQ56)))</f>
        <v>188.39999999999992</v>
      </c>
      <c r="AJ57" s="14">
        <f>AI57*VLOOKUP('Données projet'!$B$10,Paramètres!$A$1:$I$89,3,0)*VLOOKUP('Données projet'!$B$10,Paramètres!$A$1:$I$89,5,0)</f>
        <v>161.64719999999994</v>
      </c>
      <c r="AK57" s="14">
        <f t="shared" si="35"/>
        <v>41.213824203214003</v>
      </c>
      <c r="AL57" s="22">
        <f t="shared" si="4"/>
        <v>353.31628382059762</v>
      </c>
      <c r="AM57" s="60">
        <f t="shared" si="5"/>
        <v>646.64961715393088</v>
      </c>
      <c r="AN57" s="60">
        <f ca="1">AVERAGE(OFFSET($AM$3,0,0,'Données projet'!$E$10+1,1))-AVERAGE(OFFSET($H$3,0,0,'Données projet'!$E$10+1,1))</f>
        <v>440.51611312502263</v>
      </c>
      <c r="AO57" s="60">
        <f t="shared" si="36"/>
        <v>176.81257896138806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4.4000000000000004</v>
      </c>
      <c r="BD57" s="13">
        <f>IF('Données projet'!$A$88&gt;35,BD56+BC57-BL56,IF(A57&lt;'Données projet'!$A$88,$BA$205^A57,IF(A57='Données projet'!$A$88,'Données projet'!$B$88,BD56+BC57-BL56)))</f>
        <v>156.59999999999997</v>
      </c>
      <c r="BE57" s="14">
        <f>BD57*VLOOKUP('Données projet'!$B$11,Paramètres!$A$1:$I$89,3,0)*VLOOKUP('Données projet'!$B$11,Paramètres!$A$1:$I$89,5,0)</f>
        <v>127.03391999999998</v>
      </c>
      <c r="BF57" s="14">
        <f t="shared" si="37"/>
        <v>33.31006740655728</v>
      </c>
      <c r="BG57" s="22">
        <f t="shared" si="7"/>
        <v>279.26577806642058</v>
      </c>
      <c r="BH57" s="60">
        <f t="shared" si="8"/>
        <v>572.59911139975384</v>
      </c>
      <c r="BI57" s="60">
        <f ca="1">AVERAGE(OFFSET($BH$3,0,0,'Données projet'!$E$11+1,1))-AVERAGE(OFFSET($H$3,0,0,'Données projet'!$E$11+1,1))</f>
        <v>236.22643401787644</v>
      </c>
      <c r="BJ57" s="60">
        <f t="shared" si="38"/>
        <v>188.80444043778022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3.4</v>
      </c>
      <c r="BY57" s="13">
        <f>IF('Données projet'!$A$114&gt;35,BY56+BX57-CG56,IF(A57&lt;'Données projet'!$A$114,$BV$205^A57,IF(A57='Données projet'!$A$114,'Données projet'!$B$114,BY56+BX57-CG56)))</f>
        <v>129.59999999999997</v>
      </c>
      <c r="BZ57" s="14">
        <f>BY57*VLOOKUP('Données projet'!$B$12,Paramètres!$A$1:$I$89,3,0)*VLOOKUP('Données projet'!$B$12,Paramètres!$A$1:$I$89,5,0)</f>
        <v>113.21856</v>
      </c>
      <c r="CA57" s="14">
        <f t="shared" si="39"/>
        <v>30.088024911766389</v>
      </c>
      <c r="CB57" s="22">
        <f t="shared" si="10"/>
        <v>249.59230205465974</v>
      </c>
      <c r="CC57" s="60">
        <f t="shared" si="11"/>
        <v>542.925635387993</v>
      </c>
      <c r="CD57" s="60">
        <f ca="1">AVERAGE(OFFSET($CC$3,0,0,'Données projet'!$E$12+1,1))-AVERAGE(OFFSET($H$3,0,0,'Données projet'!$E$12+1,1))</f>
        <v>202.86354781280403</v>
      </c>
      <c r="CE57" s="60">
        <f t="shared" si="40"/>
        <v>217.25323885665131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240.74999999999989</v>
      </c>
      <c r="CU57" s="18">
        <f>CT57*VLOOKUP('Données projet'!$B$13,Paramètres!$A$1:$I$89,3,0)*VLOOKUP('Données projet'!$B$13,Paramètres!$A$1:$I$89,5,0)</f>
        <v>187.78499999999991</v>
      </c>
      <c r="CV57" s="14">
        <f t="shared" si="41"/>
        <v>47.049914090154054</v>
      </c>
      <c r="CW57" s="22">
        <f t="shared" si="13"/>
        <v>409.0041420403515</v>
      </c>
      <c r="CX57" s="60">
        <f t="shared" si="14"/>
        <v>702.33747537368481</v>
      </c>
      <c r="CY57" s="60">
        <f ca="1">AVERAGE(OFFSET($CX$3,0,0,'Données projet'!$E$13+1,1))-AVERAGE(OFFSET($H$3,0,0,'Données projet'!$E$13+1,1))</f>
        <v>288.82868507674738</v>
      </c>
      <c r="CZ57" s="60">
        <f t="shared" si="42"/>
        <v>283.48738729114024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183.64320000000004</v>
      </c>
      <c r="P58" s="14">
        <f t="shared" si="33"/>
        <v>46.131783364105026</v>
      </c>
      <c r="Q58" s="22">
        <f t="shared" si="53"/>
        <v>400.19142935914965</v>
      </c>
      <c r="R58" s="60">
        <f t="shared" si="0"/>
        <v>693.52476269248291</v>
      </c>
      <c r="S58" s="60">
        <f ca="1">AVERAGE(OFFSET($R$3,0,0,'Données projet'!$E$9+1,1))-AVERAGE(OFFSET($H$3,0,0,'Données projet'!$E$9+1,1))</f>
        <v>402.79698021419853</v>
      </c>
      <c r="T58" s="60">
        <f t="shared" si="34"/>
        <v>218.26721063098552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IF('Données projet'!$A$62&gt;35,AI57+AH58-AQ57,IF(A58&lt;'Données projet'!$A$62,$AF$205^A58,IF(A58='Données projet'!$A$62,'Données projet'!$B$62,AI57+AH58-AQ57)))</f>
        <v>196.99999999999991</v>
      </c>
      <c r="AJ58" s="14">
        <f>AI58*VLOOKUP('Données projet'!$B$10,Paramètres!$A$1:$I$89,3,0)*VLOOKUP('Données projet'!$B$10,Paramètres!$A$1:$I$89,5,0)</f>
        <v>169.02599999999995</v>
      </c>
      <c r="AK58" s="14">
        <f t="shared" si="35"/>
        <v>42.87180709012236</v>
      </c>
      <c r="AL58" s="22">
        <f t="shared" si="4"/>
        <v>369.05534734862971</v>
      </c>
      <c r="AM58" s="60">
        <f t="shared" si="5"/>
        <v>662.38868068196302</v>
      </c>
      <c r="AN58" s="60">
        <f ca="1">AVERAGE(OFFSET($AM$3,0,0,'Données projet'!$E$10+1,1))-AVERAGE(OFFSET($H$3,0,0,'Données projet'!$E$10+1,1))</f>
        <v>440.51611312502263</v>
      </c>
      <c r="AO58" s="60">
        <f t="shared" si="36"/>
        <v>176.81257896138806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161</v>
      </c>
      <c r="BB58" s="13">
        <f>VLOOKUP(A58,'Données projet'!$A$87:$I$107,9,0)</f>
        <v>4.4000000000000004</v>
      </c>
      <c r="BC58" s="13">
        <f t="array" ref="BC58">INDEX(BB:BB,MIN(IF(ISNUMBER(BB58:BB254),ROW(BB58:BB254),"")))</f>
        <v>4.4000000000000004</v>
      </c>
      <c r="BD58" s="13">
        <f>IF('Données projet'!$A$88&gt;35,BD57+BC58-BL57,IF(A58&lt;'Données projet'!$A$88,$BA$205^A58,IF(A58='Données projet'!$A$88,'Données projet'!$B$88,BD57+BC58-BL57)))</f>
        <v>160.99999999999997</v>
      </c>
      <c r="BE58" s="14">
        <f>BD58*VLOOKUP('Données projet'!$B$11,Paramètres!$A$1:$I$89,3,0)*VLOOKUP('Données projet'!$B$11,Paramètres!$A$1:$I$89,5,0)</f>
        <v>130.60319999999999</v>
      </c>
      <c r="BF58" s="14">
        <f t="shared" si="37"/>
        <v>34.135703567016428</v>
      </c>
      <c r="BG58" s="22">
        <f t="shared" si="7"/>
        <v>286.9202570458869</v>
      </c>
      <c r="BH58" s="60">
        <f t="shared" si="8"/>
        <v>580.25359037922021</v>
      </c>
      <c r="BI58" s="60">
        <f ca="1">AVERAGE(OFFSET($BH$3,0,0,'Données projet'!$E$11+1,1))-AVERAGE(OFFSET($H$3,0,0,'Données projet'!$E$11+1,1))</f>
        <v>236.22643401787644</v>
      </c>
      <c r="BJ58" s="60">
        <f t="shared" si="38"/>
        <v>188.80444043778022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22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133</v>
      </c>
      <c r="BW58" s="13">
        <f>VLOOKUP(A58,'Données projet'!$A$113:$I$133,9,0)</f>
        <v>3.4</v>
      </c>
      <c r="BX58" s="13">
        <f t="array" ref="BX58">INDEX(BW:BW,MIN(IF(ISNUMBER(BW58:BW254),ROW(BW58:BW254),"")))</f>
        <v>3.4</v>
      </c>
      <c r="BY58" s="13">
        <f>IF('Données projet'!$A$114&gt;35,BY57+BX58-CG57,IF(A58&lt;'Données projet'!$A$114,$BV$205^A58,IF(A58='Données projet'!$A$114,'Données projet'!$B$114,BY57+BX58-CG57)))</f>
        <v>132.99999999999997</v>
      </c>
      <c r="BZ58" s="14">
        <f>BY58*VLOOKUP('Données projet'!$B$12,Paramètres!$A$1:$I$89,3,0)*VLOOKUP('Données projet'!$B$12,Paramètres!$A$1:$I$89,5,0)</f>
        <v>116.18879999999999</v>
      </c>
      <c r="CA58" s="14">
        <f t="shared" si="39"/>
        <v>30.784436657961702</v>
      </c>
      <c r="CB58" s="22">
        <f t="shared" si="10"/>
        <v>255.97838717928323</v>
      </c>
      <c r="CC58" s="60">
        <f t="shared" si="11"/>
        <v>549.3117205126166</v>
      </c>
      <c r="CD58" s="60">
        <f ca="1">AVERAGE(OFFSET($CC$3,0,0,'Données projet'!$E$12+1,1))-AVERAGE(OFFSET($H$3,0,0,'Données projet'!$E$12+1,1))</f>
        <v>202.86354781280403</v>
      </c>
      <c r="CE58" s="60">
        <f t="shared" si="40"/>
        <v>217.25323885665131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250.12499999999989</v>
      </c>
      <c r="CU58" s="18">
        <f>CT58*VLOOKUP('Données projet'!$B$13,Paramètres!$A$1:$I$89,3,0)*VLOOKUP('Données projet'!$B$13,Paramètres!$A$1:$I$89,5,0)</f>
        <v>195.09749999999991</v>
      </c>
      <c r="CV58" s="14">
        <f t="shared" si="41"/>
        <v>48.66519532492579</v>
      </c>
      <c r="CW58" s="22">
        <f t="shared" si="13"/>
        <v>424.55336102424553</v>
      </c>
      <c r="CX58" s="60">
        <f t="shared" si="14"/>
        <v>717.88669435757879</v>
      </c>
      <c r="CY58" s="60">
        <f ca="1">AVERAGE(OFFSET($CX$3,0,0,'Données projet'!$E$13+1,1))-AVERAGE(OFFSET($H$3,0,0,'Données projet'!$E$13+1,1))</f>
        <v>288.82868507674738</v>
      </c>
      <c r="CZ58" s="60">
        <f t="shared" si="42"/>
        <v>283.48738729114024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154.66464000000002</v>
      </c>
      <c r="P59" s="14">
        <f t="shared" si="33"/>
        <v>39.636745068698936</v>
      </c>
      <c r="Q59" s="22">
        <f t="shared" si="53"/>
        <v>338.40824566131732</v>
      </c>
      <c r="R59" s="60">
        <f t="shared" si="0"/>
        <v>631.74157899465058</v>
      </c>
      <c r="S59" s="60">
        <f ca="1">AVERAGE(OFFSET($R$3,0,0,'Données projet'!$E$9+1,1))-AVERAGE(OFFSET($H$3,0,0,'Données projet'!$E$9+1,1))</f>
        <v>402.79698021419853</v>
      </c>
      <c r="T59" s="60">
        <f t="shared" si="34"/>
        <v>218.26721063098552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8.4</v>
      </c>
      <c r="AI59" s="14">
        <f>IF('Données projet'!$A$62&gt;35,AI58+AH59-AQ58,IF(A59&lt;'Données projet'!$A$62,$AF$205^A59,IF(A59='Données projet'!$A$62,'Données projet'!$B$62,AI58+AH59-AQ58)))</f>
        <v>163.39999999999992</v>
      </c>
      <c r="AJ59" s="14">
        <f>AI59*VLOOKUP('Données projet'!$B$10,Paramètres!$A$1:$I$89,3,0)*VLOOKUP('Données projet'!$B$10,Paramètres!$A$1:$I$89,5,0)</f>
        <v>140.19719999999995</v>
      </c>
      <c r="AK59" s="14">
        <f t="shared" si="35"/>
        <v>36.34217754431797</v>
      </c>
      <c r="AL59" s="22">
        <f t="shared" si="4"/>
        <v>307.47274922302034</v>
      </c>
      <c r="AM59" s="60">
        <f t="shared" si="5"/>
        <v>600.80608255635366</v>
      </c>
      <c r="AN59" s="60">
        <f ca="1">AVERAGE(OFFSET($AM$3,0,0,'Données projet'!$E$10+1,1))-AVERAGE(OFFSET($H$3,0,0,'Données projet'!$E$10+1,1))</f>
        <v>440.51611312502263</v>
      </c>
      <c r="AO59" s="60">
        <f t="shared" si="36"/>
        <v>176.81257896138806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4.2</v>
      </c>
      <c r="BD59" s="13">
        <f>IF('Données projet'!$A$88&gt;35,BD58+BC59-BL58,IF(A59&lt;'Données projet'!$A$88,$BA$205^A59,IF(A59='Données projet'!$A$88,'Données projet'!$B$88,BD58+BC59-BL58)))</f>
        <v>143.19999999999996</v>
      </c>
      <c r="BE59" s="14">
        <f>BD59*VLOOKUP('Données projet'!$B$11,Paramètres!$A$1:$I$89,3,0)*VLOOKUP('Données projet'!$B$11,Paramètres!$A$1:$I$89,5,0)</f>
        <v>116.16383999999998</v>
      </c>
      <c r="BF59" s="14">
        <f t="shared" si="37"/>
        <v>30.778593163150692</v>
      </c>
      <c r="BG59" s="22">
        <f t="shared" si="7"/>
        <v>255.92473775915406</v>
      </c>
      <c r="BH59" s="60">
        <f t="shared" si="8"/>
        <v>549.2580710924874</v>
      </c>
      <c r="BI59" s="60">
        <f ca="1">AVERAGE(OFFSET($BH$3,0,0,'Données projet'!$E$11+1,1))-AVERAGE(OFFSET($H$3,0,0,'Données projet'!$E$11+1,1))</f>
        <v>236.22643401787644</v>
      </c>
      <c r="BJ59" s="60">
        <f t="shared" si="38"/>
        <v>188.80444043778022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3.2</v>
      </c>
      <c r="BY59" s="13">
        <f>IF('Données projet'!$A$114&gt;35,BY58+BX59-CG58,IF(A59&lt;'Données projet'!$A$114,$BV$205^A59,IF(A59='Données projet'!$A$114,'Données projet'!$B$114,BY58+BX59-CG58)))</f>
        <v>136.19999999999996</v>
      </c>
      <c r="BZ59" s="14">
        <f>BY59*VLOOKUP('Données projet'!$B$12,Paramètres!$A$1:$I$89,3,0)*VLOOKUP('Données projet'!$B$12,Paramètres!$A$1:$I$89,5,0)</f>
        <v>118.98432</v>
      </c>
      <c r="CA59" s="14">
        <f t="shared" si="39"/>
        <v>31.437991550787316</v>
      </c>
      <c r="CB59" s="22">
        <f t="shared" si="10"/>
        <v>261.98552595095452</v>
      </c>
      <c r="CC59" s="60">
        <f t="shared" si="11"/>
        <v>555.31885928428778</v>
      </c>
      <c r="CD59" s="60">
        <f ca="1">AVERAGE(OFFSET($CC$3,0,0,'Données projet'!$E$12+1,1))-AVERAGE(OFFSET($H$3,0,0,'Données projet'!$E$12+1,1))</f>
        <v>202.86354781280403</v>
      </c>
      <c r="CE59" s="60">
        <f t="shared" si="40"/>
        <v>217.25323885665131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259.49999999999989</v>
      </c>
      <c r="CU59" s="18">
        <f>CT59*VLOOKUP('Données projet'!$B$13,Paramètres!$A$1:$I$89,3,0)*VLOOKUP('Données projet'!$B$13,Paramètres!$A$1:$I$89,5,0)</f>
        <v>202.40999999999991</v>
      </c>
      <c r="CV59" s="14">
        <f t="shared" si="41"/>
        <v>50.273442991661817</v>
      </c>
      <c r="CW59" s="22">
        <f t="shared" si="13"/>
        <v>440.09032987714414</v>
      </c>
      <c r="CX59" s="60">
        <f t="shared" si="14"/>
        <v>733.42366321047746</v>
      </c>
      <c r="CY59" s="60">
        <f ca="1">AVERAGE(OFFSET($CX$3,0,0,'Données projet'!$E$13+1,1))-AVERAGE(OFFSET($H$3,0,0,'Données projet'!$E$13+1,1))</f>
        <v>288.82868507674738</v>
      </c>
      <c r="CZ59" s="60">
        <f t="shared" si="42"/>
        <v>283.48738729114024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161.06688000000003</v>
      </c>
      <c r="P60" s="14">
        <f t="shared" si="33"/>
        <v>41.083060013501324</v>
      </c>
      <c r="Q60" s="22">
        <f t="shared" si="53"/>
        <v>352.07781219018153</v>
      </c>
      <c r="R60" s="60">
        <f t="shared" si="0"/>
        <v>645.41114552351485</v>
      </c>
      <c r="S60" s="60">
        <f ca="1">AVERAGE(OFFSET($R$3,0,0,'Données projet'!$E$9+1,1))-AVERAGE(OFFSET($H$3,0,0,'Données projet'!$E$9+1,1))</f>
        <v>402.79698021419853</v>
      </c>
      <c r="T60" s="60">
        <f t="shared" si="34"/>
        <v>218.26721063098552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8.4</v>
      </c>
      <c r="AI60" s="14">
        <f>IF('Données projet'!$A$62&gt;35,AI59+AH60-AQ59,IF(A60&lt;'Données projet'!$A$62,$AF$205^A60,IF(A60='Données projet'!$A$62,'Données projet'!$B$62,AI59+AH60-AQ59)))</f>
        <v>171.79999999999993</v>
      </c>
      <c r="AJ60" s="14">
        <f>AI60*VLOOKUP('Données projet'!$B$10,Paramètres!$A$1:$I$89,3,0)*VLOOKUP('Données projet'!$B$10,Paramètres!$A$1:$I$89,5,0)</f>
        <v>147.40439999999995</v>
      </c>
      <c r="AK60" s="14">
        <f t="shared" si="35"/>
        <v>37.988128303043979</v>
      </c>
      <c r="AL60" s="22">
        <f t="shared" si="4"/>
        <v>322.89198679446821</v>
      </c>
      <c r="AM60" s="60">
        <f t="shared" si="5"/>
        <v>616.22532012780152</v>
      </c>
      <c r="AN60" s="60">
        <f ca="1">AVERAGE(OFFSET($AM$3,0,0,'Données projet'!$E$10+1,1))-AVERAGE(OFFSET($H$3,0,0,'Données projet'!$E$10+1,1))</f>
        <v>440.51611312502263</v>
      </c>
      <c r="AO60" s="60">
        <f t="shared" si="36"/>
        <v>176.81257896138806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4.2</v>
      </c>
      <c r="BD60" s="13">
        <f>IF('Données projet'!$A$88&gt;35,BD59+BC60-BL59,IF(A60&lt;'Données projet'!$A$88,$BA$205^A60,IF(A60='Données projet'!$A$88,'Données projet'!$B$88,BD59+BC60-BL59)))</f>
        <v>147.39999999999995</v>
      </c>
      <c r="BE60" s="14">
        <f>BD60*VLOOKUP('Données projet'!$B$11,Paramètres!$A$1:$I$89,3,0)*VLOOKUP('Données projet'!$B$11,Paramètres!$A$1:$I$89,5,0)</f>
        <v>119.57087999999997</v>
      </c>
      <c r="BF60" s="14">
        <f t="shared" si="37"/>
        <v>31.574893243250646</v>
      </c>
      <c r="BG60" s="22">
        <f t="shared" si="7"/>
        <v>263.24555506532818</v>
      </c>
      <c r="BH60" s="60">
        <f t="shared" si="8"/>
        <v>556.57888839866155</v>
      </c>
      <c r="BI60" s="60">
        <f ca="1">AVERAGE(OFFSET($BH$3,0,0,'Données projet'!$E$11+1,1))-AVERAGE(OFFSET($H$3,0,0,'Données projet'!$E$11+1,1))</f>
        <v>236.22643401787644</v>
      </c>
      <c r="BJ60" s="60">
        <f t="shared" si="38"/>
        <v>188.80444043778022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3.2</v>
      </c>
      <c r="BY60" s="13">
        <f>IF('Données projet'!$A$114&gt;35,BY59+BX60-CG59,IF(A60&lt;'Données projet'!$A$114,$BV$205^A60,IF(A60='Données projet'!$A$114,'Données projet'!$B$114,BY59+BX60-CG59)))</f>
        <v>139.39999999999995</v>
      </c>
      <c r="BZ60" s="14">
        <f>BY60*VLOOKUP('Données projet'!$B$12,Paramètres!$A$1:$I$89,3,0)*VLOOKUP('Données projet'!$B$12,Paramètres!$A$1:$I$89,5,0)</f>
        <v>121.77983999999996</v>
      </c>
      <c r="CA60" s="14">
        <f t="shared" si="39"/>
        <v>32.089761368755156</v>
      </c>
      <c r="CB60" s="22">
        <f t="shared" si="10"/>
        <v>267.98955571724849</v>
      </c>
      <c r="CC60" s="60">
        <f t="shared" si="11"/>
        <v>561.32288905058181</v>
      </c>
      <c r="CD60" s="60">
        <f ca="1">AVERAGE(OFFSET($CC$3,0,0,'Données projet'!$E$12+1,1))-AVERAGE(OFFSET($H$3,0,0,'Données projet'!$E$12+1,1))</f>
        <v>202.86354781280403</v>
      </c>
      <c r="CE60" s="60">
        <f t="shared" si="40"/>
        <v>217.25323885665131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268.87499999999989</v>
      </c>
      <c r="CU60" s="18">
        <f>CT60*VLOOKUP('Données projet'!$B$13,Paramètres!$A$1:$I$89,3,0)*VLOOKUP('Données projet'!$B$13,Paramètres!$A$1:$I$89,5,0)</f>
        <v>209.72249999999991</v>
      </c>
      <c r="CV60" s="14">
        <f t="shared" si="41"/>
        <v>51.874940300502246</v>
      </c>
      <c r="CW60" s="22">
        <f t="shared" si="13"/>
        <v>455.61554185670792</v>
      </c>
      <c r="CX60" s="60">
        <f t="shared" si="14"/>
        <v>748.94887519004124</v>
      </c>
      <c r="CY60" s="60">
        <f ca="1">AVERAGE(OFFSET($CX$3,0,0,'Données projet'!$E$13+1,1))-AVERAGE(OFFSET($H$3,0,0,'Données projet'!$E$13+1,1))</f>
        <v>288.82868507674738</v>
      </c>
      <c r="CZ60" s="60">
        <f t="shared" si="42"/>
        <v>283.48738729114024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167.46912</v>
      </c>
      <c r="P61" s="14">
        <f t="shared" si="33"/>
        <v>42.52269677930262</v>
      </c>
      <c r="Q61" s="22">
        <f t="shared" si="53"/>
        <v>365.73574755728538</v>
      </c>
      <c r="R61" s="60">
        <f t="shared" si="0"/>
        <v>659.06908089061869</v>
      </c>
      <c r="S61" s="60">
        <f ca="1">AVERAGE(OFFSET($R$3,0,0,'Données projet'!$E$9+1,1))-AVERAGE(OFFSET($H$3,0,0,'Données projet'!$E$9+1,1))</f>
        <v>402.79698021419853</v>
      </c>
      <c r="T61" s="60">
        <f t="shared" si="34"/>
        <v>218.26721063098552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8.4</v>
      </c>
      <c r="AI61" s="14">
        <f>IF('Données projet'!$A$62&gt;35,AI60+AH61-AQ60,IF(A61&lt;'Données projet'!$A$62,$AF$205^A61,IF(A61='Données projet'!$A$62,'Données projet'!$B$62,AI60+AH61-AQ60)))</f>
        <v>180.19999999999993</v>
      </c>
      <c r="AJ61" s="14">
        <f>AI61*VLOOKUP('Données projet'!$B$10,Paramètres!$A$1:$I$89,3,0)*VLOOKUP('Données projet'!$B$10,Paramètres!$A$1:$I$89,5,0)</f>
        <v>154.61159999999995</v>
      </c>
      <c r="AK61" s="14">
        <f t="shared" si="35"/>
        <v>39.624734188365849</v>
      </c>
      <c r="AL61" s="22">
        <f t="shared" si="4"/>
        <v>338.29494871140372</v>
      </c>
      <c r="AM61" s="60">
        <f t="shared" si="5"/>
        <v>631.62828204473703</v>
      </c>
      <c r="AN61" s="60">
        <f ca="1">AVERAGE(OFFSET($AM$3,0,0,'Données projet'!$E$10+1,1))-AVERAGE(OFFSET($H$3,0,0,'Données projet'!$E$10+1,1))</f>
        <v>440.51611312502263</v>
      </c>
      <c r="AO61" s="60">
        <f t="shared" si="36"/>
        <v>176.81257896138806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4.2</v>
      </c>
      <c r="BD61" s="13">
        <f>IF('Données projet'!$A$88&gt;35,BD60+BC61-BL60,IF(A61&lt;'Données projet'!$A$88,$BA$205^A61,IF(A61='Données projet'!$A$88,'Données projet'!$B$88,BD60+BC61-BL60)))</f>
        <v>151.59999999999994</v>
      </c>
      <c r="BE61" s="14">
        <f>BD61*VLOOKUP('Données projet'!$B$11,Paramètres!$A$1:$I$89,3,0)*VLOOKUP('Données projet'!$B$11,Paramètres!$A$1:$I$89,5,0)</f>
        <v>122.97791999999995</v>
      </c>
      <c r="BF61" s="14">
        <f t="shared" si="37"/>
        <v>32.36855624133463</v>
      </c>
      <c r="BG61" s="22">
        <f t="shared" si="7"/>
        <v>270.56177945365772</v>
      </c>
      <c r="BH61" s="60">
        <f t="shared" si="8"/>
        <v>563.89511278699104</v>
      </c>
      <c r="BI61" s="60">
        <f ca="1">AVERAGE(OFFSET($BH$3,0,0,'Données projet'!$E$11+1,1))-AVERAGE(OFFSET($H$3,0,0,'Données projet'!$E$11+1,1))</f>
        <v>236.22643401787644</v>
      </c>
      <c r="BJ61" s="60">
        <f t="shared" si="38"/>
        <v>188.80444043778022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3.2</v>
      </c>
      <c r="BY61" s="13">
        <f>IF('Données projet'!$A$114&gt;35,BY60+BX61-CG60,IF(A61&lt;'Données projet'!$A$114,$BV$205^A61,IF(A61='Données projet'!$A$114,'Données projet'!$B$114,BY60+BX61-CG60)))</f>
        <v>142.59999999999994</v>
      </c>
      <c r="BZ61" s="14">
        <f>BY61*VLOOKUP('Données projet'!$B$12,Paramètres!$A$1:$I$89,3,0)*VLOOKUP('Données projet'!$B$12,Paramètres!$A$1:$I$89,5,0)</f>
        <v>124.57535999999995</v>
      </c>
      <c r="CA61" s="14">
        <f t="shared" si="39"/>
        <v>32.739791806000952</v>
      </c>
      <c r="CB61" s="22">
        <f t="shared" si="10"/>
        <v>273.99055606211817</v>
      </c>
      <c r="CC61" s="60">
        <f t="shared" si="11"/>
        <v>567.32388939545149</v>
      </c>
      <c r="CD61" s="60">
        <f ca="1">AVERAGE(OFFSET($CC$3,0,0,'Données projet'!$E$12+1,1))-AVERAGE(OFFSET($H$3,0,0,'Données projet'!$E$12+1,1))</f>
        <v>202.86354781280403</v>
      </c>
      <c r="CE61" s="60">
        <f t="shared" si="40"/>
        <v>217.25323885665131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278.24999999999989</v>
      </c>
      <c r="CU61" s="18">
        <f>CT61*VLOOKUP('Données projet'!$B$13,Paramètres!$A$1:$I$89,3,0)*VLOOKUP('Données projet'!$B$13,Paramètres!$A$1:$I$89,5,0)</f>
        <v>217.03499999999991</v>
      </c>
      <c r="CV61" s="14">
        <f t="shared" si="41"/>
        <v>53.469949591969474</v>
      </c>
      <c r="CW61" s="22">
        <f t="shared" si="13"/>
        <v>471.12945387267996</v>
      </c>
      <c r="CX61" s="60">
        <f t="shared" si="14"/>
        <v>764.46278720601322</v>
      </c>
      <c r="CY61" s="60">
        <f ca="1">AVERAGE(OFFSET($CX$3,0,0,'Données projet'!$E$13+1,1))-AVERAGE(OFFSET($H$3,0,0,'Données projet'!$E$13+1,1))</f>
        <v>288.82868507674738</v>
      </c>
      <c r="CZ61" s="60">
        <f t="shared" si="42"/>
        <v>283.48738729114024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173.87135999999998</v>
      </c>
      <c r="P62" s="14">
        <f t="shared" si="33"/>
        <v>43.955939893839961</v>
      </c>
      <c r="Q62" s="22">
        <f t="shared" si="53"/>
        <v>379.3825473151046</v>
      </c>
      <c r="R62" s="60">
        <f t="shared" si="0"/>
        <v>672.71588064843786</v>
      </c>
      <c r="S62" s="60">
        <f ca="1">AVERAGE(OFFSET($R$3,0,0,'Données projet'!$E$9+1,1))-AVERAGE(OFFSET($H$3,0,0,'Données projet'!$E$9+1,1))</f>
        <v>402.79698021419853</v>
      </c>
      <c r="T62" s="60">
        <f t="shared" si="34"/>
        <v>218.26721063098552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8.4</v>
      </c>
      <c r="AI62" s="14">
        <f>IF('Données projet'!$A$62&gt;35,AI61+AH62-AQ61,IF(A62&lt;'Données projet'!$A$62,$AF$205^A62,IF(A62='Données projet'!$A$62,'Données projet'!$B$62,AI61+AH62-AQ61)))</f>
        <v>188.59999999999994</v>
      </c>
      <c r="AJ62" s="14">
        <f>AI62*VLOOKUP('Données projet'!$B$10,Paramètres!$A$1:$I$89,3,0)*VLOOKUP('Données projet'!$B$10,Paramètres!$A$1:$I$89,5,0)</f>
        <v>161.81879999999995</v>
      </c>
      <c r="AK62" s="14">
        <f t="shared" si="35"/>
        <v>41.252480557795202</v>
      </c>
      <c r="AL62" s="22">
        <f t="shared" si="4"/>
        <v>353.68248030482658</v>
      </c>
      <c r="AM62" s="60">
        <f t="shared" si="5"/>
        <v>647.0158136381599</v>
      </c>
      <c r="AN62" s="60">
        <f ca="1">AVERAGE(OFFSET($AM$3,0,0,'Données projet'!$E$10+1,1))-AVERAGE(OFFSET($H$3,0,0,'Données projet'!$E$10+1,1))</f>
        <v>440.51611312502263</v>
      </c>
      <c r="AO62" s="60">
        <f t="shared" si="36"/>
        <v>176.81257896138806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4.2</v>
      </c>
      <c r="BD62" s="13">
        <f>IF('Données projet'!$A$88&gt;35,BD61+BC62-BL61,IF(A62&lt;'Données projet'!$A$88,$BA$205^A62,IF(A62='Données projet'!$A$88,'Données projet'!$B$88,BD61+BC62-BL61)))</f>
        <v>155.79999999999993</v>
      </c>
      <c r="BE62" s="14">
        <f>BD62*VLOOKUP('Données projet'!$B$11,Paramètres!$A$1:$I$89,3,0)*VLOOKUP('Données projet'!$B$11,Paramètres!$A$1:$I$89,5,0)</f>
        <v>126.38495999999995</v>
      </c>
      <c r="BF62" s="14">
        <f t="shared" si="37"/>
        <v>33.15966361020606</v>
      </c>
      <c r="BG62" s="22">
        <f t="shared" si="7"/>
        <v>277.87355278777545</v>
      </c>
      <c r="BH62" s="60">
        <f t="shared" si="8"/>
        <v>571.20688612110871</v>
      </c>
      <c r="BI62" s="60">
        <f ca="1">AVERAGE(OFFSET($BH$3,0,0,'Données projet'!$E$11+1,1))-AVERAGE(OFFSET($H$3,0,0,'Données projet'!$E$11+1,1))</f>
        <v>236.22643401787644</v>
      </c>
      <c r="BJ62" s="60">
        <f t="shared" si="38"/>
        <v>188.80444043778022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3.2</v>
      </c>
      <c r="BY62" s="13">
        <f>IF('Données projet'!$A$114&gt;35,BY61+BX62-CG61,IF(A62&lt;'Données projet'!$A$114,$BV$205^A62,IF(A62='Données projet'!$A$114,'Données projet'!$B$114,BY61+BX62-CG61)))</f>
        <v>145.79999999999993</v>
      </c>
      <c r="BZ62" s="14">
        <f>BY62*VLOOKUP('Données projet'!$B$12,Paramètres!$A$1:$I$89,3,0)*VLOOKUP('Données projet'!$B$12,Paramètres!$A$1:$I$89,5,0)</f>
        <v>127.37087999999996</v>
      </c>
      <c r="CA62" s="14">
        <f t="shared" si="39"/>
        <v>33.388126388800494</v>
      </c>
      <c r="CB62" s="22">
        <f t="shared" si="10"/>
        <v>279.98860279382745</v>
      </c>
      <c r="CC62" s="60">
        <f t="shared" si="11"/>
        <v>573.32193612716082</v>
      </c>
      <c r="CD62" s="60">
        <f ca="1">AVERAGE(OFFSET($CC$3,0,0,'Données projet'!$E$12+1,1))-AVERAGE(OFFSET($H$3,0,0,'Données projet'!$E$12+1,1))</f>
        <v>202.86354781280403</v>
      </c>
      <c r="CE62" s="60">
        <f t="shared" si="40"/>
        <v>217.25323885665131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287.62499999999989</v>
      </c>
      <c r="CU62" s="18">
        <f>CT62*VLOOKUP('Données projet'!$B$13,Paramètres!$A$1:$I$89,3,0)*VLOOKUP('Données projet'!$B$13,Paramètres!$A$1:$I$89,5,0)</f>
        <v>224.34749999999991</v>
      </c>
      <c r="CV62" s="14">
        <f t="shared" si="41"/>
        <v>55.058714525680429</v>
      </c>
      <c r="CW62" s="22">
        <f t="shared" si="13"/>
        <v>486.63249029889329</v>
      </c>
      <c r="CX62" s="60">
        <f t="shared" si="14"/>
        <v>779.9658236322266</v>
      </c>
      <c r="CY62" s="60">
        <f ca="1">AVERAGE(OFFSET($CX$3,0,0,'Données projet'!$E$13+1,1))-AVERAGE(OFFSET($H$3,0,0,'Données projet'!$E$13+1,1))</f>
        <v>288.82868507674738</v>
      </c>
      <c r="CZ62" s="60">
        <f t="shared" si="42"/>
        <v>283.48738729114024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180.27359999999999</v>
      </c>
      <c r="P63" s="14">
        <f t="shared" si="33"/>
        <v>45.383051743938047</v>
      </c>
      <c r="Q63" s="22">
        <f t="shared" si="53"/>
        <v>393.01866845402537</v>
      </c>
      <c r="R63" s="60">
        <f t="shared" si="0"/>
        <v>686.35200178735863</v>
      </c>
      <c r="S63" s="60">
        <f ca="1">AVERAGE(OFFSET($R$3,0,0,'Données projet'!$E$9+1,1))-AVERAGE(OFFSET($H$3,0,0,'Données projet'!$E$9+1,1))</f>
        <v>402.79698021419853</v>
      </c>
      <c r="T63" s="60">
        <f t="shared" si="34"/>
        <v>218.26721063098552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197</v>
      </c>
      <c r="AG63" s="13">
        <f>VLOOKUP(A63,'Données projet'!$A$61:$I$81,9,0)</f>
        <v>8.4</v>
      </c>
      <c r="AH63" s="13">
        <f t="array" ref="AH63">INDEX(AG:AG,MIN(IF(ISNUMBER(AG63:AG259),ROW(AG63:AG259),"")))</f>
        <v>8.4</v>
      </c>
      <c r="AI63" s="14">
        <f>IF('Données projet'!$A$62&gt;35,AI62+AH63-AQ62,IF(A63&lt;'Données projet'!$A$62,$AF$205^A63,IF(A63='Données projet'!$A$62,'Données projet'!$B$62,AI62+AH63-AQ62)))</f>
        <v>196.99999999999994</v>
      </c>
      <c r="AJ63" s="14">
        <f>AI63*VLOOKUP('Données projet'!$B$10,Paramètres!$A$1:$I$89,3,0)*VLOOKUP('Données projet'!$B$10,Paramètres!$A$1:$I$89,5,0)</f>
        <v>169.02599999999998</v>
      </c>
      <c r="AK63" s="14">
        <f t="shared" si="35"/>
        <v>42.871807090122402</v>
      </c>
      <c r="AL63" s="22">
        <f t="shared" si="4"/>
        <v>369.05534734862982</v>
      </c>
      <c r="AM63" s="60">
        <f t="shared" si="5"/>
        <v>662.38868068196314</v>
      </c>
      <c r="AN63" s="60">
        <f ca="1">AVERAGE(OFFSET($AM$3,0,0,'Données projet'!$E$10+1,1))-AVERAGE(OFFSET($H$3,0,0,'Données projet'!$E$10+1,1))</f>
        <v>440.51611312502263</v>
      </c>
      <c r="AO63" s="60">
        <f t="shared" si="36"/>
        <v>176.81257896138806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160</v>
      </c>
      <c r="BB63" s="13">
        <f>VLOOKUP(A63,'Données projet'!$A$87:$I$107,9,0)</f>
        <v>4.2</v>
      </c>
      <c r="BC63" s="13">
        <f t="array" ref="BC63">INDEX(BB:BB,MIN(IF(ISNUMBER(BB63:BB259),ROW(BB63:BB259),"")))</f>
        <v>4.2</v>
      </c>
      <c r="BD63" s="13">
        <f>IF('Données projet'!$A$88&gt;35,BD62+BC63-BL62,IF(A63&lt;'Données projet'!$A$88,$BA$205^A63,IF(A63='Données projet'!$A$88,'Données projet'!$B$88,BD62+BC63-BL62)))</f>
        <v>159.99999999999991</v>
      </c>
      <c r="BE63" s="14">
        <f>BD63*VLOOKUP('Données projet'!$B$11,Paramètres!$A$1:$I$89,3,0)*VLOOKUP('Données projet'!$B$11,Paramètres!$A$1:$I$89,5,0)</f>
        <v>129.79199999999994</v>
      </c>
      <c r="BF63" s="14">
        <f t="shared" si="37"/>
        <v>33.948292161114985</v>
      </c>
      <c r="BG63" s="22">
        <f t="shared" si="7"/>
        <v>285.18100884727511</v>
      </c>
      <c r="BH63" s="60">
        <f t="shared" si="8"/>
        <v>578.51434218060842</v>
      </c>
      <c r="BI63" s="60">
        <f ca="1">AVERAGE(OFFSET($BH$3,0,0,'Données projet'!$E$11+1,1))-AVERAGE(OFFSET($H$3,0,0,'Données projet'!$E$11+1,1))</f>
        <v>236.22643401787644</v>
      </c>
      <c r="BJ63" s="60">
        <f t="shared" si="38"/>
        <v>188.80444043778022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149</v>
      </c>
      <c r="BW63" s="13">
        <f>VLOOKUP(A63,'Données projet'!$A$113:$I$133,9,0)</f>
        <v>3.2</v>
      </c>
      <c r="BX63" s="13">
        <f t="array" ref="BX63">INDEX(BW:BW,MIN(IF(ISNUMBER(BW63:BW259),ROW(BW63:BW259),"")))</f>
        <v>3.2</v>
      </c>
      <c r="BY63" s="13">
        <f>IF('Données projet'!$A$114&gt;35,BY62+BX63-CG62,IF(A63&lt;'Données projet'!$A$114,$BV$205^A63,IF(A63='Données projet'!$A$114,'Données projet'!$B$114,BY62+BX63-CG62)))</f>
        <v>148.99999999999991</v>
      </c>
      <c r="BZ63" s="14">
        <f>BY63*VLOOKUP('Données projet'!$B$12,Paramètres!$A$1:$I$89,3,0)*VLOOKUP('Données projet'!$B$12,Paramètres!$A$1:$I$89,5,0)</f>
        <v>130.16639999999992</v>
      </c>
      <c r="CA63" s="14">
        <f t="shared" si="39"/>
        <v>34.034806623706274</v>
      </c>
      <c r="CB63" s="22">
        <f t="shared" si="10"/>
        <v>285.98376820295493</v>
      </c>
      <c r="CC63" s="60">
        <f t="shared" si="11"/>
        <v>579.31710153628819</v>
      </c>
      <c r="CD63" s="60">
        <f ca="1">AVERAGE(OFFSET($CC$3,0,0,'Données projet'!$E$12+1,1))-AVERAGE(OFFSET($H$3,0,0,'Données projet'!$E$12+1,1))</f>
        <v>202.86354781280403</v>
      </c>
      <c r="CE63" s="60">
        <f t="shared" si="40"/>
        <v>217.25323885665131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16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296.99999999999989</v>
      </c>
      <c r="CU63" s="18">
        <f>CT63*VLOOKUP('Données projet'!$B$13,Paramètres!$A$1:$I$89,3,0)*VLOOKUP('Données projet'!$B$13,Paramètres!$A$1:$I$89,5,0)</f>
        <v>231.65999999999991</v>
      </c>
      <c r="CV63" s="14">
        <f t="shared" si="41"/>
        <v>56.641461975682766</v>
      </c>
      <c r="CW63" s="22">
        <f t="shared" si="13"/>
        <v>502.125046274314</v>
      </c>
      <c r="CX63" s="60">
        <f t="shared" si="14"/>
        <v>795.45837960764732</v>
      </c>
      <c r="CY63" s="60">
        <f ca="1">AVERAGE(OFFSET($CX$3,0,0,'Données projet'!$E$13+1,1))-AVERAGE(OFFSET($H$3,0,0,'Données projet'!$E$13+1,1))</f>
        <v>288.82868507674738</v>
      </c>
      <c r="CZ63" s="60">
        <f t="shared" si="42"/>
        <v>283.48738729114024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186.33887999999999</v>
      </c>
      <c r="P64" s="14">
        <f t="shared" si="33"/>
        <v>46.729616891297603</v>
      </c>
      <c r="Q64" s="22">
        <f t="shared" si="53"/>
        <v>405.92763208567663</v>
      </c>
      <c r="R64" s="60">
        <f t="shared" si="0"/>
        <v>699.26096541900995</v>
      </c>
      <c r="S64" s="60">
        <f ca="1">AVERAGE(OFFSET($R$3,0,0,'Données projet'!$E$9+1,1))-AVERAGE(OFFSET($H$3,0,0,'Données projet'!$E$9+1,1))</f>
        <v>402.79698021419853</v>
      </c>
      <c r="T64" s="60">
        <f t="shared" si="34"/>
        <v>218.26721063098552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8.1999999999999993</v>
      </c>
      <c r="AI64" s="14">
        <f>IF('Données projet'!$A$62&gt;35,AI63+AH64-AQ63,IF(A64&lt;'Données projet'!$A$62,$AF$205^A64,IF(A64='Données projet'!$A$62,'Données projet'!$B$62,AI63+AH64-AQ63)))</f>
        <v>205.19999999999993</v>
      </c>
      <c r="AJ64" s="14">
        <f>AI64*VLOOKUP('Données projet'!$B$10,Paramètres!$A$1:$I$89,3,0)*VLOOKUP('Données projet'!$B$10,Paramètres!$A$1:$I$89,5,0)</f>
        <v>176.06159999999997</v>
      </c>
      <c r="AK64" s="14">
        <f t="shared" si="35"/>
        <v>44.444839741138928</v>
      </c>
      <c r="AL64" s="22">
        <f t="shared" si="4"/>
        <v>384.04871588248358</v>
      </c>
      <c r="AM64" s="60">
        <f t="shared" si="5"/>
        <v>677.38204921581689</v>
      </c>
      <c r="AN64" s="60">
        <f ca="1">AVERAGE(OFFSET($AM$3,0,0,'Données projet'!$E$10+1,1))-AVERAGE(OFFSET($H$3,0,0,'Données projet'!$E$10+1,1))</f>
        <v>440.51611312502263</v>
      </c>
      <c r="AO64" s="60">
        <f t="shared" si="36"/>
        <v>176.81257896138806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</v>
      </c>
      <c r="BD64" s="13">
        <f>IF('Données projet'!$A$88&gt;35,BD63+BC64-BL63,IF(A64&lt;'Données projet'!$A$88,$BA$205^A64,IF(A64='Données projet'!$A$88,'Données projet'!$B$88,BD63+BC64-BL63)))</f>
        <v>163.99999999999991</v>
      </c>
      <c r="BE64" s="14">
        <f>BD64*VLOOKUP('Données projet'!$B$11,Paramètres!$A$1:$I$89,3,0)*VLOOKUP('Données projet'!$B$11,Paramètres!$A$1:$I$89,5,0)</f>
        <v>133.03679999999994</v>
      </c>
      <c r="BF64" s="14">
        <f t="shared" si="37"/>
        <v>34.697128823525233</v>
      </c>
      <c r="BG64" s="22">
        <f t="shared" si="7"/>
        <v>292.13659270097298</v>
      </c>
      <c r="BH64" s="60">
        <f t="shared" si="8"/>
        <v>585.46992603430635</v>
      </c>
      <c r="BI64" s="60">
        <f ca="1">AVERAGE(OFFSET($BH$3,0,0,'Données projet'!$E$11+1,1))-AVERAGE(OFFSET($H$3,0,0,'Données projet'!$E$11+1,1))</f>
        <v>236.22643401787644</v>
      </c>
      <c r="BJ64" s="60">
        <f t="shared" si="38"/>
        <v>188.80444043778022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2.6</v>
      </c>
      <c r="BY64" s="13">
        <f>IF('Données projet'!$A$114&gt;35,BY63+BX64-CG63,IF(A64&lt;'Données projet'!$A$114,$BV$205^A64,IF(A64='Données projet'!$A$114,'Données projet'!$B$114,BY63+BX64-CG63)))</f>
        <v>135.59999999999991</v>
      </c>
      <c r="BZ64" s="14">
        <f>BY64*VLOOKUP('Données projet'!$B$12,Paramètres!$A$1:$I$89,3,0)*VLOOKUP('Données projet'!$B$12,Paramètres!$A$1:$I$89,5,0)</f>
        <v>118.46015999999993</v>
      </c>
      <c r="CA64" s="14">
        <f t="shared" si="39"/>
        <v>31.315587396029649</v>
      </c>
      <c r="CB64" s="22">
        <f t="shared" si="10"/>
        <v>260.85942671475146</v>
      </c>
      <c r="CC64" s="60">
        <f t="shared" si="11"/>
        <v>554.19276004808478</v>
      </c>
      <c r="CD64" s="60">
        <f ca="1">AVERAGE(OFFSET($CC$3,0,0,'Données projet'!$E$12+1,1))-AVERAGE(OFFSET($H$3,0,0,'Données projet'!$E$12+1,1))</f>
        <v>202.86354781280403</v>
      </c>
      <c r="CE64" s="60">
        <f t="shared" si="40"/>
        <v>217.25323885665131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258.66666666666657</v>
      </c>
      <c r="CU64" s="18">
        <f>CT64*VLOOKUP('Données projet'!$B$13,Paramètres!$A$1:$I$89,3,0)*VLOOKUP('Données projet'!$B$13,Paramètres!$A$1:$I$89,5,0)</f>
        <v>201.75999999999993</v>
      </c>
      <c r="CV64" s="14">
        <f t="shared" si="41"/>
        <v>50.130765000424169</v>
      </c>
      <c r="CW64" s="22">
        <f t="shared" si="13"/>
        <v>438.70974904240529</v>
      </c>
      <c r="CX64" s="60">
        <f t="shared" si="14"/>
        <v>732.04308237573855</v>
      </c>
      <c r="CY64" s="60">
        <f ca="1">AVERAGE(OFFSET($CX$3,0,0,'Données projet'!$E$13+1,1))-AVERAGE(OFFSET($H$3,0,0,'Données projet'!$E$13+1,1))</f>
        <v>288.82868507674738</v>
      </c>
      <c r="CZ64" s="60">
        <f t="shared" si="42"/>
        <v>283.48738729114024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192.40415999999999</v>
      </c>
      <c r="P65" s="14">
        <f t="shared" si="33"/>
        <v>48.071088890795593</v>
      </c>
      <c r="Q65" s="22">
        <f t="shared" si="53"/>
        <v>418.82772515146894</v>
      </c>
      <c r="R65" s="60">
        <f t="shared" si="0"/>
        <v>712.1610584848022</v>
      </c>
      <c r="S65" s="60">
        <f ca="1">AVERAGE(OFFSET($R$3,0,0,'Données projet'!$E$9+1,1))-AVERAGE(OFFSET($H$3,0,0,'Données projet'!$E$9+1,1))</f>
        <v>402.79698021419853</v>
      </c>
      <c r="T65" s="60">
        <f t="shared" si="34"/>
        <v>218.26721063098552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8.1999999999999993</v>
      </c>
      <c r="AI65" s="14">
        <f>IF('Données projet'!$A$62&gt;35,AI64+AH65-AQ64,IF(A65&lt;'Données projet'!$A$62,$AF$205^A65,IF(A65='Données projet'!$A$62,'Données projet'!$B$62,AI64+AH65-AQ64)))</f>
        <v>213.39999999999992</v>
      </c>
      <c r="AJ65" s="14">
        <f>AI65*VLOOKUP('Données projet'!$B$10,Paramètres!$A$1:$I$89,3,0)*VLOOKUP('Données projet'!$B$10,Paramètres!$A$1:$I$89,5,0)</f>
        <v>183.09719999999996</v>
      </c>
      <c r="AK65" s="14">
        <f t="shared" si="35"/>
        <v>46.010570428845853</v>
      </c>
      <c r="AL65" s="22">
        <f t="shared" si="4"/>
        <v>399.02936683023978</v>
      </c>
      <c r="AM65" s="60">
        <f t="shared" si="5"/>
        <v>692.36270016357309</v>
      </c>
      <c r="AN65" s="60">
        <f ca="1">AVERAGE(OFFSET($AM$3,0,0,'Données projet'!$E$10+1,1))-AVERAGE(OFFSET($H$3,0,0,'Données projet'!$E$10+1,1))</f>
        <v>440.51611312502263</v>
      </c>
      <c r="AO65" s="60">
        <f t="shared" si="36"/>
        <v>176.81257896138806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</v>
      </c>
      <c r="BD65" s="13">
        <f>IF('Données projet'!$A$88&gt;35,BD64+BC65-BL64,IF(A65&lt;'Données projet'!$A$88,$BA$205^A65,IF(A65='Données projet'!$A$88,'Données projet'!$B$88,BD64+BC65-BL64)))</f>
        <v>167.99999999999991</v>
      </c>
      <c r="BE65" s="14">
        <f>BD65*VLOOKUP('Données projet'!$B$11,Paramètres!$A$1:$I$89,3,0)*VLOOKUP('Données projet'!$B$11,Paramètres!$A$1:$I$89,5,0)</f>
        <v>136.28159999999994</v>
      </c>
      <c r="BF65" s="14">
        <f t="shared" si="37"/>
        <v>35.443842312892279</v>
      </c>
      <c r="BG65" s="22">
        <f t="shared" si="7"/>
        <v>299.08847869495395</v>
      </c>
      <c r="BH65" s="60">
        <f t="shared" si="8"/>
        <v>592.42181202828726</v>
      </c>
      <c r="BI65" s="60">
        <f ca="1">AVERAGE(OFFSET($BH$3,0,0,'Données projet'!$E$11+1,1))-AVERAGE(OFFSET($H$3,0,0,'Données projet'!$E$11+1,1))</f>
        <v>236.22643401787644</v>
      </c>
      <c r="BJ65" s="60">
        <f t="shared" si="38"/>
        <v>188.80444043778022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2.6</v>
      </c>
      <c r="BY65" s="13">
        <f>IF('Données projet'!$A$114&gt;35,BY64+BX65-CG64,IF(A65&lt;'Données projet'!$A$114,$BV$205^A65,IF(A65='Données projet'!$A$114,'Données projet'!$B$114,BY64+BX65-CG64)))</f>
        <v>138.1999999999999</v>
      </c>
      <c r="BZ65" s="14">
        <f>BY65*VLOOKUP('Données projet'!$B$12,Paramètres!$A$1:$I$89,3,0)*VLOOKUP('Données projet'!$B$12,Paramètres!$A$1:$I$89,5,0)</f>
        <v>120.73151999999993</v>
      </c>
      <c r="CA65" s="14">
        <f t="shared" si="39"/>
        <v>31.845553926050336</v>
      </c>
      <c r="CB65" s="22">
        <f t="shared" si="10"/>
        <v>265.73840375453756</v>
      </c>
      <c r="CC65" s="60">
        <f t="shared" si="11"/>
        <v>559.07173708787082</v>
      </c>
      <c r="CD65" s="60">
        <f ca="1">AVERAGE(OFFSET($CC$3,0,0,'Données projet'!$E$12+1,1))-AVERAGE(OFFSET($H$3,0,0,'Données projet'!$E$12+1,1))</f>
        <v>202.86354781280403</v>
      </c>
      <c r="CE65" s="60">
        <f t="shared" si="40"/>
        <v>217.25323885665131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267.33333333333326</v>
      </c>
      <c r="CU65" s="18">
        <f>CT65*VLOOKUP('Données projet'!$B$13,Paramètres!$A$1:$I$89,3,0)*VLOOKUP('Données projet'!$B$13,Paramètres!$A$1:$I$89,5,0)</f>
        <v>208.51999999999995</v>
      </c>
      <c r="CV65" s="14">
        <f t="shared" si="41"/>
        <v>51.612035456318459</v>
      </c>
      <c r="CW65" s="22">
        <f t="shared" si="13"/>
        <v>453.06329508642119</v>
      </c>
      <c r="CX65" s="60">
        <f t="shared" si="14"/>
        <v>746.39662841975451</v>
      </c>
      <c r="CY65" s="60">
        <f ca="1">AVERAGE(OFFSET($CX$3,0,0,'Données projet'!$E$13+1,1))-AVERAGE(OFFSET($H$3,0,0,'Données projet'!$E$13+1,1))</f>
        <v>288.82868507674738</v>
      </c>
      <c r="CZ65" s="60">
        <f t="shared" si="42"/>
        <v>283.48738729114024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198.46943999999996</v>
      </c>
      <c r="P66" s="14">
        <f t="shared" si="33"/>
        <v>49.407646717262175</v>
      </c>
      <c r="Q66" s="22">
        <f t="shared" si="53"/>
        <v>431.71925936589815</v>
      </c>
      <c r="R66" s="60">
        <f t="shared" si="0"/>
        <v>725.05259269923147</v>
      </c>
      <c r="S66" s="60">
        <f ca="1">AVERAGE(OFFSET($R$3,0,0,'Données projet'!$E$9+1,1))-AVERAGE(OFFSET($H$3,0,0,'Données projet'!$E$9+1,1))</f>
        <v>402.79698021419853</v>
      </c>
      <c r="T66" s="60">
        <f t="shared" si="34"/>
        <v>218.26721063098552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8.1999999999999993</v>
      </c>
      <c r="AI66" s="14">
        <f>IF('Données projet'!$A$62&gt;35,AI65+AH66-AQ65,IF(A66&lt;'Données projet'!$A$62,$AF$205^A66,IF(A66='Données projet'!$A$62,'Données projet'!$B$62,AI65+AH66-AQ65)))</f>
        <v>221.59999999999991</v>
      </c>
      <c r="AJ66" s="14">
        <f>AI66*VLOOKUP('Données projet'!$B$10,Paramètres!$A$1:$I$89,3,0)*VLOOKUP('Données projet'!$B$10,Paramètres!$A$1:$I$89,5,0)</f>
        <v>190.13279999999995</v>
      </c>
      <c r="AK66" s="14">
        <f t="shared" si="35"/>
        <v>47.569311851680105</v>
      </c>
      <c r="AL66" s="22">
        <f t="shared" si="4"/>
        <v>413.99784480834273</v>
      </c>
      <c r="AM66" s="60">
        <f t="shared" si="5"/>
        <v>707.33117814167599</v>
      </c>
      <c r="AN66" s="60">
        <f ca="1">AVERAGE(OFFSET($AM$3,0,0,'Données projet'!$E$10+1,1))-AVERAGE(OFFSET($H$3,0,0,'Données projet'!$E$10+1,1))</f>
        <v>440.51611312502263</v>
      </c>
      <c r="AO66" s="60">
        <f t="shared" si="36"/>
        <v>176.81257896138806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</v>
      </c>
      <c r="BD66" s="13">
        <f>IF('Données projet'!$A$88&gt;35,BD65+BC66-BL65,IF(A66&lt;'Données projet'!$A$88,$BA$205^A66,IF(A66='Données projet'!$A$88,'Données projet'!$B$88,BD65+BC66-BL65)))</f>
        <v>171.99999999999991</v>
      </c>
      <c r="BE66" s="14">
        <f>BD66*VLOOKUP('Données projet'!$B$11,Paramètres!$A$1:$I$89,3,0)*VLOOKUP('Données projet'!$B$11,Paramètres!$A$1:$I$89,5,0)</f>
        <v>139.52639999999994</v>
      </c>
      <c r="BF66" s="14">
        <f t="shared" si="37"/>
        <v>36.188488997813856</v>
      </c>
      <c r="BG66" s="22">
        <f t="shared" si="7"/>
        <v>306.03676500452571</v>
      </c>
      <c r="BH66" s="60">
        <f t="shared" si="8"/>
        <v>599.37009833785896</v>
      </c>
      <c r="BI66" s="60">
        <f ca="1">AVERAGE(OFFSET($BH$3,0,0,'Données projet'!$E$11+1,1))-AVERAGE(OFFSET($H$3,0,0,'Données projet'!$E$11+1,1))</f>
        <v>236.22643401787644</v>
      </c>
      <c r="BJ66" s="60">
        <f t="shared" si="38"/>
        <v>188.80444043778022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2.6</v>
      </c>
      <c r="BY66" s="13">
        <f>IF('Données projet'!$A$114&gt;35,BY65+BX66-CG65,IF(A66&lt;'Données projet'!$A$114,$BV$205^A66,IF(A66='Données projet'!$A$114,'Données projet'!$B$114,BY65+BX66-CG65)))</f>
        <v>140.7999999999999</v>
      </c>
      <c r="BZ66" s="14">
        <f>BY66*VLOOKUP('Données projet'!$B$12,Paramètres!$A$1:$I$89,3,0)*VLOOKUP('Données projet'!$B$12,Paramètres!$A$1:$I$89,5,0)</f>
        <v>123.00287999999993</v>
      </c>
      <c r="CA66" s="14">
        <f t="shared" si="39"/>
        <v>32.374361095906139</v>
      </c>
      <c r="CB66" s="22">
        <f t="shared" si="10"/>
        <v>270.61536157536972</v>
      </c>
      <c r="CC66" s="60">
        <f t="shared" si="11"/>
        <v>563.94869490870303</v>
      </c>
      <c r="CD66" s="60">
        <f ca="1">AVERAGE(OFFSET($CC$3,0,0,'Données projet'!$E$12+1,1))-AVERAGE(OFFSET($H$3,0,0,'Données projet'!$E$12+1,1))</f>
        <v>202.86354781280403</v>
      </c>
      <c r="CE66" s="60">
        <f t="shared" si="40"/>
        <v>217.25323885665131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275.99999999999994</v>
      </c>
      <c r="CU66" s="18">
        <f>CT66*VLOOKUP('Données projet'!$B$13,Paramètres!$A$1:$I$89,3,0)*VLOOKUP('Données projet'!$B$13,Paramètres!$A$1:$I$89,5,0)</f>
        <v>215.27999999999997</v>
      </c>
      <c r="CV66" s="14">
        <f t="shared" si="41"/>
        <v>53.087725740853138</v>
      </c>
      <c r="CW66" s="22">
        <f t="shared" si="13"/>
        <v>467.40712233198587</v>
      </c>
      <c r="CX66" s="60">
        <f t="shared" si="14"/>
        <v>760.74045566531913</v>
      </c>
      <c r="CY66" s="60">
        <f ca="1">AVERAGE(OFFSET($CX$3,0,0,'Données projet'!$E$13+1,1))-AVERAGE(OFFSET($H$3,0,0,'Données projet'!$E$13+1,1))</f>
        <v>288.82868507674738</v>
      </c>
      <c r="CZ66" s="60">
        <f t="shared" si="42"/>
        <v>283.48738729114024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204.53471999999996</v>
      </c>
      <c r="P67" s="14">
        <f t="shared" si="33"/>
        <v>50.73945778494484</v>
      </c>
      <c r="Q67" s="22">
        <f t="shared" ref="Q67:Q98" si="54">(O67+P67)*0.475*44/12</f>
        <v>444.60252630877886</v>
      </c>
      <c r="R67" s="60">
        <f t="shared" ref="R67:R130" si="55">Q67+(I67+J67)*44/12</f>
        <v>737.93585964211218</v>
      </c>
      <c r="S67" s="60">
        <f ca="1">AVERAGE(OFFSET($R$3,0,0,'Données projet'!$E$9+1,1))-AVERAGE(OFFSET($H$3,0,0,'Données projet'!$E$9+1,1))</f>
        <v>402.79698021419853</v>
      </c>
      <c r="T67" s="60">
        <f t="shared" si="34"/>
        <v>218.26721063098552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8.1999999999999993</v>
      </c>
      <c r="AI67" s="14">
        <f>IF('Données projet'!$A$62&gt;35,AI66+AH67-AQ66,IF(A67&lt;'Données projet'!$A$62,$AF$205^A67,IF(A67='Données projet'!$A$62,'Données projet'!$B$62,AI66+AH67-AQ66)))</f>
        <v>229.7999999999999</v>
      </c>
      <c r="AJ67" s="14">
        <f>AI67*VLOOKUP('Données projet'!$B$10,Paramètres!$A$1:$I$89,3,0)*VLOOKUP('Données projet'!$B$10,Paramètres!$A$1:$I$89,5,0)</f>
        <v>197.16839999999993</v>
      </c>
      <c r="AK67" s="14">
        <f t="shared" si="35"/>
        <v>49.121352254904025</v>
      </c>
      <c r="AL67" s="22">
        <f t="shared" si="4"/>
        <v>428.95465184395772</v>
      </c>
      <c r="AM67" s="60">
        <f t="shared" si="5"/>
        <v>722.28798517729103</v>
      </c>
      <c r="AN67" s="60">
        <f ca="1">AVERAGE(OFFSET($AM$3,0,0,'Données projet'!$E$10+1,1))-AVERAGE(OFFSET($H$3,0,0,'Données projet'!$E$10+1,1))</f>
        <v>440.51611312502263</v>
      </c>
      <c r="AO67" s="60">
        <f t="shared" si="36"/>
        <v>176.81257896138806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</v>
      </c>
      <c r="BD67" s="13">
        <f>IF('Données projet'!$A$88&gt;35,BD66+BC67-BL66,IF(A67&lt;'Données projet'!$A$88,$BA$205^A67,IF(A67='Données projet'!$A$88,'Données projet'!$B$88,BD66+BC67-BL66)))</f>
        <v>175.99999999999991</v>
      </c>
      <c r="BE67" s="14">
        <f>BD67*VLOOKUP('Données projet'!$B$11,Paramètres!$A$1:$I$89,3,0)*VLOOKUP('Données projet'!$B$11,Paramètres!$A$1:$I$89,5,0)</f>
        <v>142.77119999999994</v>
      </c>
      <c r="BF67" s="14">
        <f t="shared" si="37"/>
        <v>36.931122475504061</v>
      </c>
      <c r="BG67" s="22">
        <f t="shared" si="7"/>
        <v>312.98154497816944</v>
      </c>
      <c r="BH67" s="60">
        <f t="shared" si="8"/>
        <v>606.31487831150275</v>
      </c>
      <c r="BI67" s="60">
        <f ca="1">AVERAGE(OFFSET($BH$3,0,0,'Données projet'!$E$11+1,1))-AVERAGE(OFFSET($H$3,0,0,'Données projet'!$E$11+1,1))</f>
        <v>236.22643401787644</v>
      </c>
      <c r="BJ67" s="60">
        <f t="shared" si="38"/>
        <v>188.80444043778022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2.6</v>
      </c>
      <c r="BY67" s="13">
        <f>IF('Données projet'!$A$114&gt;35,BY66+BX67-CG66,IF(A67&lt;'Données projet'!$A$114,$BV$205^A67,IF(A67='Données projet'!$A$114,'Données projet'!$B$114,BY66+BX67-CG66)))</f>
        <v>143.39999999999989</v>
      </c>
      <c r="BZ67" s="14">
        <f>BY67*VLOOKUP('Données projet'!$B$12,Paramètres!$A$1:$I$89,3,0)*VLOOKUP('Données projet'!$B$12,Paramètres!$A$1:$I$89,5,0)</f>
        <v>125.27423999999992</v>
      </c>
      <c r="CA67" s="14">
        <f t="shared" si="39"/>
        <v>32.902032783270968</v>
      </c>
      <c r="CB67" s="22">
        <f t="shared" si="10"/>
        <v>275.49034176419678</v>
      </c>
      <c r="CC67" s="60">
        <f t="shared" si="11"/>
        <v>568.8236750975301</v>
      </c>
      <c r="CD67" s="60">
        <f ca="1">AVERAGE(OFFSET($CC$3,0,0,'Données projet'!$E$12+1,1))-AVERAGE(OFFSET($H$3,0,0,'Données projet'!$E$12+1,1))</f>
        <v>202.86354781280403</v>
      </c>
      <c r="CE67" s="60">
        <f t="shared" si="40"/>
        <v>217.25323885665131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284.66666666666663</v>
      </c>
      <c r="CU67" s="18">
        <f>CT67*VLOOKUP('Données projet'!$B$13,Paramètres!$A$1:$I$89,3,0)*VLOOKUP('Données projet'!$B$13,Paramètres!$A$1:$I$89,5,0)</f>
        <v>222.04</v>
      </c>
      <c r="CV67" s="14">
        <f t="shared" si="41"/>
        <v>54.558031180803546</v>
      </c>
      <c r="CW67" s="22">
        <f t="shared" si="13"/>
        <v>481.74157097323285</v>
      </c>
      <c r="CX67" s="60">
        <f t="shared" si="14"/>
        <v>775.07490430656617</v>
      </c>
      <c r="CY67" s="60">
        <f ca="1">AVERAGE(OFFSET($CX$3,0,0,'Données projet'!$E$13+1,1))-AVERAGE(OFFSET($H$3,0,0,'Données projet'!$E$13+1,1))</f>
        <v>288.82868507674738</v>
      </c>
      <c r="CZ67" s="60">
        <f t="shared" si="42"/>
        <v>283.48738729114024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210.59999999999997</v>
      </c>
      <c r="P68" s="14">
        <f t="shared" si="33"/>
        <v>52.066679014659961</v>
      </c>
      <c r="Q68" s="22">
        <f t="shared" si="54"/>
        <v>457.47779928386598</v>
      </c>
      <c r="R68" s="60">
        <f t="shared" si="55"/>
        <v>750.81113261719929</v>
      </c>
      <c r="S68" s="60">
        <f ca="1">AVERAGE(OFFSET($R$3,0,0,'Données projet'!$E$9+1,1))-AVERAGE(OFFSET($H$3,0,0,'Données projet'!$E$9+1,1))</f>
        <v>402.79698021419853</v>
      </c>
      <c r="T68" s="60">
        <f t="shared" si="34"/>
        <v>218.26721063098552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238</v>
      </c>
      <c r="AG68" s="13">
        <f>VLOOKUP(A68,'Données projet'!$A$61:$I$81,9,0)</f>
        <v>8.1999999999999993</v>
      </c>
      <c r="AH68" s="13">
        <f t="array" ref="AH68">INDEX(AG:AG,MIN(IF(ISNUMBER(AG68:AG264),ROW(AG68:AG264),"")))</f>
        <v>8.1999999999999993</v>
      </c>
      <c r="AI68" s="14">
        <f>IF('Données projet'!$A$62&gt;35,AI67+AH68-AQ67,IF(A68&lt;'Données projet'!$A$62,$AF$205^A68,IF(A68='Données projet'!$A$62,'Données projet'!$B$62,AI67+AH68-AQ67)))</f>
        <v>237.99999999999989</v>
      </c>
      <c r="AJ68" s="14">
        <f>AI68*VLOOKUP('Données projet'!$B$10,Paramètres!$A$1:$I$89,3,0)*VLOOKUP('Données projet'!$B$10,Paramètres!$A$1:$I$89,5,0)</f>
        <v>204.20399999999992</v>
      </c>
      <c r="AK68" s="14">
        <f t="shared" si="35"/>
        <v>50.666958146601125</v>
      </c>
      <c r="AL68" s="22">
        <f t="shared" ref="AL68:AL131" si="58">(AJ68+AK68)*0.475*44/12</f>
        <v>443.90025210533014</v>
      </c>
      <c r="AM68" s="60">
        <f t="shared" ref="AM68:AM131" si="59">AL68+(AD68+AE68)*44/12</f>
        <v>737.23358543866345</v>
      </c>
      <c r="AN68" s="60">
        <f ca="1">AVERAGE(OFFSET($AM$3,0,0,'Données projet'!$E$10+1,1))-AVERAGE(OFFSET($H$3,0,0,'Données projet'!$E$10+1,1))</f>
        <v>440.51611312502263</v>
      </c>
      <c r="AO68" s="60">
        <f t="shared" si="36"/>
        <v>176.81257896138806</v>
      </c>
      <c r="AP68" s="16">
        <f>IF(ISNA(VLOOKUP(A68,'Données projet'!$A$61:$I$81,3,0)),0,VLOOKUP(A68,'Données projet'!$A$61:$I$81,3,0))</f>
        <v>4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180</v>
      </c>
      <c r="BB68" s="13">
        <f>VLOOKUP(A68,'Données projet'!$A$87:$I$107,9,0)</f>
        <v>4</v>
      </c>
      <c r="BC68" s="13">
        <f t="array" ref="BC68">INDEX(BB:BB,MIN(IF(ISNUMBER(BB68:BB264),ROW(BB68:BB264),"")))</f>
        <v>4</v>
      </c>
      <c r="BD68" s="13">
        <f>IF('Données projet'!$A$88&gt;35,BD67+BC68-BL67,IF(A68&lt;'Données projet'!$A$88,$BA$205^A68,IF(A68='Données projet'!$A$88,'Données projet'!$B$88,BD67+BC68-BL67)))</f>
        <v>179.99999999999991</v>
      </c>
      <c r="BE68" s="14">
        <f>BD68*VLOOKUP('Données projet'!$B$11,Paramètres!$A$1:$I$89,3,0)*VLOOKUP('Données projet'!$B$11,Paramètres!$A$1:$I$89,5,0)</f>
        <v>146.01599999999996</v>
      </c>
      <c r="BF68" s="14">
        <f t="shared" si="37"/>
        <v>37.671793767891103</v>
      </c>
      <c r="BG68" s="22">
        <f t="shared" ref="BG68:BG131" si="61">(BE68+BF68)*0.475*44/12</f>
        <v>319.92290747907691</v>
      </c>
      <c r="BH68" s="60">
        <f t="shared" ref="BH68:BH131" si="62">BG68+(AY68+AZ68)*44/12</f>
        <v>613.25624081241017</v>
      </c>
      <c r="BI68" s="60">
        <f ca="1">AVERAGE(OFFSET($BH$3,0,0,'Données projet'!$E$11+1,1))-AVERAGE(OFFSET($H$3,0,0,'Données projet'!$E$11+1,1))</f>
        <v>236.22643401787644</v>
      </c>
      <c r="BJ68" s="60">
        <f t="shared" si="38"/>
        <v>188.80444043778022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22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146</v>
      </c>
      <c r="BW68" s="13">
        <f>VLOOKUP(A68,'Données projet'!$A$113:$I$133,9,0)</f>
        <v>2.6</v>
      </c>
      <c r="BX68" s="13">
        <f t="array" ref="BX68">INDEX(BW:BW,MIN(IF(ISNUMBER(BW68:BW264),ROW(BW68:BW264),"")))</f>
        <v>2.6</v>
      </c>
      <c r="BY68" s="13">
        <f>IF('Données projet'!$A$114&gt;35,BY67+BX68-CG67,IF(A68&lt;'Données projet'!$A$114,$BV$205^A68,IF(A68='Données projet'!$A$114,'Données projet'!$B$114,BY67+BX68-CG67)))</f>
        <v>145.99999999999989</v>
      </c>
      <c r="BZ68" s="14">
        <f>BY68*VLOOKUP('Données projet'!$B$12,Paramètres!$A$1:$I$89,3,0)*VLOOKUP('Données projet'!$B$12,Paramètres!$A$1:$I$89,5,0)</f>
        <v>127.54559999999992</v>
      </c>
      <c r="CA68" s="14">
        <f t="shared" si="39"/>
        <v>33.428591950384806</v>
      </c>
      <c r="CB68" s="22">
        <f t="shared" ref="CB68:CB131" si="64">(BZ68+CA68)*0.475*44/12</f>
        <v>280.36338431358672</v>
      </c>
      <c r="CC68" s="60">
        <f t="shared" ref="CC68:CC131" si="65">CB68+(BT68+BU68)*44/12</f>
        <v>573.69671764691998</v>
      </c>
      <c r="CD68" s="60">
        <f ca="1">AVERAGE(OFFSET($CC$3,0,0,'Données projet'!$E$12+1,1))-AVERAGE(OFFSET($H$3,0,0,'Données projet'!$E$12+1,1))</f>
        <v>202.86354781280403</v>
      </c>
      <c r="CE68" s="60">
        <f t="shared" si="40"/>
        <v>217.25323885665131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293.33333333333331</v>
      </c>
      <c r="CU68" s="18">
        <f>CT68*VLOOKUP('Données projet'!$B$13,Paramètres!$A$1:$I$89,3,0)*VLOOKUP('Données projet'!$B$13,Paramètres!$A$1:$I$89,5,0)</f>
        <v>228.79999999999998</v>
      </c>
      <c r="CV68" s="14">
        <f t="shared" si="41"/>
        <v>56.023134533701196</v>
      </c>
      <c r="CW68" s="22">
        <f t="shared" ref="CW68:CW131" si="67">(CU68+CV68)*0.475*44/12</f>
        <v>496.06695931286293</v>
      </c>
      <c r="CX68" s="60">
        <f t="shared" ref="CX68:CX131" si="68">CW68+(CO68+CP68)*44/12</f>
        <v>789.40029264619625</v>
      </c>
      <c r="CY68" s="60">
        <f ca="1">AVERAGE(OFFSET($CX$3,0,0,'Données projet'!$E$13+1,1))-AVERAGE(OFFSET($H$3,0,0,'Données projet'!$E$13+1,1))</f>
        <v>288.82868507674738</v>
      </c>
      <c r="CZ68" s="60">
        <f t="shared" si="42"/>
        <v>283.48738729114024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180.94751999999991</v>
      </c>
      <c r="P69" s="14">
        <f t="shared" ref="P69:P132" si="87">EXP(-1.0587+0.8836*LN(O69)+0.284)</f>
        <v>45.53292745224649</v>
      </c>
      <c r="Q69" s="22">
        <f t="shared" si="54"/>
        <v>394.45344597932916</v>
      </c>
      <c r="R69" s="60">
        <f t="shared" si="55"/>
        <v>687.78677931266247</v>
      </c>
      <c r="S69" s="60">
        <f ca="1">AVERAGE(OFFSET($R$3,0,0,'Données projet'!$E$9+1,1))-AVERAGE(OFFSET($H$3,0,0,'Données projet'!$E$9+1,1))</f>
        <v>402.79698021419853</v>
      </c>
      <c r="T69" s="60">
        <f t="shared" ref="T69:T132" si="88">$T$3</f>
        <v>218.26721063098552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204.19999999999987</v>
      </c>
      <c r="AJ69" s="14">
        <f>AI69*VLOOKUP('Données projet'!$B$10,Paramètres!$A$1:$I$89,3,0)*VLOOKUP('Données projet'!$B$10,Paramètres!$A$1:$I$89,5,0)</f>
        <v>175.20359999999991</v>
      </c>
      <c r="AK69" s="14">
        <f t="shared" ref="AK69:AK132" si="89">EXP(-1.0587+0.8836*LN(AJ69)+0.284)</f>
        <v>44.253403975818124</v>
      </c>
      <c r="AL69" s="22">
        <f t="shared" si="58"/>
        <v>382.22094859121631</v>
      </c>
      <c r="AM69" s="60">
        <f t="shared" si="59"/>
        <v>675.55428192454963</v>
      </c>
      <c r="AN69" s="60">
        <f ca="1">AVERAGE(OFFSET($AM$3,0,0,'Données projet'!$E$10+1,1))-AVERAGE(OFFSET($H$3,0,0,'Données projet'!$E$10+1,1))</f>
        <v>440.51611312502263</v>
      </c>
      <c r="AO69" s="60">
        <f t="shared" ref="AO69:AO132" si="90">$AO$3</f>
        <v>176.81257896138806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</v>
      </c>
      <c r="BD69" s="13">
        <f>IF('Données projet'!$A$88&gt;35,BD68+BC69-BL68,IF(A69&lt;'Données projet'!$A$88,$BA$205^A69,IF(A69='Données projet'!$A$88,'Données projet'!$B$88,BD68+BC69-BL68)))</f>
        <v>161.99999999999991</v>
      </c>
      <c r="BE69" s="14">
        <f>BD69*VLOOKUP('Données projet'!$B$11,Paramètres!$A$1:$I$89,3,0)*VLOOKUP('Données projet'!$B$11,Paramètres!$A$1:$I$89,5,0)</f>
        <v>131.41439999999994</v>
      </c>
      <c r="BF69" s="14">
        <f t="shared" ref="BF69:BF132" si="91">EXP(-1.0587+0.8836*LN(BE69)+0.284)</f>
        <v>34.322979526010634</v>
      </c>
      <c r="BG69" s="22">
        <f t="shared" si="61"/>
        <v>288.65926934113514</v>
      </c>
      <c r="BH69" s="60">
        <f t="shared" si="62"/>
        <v>581.99260267446846</v>
      </c>
      <c r="BI69" s="60">
        <f ca="1">AVERAGE(OFFSET($BH$3,0,0,'Données projet'!$E$11+1,1))-AVERAGE(OFFSET($H$3,0,0,'Données projet'!$E$11+1,1))</f>
        <v>236.22643401787644</v>
      </c>
      <c r="BJ69" s="60">
        <f t="shared" ref="BJ69:BJ132" si="92">$BJ$3</f>
        <v>188.80444043778022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2.2000000000000002</v>
      </c>
      <c r="BY69" s="13">
        <f>IF('Données projet'!$A$114&gt;35,BY68+BX69-CG68,IF(A69&lt;'Données projet'!$A$114,$BV$205^A69,IF(A69='Données projet'!$A$114,'Données projet'!$B$114,BY68+BX69-CG68)))</f>
        <v>148.19999999999987</v>
      </c>
      <c r="BZ69" s="14">
        <f>BY69*VLOOKUP('Données projet'!$B$12,Paramètres!$A$1:$I$89,3,0)*VLOOKUP('Données projet'!$B$12,Paramètres!$A$1:$I$89,5,0)</f>
        <v>129.46751999999989</v>
      </c>
      <c r="CA69" s="14">
        <f t="shared" ref="CA69:CA132" si="93">EXP(-1.0587+0.8836*LN(BZ69)+0.284)</f>
        <v>33.873289462262882</v>
      </c>
      <c r="CB69" s="22">
        <f t="shared" si="64"/>
        <v>284.48524314677434</v>
      </c>
      <c r="CC69" s="60">
        <f t="shared" si="65"/>
        <v>577.81857648010759</v>
      </c>
      <c r="CD69" s="60">
        <f ca="1">AVERAGE(OFFSET($CC$3,0,0,'Données projet'!$E$12+1,1))-AVERAGE(OFFSET($H$3,0,0,'Données projet'!$E$12+1,1))</f>
        <v>202.86354781280403</v>
      </c>
      <c r="CE69" s="60">
        <f t="shared" ref="CE69:CE132" si="94">$CE$3</f>
        <v>217.25323885665131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</v>
      </c>
      <c r="CU69" s="18">
        <f>CT69*VLOOKUP('Données projet'!$B$13,Paramètres!$A$1:$I$89,3,0)*VLOOKUP('Données projet'!$B$13,Paramètres!$A$1:$I$89,5,0)</f>
        <v>235.56</v>
      </c>
      <c r="CV69" s="14">
        <f t="shared" ref="CV69:CV132" si="95">EXP(-1.0587+0.8836*LN(CU69)+0.284)</f>
        <v>57.483207143847721</v>
      </c>
      <c r="CW69" s="22">
        <f t="shared" si="67"/>
        <v>510.38358577553481</v>
      </c>
      <c r="CX69" s="60">
        <f t="shared" si="68"/>
        <v>803.71691910886807</v>
      </c>
      <c r="CY69" s="60">
        <f ca="1">AVERAGE(OFFSET($CX$3,0,0,'Données projet'!$E$13+1,1))-AVERAGE(OFFSET($H$3,0,0,'Données projet'!$E$13+1,1))</f>
        <v>288.82868507674738</v>
      </c>
      <c r="CZ69" s="60">
        <f t="shared" ref="CZ69:CZ132" si="96">$CZ$3</f>
        <v>283.48738729114024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186.67583999999994</v>
      </c>
      <c r="P70" s="14">
        <f t="shared" si="87"/>
        <v>46.804275023026932</v>
      </c>
      <c r="Q70" s="22">
        <f t="shared" si="54"/>
        <v>406.64453366510514</v>
      </c>
      <c r="R70" s="60">
        <f t="shared" si="55"/>
        <v>699.97786699843846</v>
      </c>
      <c r="S70" s="60">
        <f ca="1">AVERAGE(OFFSET($R$3,0,0,'Données projet'!$E$9+1,1))-AVERAGE(OFFSET($H$3,0,0,'Données projet'!$E$9+1,1))</f>
        <v>402.79698021419853</v>
      </c>
      <c r="T70" s="60">
        <f t="shared" si="88"/>
        <v>218.26721063098552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212.39999999999986</v>
      </c>
      <c r="AJ70" s="14">
        <f>AI70*VLOOKUP('Données projet'!$B$10,Paramètres!$A$1:$I$89,3,0)*VLOOKUP('Données projet'!$B$10,Paramètres!$A$1:$I$89,5,0)</f>
        <v>182.2391999999999</v>
      </c>
      <c r="AK70" s="14">
        <f t="shared" si="89"/>
        <v>45.820007883742726</v>
      </c>
      <c r="AL70" s="22">
        <f t="shared" si="58"/>
        <v>397.20312039751838</v>
      </c>
      <c r="AM70" s="60">
        <f t="shared" si="59"/>
        <v>690.53645373085169</v>
      </c>
      <c r="AN70" s="60">
        <f ca="1">AVERAGE(OFFSET($AM$3,0,0,'Données projet'!$E$10+1,1))-AVERAGE(OFFSET($H$3,0,0,'Données projet'!$E$10+1,1))</f>
        <v>440.51611312502263</v>
      </c>
      <c r="AO70" s="60">
        <f t="shared" si="90"/>
        <v>176.81257896138806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</v>
      </c>
      <c r="BD70" s="13">
        <f>IF('Données projet'!$A$88&gt;35,BD69+BC70-BL69,IF(A70&lt;'Données projet'!$A$88,$BA$205^A70,IF(A70='Données projet'!$A$88,'Données projet'!$B$88,BD69+BC70-BL69)))</f>
        <v>165.99999999999991</v>
      </c>
      <c r="BE70" s="14">
        <f>BD70*VLOOKUP('Données projet'!$B$11,Paramètres!$A$1:$I$89,3,0)*VLOOKUP('Données projet'!$B$11,Paramètres!$A$1:$I$89,5,0)</f>
        <v>134.65919999999994</v>
      </c>
      <c r="BF70" s="14">
        <f t="shared" si="91"/>
        <v>35.070747374417302</v>
      </c>
      <c r="BG70" s="22">
        <f t="shared" si="61"/>
        <v>295.61299167710996</v>
      </c>
      <c r="BH70" s="60">
        <f t="shared" si="62"/>
        <v>588.94632501044327</v>
      </c>
      <c r="BI70" s="60">
        <f ca="1">AVERAGE(OFFSET($BH$3,0,0,'Données projet'!$E$11+1,1))-AVERAGE(OFFSET($H$3,0,0,'Données projet'!$E$11+1,1))</f>
        <v>236.22643401787644</v>
      </c>
      <c r="BJ70" s="60">
        <f t="shared" si="92"/>
        <v>188.80444043778022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2.2000000000000002</v>
      </c>
      <c r="BY70" s="13">
        <f>IF('Données projet'!$A$114&gt;35,BY69+BX70-CG69,IF(A70&lt;'Données projet'!$A$114,$BV$205^A70,IF(A70='Données projet'!$A$114,'Données projet'!$B$114,BY69+BX70-CG69)))</f>
        <v>150.39999999999986</v>
      </c>
      <c r="BZ70" s="14">
        <f>BY70*VLOOKUP('Données projet'!$B$12,Paramètres!$A$1:$I$89,3,0)*VLOOKUP('Données projet'!$B$12,Paramètres!$A$1:$I$89,5,0)</f>
        <v>131.38943999999989</v>
      </c>
      <c r="CA70" s="14">
        <f t="shared" si="93"/>
        <v>34.317219199328726</v>
      </c>
      <c r="CB70" s="22">
        <f t="shared" si="64"/>
        <v>288.60576477216398</v>
      </c>
      <c r="CC70" s="60">
        <f t="shared" si="65"/>
        <v>581.93909810549735</v>
      </c>
      <c r="CD70" s="60">
        <f ca="1">AVERAGE(OFFSET($CC$3,0,0,'Données projet'!$E$12+1,1))-AVERAGE(OFFSET($H$3,0,0,'Données projet'!$E$12+1,1))</f>
        <v>202.86354781280403</v>
      </c>
      <c r="CE70" s="60">
        <f t="shared" si="94"/>
        <v>217.25323885665131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310.66666666666669</v>
      </c>
      <c r="CU70" s="18">
        <f>CT70*VLOOKUP('Données projet'!$B$13,Paramètres!$A$1:$I$89,3,0)*VLOOKUP('Données projet'!$B$13,Paramètres!$A$1:$I$89,5,0)</f>
        <v>242.32000000000002</v>
      </c>
      <c r="CV70" s="14">
        <f t="shared" si="95"/>
        <v>58.938409961900859</v>
      </c>
      <c r="CW70" s="22">
        <f t="shared" si="67"/>
        <v>524.69173068364398</v>
      </c>
      <c r="CX70" s="60">
        <f t="shared" si="68"/>
        <v>818.02506401697724</v>
      </c>
      <c r="CY70" s="60">
        <f ca="1">AVERAGE(OFFSET($CX$3,0,0,'Données projet'!$E$13+1,1))-AVERAGE(OFFSET($H$3,0,0,'Données projet'!$E$13+1,1))</f>
        <v>288.82868507674738</v>
      </c>
      <c r="CZ70" s="60">
        <f t="shared" si="96"/>
        <v>283.48738729114024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192.40415999999996</v>
      </c>
      <c r="P71" s="14">
        <f t="shared" si="87"/>
        <v>48.071088890795593</v>
      </c>
      <c r="Q71" s="22">
        <f t="shared" si="54"/>
        <v>418.82772515146894</v>
      </c>
      <c r="R71" s="60">
        <f t="shared" si="55"/>
        <v>712.1610584848022</v>
      </c>
      <c r="S71" s="60">
        <f ca="1">AVERAGE(OFFSET($R$3,0,0,'Données projet'!$E$9+1,1))-AVERAGE(OFFSET($H$3,0,0,'Données projet'!$E$9+1,1))</f>
        <v>402.79698021419853</v>
      </c>
      <c r="T71" s="60">
        <f t="shared" si="88"/>
        <v>218.26721063098552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220.59999999999985</v>
      </c>
      <c r="AJ71" s="14">
        <f>AI71*VLOOKUP('Données projet'!$B$10,Paramètres!$A$1:$I$89,3,0)*VLOOKUP('Données projet'!$B$10,Paramètres!$A$1:$I$89,5,0)</f>
        <v>189.27479999999989</v>
      </c>
      <c r="AK71" s="14">
        <f t="shared" si="89"/>
        <v>47.3795857610261</v>
      </c>
      <c r="AL71" s="22">
        <f t="shared" si="58"/>
        <v>412.17305520045358</v>
      </c>
      <c r="AM71" s="60">
        <f t="shared" si="59"/>
        <v>705.50638853378689</v>
      </c>
      <c r="AN71" s="60">
        <f ca="1">AVERAGE(OFFSET($AM$3,0,0,'Données projet'!$E$10+1,1))-AVERAGE(OFFSET($H$3,0,0,'Données projet'!$E$10+1,1))</f>
        <v>440.51611312502263</v>
      </c>
      <c r="AO71" s="60">
        <f t="shared" si="90"/>
        <v>176.81257896138806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</v>
      </c>
      <c r="BD71" s="13">
        <f>IF('Données projet'!$A$88&gt;35,BD70+BC71-BL70,IF(A71&lt;'Données projet'!$A$88,$BA$205^A71,IF(A71='Données projet'!$A$88,'Données projet'!$B$88,BD70+BC71-BL70)))</f>
        <v>169.99999999999991</v>
      </c>
      <c r="BE71" s="14">
        <f>BD71*VLOOKUP('Données projet'!$B$11,Paramètres!$A$1:$I$89,3,0)*VLOOKUP('Données projet'!$B$11,Paramètres!$A$1:$I$89,5,0)</f>
        <v>137.90399999999994</v>
      </c>
      <c r="BF71" s="14">
        <f t="shared" si="91"/>
        <v>35.816420593519346</v>
      </c>
      <c r="BG71" s="22">
        <f t="shared" si="61"/>
        <v>302.56306586704608</v>
      </c>
      <c r="BH71" s="60">
        <f t="shared" si="62"/>
        <v>595.89639920037939</v>
      </c>
      <c r="BI71" s="60">
        <f ca="1">AVERAGE(OFFSET($BH$3,0,0,'Données projet'!$E$11+1,1))-AVERAGE(OFFSET($H$3,0,0,'Données projet'!$E$11+1,1))</f>
        <v>236.22643401787644</v>
      </c>
      <c r="BJ71" s="60">
        <f t="shared" si="92"/>
        <v>188.80444043778022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2.2000000000000002</v>
      </c>
      <c r="BY71" s="13">
        <f>IF('Données projet'!$A$114&gt;35,BY70+BX71-CG70,IF(A71&lt;'Données projet'!$A$114,$BV$205^A71,IF(A71='Données projet'!$A$114,'Données projet'!$B$114,BY70+BX71-CG70)))</f>
        <v>152.59999999999985</v>
      </c>
      <c r="BZ71" s="14">
        <f>BY71*VLOOKUP('Données projet'!$B$12,Paramètres!$A$1:$I$89,3,0)*VLOOKUP('Données projet'!$B$12,Paramètres!$A$1:$I$89,5,0)</f>
        <v>133.31135999999989</v>
      </c>
      <c r="CA71" s="14">
        <f t="shared" si="93"/>
        <v>34.760393689821598</v>
      </c>
      <c r="CB71" s="22">
        <f t="shared" si="64"/>
        <v>292.72497100977245</v>
      </c>
      <c r="CC71" s="60">
        <f t="shared" si="65"/>
        <v>586.05830434310576</v>
      </c>
      <c r="CD71" s="60">
        <f ca="1">AVERAGE(OFFSET($CC$3,0,0,'Données projet'!$E$12+1,1))-AVERAGE(OFFSET($H$3,0,0,'Données projet'!$E$12+1,1))</f>
        <v>202.86354781280403</v>
      </c>
      <c r="CE71" s="60">
        <f t="shared" si="94"/>
        <v>217.25323885665131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319.33333333333337</v>
      </c>
      <c r="CU71" s="18">
        <f>CT71*VLOOKUP('Données projet'!$B$13,Paramètres!$A$1:$I$89,3,0)*VLOOKUP('Données projet'!$B$13,Paramètres!$A$1:$I$89,5,0)</f>
        <v>249.08000000000004</v>
      </c>
      <c r="CV71" s="14">
        <f t="shared" si="95"/>
        <v>60.388894447487807</v>
      </c>
      <c r="CW71" s="22">
        <f t="shared" si="67"/>
        <v>538.99165782937473</v>
      </c>
      <c r="CX71" s="60">
        <f t="shared" si="68"/>
        <v>832.3249911627081</v>
      </c>
      <c r="CY71" s="60">
        <f ca="1">AVERAGE(OFFSET($CX$3,0,0,'Données projet'!$E$13+1,1))-AVERAGE(OFFSET($H$3,0,0,'Données projet'!$E$13+1,1))</f>
        <v>288.82868507674738</v>
      </c>
      <c r="CZ71" s="60">
        <f t="shared" si="96"/>
        <v>283.48738729114024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198.13247999999996</v>
      </c>
      <c r="P72" s="14">
        <f t="shared" si="87"/>
        <v>49.333519530262095</v>
      </c>
      <c r="Q72" s="22">
        <f t="shared" si="54"/>
        <v>431.00328251520637</v>
      </c>
      <c r="R72" s="60">
        <f t="shared" si="55"/>
        <v>724.33661584853962</v>
      </c>
      <c r="S72" s="60">
        <f ca="1">AVERAGE(OFFSET($R$3,0,0,'Données projet'!$E$9+1,1))-AVERAGE(OFFSET($H$3,0,0,'Données projet'!$E$9+1,1))</f>
        <v>402.79698021419853</v>
      </c>
      <c r="T72" s="60">
        <f t="shared" si="88"/>
        <v>218.26721063098552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228.79999999999984</v>
      </c>
      <c r="AJ72" s="14">
        <f>AI72*VLOOKUP('Données projet'!$B$10,Paramètres!$A$1:$I$89,3,0)*VLOOKUP('Données projet'!$B$10,Paramètres!$A$1:$I$89,5,0)</f>
        <v>196.31039999999987</v>
      </c>
      <c r="AK72" s="14">
        <f t="shared" si="89"/>
        <v>48.932428681108931</v>
      </c>
      <c r="AL72" s="22">
        <f t="shared" si="58"/>
        <v>427.13125995293109</v>
      </c>
      <c r="AM72" s="60">
        <f t="shared" si="59"/>
        <v>720.4645932862644</v>
      </c>
      <c r="AN72" s="60">
        <f ca="1">AVERAGE(OFFSET($AM$3,0,0,'Données projet'!$E$10+1,1))-AVERAGE(OFFSET($H$3,0,0,'Données projet'!$E$10+1,1))</f>
        <v>440.51611312502263</v>
      </c>
      <c r="AO72" s="60">
        <f t="shared" si="90"/>
        <v>176.81257896138806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</v>
      </c>
      <c r="BD72" s="13">
        <f>IF('Données projet'!$A$88&gt;35,BD71+BC72-BL71,IF(A72&lt;'Données projet'!$A$88,$BA$205^A72,IF(A72='Données projet'!$A$88,'Données projet'!$B$88,BD71+BC72-BL71)))</f>
        <v>173.99999999999991</v>
      </c>
      <c r="BE72" s="14">
        <f>BD72*VLOOKUP('Données projet'!$B$11,Paramètres!$A$1:$I$89,3,0)*VLOOKUP('Données projet'!$B$11,Paramètres!$A$1:$I$89,5,0)</f>
        <v>141.14879999999994</v>
      </c>
      <c r="BF72" s="14">
        <f t="shared" si="91"/>
        <v>36.560054140504484</v>
      </c>
      <c r="BG72" s="22">
        <f t="shared" si="61"/>
        <v>309.50958762804521</v>
      </c>
      <c r="BH72" s="60">
        <f t="shared" si="62"/>
        <v>602.84292096137847</v>
      </c>
      <c r="BI72" s="60">
        <f ca="1">AVERAGE(OFFSET($BH$3,0,0,'Données projet'!$E$11+1,1))-AVERAGE(OFFSET($H$3,0,0,'Données projet'!$E$11+1,1))</f>
        <v>236.22643401787644</v>
      </c>
      <c r="BJ72" s="60">
        <f t="shared" si="92"/>
        <v>188.80444043778022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2.2000000000000002</v>
      </c>
      <c r="BY72" s="13">
        <f>IF('Données projet'!$A$114&gt;35,BY71+BX72-CG71,IF(A72&lt;'Données projet'!$A$114,$BV$205^A72,IF(A72='Données projet'!$A$114,'Données projet'!$B$114,BY71+BX72-CG71)))</f>
        <v>154.79999999999984</v>
      </c>
      <c r="BZ72" s="14">
        <f>BY72*VLOOKUP('Données projet'!$B$12,Paramètres!$A$1:$I$89,3,0)*VLOOKUP('Données projet'!$B$12,Paramètres!$A$1:$I$89,5,0)</f>
        <v>135.23327999999987</v>
      </c>
      <c r="CA72" s="14">
        <f t="shared" si="93"/>
        <v>35.202825080004409</v>
      </c>
      <c r="CB72" s="22">
        <f t="shared" si="64"/>
        <v>296.84288301434077</v>
      </c>
      <c r="CC72" s="60">
        <f t="shared" si="65"/>
        <v>590.17621634767409</v>
      </c>
      <c r="CD72" s="60">
        <f ca="1">AVERAGE(OFFSET($CC$3,0,0,'Données projet'!$E$12+1,1))-AVERAGE(OFFSET($H$3,0,0,'Données projet'!$E$12+1,1))</f>
        <v>202.86354781280403</v>
      </c>
      <c r="CE72" s="60">
        <f t="shared" si="94"/>
        <v>217.25323885665131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328.00000000000006</v>
      </c>
      <c r="CU72" s="18">
        <f>CT72*VLOOKUP('Données projet'!$B$13,Paramètres!$A$1:$I$89,3,0)*VLOOKUP('Données projet'!$B$13,Paramètres!$A$1:$I$89,5,0)</f>
        <v>255.84000000000006</v>
      </c>
      <c r="CV72" s="14">
        <f t="shared" si="95"/>
        <v>61.834803371075836</v>
      </c>
      <c r="CW72" s="22">
        <f t="shared" si="67"/>
        <v>553.28361587129041</v>
      </c>
      <c r="CX72" s="60">
        <f t="shared" si="68"/>
        <v>846.61694920462378</v>
      </c>
      <c r="CY72" s="60">
        <f ca="1">AVERAGE(OFFSET($CX$3,0,0,'Données projet'!$E$13+1,1))-AVERAGE(OFFSET($H$3,0,0,'Données projet'!$E$13+1,1))</f>
        <v>288.82868507674738</v>
      </c>
      <c r="CZ72" s="60">
        <f t="shared" si="96"/>
        <v>283.48738729114024</v>
      </c>
      <c r="DA72" s="16">
        <f>IF(ISNA(VLOOKUP(A72,'Données projet'!$A$139:$I$159,3,0)),0,VLOOKUP(A72,'Données projet'!$A$139:$I$159,3,0))</f>
        <v>9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203.86079999999998</v>
      </c>
      <c r="P73" s="14">
        <f t="shared" si="87"/>
        <v>50.591708220421786</v>
      </c>
      <c r="Q73" s="22">
        <f t="shared" si="54"/>
        <v>443.17145181723458</v>
      </c>
      <c r="R73" s="60">
        <f t="shared" si="55"/>
        <v>736.50478515056784</v>
      </c>
      <c r="S73" s="60">
        <f ca="1">AVERAGE(OFFSET($R$3,0,0,'Données projet'!$E$9+1,1))-AVERAGE(OFFSET($H$3,0,0,'Données projet'!$E$9+1,1))</f>
        <v>402.79698021419853</v>
      </c>
      <c r="T73" s="60">
        <f t="shared" si="88"/>
        <v>218.26721063098552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237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236.99999999999983</v>
      </c>
      <c r="AJ73" s="14">
        <f>AI73*VLOOKUP('Données projet'!$B$10,Paramètres!$A$1:$I$89,3,0)*VLOOKUP('Données projet'!$B$10,Paramètres!$A$1:$I$89,5,0)</f>
        <v>203.34599999999986</v>
      </c>
      <c r="AK73" s="14">
        <f t="shared" si="89"/>
        <v>50.47880567110942</v>
      </c>
      <c r="AL73" s="22">
        <f t="shared" si="58"/>
        <v>442.07820321051531</v>
      </c>
      <c r="AM73" s="60">
        <f t="shared" si="59"/>
        <v>735.41153654384857</v>
      </c>
      <c r="AN73" s="60">
        <f ca="1">AVERAGE(OFFSET($AM$3,0,0,'Données projet'!$E$10+1,1))-AVERAGE(OFFSET($H$3,0,0,'Données projet'!$E$10+1,1))</f>
        <v>440.51611312502263</v>
      </c>
      <c r="AO73" s="60">
        <f t="shared" si="90"/>
        <v>176.81257896138806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178</v>
      </c>
      <c r="BB73" s="13">
        <f>VLOOKUP(A73,'Données projet'!$A$87:$I$107,9,0)</f>
        <v>4</v>
      </c>
      <c r="BC73" s="13">
        <f t="array" ref="BC73">INDEX(BB:BB,MIN(IF(ISNUMBER(BB73:BB269),ROW(BB73:BB269),"")))</f>
        <v>4</v>
      </c>
      <c r="BD73" s="13">
        <f>IF('Données projet'!$A$88&gt;35,BD72+BC73-BL72,IF(A73&lt;'Données projet'!$A$88,$BA$205^A73,IF(A73='Données projet'!$A$88,'Données projet'!$B$88,BD72+BC73-BL72)))</f>
        <v>177.99999999999991</v>
      </c>
      <c r="BE73" s="14">
        <f>BD73*VLOOKUP('Données projet'!$B$11,Paramètres!$A$1:$I$89,3,0)*VLOOKUP('Données projet'!$B$11,Paramètres!$A$1:$I$89,5,0)</f>
        <v>144.39359999999994</v>
      </c>
      <c r="BF73" s="14">
        <f t="shared" si="91"/>
        <v>37.301700301601691</v>
      </c>
      <c r="BG73" s="22">
        <f t="shared" si="61"/>
        <v>316.45264802528953</v>
      </c>
      <c r="BH73" s="60">
        <f t="shared" si="62"/>
        <v>609.78598135862285</v>
      </c>
      <c r="BI73" s="60">
        <f ca="1">AVERAGE(OFFSET($BH$3,0,0,'Données projet'!$E$11+1,1))-AVERAGE(OFFSET($H$3,0,0,'Données projet'!$E$11+1,1))</f>
        <v>236.22643401787644</v>
      </c>
      <c r="BJ73" s="60">
        <f t="shared" si="92"/>
        <v>188.80444043778022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157</v>
      </c>
      <c r="BW73" s="13">
        <f>VLOOKUP(A73,'Données projet'!$A$113:$I$133,9,0)</f>
        <v>2.2000000000000002</v>
      </c>
      <c r="BX73" s="13">
        <f t="array" ref="BX73">INDEX(BW:BW,MIN(IF(ISNUMBER(BW73:BW269),ROW(BW73:BW269),"")))</f>
        <v>2.2000000000000002</v>
      </c>
      <c r="BY73" s="13">
        <f>IF('Données projet'!$A$114&gt;35,BY72+BX73-CG72,IF(A73&lt;'Données projet'!$A$114,$BV$205^A73,IF(A73='Données projet'!$A$114,'Données projet'!$B$114,BY72+BX73-CG72)))</f>
        <v>156.99999999999983</v>
      </c>
      <c r="BZ73" s="14">
        <f>BY73*VLOOKUP('Données projet'!$B$12,Paramètres!$A$1:$I$89,3,0)*VLOOKUP('Données projet'!$B$12,Paramètres!$A$1:$I$89,5,0)</f>
        <v>137.15519999999987</v>
      </c>
      <c r="CA73" s="14">
        <f t="shared" si="93"/>
        <v>35.644525151069693</v>
      </c>
      <c r="CB73" s="22">
        <f t="shared" si="64"/>
        <v>300.95952130477946</v>
      </c>
      <c r="CC73" s="60">
        <f t="shared" si="65"/>
        <v>594.29285463811277</v>
      </c>
      <c r="CD73" s="60">
        <f ca="1">AVERAGE(OFFSET($CC$3,0,0,'Données projet'!$E$12+1,1))-AVERAGE(OFFSET($H$3,0,0,'Données projet'!$E$12+1,1))</f>
        <v>202.86354781280403</v>
      </c>
      <c r="CE73" s="60">
        <f t="shared" si="94"/>
        <v>217.25323885665131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13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4.4337866711430253E-14</v>
      </c>
      <c r="CV73" s="14">
        <f t="shared" si="95"/>
        <v>7.3222115536967035E-13</v>
      </c>
      <c r="CW73" s="22">
        <f t="shared" si="67"/>
        <v>1.3525069634579169E-12</v>
      </c>
      <c r="CX73" s="60">
        <f t="shared" si="68"/>
        <v>293.33333333333468</v>
      </c>
      <c r="CY73" s="60">
        <f ca="1">AVERAGE(OFFSET($CX$3,0,0,'Données projet'!$E$13+1,1))-AVERAGE(OFFSET($H$3,0,0,'Données projet'!$E$13+1,1))</f>
        <v>288.82868507674738</v>
      </c>
      <c r="CZ73" s="60">
        <f t="shared" si="96"/>
        <v>283.48738729114024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209.08367999999996</v>
      </c>
      <c r="P74" s="14">
        <f t="shared" si="87"/>
        <v>51.735295790267372</v>
      </c>
      <c r="Q74" s="22">
        <f t="shared" si="54"/>
        <v>454.25971616804895</v>
      </c>
      <c r="R74" s="60">
        <f t="shared" si="55"/>
        <v>747.59304950138221</v>
      </c>
      <c r="S74" s="60">
        <f ca="1">AVERAGE(OFFSET($R$3,0,0,'Données projet'!$E$9+1,1))-AVERAGE(OFFSET($H$3,0,0,'Données projet'!$E$9+1,1))</f>
        <v>402.79698021419853</v>
      </c>
      <c r="T74" s="60">
        <f t="shared" si="88"/>
        <v>218.26721063098552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244.59999999999982</v>
      </c>
      <c r="AJ74" s="14">
        <f>AI74*VLOOKUP('Données projet'!$B$10,Paramètres!$A$1:$I$89,3,0)*VLOOKUP('Données projet'!$B$10,Paramètres!$A$1:$I$89,5,0)</f>
        <v>209.86679999999987</v>
      </c>
      <c r="AK74" s="14">
        <f t="shared" si="89"/>
        <v>51.906477072266284</v>
      </c>
      <c r="AL74" s="22">
        <f t="shared" si="58"/>
        <v>455.92179090086353</v>
      </c>
      <c r="AM74" s="60">
        <f t="shared" si="59"/>
        <v>749.25512423419684</v>
      </c>
      <c r="AN74" s="60">
        <f ca="1">AVERAGE(OFFSET($AM$3,0,0,'Données projet'!$E$10+1,1))-AVERAGE(OFFSET($H$3,0,0,'Données projet'!$E$10+1,1))</f>
        <v>440.51611312502263</v>
      </c>
      <c r="AO74" s="60">
        <f t="shared" si="90"/>
        <v>176.81257896138806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3.6</v>
      </c>
      <c r="BD74" s="13">
        <f>IF('Données projet'!$A$88&gt;35,BD73+BC74-BL73,IF(A74&lt;'Données projet'!$A$88,$BA$205^A74,IF(A74='Données projet'!$A$88,'Données projet'!$B$88,BD73+BC74-BL73)))</f>
        <v>181.59999999999991</v>
      </c>
      <c r="BE74" s="14">
        <f>BD74*VLOOKUP('Données projet'!$B$11,Paramètres!$A$1:$I$89,3,0)*VLOOKUP('Données projet'!$B$11,Paramètres!$A$1:$I$89,5,0)</f>
        <v>147.31391999999994</v>
      </c>
      <c r="BF74" s="14">
        <f t="shared" si="91"/>
        <v>37.967523841665994</v>
      </c>
      <c r="BG74" s="22">
        <f t="shared" si="61"/>
        <v>322.6985146909015</v>
      </c>
      <c r="BH74" s="60">
        <f t="shared" si="62"/>
        <v>616.03184802423482</v>
      </c>
      <c r="BI74" s="60">
        <f ca="1">AVERAGE(OFFSET($BH$3,0,0,'Données projet'!$E$11+1,1))-AVERAGE(OFFSET($H$3,0,0,'Données projet'!$E$11+1,1))</f>
        <v>236.22643401787644</v>
      </c>
      <c r="BJ74" s="60">
        <f t="shared" si="92"/>
        <v>188.80444043778022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2.2000000000000002</v>
      </c>
      <c r="BY74" s="13">
        <f>IF('Données projet'!$A$114&gt;35,BY73+BX74-CG73,IF(A74&lt;'Données projet'!$A$114,$BV$205^A74,IF(A74='Données projet'!$A$114,'Données projet'!$B$114,BY73+BX74-CG73)))</f>
        <v>146.19999999999982</v>
      </c>
      <c r="BZ74" s="14">
        <f>BY74*VLOOKUP('Données projet'!$B$12,Paramètres!$A$1:$I$89,3,0)*VLOOKUP('Données projet'!$B$12,Paramètres!$A$1:$I$89,5,0)</f>
        <v>127.72031999999984</v>
      </c>
      <c r="CA74" s="14">
        <f t="shared" si="93"/>
        <v>33.469051060164404</v>
      </c>
      <c r="CB74" s="22">
        <f t="shared" si="64"/>
        <v>280.73815459645272</v>
      </c>
      <c r="CC74" s="60">
        <f t="shared" si="65"/>
        <v>574.07148792978603</v>
      </c>
      <c r="CD74" s="60">
        <f ca="1">AVERAGE(OFFSET($CC$3,0,0,'Données projet'!$E$12+1,1))-AVERAGE(OFFSET($H$3,0,0,'Données projet'!$E$12+1,1))</f>
        <v>202.86354781280403</v>
      </c>
      <c r="CE74" s="60">
        <f t="shared" si="94"/>
        <v>217.25323885665131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4.4337866711430253E-14</v>
      </c>
      <c r="CV74" s="14">
        <f t="shared" si="95"/>
        <v>7.3222115536967035E-13</v>
      </c>
      <c r="CW74" s="22">
        <f t="shared" si="67"/>
        <v>1.3525069634579169E-12</v>
      </c>
      <c r="CX74" s="60">
        <f t="shared" si="68"/>
        <v>293.33333333333468</v>
      </c>
      <c r="CY74" s="60">
        <f ca="1">AVERAGE(OFFSET($CX$3,0,0,'Données projet'!$E$13+1,1))-AVERAGE(OFFSET($H$3,0,0,'Données projet'!$E$13+1,1))</f>
        <v>288.82868507674738</v>
      </c>
      <c r="CZ74" s="60">
        <f t="shared" si="96"/>
        <v>283.48738729114024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214.30655999999996</v>
      </c>
      <c r="P75" s="14">
        <f t="shared" si="87"/>
        <v>52.875562666416783</v>
      </c>
      <c r="Q75" s="22">
        <f t="shared" si="54"/>
        <v>465.34219697734244</v>
      </c>
      <c r="R75" s="60">
        <f t="shared" si="55"/>
        <v>758.67553031067575</v>
      </c>
      <c r="S75" s="60">
        <f ca="1">AVERAGE(OFFSET($R$3,0,0,'Données projet'!$E$9+1,1))-AVERAGE(OFFSET($H$3,0,0,'Données projet'!$E$9+1,1))</f>
        <v>402.79698021419853</v>
      </c>
      <c r="T75" s="60">
        <f t="shared" si="88"/>
        <v>218.26721063098552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252.19999999999982</v>
      </c>
      <c r="AJ75" s="14">
        <f>AI75*VLOOKUP('Données projet'!$B$10,Paramètres!$A$1:$I$89,3,0)*VLOOKUP('Données projet'!$B$10,Paramètres!$A$1:$I$89,5,0)</f>
        <v>216.38759999999988</v>
      </c>
      <c r="AK75" s="14">
        <f t="shared" si="89"/>
        <v>53.328993492050351</v>
      </c>
      <c r="AL75" s="22">
        <f t="shared" si="58"/>
        <v>469.75640033198738</v>
      </c>
      <c r="AM75" s="60">
        <f t="shared" si="59"/>
        <v>763.08973366532064</v>
      </c>
      <c r="AN75" s="60">
        <f ca="1">AVERAGE(OFFSET($AM$3,0,0,'Données projet'!$E$10+1,1))-AVERAGE(OFFSET($H$3,0,0,'Données projet'!$E$10+1,1))</f>
        <v>440.51611312502263</v>
      </c>
      <c r="AO75" s="60">
        <f t="shared" si="90"/>
        <v>176.81257896138806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3.6</v>
      </c>
      <c r="BD75" s="13">
        <f>IF('Données projet'!$A$88&gt;35,BD74+BC75-BL74,IF(A75&lt;'Données projet'!$A$88,$BA$205^A75,IF(A75='Données projet'!$A$88,'Données projet'!$B$88,BD74+BC75-BL74)))</f>
        <v>185.1999999999999</v>
      </c>
      <c r="BE75" s="14">
        <f>BD75*VLOOKUP('Données projet'!$B$11,Paramètres!$A$1:$I$89,3,0)*VLOOKUP('Données projet'!$B$11,Paramètres!$A$1:$I$89,5,0)</f>
        <v>150.23423999999994</v>
      </c>
      <c r="BF75" s="14">
        <f t="shared" si="91"/>
        <v>38.631812666215332</v>
      </c>
      <c r="BG75" s="22">
        <f t="shared" si="61"/>
        <v>328.94170839365825</v>
      </c>
      <c r="BH75" s="60">
        <f t="shared" si="62"/>
        <v>622.2750417269915</v>
      </c>
      <c r="BI75" s="60">
        <f ca="1">AVERAGE(OFFSET($BH$3,0,0,'Données projet'!$E$11+1,1))-AVERAGE(OFFSET($H$3,0,0,'Données projet'!$E$11+1,1))</f>
        <v>236.22643401787644</v>
      </c>
      <c r="BJ75" s="60">
        <f t="shared" si="92"/>
        <v>188.80444043778022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2.2000000000000002</v>
      </c>
      <c r="BY75" s="13">
        <f>IF('Données projet'!$A$114&gt;35,BY74+BX75-CG74,IF(A75&lt;'Données projet'!$A$114,$BV$205^A75,IF(A75='Données projet'!$A$114,'Données projet'!$B$114,BY74+BX75-CG74)))</f>
        <v>148.39999999999981</v>
      </c>
      <c r="BZ75" s="14">
        <f>BY75*VLOOKUP('Données projet'!$B$12,Paramètres!$A$1:$I$89,3,0)*VLOOKUP('Données projet'!$B$12,Paramètres!$A$1:$I$89,5,0)</f>
        <v>129.64223999999984</v>
      </c>
      <c r="CA75" s="14">
        <f t="shared" si="93"/>
        <v>33.913678246253156</v>
      </c>
      <c r="CB75" s="22">
        <f t="shared" si="64"/>
        <v>284.85989094555725</v>
      </c>
      <c r="CC75" s="60">
        <f t="shared" si="65"/>
        <v>578.19322427889051</v>
      </c>
      <c r="CD75" s="60">
        <f ca="1">AVERAGE(OFFSET($CC$3,0,0,'Données projet'!$E$12+1,1))-AVERAGE(OFFSET($H$3,0,0,'Données projet'!$E$12+1,1))</f>
        <v>202.86354781280403</v>
      </c>
      <c r="CE75" s="60">
        <f t="shared" si="94"/>
        <v>217.25323885665131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4.4337866711430253E-14</v>
      </c>
      <c r="CV75" s="14">
        <f t="shared" si="95"/>
        <v>7.3222115536967035E-13</v>
      </c>
      <c r="CW75" s="22">
        <f t="shared" si="67"/>
        <v>1.3525069634579169E-12</v>
      </c>
      <c r="CX75" s="60">
        <f t="shared" si="68"/>
        <v>293.33333333333468</v>
      </c>
      <c r="CY75" s="60">
        <f ca="1">AVERAGE(OFFSET($CX$3,0,0,'Données projet'!$E$13+1,1))-AVERAGE(OFFSET($H$3,0,0,'Données projet'!$E$13+1,1))</f>
        <v>288.82868507674738</v>
      </c>
      <c r="CZ75" s="60">
        <f t="shared" si="96"/>
        <v>283.48738729114024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219.52943999999994</v>
      </c>
      <c r="P76" s="14">
        <f t="shared" si="87"/>
        <v>54.012599087881227</v>
      </c>
      <c r="Q76" s="22">
        <f t="shared" si="54"/>
        <v>476.41905141139301</v>
      </c>
      <c r="R76" s="60">
        <f t="shared" si="55"/>
        <v>769.75238474472633</v>
      </c>
      <c r="S76" s="60">
        <f ca="1">AVERAGE(OFFSET($R$3,0,0,'Données projet'!$E$9+1,1))-AVERAGE(OFFSET($H$3,0,0,'Données projet'!$E$9+1,1))</f>
        <v>402.79698021419853</v>
      </c>
      <c r="T76" s="60">
        <f t="shared" si="88"/>
        <v>218.26721063098552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259.79999999999984</v>
      </c>
      <c r="AJ76" s="14">
        <f>AI76*VLOOKUP('Données projet'!$B$10,Paramètres!$A$1:$I$89,3,0)*VLOOKUP('Données projet'!$B$10,Paramètres!$A$1:$I$89,5,0)</f>
        <v>222.90839999999989</v>
      </c>
      <c r="AK76" s="14">
        <f t="shared" si="89"/>
        <v>54.746528106299714</v>
      </c>
      <c r="AL76" s="22">
        <f t="shared" si="58"/>
        <v>483.58233311847181</v>
      </c>
      <c r="AM76" s="60">
        <f t="shared" si="59"/>
        <v>776.91566645180512</v>
      </c>
      <c r="AN76" s="60">
        <f ca="1">AVERAGE(OFFSET($AM$3,0,0,'Données projet'!$E$10+1,1))-AVERAGE(OFFSET($H$3,0,0,'Données projet'!$E$10+1,1))</f>
        <v>440.51611312502263</v>
      </c>
      <c r="AO76" s="60">
        <f t="shared" si="90"/>
        <v>176.81257896138806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3.6</v>
      </c>
      <c r="BD76" s="13">
        <f>IF('Données projet'!$A$88&gt;35,BD75+BC76-BL75,IF(A76&lt;'Données projet'!$A$88,$BA$205^A76,IF(A76='Données projet'!$A$88,'Données projet'!$B$88,BD75+BC76-BL75)))</f>
        <v>188.7999999999999</v>
      </c>
      <c r="BE76" s="14">
        <f>BD76*VLOOKUP('Données projet'!$B$11,Paramètres!$A$1:$I$89,3,0)*VLOOKUP('Données projet'!$B$11,Paramètres!$A$1:$I$89,5,0)</f>
        <v>153.15455999999992</v>
      </c>
      <c r="BF76" s="14">
        <f t="shared" si="91"/>
        <v>39.29460004681124</v>
      </c>
      <c r="BG76" s="22">
        <f t="shared" si="61"/>
        <v>335.18228708152941</v>
      </c>
      <c r="BH76" s="60">
        <f t="shared" si="62"/>
        <v>628.51562041486272</v>
      </c>
      <c r="BI76" s="60">
        <f ca="1">AVERAGE(OFFSET($BH$3,0,0,'Données projet'!$E$11+1,1))-AVERAGE(OFFSET($H$3,0,0,'Données projet'!$E$11+1,1))</f>
        <v>236.22643401787644</v>
      </c>
      <c r="BJ76" s="60">
        <f t="shared" si="92"/>
        <v>188.80444043778022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2.2000000000000002</v>
      </c>
      <c r="BY76" s="13">
        <f>IF('Données projet'!$A$114&gt;35,BY75+BX76-CG75,IF(A76&lt;'Données projet'!$A$114,$BV$205^A76,IF(A76='Données projet'!$A$114,'Données projet'!$B$114,BY75+BX76-CG75)))</f>
        <v>150.5999999999998</v>
      </c>
      <c r="BZ76" s="14">
        <f>BY76*VLOOKUP('Données projet'!$B$12,Paramètres!$A$1:$I$89,3,0)*VLOOKUP('Données projet'!$B$12,Paramètres!$A$1:$I$89,5,0)</f>
        <v>131.56415999999984</v>
      </c>
      <c r="CA76" s="14">
        <f t="shared" si="93"/>
        <v>34.357538812709031</v>
      </c>
      <c r="CB76" s="22">
        <f t="shared" si="64"/>
        <v>288.98029209880133</v>
      </c>
      <c r="CC76" s="60">
        <f t="shared" si="65"/>
        <v>582.31362543213459</v>
      </c>
      <c r="CD76" s="60">
        <f ca="1">AVERAGE(OFFSET($CC$3,0,0,'Données projet'!$E$12+1,1))-AVERAGE(OFFSET($H$3,0,0,'Données projet'!$E$12+1,1))</f>
        <v>202.86354781280403</v>
      </c>
      <c r="CE76" s="60">
        <f t="shared" si="94"/>
        <v>217.25323885665131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4.4337866711430253E-14</v>
      </c>
      <c r="CV76" s="14">
        <f t="shared" si="95"/>
        <v>7.3222115536967035E-13</v>
      </c>
      <c r="CW76" s="22">
        <f t="shared" si="67"/>
        <v>1.3525069634579169E-12</v>
      </c>
      <c r="CX76" s="60">
        <f t="shared" si="68"/>
        <v>293.33333333333468</v>
      </c>
      <c r="CY76" s="60">
        <f ca="1">AVERAGE(OFFSET($CX$3,0,0,'Données projet'!$E$13+1,1))-AVERAGE(OFFSET($H$3,0,0,'Données projet'!$E$13+1,1))</f>
        <v>288.82868507674738</v>
      </c>
      <c r="CZ76" s="60">
        <f t="shared" si="96"/>
        <v>283.48738729114024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224.75231999999991</v>
      </c>
      <c r="P77" s="14">
        <f t="shared" si="87"/>
        <v>55.146490754971083</v>
      </c>
      <c r="Q77" s="22">
        <f t="shared" si="54"/>
        <v>487.49042873157447</v>
      </c>
      <c r="R77" s="60">
        <f t="shared" si="55"/>
        <v>780.82376206490778</v>
      </c>
      <c r="S77" s="60">
        <f ca="1">AVERAGE(OFFSET($R$3,0,0,'Données projet'!$E$9+1,1))-AVERAGE(OFFSET($H$3,0,0,'Données projet'!$E$9+1,1))</f>
        <v>402.79698021419853</v>
      </c>
      <c r="T77" s="60">
        <f t="shared" si="88"/>
        <v>218.26721063098552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267.39999999999986</v>
      </c>
      <c r="AJ77" s="14">
        <f>AI77*VLOOKUP('Données projet'!$B$10,Paramètres!$A$1:$I$89,3,0)*VLOOKUP('Données projet'!$B$10,Paramètres!$A$1:$I$89,5,0)</f>
        <v>229.42919999999989</v>
      </c>
      <c r="AK77" s="14">
        <f t="shared" si="89"/>
        <v>56.159243382864133</v>
      </c>
      <c r="AL77" s="22">
        <f t="shared" si="58"/>
        <v>497.39987222515487</v>
      </c>
      <c r="AM77" s="60">
        <f t="shared" si="59"/>
        <v>790.73320555848818</v>
      </c>
      <c r="AN77" s="60">
        <f ca="1">AVERAGE(OFFSET($AM$3,0,0,'Données projet'!$E$10+1,1))-AVERAGE(OFFSET($H$3,0,0,'Données projet'!$E$10+1,1))</f>
        <v>440.51611312502263</v>
      </c>
      <c r="AO77" s="60">
        <f t="shared" si="90"/>
        <v>176.81257896138806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3.6</v>
      </c>
      <c r="BD77" s="13">
        <f>IF('Données projet'!$A$88&gt;35,BD76+BC77-BL76,IF(A77&lt;'Données projet'!$A$88,$BA$205^A77,IF(A77='Données projet'!$A$88,'Données projet'!$B$88,BD76+BC77-BL76)))</f>
        <v>192.39999999999989</v>
      </c>
      <c r="BE77" s="14">
        <f>BD77*VLOOKUP('Données projet'!$B$11,Paramètres!$A$1:$I$89,3,0)*VLOOKUP('Données projet'!$B$11,Paramètres!$A$1:$I$89,5,0)</f>
        <v>156.07487999999992</v>
      </c>
      <c r="BF77" s="14">
        <f t="shared" si="91"/>
        <v>39.955917913584059</v>
      </c>
      <c r="BG77" s="22">
        <f t="shared" si="61"/>
        <v>341.42030636615868</v>
      </c>
      <c r="BH77" s="60">
        <f t="shared" si="62"/>
        <v>634.75363969949194</v>
      </c>
      <c r="BI77" s="60">
        <f ca="1">AVERAGE(OFFSET($BH$3,0,0,'Données projet'!$E$11+1,1))-AVERAGE(OFFSET($H$3,0,0,'Données projet'!$E$11+1,1))</f>
        <v>236.22643401787644</v>
      </c>
      <c r="BJ77" s="60">
        <f t="shared" si="92"/>
        <v>188.80444043778022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2.2000000000000002</v>
      </c>
      <c r="BY77" s="13">
        <f>IF('Données projet'!$A$114&gt;35,BY76+BX77-CG76,IF(A77&lt;'Données projet'!$A$114,$BV$205^A77,IF(A77='Données projet'!$A$114,'Données projet'!$B$114,BY76+BX77-CG76)))</f>
        <v>152.79999999999978</v>
      </c>
      <c r="BZ77" s="14">
        <f>BY77*VLOOKUP('Données projet'!$B$12,Paramètres!$A$1:$I$89,3,0)*VLOOKUP('Données projet'!$B$12,Paramètres!$A$1:$I$89,5,0)</f>
        <v>133.48607999999982</v>
      </c>
      <c r="CA77" s="14">
        <f t="shared" si="93"/>
        <v>34.800645252320457</v>
      </c>
      <c r="CB77" s="22">
        <f t="shared" si="64"/>
        <v>293.09937981445779</v>
      </c>
      <c r="CC77" s="60">
        <f t="shared" si="65"/>
        <v>586.43271314779111</v>
      </c>
      <c r="CD77" s="60">
        <f ca="1">AVERAGE(OFFSET($CC$3,0,0,'Données projet'!$E$12+1,1))-AVERAGE(OFFSET($H$3,0,0,'Données projet'!$E$12+1,1))</f>
        <v>202.86354781280403</v>
      </c>
      <c r="CE77" s="60">
        <f t="shared" si="94"/>
        <v>217.25323885665131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4.4337866711430253E-14</v>
      </c>
      <c r="CV77" s="14">
        <f t="shared" si="95"/>
        <v>7.3222115536967035E-13</v>
      </c>
      <c r="CW77" s="22">
        <f t="shared" si="67"/>
        <v>1.3525069634579169E-12</v>
      </c>
      <c r="CX77" s="60">
        <f t="shared" si="68"/>
        <v>293.33333333333468</v>
      </c>
      <c r="CY77" s="60">
        <f ca="1">AVERAGE(OFFSET($CX$3,0,0,'Données projet'!$E$13+1,1))-AVERAGE(OFFSET($H$3,0,0,'Données projet'!$E$13+1,1))</f>
        <v>288.82868507674738</v>
      </c>
      <c r="CZ77" s="60">
        <f t="shared" si="96"/>
        <v>283.48738729114024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229.97519999999994</v>
      </c>
      <c r="P78" s="14">
        <f t="shared" si="87"/>
        <v>56.277319157664266</v>
      </c>
      <c r="Q78" s="22">
        <f t="shared" si="54"/>
        <v>498.55647086626522</v>
      </c>
      <c r="R78" s="60">
        <f t="shared" si="55"/>
        <v>791.88980419959853</v>
      </c>
      <c r="S78" s="60">
        <f ca="1">AVERAGE(OFFSET($R$3,0,0,'Données projet'!$E$9+1,1))-AVERAGE(OFFSET($H$3,0,0,'Données projet'!$E$9+1,1))</f>
        <v>402.79698021419853</v>
      </c>
      <c r="T78" s="60">
        <f t="shared" si="88"/>
        <v>218.26721063098552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275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274.99999999999989</v>
      </c>
      <c r="AJ78" s="14">
        <f>AI78*VLOOKUP('Données projet'!$B$10,Paramètres!$A$1:$I$89,3,0)*VLOOKUP('Données projet'!$B$10,Paramètres!$A$1:$I$89,5,0)</f>
        <v>235.94999999999993</v>
      </c>
      <c r="AK78" s="14">
        <f t="shared" si="89"/>
        <v>57.567292029002402</v>
      </c>
      <c r="AL78" s="22">
        <f t="shared" si="58"/>
        <v>511.20928361717898</v>
      </c>
      <c r="AM78" s="60">
        <f t="shared" si="59"/>
        <v>804.5426169505123</v>
      </c>
      <c r="AN78" s="60">
        <f ca="1">AVERAGE(OFFSET($AM$3,0,0,'Données projet'!$E$10+1,1))-AVERAGE(OFFSET($H$3,0,0,'Données projet'!$E$10+1,1))</f>
        <v>440.51611312502263</v>
      </c>
      <c r="AO78" s="60">
        <f t="shared" si="90"/>
        <v>176.81257896138806</v>
      </c>
      <c r="AP78" s="16">
        <f>IF(ISNA(VLOOKUP(A78,'Données projet'!$A$61:$I$81,3,0)),0,VLOOKUP(A78,'Données projet'!$A$61:$I$81,3,0))</f>
        <v>5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196</v>
      </c>
      <c r="BB78" s="13">
        <f>VLOOKUP(A78,'Données projet'!$A$87:$I$107,9,0)</f>
        <v>3.6</v>
      </c>
      <c r="BC78" s="13">
        <f t="array" ref="BC78">INDEX(BB:BB,MIN(IF(ISNUMBER(BB78:BB274),ROW(BB78:BB274),"")))</f>
        <v>3.6</v>
      </c>
      <c r="BD78" s="13">
        <f>IF('Données projet'!$A$88&gt;35,BD77+BC78-BL77,IF(A78&lt;'Données projet'!$A$88,$BA$205^A78,IF(A78='Données projet'!$A$88,'Données projet'!$B$88,BD77+BC78-BL77)))</f>
        <v>195.99999999999989</v>
      </c>
      <c r="BE78" s="14">
        <f>BD78*VLOOKUP('Données projet'!$B$11,Paramètres!$A$1:$I$89,3,0)*VLOOKUP('Données projet'!$B$11,Paramètres!$A$1:$I$89,5,0)</f>
        <v>158.99519999999993</v>
      </c>
      <c r="BF78" s="14">
        <f t="shared" si="91"/>
        <v>40.615796933386008</v>
      </c>
      <c r="BG78" s="22">
        <f t="shared" si="61"/>
        <v>347.65581965898053</v>
      </c>
      <c r="BH78" s="60">
        <f t="shared" si="62"/>
        <v>640.98915299231385</v>
      </c>
      <c r="BI78" s="60">
        <f ca="1">AVERAGE(OFFSET($BH$3,0,0,'Données projet'!$E$11+1,1))-AVERAGE(OFFSET($H$3,0,0,'Données projet'!$E$11+1,1))</f>
        <v>236.22643401787644</v>
      </c>
      <c r="BJ78" s="60">
        <f t="shared" si="92"/>
        <v>188.80444043778022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22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155</v>
      </c>
      <c r="BW78" s="13">
        <f>VLOOKUP(A78,'Données projet'!$A$113:$I$133,9,0)</f>
        <v>2.2000000000000002</v>
      </c>
      <c r="BX78" s="13">
        <f t="array" ref="BX78">INDEX(BW:BW,MIN(IF(ISNUMBER(BW78:BW274),ROW(BW78:BW274),"")))</f>
        <v>2.2000000000000002</v>
      </c>
      <c r="BY78" s="13">
        <f>IF('Données projet'!$A$114&gt;35,BY77+BX78-CG77,IF(A78&lt;'Données projet'!$A$114,$BV$205^A78,IF(A78='Données projet'!$A$114,'Données projet'!$B$114,BY77+BX78-CG77)))</f>
        <v>154.99999999999977</v>
      </c>
      <c r="BZ78" s="14">
        <f>BY78*VLOOKUP('Données projet'!$B$12,Paramètres!$A$1:$I$89,3,0)*VLOOKUP('Données projet'!$B$12,Paramètres!$A$1:$I$89,5,0)</f>
        <v>135.40799999999982</v>
      </c>
      <c r="CA78" s="14">
        <f t="shared" si="93"/>
        <v>35.243009677478696</v>
      </c>
      <c r="CB78" s="22">
        <f t="shared" si="64"/>
        <v>297.21717518827501</v>
      </c>
      <c r="CC78" s="60">
        <f t="shared" si="65"/>
        <v>590.55050852160832</v>
      </c>
      <c r="CD78" s="60">
        <f ca="1">AVERAGE(OFFSET($CC$3,0,0,'Données projet'!$E$12+1,1))-AVERAGE(OFFSET($H$3,0,0,'Données projet'!$E$12+1,1))</f>
        <v>202.86354781280403</v>
      </c>
      <c r="CE78" s="60">
        <f t="shared" si="94"/>
        <v>217.25323885665131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4.4337866711430253E-14</v>
      </c>
      <c r="CV78" s="14">
        <f t="shared" si="95"/>
        <v>7.3222115536967035E-13</v>
      </c>
      <c r="CW78" s="22">
        <f t="shared" si="67"/>
        <v>1.3525069634579169E-12</v>
      </c>
      <c r="CX78" s="60">
        <f t="shared" si="68"/>
        <v>293.33333333333468</v>
      </c>
      <c r="CY78" s="60">
        <f ca="1">AVERAGE(OFFSET($CX$3,0,0,'Données projet'!$E$13+1,1))-AVERAGE(OFFSET($H$3,0,0,'Données projet'!$E$13+1,1))</f>
        <v>288.82868507674738</v>
      </c>
      <c r="CZ78" s="60">
        <f t="shared" si="96"/>
        <v>283.48738729114024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199.64879999999994</v>
      </c>
      <c r="P79" s="14">
        <f t="shared" si="87"/>
        <v>49.666976701936271</v>
      </c>
      <c r="Q79" s="22">
        <f t="shared" si="54"/>
        <v>434.22497775587226</v>
      </c>
      <c r="R79" s="60">
        <f t="shared" si="55"/>
        <v>727.55831108920552</v>
      </c>
      <c r="S79" s="60">
        <f ca="1">AVERAGE(OFFSET($R$3,0,0,'Données projet'!$E$9+1,1))-AVERAGE(OFFSET($H$3,0,0,'Données projet'!$E$9+1,1))</f>
        <v>402.79698021419853</v>
      </c>
      <c r="T79" s="60">
        <f t="shared" si="88"/>
        <v>218.26721063098552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7.4</v>
      </c>
      <c r="AI79" s="14">
        <f>IF('Données projet'!$A$62&gt;35,AI78+AH79-AQ78,IF(A79&lt;'Données projet'!$A$62,$AF$205^A79,IF(A79='Données projet'!$A$62,'Données projet'!$B$62,AI78+AH79-AQ78)))</f>
        <v>240.39999999999986</v>
      </c>
      <c r="AJ79" s="14">
        <f>AI79*VLOOKUP('Données projet'!$B$10,Paramètres!$A$1:$I$89,3,0)*VLOOKUP('Données projet'!$B$10,Paramètres!$A$1:$I$89,5,0)</f>
        <v>206.26319999999993</v>
      </c>
      <c r="AK79" s="14">
        <f t="shared" si="89"/>
        <v>51.118149550886002</v>
      </c>
      <c r="AL79" s="22">
        <f t="shared" si="58"/>
        <v>448.27251713445963</v>
      </c>
      <c r="AM79" s="60">
        <f t="shared" si="59"/>
        <v>741.60585046779295</v>
      </c>
      <c r="AN79" s="60">
        <f ca="1">AVERAGE(OFFSET($AM$3,0,0,'Données projet'!$E$10+1,1))-AVERAGE(OFFSET($H$3,0,0,'Données projet'!$E$10+1,1))</f>
        <v>440.51611312502263</v>
      </c>
      <c r="AO79" s="60">
        <f t="shared" si="90"/>
        <v>176.81257896138806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177.59999999999988</v>
      </c>
      <c r="BE79" s="14">
        <f>BD79*VLOOKUP('Données projet'!$B$11,Paramètres!$A$1:$I$89,3,0)*VLOOKUP('Données projet'!$B$11,Paramètres!$A$1:$I$89,5,0)</f>
        <v>144.06911999999991</v>
      </c>
      <c r="BF79" s="14">
        <f t="shared" si="91"/>
        <v>37.22762367982471</v>
      </c>
      <c r="BG79" s="22">
        <f t="shared" si="61"/>
        <v>315.75849524236122</v>
      </c>
      <c r="BH79" s="60">
        <f t="shared" si="62"/>
        <v>609.09182857569454</v>
      </c>
      <c r="BI79" s="60">
        <f ca="1">AVERAGE(OFFSET($BH$3,0,0,'Données projet'!$E$11+1,1))-AVERAGE(OFFSET($H$3,0,0,'Données projet'!$E$11+1,1))</f>
        <v>236.22643401787644</v>
      </c>
      <c r="BJ79" s="60">
        <f t="shared" si="92"/>
        <v>188.80444043778022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1.8</v>
      </c>
      <c r="BY79" s="13">
        <f>IF('Données projet'!$A$114&gt;35,BY78+BX79-CG78,IF(A79&lt;'Données projet'!$A$114,$BV$205^A79,IF(A79='Données projet'!$A$114,'Données projet'!$B$114,BY78+BX79-CG78)))</f>
        <v>156.79999999999978</v>
      </c>
      <c r="BZ79" s="14">
        <f>BY79*VLOOKUP('Données projet'!$B$12,Paramètres!$A$1:$I$89,3,0)*VLOOKUP('Données projet'!$B$12,Paramètres!$A$1:$I$89,5,0)</f>
        <v>136.98047999999983</v>
      </c>
      <c r="CA79" s="14">
        <f t="shared" si="93"/>
        <v>35.604400515895449</v>
      </c>
      <c r="CB79" s="22">
        <f t="shared" si="64"/>
        <v>300.58533356518427</v>
      </c>
      <c r="CC79" s="60">
        <f t="shared" si="65"/>
        <v>593.91866689851759</v>
      </c>
      <c r="CD79" s="60">
        <f ca="1">AVERAGE(OFFSET($CC$3,0,0,'Données projet'!$E$12+1,1))-AVERAGE(OFFSET($H$3,0,0,'Données projet'!$E$12+1,1))</f>
        <v>202.86354781280403</v>
      </c>
      <c r="CE79" s="60">
        <f t="shared" si="94"/>
        <v>217.25323885665131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4.4337866711430253E-14</v>
      </c>
      <c r="CV79" s="14">
        <f t="shared" si="95"/>
        <v>7.3222115536967035E-13</v>
      </c>
      <c r="CW79" s="22">
        <f t="shared" si="67"/>
        <v>1.3525069634579169E-12</v>
      </c>
      <c r="CX79" s="60">
        <f t="shared" si="68"/>
        <v>293.33333333333468</v>
      </c>
      <c r="CY79" s="60">
        <f ca="1">AVERAGE(OFFSET($CX$3,0,0,'Données projet'!$E$13+1,1))-AVERAGE(OFFSET($H$3,0,0,'Données projet'!$E$13+1,1))</f>
        <v>288.82868507674738</v>
      </c>
      <c r="CZ79" s="60">
        <f t="shared" si="96"/>
        <v>283.48738729114024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204.70319999999992</v>
      </c>
      <c r="P80" s="14">
        <f t="shared" si="87"/>
        <v>50.776386315598728</v>
      </c>
      <c r="Q80" s="22">
        <f t="shared" si="54"/>
        <v>444.96027949966765</v>
      </c>
      <c r="R80" s="60">
        <f t="shared" si="55"/>
        <v>738.29361283300091</v>
      </c>
      <c r="S80" s="60">
        <f ca="1">AVERAGE(OFFSET($R$3,0,0,'Données projet'!$E$9+1,1))-AVERAGE(OFFSET($H$3,0,0,'Données projet'!$E$9+1,1))</f>
        <v>402.79698021419853</v>
      </c>
      <c r="T80" s="60">
        <f t="shared" si="88"/>
        <v>218.26721063098552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7.4</v>
      </c>
      <c r="AI80" s="14">
        <f>IF('Données projet'!$A$62&gt;35,AI79+AH80-AQ79,IF(A80&lt;'Données projet'!$A$62,$AF$205^A80,IF(A80='Données projet'!$A$62,'Données projet'!$B$62,AI79+AH80-AQ79)))</f>
        <v>247.79999999999987</v>
      </c>
      <c r="AJ80" s="14">
        <f>AI80*VLOOKUP('Données projet'!$B$10,Paramètres!$A$1:$I$89,3,0)*VLOOKUP('Données projet'!$B$10,Paramètres!$A$1:$I$89,5,0)</f>
        <v>212.61239999999989</v>
      </c>
      <c r="AK80" s="14">
        <f t="shared" si="89"/>
        <v>52.506049408060917</v>
      </c>
      <c r="AL80" s="22">
        <f t="shared" si="58"/>
        <v>461.74796605237253</v>
      </c>
      <c r="AM80" s="60">
        <f t="shared" si="59"/>
        <v>755.08129938570585</v>
      </c>
      <c r="AN80" s="60">
        <f ca="1">AVERAGE(OFFSET($AM$3,0,0,'Données projet'!$E$10+1,1))-AVERAGE(OFFSET($H$3,0,0,'Données projet'!$E$10+1,1))</f>
        <v>440.51611312502263</v>
      </c>
      <c r="AO80" s="60">
        <f t="shared" si="90"/>
        <v>176.81257896138806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181.19999999999987</v>
      </c>
      <c r="BE80" s="14">
        <f>BD80*VLOOKUP('Données projet'!$B$11,Paramètres!$A$1:$I$89,3,0)*VLOOKUP('Données projet'!$B$11,Paramètres!$A$1:$I$89,5,0)</f>
        <v>146.98943999999989</v>
      </c>
      <c r="BF80" s="14">
        <f t="shared" si="91"/>
        <v>37.89361985872371</v>
      </c>
      <c r="BG80" s="22">
        <f t="shared" si="61"/>
        <v>322.00466258727687</v>
      </c>
      <c r="BH80" s="60">
        <f t="shared" si="62"/>
        <v>615.33799592061018</v>
      </c>
      <c r="BI80" s="60">
        <f ca="1">AVERAGE(OFFSET($BH$3,0,0,'Données projet'!$E$11+1,1))-AVERAGE(OFFSET($H$3,0,0,'Données projet'!$E$11+1,1))</f>
        <v>236.22643401787644</v>
      </c>
      <c r="BJ80" s="60">
        <f t="shared" si="92"/>
        <v>188.80444043778022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1.8</v>
      </c>
      <c r="BY80" s="13">
        <f>IF('Données projet'!$A$114&gt;35,BY79+BX80-CG79,IF(A80&lt;'Données projet'!$A$114,$BV$205^A80,IF(A80='Données projet'!$A$114,'Données projet'!$B$114,BY79+BX80-CG79)))</f>
        <v>158.5999999999998</v>
      </c>
      <c r="BZ80" s="14">
        <f>BY80*VLOOKUP('Données projet'!$B$12,Paramètres!$A$1:$I$89,3,0)*VLOOKUP('Données projet'!$B$12,Paramètres!$A$1:$I$89,5,0)</f>
        <v>138.55295999999984</v>
      </c>
      <c r="CA80" s="14">
        <f t="shared" si="93"/>
        <v>35.965308766301767</v>
      </c>
      <c r="CB80" s="22">
        <f t="shared" si="64"/>
        <v>303.95265143464201</v>
      </c>
      <c r="CC80" s="60">
        <f t="shared" si="65"/>
        <v>597.28598476797538</v>
      </c>
      <c r="CD80" s="60">
        <f ca="1">AVERAGE(OFFSET($CC$3,0,0,'Données projet'!$E$12+1,1))-AVERAGE(OFFSET($H$3,0,0,'Données projet'!$E$12+1,1))</f>
        <v>202.86354781280403</v>
      </c>
      <c r="CE80" s="60">
        <f t="shared" si="94"/>
        <v>217.25323885665131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4.4337866711430253E-14</v>
      </c>
      <c r="CV80" s="14">
        <f t="shared" si="95"/>
        <v>7.3222115536967035E-13</v>
      </c>
      <c r="CW80" s="22">
        <f t="shared" si="67"/>
        <v>1.3525069634579169E-12</v>
      </c>
      <c r="CX80" s="60">
        <f t="shared" si="68"/>
        <v>293.33333333333468</v>
      </c>
      <c r="CY80" s="60">
        <f ca="1">AVERAGE(OFFSET($CX$3,0,0,'Données projet'!$E$13+1,1))-AVERAGE(OFFSET($H$3,0,0,'Données projet'!$E$13+1,1))</f>
        <v>288.82868507674738</v>
      </c>
      <c r="CZ80" s="60">
        <f t="shared" si="96"/>
        <v>283.48738729114024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209.75759999999994</v>
      </c>
      <c r="P81" s="14">
        <f t="shared" si="87"/>
        <v>51.88261163954845</v>
      </c>
      <c r="Q81" s="22">
        <f t="shared" si="54"/>
        <v>455.69003527221344</v>
      </c>
      <c r="R81" s="60">
        <f t="shared" si="55"/>
        <v>749.02336860554669</v>
      </c>
      <c r="S81" s="60">
        <f ca="1">AVERAGE(OFFSET($R$3,0,0,'Données projet'!$E$9+1,1))-AVERAGE(OFFSET($H$3,0,0,'Données projet'!$E$9+1,1))</f>
        <v>402.79698021419853</v>
      </c>
      <c r="T81" s="60">
        <f t="shared" si="88"/>
        <v>218.26721063098552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7.4</v>
      </c>
      <c r="AI81" s="14">
        <f>IF('Données projet'!$A$62&gt;35,AI80+AH81-AQ80,IF(A81&lt;'Données projet'!$A$62,$AF$205^A81,IF(A81='Données projet'!$A$62,'Données projet'!$B$62,AI80+AH81-AQ80)))</f>
        <v>255.19999999999987</v>
      </c>
      <c r="AJ81" s="14">
        <f>AI81*VLOOKUP('Données projet'!$B$10,Paramètres!$A$1:$I$89,3,0)*VLOOKUP('Données projet'!$B$10,Paramètres!$A$1:$I$89,5,0)</f>
        <v>218.96159999999989</v>
      </c>
      <c r="AK81" s="14">
        <f t="shared" si="89"/>
        <v>53.88913250370743</v>
      </c>
      <c r="AL81" s="22">
        <f t="shared" si="58"/>
        <v>475.21502577729029</v>
      </c>
      <c r="AM81" s="60">
        <f t="shared" si="59"/>
        <v>768.54835911062355</v>
      </c>
      <c r="AN81" s="60">
        <f ca="1">AVERAGE(OFFSET($AM$3,0,0,'Données projet'!$E$10+1,1))-AVERAGE(OFFSET($H$3,0,0,'Données projet'!$E$10+1,1))</f>
        <v>440.51611312502263</v>
      </c>
      <c r="AO81" s="60">
        <f t="shared" si="90"/>
        <v>176.81257896138806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184.79999999999987</v>
      </c>
      <c r="BE81" s="14">
        <f>BD81*VLOOKUP('Données projet'!$B$11,Paramètres!$A$1:$I$89,3,0)*VLOOKUP('Données projet'!$B$11,Paramètres!$A$1:$I$89,5,0)</f>
        <v>149.90975999999989</v>
      </c>
      <c r="BF81" s="14">
        <f t="shared" si="91"/>
        <v>38.558077538852132</v>
      </c>
      <c r="BG81" s="22">
        <f t="shared" si="61"/>
        <v>328.24815038016726</v>
      </c>
      <c r="BH81" s="60">
        <f t="shared" si="62"/>
        <v>621.58148371350057</v>
      </c>
      <c r="BI81" s="60">
        <f ca="1">AVERAGE(OFFSET($BH$3,0,0,'Données projet'!$E$11+1,1))-AVERAGE(OFFSET($H$3,0,0,'Données projet'!$E$11+1,1))</f>
        <v>236.22643401787644</v>
      </c>
      <c r="BJ81" s="60">
        <f t="shared" si="92"/>
        <v>188.80444043778022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1.8</v>
      </c>
      <c r="BY81" s="13">
        <f>IF('Données projet'!$A$114&gt;35,BY80+BX81-CG80,IF(A81&lt;'Données projet'!$A$114,$BV$205^A81,IF(A81='Données projet'!$A$114,'Données projet'!$B$114,BY80+BX81-CG80)))</f>
        <v>160.39999999999981</v>
      </c>
      <c r="BZ81" s="14">
        <f>BY81*VLOOKUP('Données projet'!$B$12,Paramètres!$A$1:$I$89,3,0)*VLOOKUP('Données projet'!$B$12,Paramètres!$A$1:$I$89,5,0)</f>
        <v>140.12543999999986</v>
      </c>
      <c r="CA81" s="14">
        <f t="shared" si="93"/>
        <v>36.325740539490781</v>
      </c>
      <c r="CB81" s="22">
        <f t="shared" si="64"/>
        <v>307.3191394396128</v>
      </c>
      <c r="CC81" s="60">
        <f t="shared" si="65"/>
        <v>600.65247277294611</v>
      </c>
      <c r="CD81" s="60">
        <f ca="1">AVERAGE(OFFSET($CC$3,0,0,'Données projet'!$E$12+1,1))-AVERAGE(OFFSET($H$3,0,0,'Données projet'!$E$12+1,1))</f>
        <v>202.86354781280403</v>
      </c>
      <c r="CE81" s="60">
        <f t="shared" si="94"/>
        <v>217.25323885665131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4.4337866711430253E-14</v>
      </c>
      <c r="CV81" s="14">
        <f t="shared" si="95"/>
        <v>7.3222115536967035E-13</v>
      </c>
      <c r="CW81" s="22">
        <f t="shared" si="67"/>
        <v>1.3525069634579169E-12</v>
      </c>
      <c r="CX81" s="60">
        <f t="shared" si="68"/>
        <v>293.33333333333468</v>
      </c>
      <c r="CY81" s="60">
        <f ca="1">AVERAGE(OFFSET($CX$3,0,0,'Données projet'!$E$13+1,1))-AVERAGE(OFFSET($H$3,0,0,'Données projet'!$E$13+1,1))</f>
        <v>288.82868507674738</v>
      </c>
      <c r="CZ81" s="60">
        <f t="shared" si="96"/>
        <v>283.48738729114024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214.81199999999995</v>
      </c>
      <c r="P82" s="14">
        <f t="shared" si="87"/>
        <v>52.985738231738054</v>
      </c>
      <c r="Q82" s="22">
        <f t="shared" si="54"/>
        <v>466.41439408694367</v>
      </c>
      <c r="R82" s="60">
        <f t="shared" si="55"/>
        <v>759.74772742027699</v>
      </c>
      <c r="S82" s="60">
        <f ca="1">AVERAGE(OFFSET($R$3,0,0,'Données projet'!$E$9+1,1))-AVERAGE(OFFSET($H$3,0,0,'Données projet'!$E$9+1,1))</f>
        <v>402.79698021419853</v>
      </c>
      <c r="T82" s="60">
        <f t="shared" si="88"/>
        <v>218.26721063098552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7.4</v>
      </c>
      <c r="AI82" s="14">
        <f>IF('Données projet'!$A$62&gt;35,AI81+AH82-AQ81,IF(A82&lt;'Données projet'!$A$62,$AF$205^A82,IF(A82='Données projet'!$A$62,'Données projet'!$B$62,AI81+AH82-AQ81)))</f>
        <v>262.59999999999985</v>
      </c>
      <c r="AJ82" s="14">
        <f>AI82*VLOOKUP('Données projet'!$B$10,Paramètres!$A$1:$I$89,3,0)*VLOOKUP('Données projet'!$B$10,Paramètres!$A$1:$I$89,5,0)</f>
        <v>225.31079999999989</v>
      </c>
      <c r="AK82" s="14">
        <f t="shared" si="89"/>
        <v>55.267554547888764</v>
      </c>
      <c r="AL82" s="22">
        <f t="shared" si="58"/>
        <v>488.67396750423933</v>
      </c>
      <c r="AM82" s="60">
        <f t="shared" si="59"/>
        <v>782.00730083757264</v>
      </c>
      <c r="AN82" s="60">
        <f ca="1">AVERAGE(OFFSET($AM$3,0,0,'Données projet'!$E$10+1,1))-AVERAGE(OFFSET($H$3,0,0,'Données projet'!$E$10+1,1))</f>
        <v>440.51611312502263</v>
      </c>
      <c r="AO82" s="60">
        <f t="shared" si="90"/>
        <v>176.81257896138806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188.39999999999986</v>
      </c>
      <c r="BE82" s="14">
        <f>BD82*VLOOKUP('Données projet'!$B$11,Paramètres!$A$1:$I$89,3,0)*VLOOKUP('Données projet'!$B$11,Paramètres!$A$1:$I$89,5,0)</f>
        <v>152.8300799999999</v>
      </c>
      <c r="BF82" s="14">
        <f t="shared" si="91"/>
        <v>39.221030145920402</v>
      </c>
      <c r="BG82" s="22">
        <f t="shared" si="61"/>
        <v>334.48901683747783</v>
      </c>
      <c r="BH82" s="60">
        <f t="shared" si="62"/>
        <v>627.82235017081121</v>
      </c>
      <c r="BI82" s="60">
        <f ca="1">AVERAGE(OFFSET($BH$3,0,0,'Données projet'!$E$11+1,1))-AVERAGE(OFFSET($H$3,0,0,'Données projet'!$E$11+1,1))</f>
        <v>236.22643401787644</v>
      </c>
      <c r="BJ82" s="60">
        <f t="shared" si="92"/>
        <v>188.80444043778022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1.8</v>
      </c>
      <c r="BY82" s="13">
        <f>IF('Données projet'!$A$114&gt;35,BY81+BX82-CG81,IF(A82&lt;'Données projet'!$A$114,$BV$205^A82,IF(A82='Données projet'!$A$114,'Données projet'!$B$114,BY81+BX82-CG81)))</f>
        <v>162.19999999999982</v>
      </c>
      <c r="BZ82" s="14">
        <f>BY82*VLOOKUP('Données projet'!$B$12,Paramètres!$A$1:$I$89,3,0)*VLOOKUP('Données projet'!$B$12,Paramètres!$A$1:$I$89,5,0)</f>
        <v>141.69791999999987</v>
      </c>
      <c r="CA82" s="14">
        <f t="shared" si="93"/>
        <v>36.685701801209326</v>
      </c>
      <c r="CB82" s="22">
        <f t="shared" si="64"/>
        <v>310.68480797043929</v>
      </c>
      <c r="CC82" s="60">
        <f t="shared" si="65"/>
        <v>604.01814130377261</v>
      </c>
      <c r="CD82" s="60">
        <f ca="1">AVERAGE(OFFSET($CC$3,0,0,'Données projet'!$E$12+1,1))-AVERAGE(OFFSET($H$3,0,0,'Données projet'!$E$12+1,1))</f>
        <v>202.86354781280403</v>
      </c>
      <c r="CE82" s="60">
        <f t="shared" si="94"/>
        <v>217.25323885665131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4.4337866711430253E-14</v>
      </c>
      <c r="CV82" s="14">
        <f t="shared" si="95"/>
        <v>7.3222115536967035E-13</v>
      </c>
      <c r="CW82" s="22">
        <f t="shared" si="67"/>
        <v>1.3525069634579169E-12</v>
      </c>
      <c r="CX82" s="60">
        <f t="shared" si="68"/>
        <v>293.33333333333468</v>
      </c>
      <c r="CY82" s="60">
        <f ca="1">AVERAGE(OFFSET($CX$3,0,0,'Données projet'!$E$13+1,1))-AVERAGE(OFFSET($H$3,0,0,'Données projet'!$E$13+1,1))</f>
        <v>288.82868507674738</v>
      </c>
      <c r="CZ82" s="60">
        <f t="shared" si="96"/>
        <v>283.48738729114024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219.86639999999991</v>
      </c>
      <c r="P83" s="14">
        <f t="shared" si="87"/>
        <v>54.085847394182416</v>
      </c>
      <c r="Q83" s="22">
        <f t="shared" si="54"/>
        <v>477.13349754486757</v>
      </c>
      <c r="R83" s="60">
        <f t="shared" si="55"/>
        <v>770.46683087820088</v>
      </c>
      <c r="S83" s="60">
        <f ca="1">AVERAGE(OFFSET($R$3,0,0,'Données projet'!$E$9+1,1))-AVERAGE(OFFSET($H$3,0,0,'Données projet'!$E$9+1,1))</f>
        <v>402.79698021419853</v>
      </c>
      <c r="T83" s="60">
        <f t="shared" si="88"/>
        <v>218.26721063098552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270</v>
      </c>
      <c r="AG83" s="13">
        <f>VLOOKUP(A83,'Données projet'!$A$61:$I$81,9,0)</f>
        <v>7.4</v>
      </c>
      <c r="AH83" s="13">
        <f t="array" ref="AH83">INDEX(AG:AG,MIN(IF(ISNUMBER(AG83:AG279),ROW(AG83:AG279),"")))</f>
        <v>7.4</v>
      </c>
      <c r="AI83" s="14">
        <f>IF('Données projet'!$A$62&gt;35,AI82+AH83-AQ82,IF(A83&lt;'Données projet'!$A$62,$AF$205^A83,IF(A83='Données projet'!$A$62,'Données projet'!$B$62,AI82+AH83-AQ82)))</f>
        <v>269.99999999999983</v>
      </c>
      <c r="AJ83" s="14">
        <f>AI83*VLOOKUP('Données projet'!$B$10,Paramètres!$A$1:$I$89,3,0)*VLOOKUP('Données projet'!$B$10,Paramètres!$A$1:$I$89,5,0)</f>
        <v>231.65999999999988</v>
      </c>
      <c r="AK83" s="14">
        <f t="shared" si="89"/>
        <v>56.641461975682766</v>
      </c>
      <c r="AL83" s="22">
        <f t="shared" si="58"/>
        <v>502.12504627431389</v>
      </c>
      <c r="AM83" s="60">
        <f t="shared" si="59"/>
        <v>795.4583796076472</v>
      </c>
      <c r="AN83" s="60">
        <f ca="1">AVERAGE(OFFSET($AM$3,0,0,'Données projet'!$E$10+1,1))-AVERAGE(OFFSET($H$3,0,0,'Données projet'!$E$10+1,1))</f>
        <v>440.51611312502263</v>
      </c>
      <c r="AO83" s="60">
        <f t="shared" si="90"/>
        <v>176.81257896138806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191.99999999999986</v>
      </c>
      <c r="BE83" s="14">
        <f>BD83*VLOOKUP('Données projet'!$B$11,Paramètres!$A$1:$I$89,3,0)*VLOOKUP('Données projet'!$B$11,Paramètres!$A$1:$I$89,5,0)</f>
        <v>155.7503999999999</v>
      </c>
      <c r="BF83" s="14">
        <f t="shared" si="91"/>
        <v>39.882509755133754</v>
      </c>
      <c r="BG83" s="22">
        <f t="shared" si="61"/>
        <v>340.7273178235244</v>
      </c>
      <c r="BH83" s="60">
        <f t="shared" si="62"/>
        <v>634.06065115685772</v>
      </c>
      <c r="BI83" s="60">
        <f ca="1">AVERAGE(OFFSET($BH$3,0,0,'Données projet'!$E$11+1,1))-AVERAGE(OFFSET($H$3,0,0,'Données projet'!$E$11+1,1))</f>
        <v>236.22643401787644</v>
      </c>
      <c r="BJ83" s="60">
        <f t="shared" si="92"/>
        <v>188.80444043778022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164</v>
      </c>
      <c r="BW83" s="13">
        <f>VLOOKUP(A83,'Données projet'!$A$113:$I$133,9,0)</f>
        <v>1.8</v>
      </c>
      <c r="BX83" s="13">
        <f t="array" ref="BX83">INDEX(BW:BW,MIN(IF(ISNUMBER(BW83:BW279),ROW(BW83:BW279),"")))</f>
        <v>1.8</v>
      </c>
      <c r="BY83" s="13">
        <f>IF('Données projet'!$A$114&gt;35,BY82+BX83-CG82,IF(A83&lt;'Données projet'!$A$114,$BV$205^A83,IF(A83='Données projet'!$A$114,'Données projet'!$B$114,BY82+BX83-CG82)))</f>
        <v>163.99999999999983</v>
      </c>
      <c r="BZ83" s="14">
        <f>BY83*VLOOKUP('Données projet'!$B$12,Paramètres!$A$1:$I$89,3,0)*VLOOKUP('Données projet'!$B$12,Paramètres!$A$1:$I$89,5,0)</f>
        <v>143.27039999999988</v>
      </c>
      <c r="CA83" s="14">
        <f t="shared" si="93"/>
        <v>37.045198377171275</v>
      </c>
      <c r="CB83" s="22">
        <f t="shared" si="64"/>
        <v>314.04966717357314</v>
      </c>
      <c r="CC83" s="60">
        <f t="shared" si="65"/>
        <v>607.38300050690646</v>
      </c>
      <c r="CD83" s="60">
        <f ca="1">AVERAGE(OFFSET($CC$3,0,0,'Données projet'!$E$12+1,1))-AVERAGE(OFFSET($H$3,0,0,'Données projet'!$E$12+1,1))</f>
        <v>202.86354781280403</v>
      </c>
      <c r="CE83" s="60">
        <f t="shared" si="94"/>
        <v>217.25323885665131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164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4.4337866711430253E-14</v>
      </c>
      <c r="CV83" s="14">
        <f t="shared" si="95"/>
        <v>7.3222115536967035E-13</v>
      </c>
      <c r="CW83" s="22">
        <f t="shared" si="67"/>
        <v>1.3525069634579169E-12</v>
      </c>
      <c r="CX83" s="60">
        <f t="shared" si="68"/>
        <v>293.33333333333468</v>
      </c>
      <c r="CY83" s="60">
        <f ca="1">AVERAGE(OFFSET($CX$3,0,0,'Données projet'!$E$13+1,1))-AVERAGE(OFFSET($H$3,0,0,'Données projet'!$E$13+1,1))</f>
        <v>288.82868507674738</v>
      </c>
      <c r="CZ83" s="60">
        <f t="shared" si="96"/>
        <v>283.48738729114024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3.5</v>
      </c>
      <c r="N84" s="14">
        <f>IF('Données projet'!$A$36&gt;35,N83+M84-V83,IF(A84&lt;'Données projet'!$A$36,$K$205^A84,IF(A84='Données projet'!$A$36,'Données projet'!$B$36,N83+M84-V83)))</f>
        <v>264.49999999999989</v>
      </c>
      <c r="O84" s="14">
        <f>N84*VLOOKUP('Données projet'!$B$9,Paramètres!$A$1:$I$89,3,0)*VLOOKUP('Données projet'!$B$9,Paramètres!$A$1:$I$89,5,0)</f>
        <v>222.81479999999993</v>
      </c>
      <c r="P84" s="14">
        <f t="shared" si="87"/>
        <v>54.726215188137907</v>
      </c>
      <c r="Q84" s="22">
        <f t="shared" si="54"/>
        <v>483.38393478600671</v>
      </c>
      <c r="R84" s="60">
        <f t="shared" si="55"/>
        <v>776.71726811934002</v>
      </c>
      <c r="S84" s="60">
        <f ca="1">AVERAGE(OFFSET($R$3,0,0,'Données projet'!$E$9+1,1))-AVERAGE(OFFSET($H$3,0,0,'Données projet'!$E$9+1,1))</f>
        <v>402.79698021419853</v>
      </c>
      <c r="T84" s="60">
        <f t="shared" si="88"/>
        <v>218.26721063098552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7</v>
      </c>
      <c r="AI84" s="14">
        <f>IF('Données projet'!$A$62&gt;35,AI83+AH84-AQ83,IF(A84&lt;'Données projet'!$A$62,$AF$205^A84,IF(A84='Données projet'!$A$62,'Données projet'!$B$62,AI83+AH84-AQ83)))</f>
        <v>276.99999999999983</v>
      </c>
      <c r="AJ84" s="14">
        <f>AI84*VLOOKUP('Données projet'!$B$10,Paramètres!$A$1:$I$89,3,0)*VLOOKUP('Données projet'!$B$10,Paramètres!$A$1:$I$89,5,0)</f>
        <v>237.66599999999985</v>
      </c>
      <c r="AK84" s="14">
        <f t="shared" si="89"/>
        <v>57.937073751904528</v>
      </c>
      <c r="AL84" s="22">
        <f t="shared" si="58"/>
        <v>514.84202011790001</v>
      </c>
      <c r="AM84" s="60">
        <f t="shared" si="59"/>
        <v>808.17535345123338</v>
      </c>
      <c r="AN84" s="60">
        <f ca="1">AVERAGE(OFFSET($AM$3,0,0,'Données projet'!$E$10+1,1))-AVERAGE(OFFSET($H$3,0,0,'Données projet'!$E$10+1,1))</f>
        <v>440.51611312502263</v>
      </c>
      <c r="AO84" s="60">
        <f t="shared" si="90"/>
        <v>176.81257896138806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3.2</v>
      </c>
      <c r="BD84" s="13">
        <f>IF('Données projet'!$A$88&gt;35,BD83+BC84-BL83,IF(A84&lt;'Données projet'!$A$88,$BA$205^A84,IF(A84='Données projet'!$A$88,'Données projet'!$B$88,BD83+BC84-BL83)))</f>
        <v>195.19999999999985</v>
      </c>
      <c r="BE84" s="14">
        <f>BD84*VLOOKUP('Données projet'!$B$11,Paramètres!$A$1:$I$89,3,0)*VLOOKUP('Données projet'!$B$11,Paramètres!$A$1:$I$89,5,0)</f>
        <v>158.34623999999988</v>
      </c>
      <c r="BF84" s="14">
        <f t="shared" si="91"/>
        <v>40.469279968461166</v>
      </c>
      <c r="BG84" s="22">
        <f t="shared" si="61"/>
        <v>346.27036394506968</v>
      </c>
      <c r="BH84" s="60">
        <f t="shared" si="62"/>
        <v>639.60369727840293</v>
      </c>
      <c r="BI84" s="60">
        <f ca="1">AVERAGE(OFFSET($BH$3,0,0,'Données projet'!$E$11+1,1))-AVERAGE(OFFSET($H$3,0,0,'Données projet'!$E$11+1,1))</f>
        <v>236.22643401787644</v>
      </c>
      <c r="BJ84" s="60">
        <f t="shared" si="92"/>
        <v>188.80444043778022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-1.7053025658242404E-13</v>
      </c>
      <c r="BZ84" s="14">
        <f>BY84*VLOOKUP('Données projet'!$B$12,Paramètres!$A$1:$I$89,3,0)*VLOOKUP('Données projet'!$B$12,Paramètres!$A$1:$I$89,5,0)</f>
        <v>-1.4897523215040567E-13</v>
      </c>
      <c r="CA84" s="14" t="e">
        <f t="shared" si="93"/>
        <v>#NUM!</v>
      </c>
      <c r="CB84" s="22" t="e">
        <f t="shared" si="64"/>
        <v>#NUM!</v>
      </c>
      <c r="CC84" s="60" t="e">
        <f t="shared" si="65"/>
        <v>#NUM!</v>
      </c>
      <c r="CD84" s="60">
        <f ca="1">AVERAGE(OFFSET($CC$3,0,0,'Données projet'!$E$12+1,1))-AVERAGE(OFFSET($H$3,0,0,'Données projet'!$E$12+1,1))</f>
        <v>202.86354781280403</v>
      </c>
      <c r="CE84" s="60">
        <f t="shared" si="94"/>
        <v>217.25323885665131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4.4337866711430253E-14</v>
      </c>
      <c r="CV84" s="14">
        <f t="shared" si="95"/>
        <v>7.3222115536967035E-13</v>
      </c>
      <c r="CW84" s="22">
        <f t="shared" si="67"/>
        <v>1.3525069634579169E-12</v>
      </c>
      <c r="CX84" s="60">
        <f t="shared" si="68"/>
        <v>293.33333333333468</v>
      </c>
      <c r="CY84" s="60">
        <f ca="1">AVERAGE(OFFSET($CX$3,0,0,'Données projet'!$E$13+1,1))-AVERAGE(OFFSET($H$3,0,0,'Données projet'!$E$13+1,1))</f>
        <v>288.82868507674738</v>
      </c>
      <c r="CZ84" s="60">
        <f t="shared" si="96"/>
        <v>283.48738729114024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3.5</v>
      </c>
      <c r="N85" s="14">
        <f>IF('Données projet'!$A$36&gt;35,N84+M85-V84,IF(A85&lt;'Données projet'!$A$36,$K$205^A85,IF(A85='Données projet'!$A$36,'Données projet'!$B$36,N84+M85-V84)))</f>
        <v>267.99999999999989</v>
      </c>
      <c r="O85" s="14">
        <f>N85*VLOOKUP('Données projet'!$B$9,Paramètres!$A$1:$I$89,3,0)*VLOOKUP('Données projet'!$B$9,Paramètres!$A$1:$I$89,5,0)</f>
        <v>225.76319999999993</v>
      </c>
      <c r="P85" s="14">
        <f t="shared" si="87"/>
        <v>55.365597375021402</v>
      </c>
      <c r="Q85" s="22">
        <f t="shared" si="54"/>
        <v>489.6326554281622</v>
      </c>
      <c r="R85" s="60">
        <f t="shared" si="55"/>
        <v>782.96598876149551</v>
      </c>
      <c r="S85" s="60">
        <f ca="1">AVERAGE(OFFSET($R$3,0,0,'Données projet'!$E$9+1,1))-AVERAGE(OFFSET($H$3,0,0,'Données projet'!$E$9+1,1))</f>
        <v>402.79698021419853</v>
      </c>
      <c r="T85" s="60">
        <f t="shared" si="88"/>
        <v>218.26721063098552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7</v>
      </c>
      <c r="AI85" s="14">
        <f>IF('Données projet'!$A$62&gt;35,AI84+AH85-AQ84,IF(A85&lt;'Données projet'!$A$62,$AF$205^A85,IF(A85='Données projet'!$A$62,'Données projet'!$B$62,AI84+AH85-AQ84)))</f>
        <v>283.99999999999983</v>
      </c>
      <c r="AJ85" s="14">
        <f>AI85*VLOOKUP('Données projet'!$B$10,Paramètres!$A$1:$I$89,3,0)*VLOOKUP('Données projet'!$B$10,Paramètres!$A$1:$I$89,5,0)</f>
        <v>243.67199999999991</v>
      </c>
      <c r="AK85" s="14">
        <f t="shared" si="89"/>
        <v>59.228879636606152</v>
      </c>
      <c r="AL85" s="22">
        <f t="shared" si="58"/>
        <v>527.5523653670889</v>
      </c>
      <c r="AM85" s="60">
        <f t="shared" si="59"/>
        <v>820.88569870042215</v>
      </c>
      <c r="AN85" s="60">
        <f ca="1">AVERAGE(OFFSET($AM$3,0,0,'Données projet'!$E$10+1,1))-AVERAGE(OFFSET($H$3,0,0,'Données projet'!$E$10+1,1))</f>
        <v>440.51611312502263</v>
      </c>
      <c r="AO85" s="60">
        <f t="shared" si="90"/>
        <v>176.81257896138806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3.2</v>
      </c>
      <c r="BD85" s="13">
        <f>IF('Données projet'!$A$88&gt;35,BD84+BC85-BL84,IF(A85&lt;'Données projet'!$A$88,$BA$205^A85,IF(A85='Données projet'!$A$88,'Données projet'!$B$88,BD84+BC85-BL84)))</f>
        <v>198.39999999999984</v>
      </c>
      <c r="BE85" s="14">
        <f>BD85*VLOOKUP('Données projet'!$B$11,Paramètres!$A$1:$I$89,3,0)*VLOOKUP('Données projet'!$B$11,Paramètres!$A$1:$I$89,5,0)</f>
        <v>160.94207999999989</v>
      </c>
      <c r="BF85" s="14">
        <f t="shared" si="91"/>
        <v>41.054931523415746</v>
      </c>
      <c r="BG85" s="22">
        <f t="shared" si="61"/>
        <v>351.81146173661563</v>
      </c>
      <c r="BH85" s="60">
        <f t="shared" si="62"/>
        <v>645.14479506994894</v>
      </c>
      <c r="BI85" s="60">
        <f ca="1">AVERAGE(OFFSET($BH$3,0,0,'Données projet'!$E$11+1,1))-AVERAGE(OFFSET($H$3,0,0,'Données projet'!$E$11+1,1))</f>
        <v>236.22643401787644</v>
      </c>
      <c r="BJ85" s="60">
        <f t="shared" si="92"/>
        <v>188.80444043778022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-1.7053025658242404E-13</v>
      </c>
      <c r="BZ85" s="14">
        <f>BY85*VLOOKUP('Données projet'!$B$12,Paramètres!$A$1:$I$89,3,0)*VLOOKUP('Données projet'!$B$12,Paramètres!$A$1:$I$89,5,0)</f>
        <v>-1.4897523215040567E-13</v>
      </c>
      <c r="CA85" s="14" t="e">
        <f t="shared" si="93"/>
        <v>#NUM!</v>
      </c>
      <c r="CB85" s="22" t="e">
        <f t="shared" si="64"/>
        <v>#NUM!</v>
      </c>
      <c r="CC85" s="60" t="e">
        <f t="shared" si="65"/>
        <v>#NUM!</v>
      </c>
      <c r="CD85" s="60">
        <f ca="1">AVERAGE(OFFSET($CC$3,0,0,'Données projet'!$E$12+1,1))-AVERAGE(OFFSET($H$3,0,0,'Données projet'!$E$12+1,1))</f>
        <v>202.86354781280403</v>
      </c>
      <c r="CE85" s="60">
        <f t="shared" si="94"/>
        <v>217.25323885665131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4.4337866711430253E-14</v>
      </c>
      <c r="CV85" s="14">
        <f t="shared" si="95"/>
        <v>7.3222115536967035E-13</v>
      </c>
      <c r="CW85" s="22">
        <f t="shared" si="67"/>
        <v>1.3525069634579169E-12</v>
      </c>
      <c r="CX85" s="60">
        <f t="shared" si="68"/>
        <v>293.33333333333468</v>
      </c>
      <c r="CY85" s="60">
        <f ca="1">AVERAGE(OFFSET($CX$3,0,0,'Données projet'!$E$13+1,1))-AVERAGE(OFFSET($H$3,0,0,'Données projet'!$E$13+1,1))</f>
        <v>288.82868507674738</v>
      </c>
      <c r="CZ85" s="60">
        <f t="shared" si="96"/>
        <v>283.48738729114024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3.5</v>
      </c>
      <c r="N86" s="14">
        <f>IF('Données projet'!$A$36&gt;35,N85+M86-V85,IF(A86&lt;'Données projet'!$A$36,$K$205^A86,IF(A86='Données projet'!$A$36,'Données projet'!$B$36,N85+M86-V85)))</f>
        <v>271.49999999999989</v>
      </c>
      <c r="O86" s="14">
        <f>N86*VLOOKUP('Données projet'!$B$9,Paramètres!$A$1:$I$89,3,0)*VLOOKUP('Données projet'!$B$9,Paramètres!$A$1:$I$89,5,0)</f>
        <v>228.71159999999995</v>
      </c>
      <c r="P86" s="14">
        <f t="shared" si="87"/>
        <v>56.004008314741291</v>
      </c>
      <c r="Q86" s="22">
        <f t="shared" si="54"/>
        <v>495.8796844815077</v>
      </c>
      <c r="R86" s="60">
        <f t="shared" si="55"/>
        <v>789.21301781484101</v>
      </c>
      <c r="S86" s="60">
        <f ca="1">AVERAGE(OFFSET($R$3,0,0,'Données projet'!$E$9+1,1))-AVERAGE(OFFSET($H$3,0,0,'Données projet'!$E$9+1,1))</f>
        <v>402.79698021419853</v>
      </c>
      <c r="T86" s="60">
        <f t="shared" si="88"/>
        <v>218.26721063098552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7</v>
      </c>
      <c r="AI86" s="14">
        <f>IF('Données projet'!$A$62&gt;35,AI85+AH86-AQ85,IF(A86&lt;'Données projet'!$A$62,$AF$205^A86,IF(A86='Données projet'!$A$62,'Données projet'!$B$62,AI85+AH86-AQ85)))</f>
        <v>290.99999999999983</v>
      </c>
      <c r="AJ86" s="14">
        <f>AI86*VLOOKUP('Données projet'!$B$10,Paramètres!$A$1:$I$89,3,0)*VLOOKUP('Données projet'!$B$10,Paramètres!$A$1:$I$89,5,0)</f>
        <v>249.67799999999988</v>
      </c>
      <c r="AK86" s="14">
        <f t="shared" si="89"/>
        <v>60.516984227464135</v>
      </c>
      <c r="AL86" s="22">
        <f t="shared" si="58"/>
        <v>540.25626419616651</v>
      </c>
      <c r="AM86" s="60">
        <f t="shared" si="59"/>
        <v>833.58959752949977</v>
      </c>
      <c r="AN86" s="60">
        <f ca="1">AVERAGE(OFFSET($AM$3,0,0,'Données projet'!$E$10+1,1))-AVERAGE(OFFSET($H$3,0,0,'Données projet'!$E$10+1,1))</f>
        <v>440.51611312502263</v>
      </c>
      <c r="AO86" s="60">
        <f t="shared" si="90"/>
        <v>176.81257896138806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3.2</v>
      </c>
      <c r="BD86" s="13">
        <f>IF('Données projet'!$A$88&gt;35,BD85+BC86-BL85,IF(A86&lt;'Données projet'!$A$88,$BA$205^A86,IF(A86='Données projet'!$A$88,'Données projet'!$B$88,BD85+BC86-BL85)))</f>
        <v>201.59999999999982</v>
      </c>
      <c r="BE86" s="14">
        <f>BD86*VLOOKUP('Données projet'!$B$11,Paramètres!$A$1:$I$89,3,0)*VLOOKUP('Données projet'!$B$11,Paramètres!$A$1:$I$89,5,0)</f>
        <v>163.53791999999987</v>
      </c>
      <c r="BF86" s="14">
        <f t="shared" si="91"/>
        <v>41.639484545926564</v>
      </c>
      <c r="BG86" s="22">
        <f t="shared" si="61"/>
        <v>357.35064625082185</v>
      </c>
      <c r="BH86" s="60">
        <f t="shared" si="62"/>
        <v>650.68397958415517</v>
      </c>
      <c r="BI86" s="60">
        <f ca="1">AVERAGE(OFFSET($BH$3,0,0,'Données projet'!$E$11+1,1))-AVERAGE(OFFSET($H$3,0,0,'Données projet'!$E$11+1,1))</f>
        <v>236.22643401787644</v>
      </c>
      <c r="BJ86" s="60">
        <f t="shared" si="92"/>
        <v>188.80444043778022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-1.7053025658242404E-13</v>
      </c>
      <c r="BZ86" s="14">
        <f>BY86*VLOOKUP('Données projet'!$B$12,Paramètres!$A$1:$I$89,3,0)*VLOOKUP('Données projet'!$B$12,Paramètres!$A$1:$I$89,5,0)</f>
        <v>-1.4897523215040567E-13</v>
      </c>
      <c r="CA86" s="14" t="e">
        <f t="shared" si="93"/>
        <v>#NUM!</v>
      </c>
      <c r="CB86" s="22" t="e">
        <f t="shared" si="64"/>
        <v>#NUM!</v>
      </c>
      <c r="CC86" s="60" t="e">
        <f t="shared" si="65"/>
        <v>#NUM!</v>
      </c>
      <c r="CD86" s="60">
        <f ca="1">AVERAGE(OFFSET($CC$3,0,0,'Données projet'!$E$12+1,1))-AVERAGE(OFFSET($H$3,0,0,'Données projet'!$E$12+1,1))</f>
        <v>202.86354781280403</v>
      </c>
      <c r="CE86" s="60">
        <f t="shared" si="94"/>
        <v>217.25323885665131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4.4337866711430253E-14</v>
      </c>
      <c r="CV86" s="14">
        <f t="shared" si="95"/>
        <v>7.3222115536967035E-13</v>
      </c>
      <c r="CW86" s="22">
        <f t="shared" si="67"/>
        <v>1.3525069634579169E-12</v>
      </c>
      <c r="CX86" s="60">
        <f t="shared" si="68"/>
        <v>293.33333333333468</v>
      </c>
      <c r="CY86" s="60">
        <f ca="1">AVERAGE(OFFSET($CX$3,0,0,'Données projet'!$E$13+1,1))-AVERAGE(OFFSET($H$3,0,0,'Données projet'!$E$13+1,1))</f>
        <v>288.82868507674738</v>
      </c>
      <c r="CZ86" s="60">
        <f t="shared" si="96"/>
        <v>283.48738729114024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3.5</v>
      </c>
      <c r="N87" s="14">
        <f>IF('Données projet'!$A$36&gt;35,N86+M87-V86,IF(A87&lt;'Données projet'!$A$36,$K$205^A87,IF(A87='Données projet'!$A$36,'Données projet'!$B$36,N86+M87-V86)))</f>
        <v>274.99999999999989</v>
      </c>
      <c r="O87" s="14">
        <f>N87*VLOOKUP('Données projet'!$B$9,Paramètres!$A$1:$I$89,3,0)*VLOOKUP('Données projet'!$B$9,Paramètres!$A$1:$I$89,5,0)</f>
        <v>231.65999999999991</v>
      </c>
      <c r="P87" s="14">
        <f t="shared" si="87"/>
        <v>56.641461975682766</v>
      </c>
      <c r="Q87" s="22">
        <f t="shared" si="54"/>
        <v>502.125046274314</v>
      </c>
      <c r="R87" s="60">
        <f t="shared" si="55"/>
        <v>795.45837960764732</v>
      </c>
      <c r="S87" s="60">
        <f ca="1">AVERAGE(OFFSET($R$3,0,0,'Données projet'!$E$9+1,1))-AVERAGE(OFFSET($H$3,0,0,'Données projet'!$E$9+1,1))</f>
        <v>402.79698021419853</v>
      </c>
      <c r="T87" s="60">
        <f t="shared" si="88"/>
        <v>218.26721063098552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7</v>
      </c>
      <c r="AI87" s="14">
        <f>IF('Données projet'!$A$62&gt;35,AI86+AH87-AQ86,IF(A87&lt;'Données projet'!$A$62,$AF$205^A87,IF(A87='Données projet'!$A$62,'Données projet'!$B$62,AI86+AH87-AQ86)))</f>
        <v>297.99999999999983</v>
      </c>
      <c r="AJ87" s="14">
        <f>AI87*VLOOKUP('Données projet'!$B$10,Paramètres!$A$1:$I$89,3,0)*VLOOKUP('Données projet'!$B$10,Paramètres!$A$1:$I$89,5,0)</f>
        <v>255.68399999999988</v>
      </c>
      <c r="AK87" s="14">
        <f t="shared" si="89"/>
        <v>61.801486802993999</v>
      </c>
      <c r="AL87" s="22">
        <f t="shared" si="58"/>
        <v>552.9538895152142</v>
      </c>
      <c r="AM87" s="60">
        <f t="shared" si="59"/>
        <v>846.28722284854757</v>
      </c>
      <c r="AN87" s="60">
        <f ca="1">AVERAGE(OFFSET($AM$3,0,0,'Données projet'!$E$10+1,1))-AVERAGE(OFFSET($H$3,0,0,'Données projet'!$E$10+1,1))</f>
        <v>440.51611312502263</v>
      </c>
      <c r="AO87" s="60">
        <f t="shared" si="90"/>
        <v>176.81257896138806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3.2</v>
      </c>
      <c r="BD87" s="13">
        <f>IF('Données projet'!$A$88&gt;35,BD86+BC87-BL86,IF(A87&lt;'Données projet'!$A$88,$BA$205^A87,IF(A87='Données projet'!$A$88,'Données projet'!$B$88,BD86+BC87-BL86)))</f>
        <v>204.79999999999981</v>
      </c>
      <c r="BE87" s="14">
        <f>BD87*VLOOKUP('Données projet'!$B$11,Paramètres!$A$1:$I$89,3,0)*VLOOKUP('Données projet'!$B$11,Paramètres!$A$1:$I$89,5,0)</f>
        <v>166.13375999999985</v>
      </c>
      <c r="BF87" s="14">
        <f t="shared" si="91"/>
        <v>42.22295848635887</v>
      </c>
      <c r="BG87" s="22">
        <f t="shared" si="61"/>
        <v>362.88795136374142</v>
      </c>
      <c r="BH87" s="60">
        <f t="shared" si="62"/>
        <v>656.22128469707468</v>
      </c>
      <c r="BI87" s="60">
        <f ca="1">AVERAGE(OFFSET($BH$3,0,0,'Données projet'!$E$11+1,1))-AVERAGE(OFFSET($H$3,0,0,'Données projet'!$E$11+1,1))</f>
        <v>236.22643401787644</v>
      </c>
      <c r="BJ87" s="60">
        <f t="shared" si="92"/>
        <v>188.80444043778022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-1.7053025658242404E-13</v>
      </c>
      <c r="BZ87" s="14">
        <f>BY87*VLOOKUP('Données projet'!$B$12,Paramètres!$A$1:$I$89,3,0)*VLOOKUP('Données projet'!$B$12,Paramètres!$A$1:$I$89,5,0)</f>
        <v>-1.4897523215040567E-13</v>
      </c>
      <c r="CA87" s="14" t="e">
        <f t="shared" si="93"/>
        <v>#NUM!</v>
      </c>
      <c r="CB87" s="22" t="e">
        <f t="shared" si="64"/>
        <v>#NUM!</v>
      </c>
      <c r="CC87" s="60" t="e">
        <f t="shared" si="65"/>
        <v>#NUM!</v>
      </c>
      <c r="CD87" s="60">
        <f ca="1">AVERAGE(OFFSET($CC$3,0,0,'Données projet'!$E$12+1,1))-AVERAGE(OFFSET($H$3,0,0,'Données projet'!$E$12+1,1))</f>
        <v>202.86354781280403</v>
      </c>
      <c r="CE87" s="60">
        <f t="shared" si="94"/>
        <v>217.25323885665131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4.4337866711430253E-14</v>
      </c>
      <c r="CV87" s="14">
        <f t="shared" si="95"/>
        <v>7.3222115536967035E-13</v>
      </c>
      <c r="CW87" s="22">
        <f t="shared" si="67"/>
        <v>1.3525069634579169E-12</v>
      </c>
      <c r="CX87" s="60">
        <f t="shared" si="68"/>
        <v>293.33333333333468</v>
      </c>
      <c r="CY87" s="60">
        <f ca="1">AVERAGE(OFFSET($CX$3,0,0,'Données projet'!$E$13+1,1))-AVERAGE(OFFSET($H$3,0,0,'Données projet'!$E$13+1,1))</f>
        <v>288.82868507674738</v>
      </c>
      <c r="CZ87" s="60">
        <f t="shared" si="96"/>
        <v>283.48738729114024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3.5</v>
      </c>
      <c r="N88" s="14">
        <f>IF('Données projet'!$A$36&gt;35,N87+M88-V87,IF(A88&lt;'Données projet'!$A$36,$K$205^A88,IF(A88='Données projet'!$A$36,'Données projet'!$B$36,N87+M88-V87)))</f>
        <v>278.49999999999989</v>
      </c>
      <c r="O88" s="14">
        <f>N88*VLOOKUP('Données projet'!$B$9,Paramètres!$A$1:$I$89,3,0)*VLOOKUP('Données projet'!$B$9,Paramètres!$A$1:$I$89,5,0)</f>
        <v>234.60839999999993</v>
      </c>
      <c r="P88" s="14">
        <f t="shared" si="87"/>
        <v>57.277971950226856</v>
      </c>
      <c r="Q88" s="22">
        <f t="shared" si="54"/>
        <v>508.36876447997838</v>
      </c>
      <c r="R88" s="60">
        <f t="shared" si="55"/>
        <v>801.70209781331164</v>
      </c>
      <c r="S88" s="60">
        <f ca="1">AVERAGE(OFFSET($R$3,0,0,'Données projet'!$E$9+1,1))-AVERAGE(OFFSET($H$3,0,0,'Données projet'!$E$9+1,1))</f>
        <v>402.79698021419853</v>
      </c>
      <c r="T88" s="60">
        <f t="shared" si="88"/>
        <v>218.26721063098552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305</v>
      </c>
      <c r="AG88" s="13">
        <f>VLOOKUP(A88,'Données projet'!$A$61:$I$81,9,0)</f>
        <v>7</v>
      </c>
      <c r="AH88" s="13">
        <f t="array" ref="AH88">INDEX(AG:AG,MIN(IF(ISNUMBER(AG88:AG284),ROW(AG88:AG284),"")))</f>
        <v>7</v>
      </c>
      <c r="AI88" s="14">
        <f>IF('Données projet'!$A$62&gt;35,AI87+AH88-AQ87,IF(A88&lt;'Données projet'!$A$62,$AF$205^A88,IF(A88='Données projet'!$A$62,'Données projet'!$B$62,AI87+AH88-AQ87)))</f>
        <v>304.99999999999983</v>
      </c>
      <c r="AJ88" s="14">
        <f>AI88*VLOOKUP('Données projet'!$B$10,Paramètres!$A$1:$I$89,3,0)*VLOOKUP('Données projet'!$B$10,Paramètres!$A$1:$I$89,5,0)</f>
        <v>261.68999999999988</v>
      </c>
      <c r="AK88" s="14">
        <f t="shared" si="89"/>
        <v>63.082481711546343</v>
      </c>
      <c r="AL88" s="22">
        <f t="shared" si="58"/>
        <v>565.64540564760966</v>
      </c>
      <c r="AM88" s="60">
        <f t="shared" si="59"/>
        <v>858.97873898094304</v>
      </c>
      <c r="AN88" s="60">
        <f ca="1">AVERAGE(OFFSET($AM$3,0,0,'Données projet'!$E$10+1,1))-AVERAGE(OFFSET($H$3,0,0,'Données projet'!$E$10+1,1))</f>
        <v>440.51611312502263</v>
      </c>
      <c r="AO88" s="60">
        <f t="shared" si="90"/>
        <v>176.81257896138806</v>
      </c>
      <c r="AP88" s="16">
        <f>IF(ISNA(VLOOKUP(A88,'Données projet'!$A$61:$I$81,3,0)),0,VLOOKUP(A88,'Données projet'!$A$61:$I$81,3,0))</f>
        <v>6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208</v>
      </c>
      <c r="BB88" s="13">
        <f>VLOOKUP(A88,'Données projet'!$A$87:$I$107,9,0)</f>
        <v>3.2</v>
      </c>
      <c r="BC88" s="13">
        <f t="array" ref="BC88">INDEX(BB:BB,MIN(IF(ISNUMBER(BB88:BB284),ROW(BB88:BB284),"")))</f>
        <v>3.2</v>
      </c>
      <c r="BD88" s="13">
        <f>IF('Données projet'!$A$88&gt;35,BD87+BC88-BL87,IF(A88&lt;'Données projet'!$A$88,$BA$205^A88,IF(A88='Données projet'!$A$88,'Données projet'!$B$88,BD87+BC88-BL87)))</f>
        <v>207.9999999999998</v>
      </c>
      <c r="BE88" s="14">
        <f>BD88*VLOOKUP('Données projet'!$B$11,Paramètres!$A$1:$I$89,3,0)*VLOOKUP('Données projet'!$B$11,Paramètres!$A$1:$I$89,5,0)</f>
        <v>168.72959999999983</v>
      </c>
      <c r="BF88" s="14">
        <f t="shared" si="91"/>
        <v>42.805372152385033</v>
      </c>
      <c r="BG88" s="22">
        <f t="shared" si="61"/>
        <v>368.42340983207026</v>
      </c>
      <c r="BH88" s="60">
        <f t="shared" si="62"/>
        <v>661.75674316540358</v>
      </c>
      <c r="BI88" s="60">
        <f ca="1">AVERAGE(OFFSET($BH$3,0,0,'Données projet'!$E$11+1,1))-AVERAGE(OFFSET($H$3,0,0,'Données projet'!$E$11+1,1))</f>
        <v>236.22643401787644</v>
      </c>
      <c r="BJ88" s="60">
        <f t="shared" si="92"/>
        <v>188.80444043778022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-1.7053025658242404E-13</v>
      </c>
      <c r="BZ88" s="14">
        <f>BY88*VLOOKUP('Données projet'!$B$12,Paramètres!$A$1:$I$89,3,0)*VLOOKUP('Données projet'!$B$12,Paramètres!$A$1:$I$89,5,0)</f>
        <v>-1.4897523215040567E-13</v>
      </c>
      <c r="CA88" s="14" t="e">
        <f t="shared" si="93"/>
        <v>#NUM!</v>
      </c>
      <c r="CB88" s="22" t="e">
        <f t="shared" si="64"/>
        <v>#NUM!</v>
      </c>
      <c r="CC88" s="60" t="e">
        <f t="shared" si="65"/>
        <v>#NUM!</v>
      </c>
      <c r="CD88" s="60">
        <f ca="1">AVERAGE(OFFSET($CC$3,0,0,'Données projet'!$E$12+1,1))-AVERAGE(OFFSET($H$3,0,0,'Données projet'!$E$12+1,1))</f>
        <v>202.86354781280403</v>
      </c>
      <c r="CE88" s="60">
        <f t="shared" si="94"/>
        <v>217.25323885665131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4.4337866711430253E-14</v>
      </c>
      <c r="CV88" s="14">
        <f t="shared" si="95"/>
        <v>7.3222115536967035E-13</v>
      </c>
      <c r="CW88" s="22">
        <f t="shared" si="67"/>
        <v>1.3525069634579169E-12</v>
      </c>
      <c r="CX88" s="60">
        <f t="shared" si="68"/>
        <v>293.33333333333468</v>
      </c>
      <c r="CY88" s="60">
        <f ca="1">AVERAGE(OFFSET($CX$3,0,0,'Données projet'!$E$13+1,1))-AVERAGE(OFFSET($H$3,0,0,'Données projet'!$E$13+1,1))</f>
        <v>288.82868507674738</v>
      </c>
      <c r="CZ88" s="60">
        <f t="shared" si="96"/>
        <v>283.48738729114024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3.5</v>
      </c>
      <c r="N89" s="14">
        <f>IF('Données projet'!$A$36&gt;35,N88+M89-V88,IF(A89&lt;'Données projet'!$A$36,$K$205^A89,IF(A89='Données projet'!$A$36,'Données projet'!$B$36,N88+M89-V88)))</f>
        <v>281.99999999999989</v>
      </c>
      <c r="O89" s="14">
        <f>N89*VLOOKUP('Données projet'!$B$9,Paramètres!$A$1:$I$89,3,0)*VLOOKUP('Données projet'!$B$9,Paramètres!$A$1:$I$89,5,0)</f>
        <v>237.55679999999992</v>
      </c>
      <c r="P89" s="14">
        <f t="shared" si="87"/>
        <v>57.913551469467308</v>
      </c>
      <c r="Q89" s="22">
        <f t="shared" si="54"/>
        <v>514.61086214265538</v>
      </c>
      <c r="R89" s="60">
        <f t="shared" si="55"/>
        <v>807.94419547598864</v>
      </c>
      <c r="S89" s="60">
        <f ca="1">AVERAGE(OFFSET($R$3,0,0,'Données projet'!$E$9+1,1))-AVERAGE(OFFSET($H$3,0,0,'Données projet'!$E$9+1,1))</f>
        <v>402.79698021419853</v>
      </c>
      <c r="T89" s="60">
        <f t="shared" si="88"/>
        <v>218.26721063098552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6.6</v>
      </c>
      <c r="AI89" s="14">
        <f>IF('Données projet'!$A$62&gt;35,AI88+AH89-AQ88,IF(A89&lt;'Données projet'!$A$62,$AF$205^A89,IF(A89='Données projet'!$A$62,'Données projet'!$B$62,AI88+AH89-AQ88)))</f>
        <v>269.59999999999985</v>
      </c>
      <c r="AJ89" s="14">
        <f>AI89*VLOOKUP('Données projet'!$B$10,Paramètres!$A$1:$I$89,3,0)*VLOOKUP('Données projet'!$B$10,Paramètres!$A$1:$I$89,5,0)</f>
        <v>231.31679999999992</v>
      </c>
      <c r="AK89" s="14">
        <f t="shared" si="89"/>
        <v>56.567309807584202</v>
      </c>
      <c r="AL89" s="22">
        <f t="shared" si="58"/>
        <v>501.39815791487575</v>
      </c>
      <c r="AM89" s="60">
        <f t="shared" si="59"/>
        <v>794.73149124820907</v>
      </c>
      <c r="AN89" s="60">
        <f ca="1">AVERAGE(OFFSET($AM$3,0,0,'Données projet'!$E$10+1,1))-AVERAGE(OFFSET($H$3,0,0,'Données projet'!$E$10+1,1))</f>
        <v>440.51611312502263</v>
      </c>
      <c r="AO89" s="60">
        <f t="shared" si="90"/>
        <v>176.81257896138806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</v>
      </c>
      <c r="BD89" s="13">
        <f>IF('Données projet'!$A$88&gt;35,BD88+BC89-BL88,IF(A89&lt;'Données projet'!$A$88,$BA$205^A89,IF(A89='Données projet'!$A$88,'Données projet'!$B$88,BD88+BC89-BL88)))</f>
        <v>189.9999999999998</v>
      </c>
      <c r="BE89" s="14">
        <f>BD89*VLOOKUP('Données projet'!$B$11,Paramètres!$A$1:$I$89,3,0)*VLOOKUP('Données projet'!$B$11,Paramètres!$A$1:$I$89,5,0)</f>
        <v>154.12799999999984</v>
      </c>
      <c r="BF89" s="14">
        <f t="shared" si="91"/>
        <v>39.515201075361119</v>
      </c>
      <c r="BG89" s="22">
        <f t="shared" si="61"/>
        <v>337.26190853958701</v>
      </c>
      <c r="BH89" s="60">
        <f t="shared" si="62"/>
        <v>630.59524187292027</v>
      </c>
      <c r="BI89" s="60">
        <f ca="1">AVERAGE(OFFSET($BH$3,0,0,'Données projet'!$E$11+1,1))-AVERAGE(OFFSET($H$3,0,0,'Données projet'!$E$11+1,1))</f>
        <v>236.22643401787644</v>
      </c>
      <c r="BJ89" s="60">
        <f t="shared" si="92"/>
        <v>188.80444043778022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-1.7053025658242404E-13</v>
      </c>
      <c r="BZ89" s="14">
        <f>BY89*VLOOKUP('Données projet'!$B$12,Paramètres!$A$1:$I$89,3,0)*VLOOKUP('Données projet'!$B$12,Paramètres!$A$1:$I$89,5,0)</f>
        <v>-1.4897523215040567E-13</v>
      </c>
      <c r="CA89" s="14" t="e">
        <f t="shared" si="93"/>
        <v>#NUM!</v>
      </c>
      <c r="CB89" s="22" t="e">
        <f t="shared" si="64"/>
        <v>#NUM!</v>
      </c>
      <c r="CC89" s="60" t="e">
        <f t="shared" si="65"/>
        <v>#NUM!</v>
      </c>
      <c r="CD89" s="60">
        <f ca="1">AVERAGE(OFFSET($CC$3,0,0,'Données projet'!$E$12+1,1))-AVERAGE(OFFSET($H$3,0,0,'Données projet'!$E$12+1,1))</f>
        <v>202.86354781280403</v>
      </c>
      <c r="CE89" s="60">
        <f t="shared" si="94"/>
        <v>217.25323885665131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4.4337866711430253E-14</v>
      </c>
      <c r="CV89" s="14">
        <f t="shared" si="95"/>
        <v>7.3222115536967035E-13</v>
      </c>
      <c r="CW89" s="22">
        <f t="shared" si="67"/>
        <v>1.3525069634579169E-12</v>
      </c>
      <c r="CX89" s="60">
        <f t="shared" si="68"/>
        <v>293.33333333333468</v>
      </c>
      <c r="CY89" s="60">
        <f ca="1">AVERAGE(OFFSET($CX$3,0,0,'Données projet'!$E$13+1,1))-AVERAGE(OFFSET($H$3,0,0,'Données projet'!$E$13+1,1))</f>
        <v>288.82868507674738</v>
      </c>
      <c r="CZ89" s="60">
        <f t="shared" si="96"/>
        <v>283.48738729114024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3.5</v>
      </c>
      <c r="N90" s="14">
        <f>IF('Données projet'!$A$36&gt;35,N89+M90-V89,IF(A90&lt;'Données projet'!$A$36,$K$205^A90,IF(A90='Données projet'!$A$36,'Données projet'!$B$36,N89+M90-V89)))</f>
        <v>285.49999999999989</v>
      </c>
      <c r="O90" s="14">
        <f>N90*VLOOKUP('Données projet'!$B$9,Paramètres!$A$1:$I$89,3,0)*VLOOKUP('Données projet'!$B$9,Paramètres!$A$1:$I$89,5,0)</f>
        <v>240.50519999999995</v>
      </c>
      <c r="P90" s="14">
        <f t="shared" si="87"/>
        <v>58.548213417176285</v>
      </c>
      <c r="Q90" s="22">
        <f t="shared" si="54"/>
        <v>520.85136170158182</v>
      </c>
      <c r="R90" s="60">
        <f t="shared" si="55"/>
        <v>814.18469503491519</v>
      </c>
      <c r="S90" s="60">
        <f ca="1">AVERAGE(OFFSET($R$3,0,0,'Données projet'!$E$9+1,1))-AVERAGE(OFFSET($H$3,0,0,'Données projet'!$E$9+1,1))</f>
        <v>402.79698021419853</v>
      </c>
      <c r="T90" s="60">
        <f t="shared" si="88"/>
        <v>218.26721063098552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6.6</v>
      </c>
      <c r="AI90" s="14">
        <f>IF('Données projet'!$A$62&gt;35,AI89+AH90-AQ89,IF(A90&lt;'Données projet'!$A$62,$AF$205^A90,IF(A90='Données projet'!$A$62,'Données projet'!$B$62,AI89+AH90-AQ89)))</f>
        <v>276.19999999999987</v>
      </c>
      <c r="AJ90" s="14">
        <f>AI90*VLOOKUP('Données projet'!$B$10,Paramètres!$A$1:$I$89,3,0)*VLOOKUP('Données projet'!$B$10,Paramètres!$A$1:$I$89,5,0)</f>
        <v>236.97959999999992</v>
      </c>
      <c r="AK90" s="14">
        <f t="shared" si="89"/>
        <v>57.789198481081975</v>
      </c>
      <c r="AL90" s="22">
        <f t="shared" si="58"/>
        <v>513.3889906878843</v>
      </c>
      <c r="AM90" s="60">
        <f t="shared" si="59"/>
        <v>806.72232402121767</v>
      </c>
      <c r="AN90" s="60">
        <f ca="1">AVERAGE(OFFSET($AM$3,0,0,'Données projet'!$E$10+1,1))-AVERAGE(OFFSET($H$3,0,0,'Données projet'!$E$10+1,1))</f>
        <v>440.51611312502263</v>
      </c>
      <c r="AO90" s="60">
        <f t="shared" si="90"/>
        <v>176.81257896138806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</v>
      </c>
      <c r="BD90" s="13">
        <f>IF('Données projet'!$A$88&gt;35,BD89+BC90-BL89,IF(A90&lt;'Données projet'!$A$88,$BA$205^A90,IF(A90='Données projet'!$A$88,'Données projet'!$B$88,BD89+BC90-BL89)))</f>
        <v>192.9999999999998</v>
      </c>
      <c r="BE90" s="14">
        <f>BD90*VLOOKUP('Données projet'!$B$11,Paramètres!$A$1:$I$89,3,0)*VLOOKUP('Données projet'!$B$11,Paramètres!$A$1:$I$89,5,0)</f>
        <v>156.56159999999986</v>
      </c>
      <c r="BF90" s="14">
        <f t="shared" si="91"/>
        <v>40.065996859746441</v>
      </c>
      <c r="BG90" s="22">
        <f t="shared" si="61"/>
        <v>342.45973119739142</v>
      </c>
      <c r="BH90" s="60">
        <f t="shared" si="62"/>
        <v>635.79306453072468</v>
      </c>
      <c r="BI90" s="60">
        <f ca="1">AVERAGE(OFFSET($BH$3,0,0,'Données projet'!$E$11+1,1))-AVERAGE(OFFSET($H$3,0,0,'Données projet'!$E$11+1,1))</f>
        <v>236.22643401787644</v>
      </c>
      <c r="BJ90" s="60">
        <f t="shared" si="92"/>
        <v>188.80444043778022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-1.7053025658242404E-13</v>
      </c>
      <c r="BZ90" s="14">
        <f>BY90*VLOOKUP('Données projet'!$B$12,Paramètres!$A$1:$I$89,3,0)*VLOOKUP('Données projet'!$B$12,Paramètres!$A$1:$I$89,5,0)</f>
        <v>-1.4897523215040567E-13</v>
      </c>
      <c r="CA90" s="14" t="e">
        <f t="shared" si="93"/>
        <v>#NUM!</v>
      </c>
      <c r="CB90" s="22" t="e">
        <f t="shared" si="64"/>
        <v>#NUM!</v>
      </c>
      <c r="CC90" s="60" t="e">
        <f t="shared" si="65"/>
        <v>#NUM!</v>
      </c>
      <c r="CD90" s="60">
        <f ca="1">AVERAGE(OFFSET($CC$3,0,0,'Données projet'!$E$12+1,1))-AVERAGE(OFFSET($H$3,0,0,'Données projet'!$E$12+1,1))</f>
        <v>202.86354781280403</v>
      </c>
      <c r="CE90" s="60">
        <f t="shared" si="94"/>
        <v>217.25323885665131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4.4337866711430253E-14</v>
      </c>
      <c r="CV90" s="14">
        <f t="shared" si="95"/>
        <v>7.3222115536967035E-13</v>
      </c>
      <c r="CW90" s="22">
        <f t="shared" si="67"/>
        <v>1.3525069634579169E-12</v>
      </c>
      <c r="CX90" s="60">
        <f t="shared" si="68"/>
        <v>293.33333333333468</v>
      </c>
      <c r="CY90" s="60">
        <f ca="1">AVERAGE(OFFSET($CX$3,0,0,'Données projet'!$E$13+1,1))-AVERAGE(OFFSET($H$3,0,0,'Données projet'!$E$13+1,1))</f>
        <v>288.82868507674738</v>
      </c>
      <c r="CZ90" s="60">
        <f t="shared" si="96"/>
        <v>283.48738729114024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3.5</v>
      </c>
      <c r="N91" s="14">
        <f>IF('Données projet'!$A$36&gt;35,N90+M91-V90,IF(A91&lt;'Données projet'!$A$36,$K$205^A91,IF(A91='Données projet'!$A$36,'Données projet'!$B$36,N90+M91-V90)))</f>
        <v>288.99999999999989</v>
      </c>
      <c r="O91" s="14">
        <f>N91*VLOOKUP('Données projet'!$B$9,Paramètres!$A$1:$I$89,3,0)*VLOOKUP('Données projet'!$B$9,Paramètres!$A$1:$I$89,5,0)</f>
        <v>243.45359999999991</v>
      </c>
      <c r="P91" s="14">
        <f t="shared" si="87"/>
        <v>59.181970343065267</v>
      </c>
      <c r="Q91" s="22">
        <f t="shared" si="54"/>
        <v>527.09028501417185</v>
      </c>
      <c r="R91" s="60">
        <f t="shared" si="55"/>
        <v>820.42361834750523</v>
      </c>
      <c r="S91" s="60">
        <f ca="1">AVERAGE(OFFSET($R$3,0,0,'Données projet'!$E$9+1,1))-AVERAGE(OFFSET($H$3,0,0,'Données projet'!$E$9+1,1))</f>
        <v>402.79698021419853</v>
      </c>
      <c r="T91" s="60">
        <f t="shared" si="88"/>
        <v>218.26721063098552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6.6</v>
      </c>
      <c r="AI91" s="14">
        <f>IF('Données projet'!$A$62&gt;35,AI90+AH91-AQ90,IF(A91&lt;'Données projet'!$A$62,$AF$205^A91,IF(A91='Données projet'!$A$62,'Données projet'!$B$62,AI90+AH91-AQ90)))</f>
        <v>282.7999999999999</v>
      </c>
      <c r="AJ91" s="14">
        <f>AI91*VLOOKUP('Données projet'!$B$10,Paramètres!$A$1:$I$89,3,0)*VLOOKUP('Données projet'!$B$10,Paramètres!$A$1:$I$89,5,0)</f>
        <v>242.64239999999995</v>
      </c>
      <c r="AK91" s="14">
        <f t="shared" si="89"/>
        <v>59.007692897618249</v>
      </c>
      <c r="AL91" s="22">
        <f t="shared" si="58"/>
        <v>525.37391179668498</v>
      </c>
      <c r="AM91" s="60">
        <f t="shared" si="59"/>
        <v>818.70724513001824</v>
      </c>
      <c r="AN91" s="60">
        <f ca="1">AVERAGE(OFFSET($AM$3,0,0,'Données projet'!$E$10+1,1))-AVERAGE(OFFSET($H$3,0,0,'Données projet'!$E$10+1,1))</f>
        <v>440.51611312502263</v>
      </c>
      <c r="AO91" s="60">
        <f t="shared" si="90"/>
        <v>176.81257896138806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</v>
      </c>
      <c r="BD91" s="13">
        <f>IF('Données projet'!$A$88&gt;35,BD90+BC91-BL90,IF(A91&lt;'Données projet'!$A$88,$BA$205^A91,IF(A91='Données projet'!$A$88,'Données projet'!$B$88,BD90+BC91-BL90)))</f>
        <v>195.9999999999998</v>
      </c>
      <c r="BE91" s="14">
        <f>BD91*VLOOKUP('Données projet'!$B$11,Paramètres!$A$1:$I$89,3,0)*VLOOKUP('Données projet'!$B$11,Paramètres!$A$1:$I$89,5,0)</f>
        <v>158.99519999999984</v>
      </c>
      <c r="BF91" s="14">
        <f t="shared" si="91"/>
        <v>40.615796933386008</v>
      </c>
      <c r="BG91" s="22">
        <f t="shared" si="61"/>
        <v>347.65581965898036</v>
      </c>
      <c r="BH91" s="60">
        <f t="shared" si="62"/>
        <v>640.98915299231362</v>
      </c>
      <c r="BI91" s="60">
        <f ca="1">AVERAGE(OFFSET($BH$3,0,0,'Données projet'!$E$11+1,1))-AVERAGE(OFFSET($H$3,0,0,'Données projet'!$E$11+1,1))</f>
        <v>236.22643401787644</v>
      </c>
      <c r="BJ91" s="60">
        <f t="shared" si="92"/>
        <v>188.80444043778022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-1.7053025658242404E-13</v>
      </c>
      <c r="BZ91" s="14">
        <f>BY91*VLOOKUP('Données projet'!$B$12,Paramètres!$A$1:$I$89,3,0)*VLOOKUP('Données projet'!$B$12,Paramètres!$A$1:$I$89,5,0)</f>
        <v>-1.4897523215040567E-13</v>
      </c>
      <c r="CA91" s="14" t="e">
        <f t="shared" si="93"/>
        <v>#NUM!</v>
      </c>
      <c r="CB91" s="22" t="e">
        <f t="shared" si="64"/>
        <v>#NUM!</v>
      </c>
      <c r="CC91" s="60" t="e">
        <f t="shared" si="65"/>
        <v>#NUM!</v>
      </c>
      <c r="CD91" s="60">
        <f ca="1">AVERAGE(OFFSET($CC$3,0,0,'Données projet'!$E$12+1,1))-AVERAGE(OFFSET($H$3,0,0,'Données projet'!$E$12+1,1))</f>
        <v>202.86354781280403</v>
      </c>
      <c r="CE91" s="60">
        <f t="shared" si="94"/>
        <v>217.25323885665131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4.4337866711430253E-14</v>
      </c>
      <c r="CV91" s="14">
        <f t="shared" si="95"/>
        <v>7.3222115536967035E-13</v>
      </c>
      <c r="CW91" s="22">
        <f t="shared" si="67"/>
        <v>1.3525069634579169E-12</v>
      </c>
      <c r="CX91" s="60">
        <f t="shared" si="68"/>
        <v>293.33333333333468</v>
      </c>
      <c r="CY91" s="60">
        <f ca="1">AVERAGE(OFFSET($CX$3,0,0,'Données projet'!$E$13+1,1))-AVERAGE(OFFSET($H$3,0,0,'Données projet'!$E$13+1,1))</f>
        <v>288.82868507674738</v>
      </c>
      <c r="CZ91" s="60">
        <f t="shared" si="96"/>
        <v>283.48738729114024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3.5</v>
      </c>
      <c r="N92" s="14">
        <f>IF('Données projet'!$A$36&gt;35,N91+M92-V91,IF(A92&lt;'Données projet'!$A$36,$K$205^A92,IF(A92='Données projet'!$A$36,'Données projet'!$B$36,N91+M92-V91)))</f>
        <v>292.49999999999989</v>
      </c>
      <c r="O92" s="14">
        <f>N92*VLOOKUP('Données projet'!$B$9,Paramètres!$A$1:$I$89,3,0)*VLOOKUP('Données projet'!$B$9,Paramètres!$A$1:$I$89,5,0)</f>
        <v>246.40199999999996</v>
      </c>
      <c r="P92" s="14">
        <f t="shared" si="87"/>
        <v>59.814834475385474</v>
      </c>
      <c r="Q92" s="22">
        <f t="shared" si="54"/>
        <v>533.32765337796297</v>
      </c>
      <c r="R92" s="60">
        <f t="shared" si="55"/>
        <v>826.66098671129635</v>
      </c>
      <c r="S92" s="60">
        <f ca="1">AVERAGE(OFFSET($R$3,0,0,'Données projet'!$E$9+1,1))-AVERAGE(OFFSET($H$3,0,0,'Données projet'!$E$9+1,1))</f>
        <v>402.79698021419853</v>
      </c>
      <c r="T92" s="60">
        <f t="shared" si="88"/>
        <v>218.26721063098552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6.6</v>
      </c>
      <c r="AI92" s="14">
        <f>IF('Données projet'!$A$62&gt;35,AI91+AH92-AQ91,IF(A92&lt;'Données projet'!$A$62,$AF$205^A92,IF(A92='Données projet'!$A$62,'Données projet'!$B$62,AI91+AH92-AQ91)))</f>
        <v>289.39999999999992</v>
      </c>
      <c r="AJ92" s="14">
        <f>AI92*VLOOKUP('Données projet'!$B$10,Paramètres!$A$1:$I$89,3,0)*VLOOKUP('Données projet'!$B$10,Paramètres!$A$1:$I$89,5,0)</f>
        <v>248.30519999999996</v>
      </c>
      <c r="AK92" s="14">
        <f t="shared" si="89"/>
        <v>60.222881389387261</v>
      </c>
      <c r="AL92" s="22">
        <f t="shared" si="58"/>
        <v>537.35307508651613</v>
      </c>
      <c r="AM92" s="60">
        <f t="shared" si="59"/>
        <v>830.68640841984939</v>
      </c>
      <c r="AN92" s="60">
        <f ca="1">AVERAGE(OFFSET($AM$3,0,0,'Données projet'!$E$10+1,1))-AVERAGE(OFFSET($H$3,0,0,'Données projet'!$E$10+1,1))</f>
        <v>440.51611312502263</v>
      </c>
      <c r="AO92" s="60">
        <f t="shared" si="90"/>
        <v>176.81257896138806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</v>
      </c>
      <c r="BD92" s="13">
        <f>IF('Données projet'!$A$88&gt;35,BD91+BC92-BL91,IF(A92&lt;'Données projet'!$A$88,$BA$205^A92,IF(A92='Données projet'!$A$88,'Données projet'!$B$88,BD91+BC92-BL91)))</f>
        <v>198.9999999999998</v>
      </c>
      <c r="BE92" s="14">
        <f>BD92*VLOOKUP('Données projet'!$B$11,Paramètres!$A$1:$I$89,3,0)*VLOOKUP('Données projet'!$B$11,Paramètres!$A$1:$I$89,5,0)</f>
        <v>161.42879999999985</v>
      </c>
      <c r="BF92" s="14">
        <f t="shared" si="91"/>
        <v>41.164618296930165</v>
      </c>
      <c r="BG92" s="22">
        <f t="shared" si="61"/>
        <v>352.85020353381975</v>
      </c>
      <c r="BH92" s="60">
        <f t="shared" si="62"/>
        <v>646.18353686715307</v>
      </c>
      <c r="BI92" s="60">
        <f ca="1">AVERAGE(OFFSET($BH$3,0,0,'Données projet'!$E$11+1,1))-AVERAGE(OFFSET($H$3,0,0,'Données projet'!$E$11+1,1))</f>
        <v>236.22643401787644</v>
      </c>
      <c r="BJ92" s="60">
        <f t="shared" si="92"/>
        <v>188.80444043778022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-1.7053025658242404E-13</v>
      </c>
      <c r="BZ92" s="14">
        <f>BY92*VLOOKUP('Données projet'!$B$12,Paramètres!$A$1:$I$89,3,0)*VLOOKUP('Données projet'!$B$12,Paramètres!$A$1:$I$89,5,0)</f>
        <v>-1.4897523215040567E-13</v>
      </c>
      <c r="CA92" s="14" t="e">
        <f t="shared" si="93"/>
        <v>#NUM!</v>
      </c>
      <c r="CB92" s="22" t="e">
        <f t="shared" si="64"/>
        <v>#NUM!</v>
      </c>
      <c r="CC92" s="60" t="e">
        <f t="shared" si="65"/>
        <v>#NUM!</v>
      </c>
      <c r="CD92" s="60">
        <f ca="1">AVERAGE(OFFSET($CC$3,0,0,'Données projet'!$E$12+1,1))-AVERAGE(OFFSET($H$3,0,0,'Données projet'!$E$12+1,1))</f>
        <v>202.86354781280403</v>
      </c>
      <c r="CE92" s="60">
        <f t="shared" si="94"/>
        <v>217.25323885665131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4.4337866711430253E-14</v>
      </c>
      <c r="CV92" s="14">
        <f t="shared" si="95"/>
        <v>7.3222115536967035E-13</v>
      </c>
      <c r="CW92" s="22">
        <f t="shared" si="67"/>
        <v>1.3525069634579169E-12</v>
      </c>
      <c r="CX92" s="60">
        <f t="shared" si="68"/>
        <v>293.33333333333468</v>
      </c>
      <c r="CY92" s="60">
        <f ca="1">AVERAGE(OFFSET($CX$3,0,0,'Données projet'!$E$13+1,1))-AVERAGE(OFFSET($H$3,0,0,'Données projet'!$E$13+1,1))</f>
        <v>288.82868507674738</v>
      </c>
      <c r="CZ92" s="60">
        <f t="shared" si="96"/>
        <v>283.48738729114024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3.5</v>
      </c>
      <c r="M93" s="13">
        <f t="array" ref="M93">INDEX(L:L,MIN(IF(ISNUMBER(L93:L289),ROW(L93:L289),"")))</f>
        <v>3.5</v>
      </c>
      <c r="N93" s="14">
        <f>IF('Données projet'!$A$36&gt;35,N92+M93-V92,IF(A93&lt;'Données projet'!$A$36,$K$205^A93,IF(A93='Données projet'!$A$36,'Données projet'!$B$36,N92+M93-V92)))</f>
        <v>295.99999999999989</v>
      </c>
      <c r="O93" s="14">
        <f>N93*VLOOKUP('Données projet'!$B$9,Paramètres!$A$1:$I$89,3,0)*VLOOKUP('Données projet'!$B$9,Paramètres!$A$1:$I$89,5,0)</f>
        <v>249.35039999999992</v>
      </c>
      <c r="P93" s="14">
        <f t="shared" si="87"/>
        <v>60.446817732908166</v>
      </c>
      <c r="Q93" s="22">
        <f t="shared" si="54"/>
        <v>539.56348755148156</v>
      </c>
      <c r="R93" s="60">
        <f t="shared" si="55"/>
        <v>832.89682088481482</v>
      </c>
      <c r="S93" s="60">
        <f ca="1">AVERAGE(OFFSET($R$3,0,0,'Données projet'!$E$9+1,1))-AVERAGE(OFFSET($H$3,0,0,'Données projet'!$E$9+1,1))</f>
        <v>402.79698021419853</v>
      </c>
      <c r="T93" s="60">
        <f t="shared" si="88"/>
        <v>218.26721063098552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6.6</v>
      </c>
      <c r="AH93" s="13">
        <f t="array" ref="AH93">INDEX(AG:AG,MIN(IF(ISNUMBER(AG93:AG289),ROW(AG93:AG289),"")))</f>
        <v>6.6</v>
      </c>
      <c r="AI93" s="14">
        <f>IF('Données projet'!$A$62&gt;35,AI92+AH93-AQ92,IF(A93&lt;'Données projet'!$A$62,$AF$205^A93,IF(A93='Données projet'!$A$62,'Données projet'!$B$62,AI92+AH93-AQ92)))</f>
        <v>295.99999999999994</v>
      </c>
      <c r="AJ93" s="14">
        <f>AI93*VLOOKUP('Données projet'!$B$10,Paramètres!$A$1:$I$89,3,0)*VLOOKUP('Données projet'!$B$10,Paramètres!$A$1:$I$89,5,0)</f>
        <v>253.96799999999999</v>
      </c>
      <c r="AK93" s="14">
        <f t="shared" si="89"/>
        <v>61.434848029666512</v>
      </c>
      <c r="AL93" s="22">
        <f t="shared" si="58"/>
        <v>549.32662698500246</v>
      </c>
      <c r="AM93" s="60">
        <f t="shared" si="59"/>
        <v>842.65996031833583</v>
      </c>
      <c r="AN93" s="60">
        <f ca="1">AVERAGE(OFFSET($AM$3,0,0,'Données projet'!$E$10+1,1))-AVERAGE(OFFSET($H$3,0,0,'Données projet'!$E$10+1,1))</f>
        <v>440.51611312502263</v>
      </c>
      <c r="AO93" s="60">
        <f t="shared" si="90"/>
        <v>176.81257896138806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202</v>
      </c>
      <c r="BB93" s="13">
        <f>VLOOKUP(A93,'Données projet'!$A$87:$I$107,9,0)</f>
        <v>3</v>
      </c>
      <c r="BC93" s="13">
        <f t="array" ref="BC93">INDEX(BB:BB,MIN(IF(ISNUMBER(BB93:BB289),ROW(BB93:BB289),"")))</f>
        <v>3</v>
      </c>
      <c r="BD93" s="13">
        <f>IF('Données projet'!$A$88&gt;35,BD92+BC93-BL92,IF(A93&lt;'Données projet'!$A$88,$BA$205^A93,IF(A93='Données projet'!$A$88,'Données projet'!$B$88,BD92+BC93-BL92)))</f>
        <v>201.9999999999998</v>
      </c>
      <c r="BE93" s="14">
        <f>BD93*VLOOKUP('Données projet'!$B$11,Paramètres!$A$1:$I$89,3,0)*VLOOKUP('Données projet'!$B$11,Paramètres!$A$1:$I$89,5,0)</f>
        <v>163.86239999999987</v>
      </c>
      <c r="BF93" s="14">
        <f t="shared" si="91"/>
        <v>41.712477409029042</v>
      </c>
      <c r="BG93" s="22">
        <f t="shared" si="61"/>
        <v>358.04291148739202</v>
      </c>
      <c r="BH93" s="60">
        <f t="shared" si="62"/>
        <v>651.37624482072533</v>
      </c>
      <c r="BI93" s="60">
        <f ca="1">AVERAGE(OFFSET($BH$3,0,0,'Données projet'!$E$11+1,1))-AVERAGE(OFFSET($H$3,0,0,'Données projet'!$E$11+1,1))</f>
        <v>236.22643401787644</v>
      </c>
      <c r="BJ93" s="60">
        <f t="shared" si="92"/>
        <v>188.80444043778022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202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-1.7053025658242404E-13</v>
      </c>
      <c r="BZ93" s="14">
        <f>BY93*VLOOKUP('Données projet'!$B$12,Paramètres!$A$1:$I$89,3,0)*VLOOKUP('Données projet'!$B$12,Paramètres!$A$1:$I$89,5,0)</f>
        <v>-1.4897523215040567E-13</v>
      </c>
      <c r="CA93" s="14" t="e">
        <f t="shared" si="93"/>
        <v>#NUM!</v>
      </c>
      <c r="CB93" s="22" t="e">
        <f t="shared" si="64"/>
        <v>#NUM!</v>
      </c>
      <c r="CC93" s="60" t="e">
        <f t="shared" si="65"/>
        <v>#NUM!</v>
      </c>
      <c r="CD93" s="60">
        <f ca="1">AVERAGE(OFFSET($CC$3,0,0,'Données projet'!$E$12+1,1))-AVERAGE(OFFSET($H$3,0,0,'Données projet'!$E$12+1,1))</f>
        <v>202.86354781280403</v>
      </c>
      <c r="CE93" s="60">
        <f t="shared" si="94"/>
        <v>217.25323885665131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4.4337866711430253E-14</v>
      </c>
      <c r="CV93" s="14">
        <f t="shared" si="95"/>
        <v>7.3222115536967035E-13</v>
      </c>
      <c r="CW93" s="22">
        <f t="shared" si="67"/>
        <v>1.3525069634579169E-12</v>
      </c>
      <c r="CX93" s="60">
        <f t="shared" si="68"/>
        <v>293.33333333333468</v>
      </c>
      <c r="CY93" s="60">
        <f ca="1">AVERAGE(OFFSET($CX$3,0,0,'Données projet'!$E$13+1,1))-AVERAGE(OFFSET($H$3,0,0,'Données projet'!$E$13+1,1))</f>
        <v>288.82868507674738</v>
      </c>
      <c r="CZ93" s="60">
        <f t="shared" si="96"/>
        <v>283.48738729114024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258.89999999999986</v>
      </c>
      <c r="O94" s="14">
        <f>N94*VLOOKUP('Données projet'!$B$9,Paramètres!$A$1:$I$89,3,0)*VLOOKUP('Données projet'!$B$9,Paramètres!$A$1:$I$89,5,0)</f>
        <v>218.0973599999999</v>
      </c>
      <c r="P94" s="14">
        <f t="shared" si="87"/>
        <v>53.701147500486144</v>
      </c>
      <c r="Q94" s="22">
        <f t="shared" si="54"/>
        <v>473.38240056334644</v>
      </c>
      <c r="R94" s="60">
        <f t="shared" si="55"/>
        <v>766.71573389667969</v>
      </c>
      <c r="S94" s="60">
        <f ca="1">AVERAGE(OFFSET($R$3,0,0,'Données projet'!$E$9+1,1))-AVERAGE(OFFSET($H$3,0,0,'Données projet'!$E$9+1,1))</f>
        <v>402.79698021419853</v>
      </c>
      <c r="T94" s="60">
        <f t="shared" si="88"/>
        <v>218.26721063098552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6.1</v>
      </c>
      <c r="AI94" s="14">
        <f>IF('Données projet'!$A$62&gt;35,AI93+AH94-AQ93,IF(A94&lt;'Données projet'!$A$62,$AF$205^A94,IF(A94='Données projet'!$A$62,'Données projet'!$B$62,AI93+AH94-AQ93)))</f>
        <v>302.09999999999997</v>
      </c>
      <c r="AJ94" s="14">
        <f>AI94*VLOOKUP('Données projet'!$B$10,Paramètres!$A$1:$I$89,3,0)*VLOOKUP('Données projet'!$B$10,Paramètres!$A$1:$I$89,5,0)</f>
        <v>259.20179999999999</v>
      </c>
      <c r="AK94" s="14">
        <f t="shared" si="89"/>
        <v>62.552203537061629</v>
      </c>
      <c r="AL94" s="22">
        <f t="shared" si="58"/>
        <v>560.38822282704893</v>
      </c>
      <c r="AM94" s="60">
        <f t="shared" si="59"/>
        <v>853.72155616038231</v>
      </c>
      <c r="AN94" s="60">
        <f ca="1">AVERAGE(OFFSET($AM$3,0,0,'Données projet'!$E$10+1,1))-AVERAGE(OFFSET($H$3,0,0,'Données projet'!$E$10+1,1))</f>
        <v>440.51611312502263</v>
      </c>
      <c r="AO94" s="60">
        <f t="shared" si="90"/>
        <v>176.81257896138806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-1.9895196601282805E-13</v>
      </c>
      <c r="BE94" s="14">
        <f>BD94*VLOOKUP('Données projet'!$B$11,Paramètres!$A$1:$I$89,3,0)*VLOOKUP('Données projet'!$B$11,Paramètres!$A$1:$I$89,5,0)</f>
        <v>-1.6138983482960614E-13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236.22643401787644</v>
      </c>
      <c r="BJ94" s="60">
        <f t="shared" si="92"/>
        <v>188.80444043778022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-1.7053025658242404E-13</v>
      </c>
      <c r="BZ94" s="14">
        <f>BY94*VLOOKUP('Données projet'!$B$12,Paramètres!$A$1:$I$89,3,0)*VLOOKUP('Données projet'!$B$12,Paramètres!$A$1:$I$89,5,0)</f>
        <v>-1.4897523215040567E-13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202.86354781280403</v>
      </c>
      <c r="CE94" s="60">
        <f t="shared" si="94"/>
        <v>217.25323885665131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4.4337866711430253E-14</v>
      </c>
      <c r="CV94" s="14">
        <f t="shared" si="95"/>
        <v>7.3222115536967035E-13</v>
      </c>
      <c r="CW94" s="22">
        <f t="shared" si="67"/>
        <v>1.3525069634579169E-12</v>
      </c>
      <c r="CX94" s="60">
        <f t="shared" si="68"/>
        <v>293.33333333333468</v>
      </c>
      <c r="CY94" s="60">
        <f ca="1">AVERAGE(OFFSET($CX$3,0,0,'Données projet'!$E$13+1,1))-AVERAGE(OFFSET($H$3,0,0,'Données projet'!$E$13+1,1))</f>
        <v>288.82868507674738</v>
      </c>
      <c r="CZ94" s="60">
        <f t="shared" si="96"/>
        <v>283.48738729114024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263.79999999999984</v>
      </c>
      <c r="O95" s="14">
        <f>N95*VLOOKUP('Données projet'!$B$9,Paramètres!$A$1:$I$89,3,0)*VLOOKUP('Données projet'!$B$9,Paramètres!$A$1:$I$89,5,0)</f>
        <v>222.22511999999986</v>
      </c>
      <c r="P95" s="14">
        <f t="shared" si="87"/>
        <v>54.598220944501897</v>
      </c>
      <c r="Q95" s="22">
        <f t="shared" si="54"/>
        <v>482.13398547834049</v>
      </c>
      <c r="R95" s="60">
        <f t="shared" si="55"/>
        <v>775.46731881167375</v>
      </c>
      <c r="S95" s="60">
        <f ca="1">AVERAGE(OFFSET($R$3,0,0,'Données projet'!$E$9+1,1))-AVERAGE(OFFSET($H$3,0,0,'Données projet'!$E$9+1,1))</f>
        <v>402.79698021419853</v>
      </c>
      <c r="T95" s="60">
        <f t="shared" si="88"/>
        <v>218.26721063098552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6.1</v>
      </c>
      <c r="AI95" s="14">
        <f>IF('Données projet'!$A$62&gt;35,AI94+AH95-AQ94,IF(A95&lt;'Données projet'!$A$62,$AF$205^A95,IF(A95='Données projet'!$A$62,'Données projet'!$B$62,AI94+AH95-AQ94)))</f>
        <v>308.2</v>
      </c>
      <c r="AJ95" s="14">
        <f>AI95*VLOOKUP('Données projet'!$B$10,Paramètres!$A$1:$I$89,3,0)*VLOOKUP('Données projet'!$B$10,Paramètres!$A$1:$I$89,5,0)</f>
        <v>264.43560000000002</v>
      </c>
      <c r="AK95" s="14">
        <f t="shared" si="89"/>
        <v>63.666935766021858</v>
      </c>
      <c r="AL95" s="22">
        <f t="shared" si="58"/>
        <v>571.44524979248808</v>
      </c>
      <c r="AM95" s="60">
        <f t="shared" si="59"/>
        <v>864.77858312582134</v>
      </c>
      <c r="AN95" s="60">
        <f ca="1">AVERAGE(OFFSET($AM$3,0,0,'Données projet'!$E$10+1,1))-AVERAGE(OFFSET($H$3,0,0,'Données projet'!$E$10+1,1))</f>
        <v>440.51611312502263</v>
      </c>
      <c r="AO95" s="60">
        <f t="shared" si="90"/>
        <v>176.81257896138806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-1.9895196601282805E-13</v>
      </c>
      <c r="BE95" s="14">
        <f>BD95*VLOOKUP('Données projet'!$B$11,Paramètres!$A$1:$I$89,3,0)*VLOOKUP('Données projet'!$B$11,Paramètres!$A$1:$I$89,5,0)</f>
        <v>-1.6138983482960614E-13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236.22643401787644</v>
      </c>
      <c r="BJ95" s="60">
        <f t="shared" si="92"/>
        <v>188.80444043778022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-1.7053025658242404E-13</v>
      </c>
      <c r="BZ95" s="14">
        <f>BY95*VLOOKUP('Données projet'!$B$12,Paramètres!$A$1:$I$89,3,0)*VLOOKUP('Données projet'!$B$12,Paramètres!$A$1:$I$89,5,0)</f>
        <v>-1.4897523215040567E-13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202.86354781280403</v>
      </c>
      <c r="CE95" s="60">
        <f t="shared" si="94"/>
        <v>217.25323885665131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4.4337866711430253E-14</v>
      </c>
      <c r="CV95" s="14">
        <f t="shared" si="95"/>
        <v>7.3222115536967035E-13</v>
      </c>
      <c r="CW95" s="22">
        <f t="shared" si="67"/>
        <v>1.3525069634579169E-12</v>
      </c>
      <c r="CX95" s="60">
        <f t="shared" si="68"/>
        <v>293.33333333333468</v>
      </c>
      <c r="CY95" s="60">
        <f ca="1">AVERAGE(OFFSET($CX$3,0,0,'Données projet'!$E$13+1,1))-AVERAGE(OFFSET($H$3,0,0,'Données projet'!$E$13+1,1))</f>
        <v>288.82868507674738</v>
      </c>
      <c r="CZ95" s="60">
        <f t="shared" si="96"/>
        <v>283.48738729114024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268.69999999999982</v>
      </c>
      <c r="O96" s="14">
        <f>N96*VLOOKUP('Données projet'!$B$9,Paramètres!$A$1:$I$89,3,0)*VLOOKUP('Données projet'!$B$9,Paramètres!$A$1:$I$89,5,0)</f>
        <v>226.35287999999986</v>
      </c>
      <c r="P96" s="14">
        <f t="shared" si="87"/>
        <v>55.493356810212966</v>
      </c>
      <c r="Q96" s="22">
        <f t="shared" si="54"/>
        <v>490.88219577778727</v>
      </c>
      <c r="R96" s="60">
        <f t="shared" si="55"/>
        <v>784.21552911112053</v>
      </c>
      <c r="S96" s="60">
        <f ca="1">AVERAGE(OFFSET($R$3,0,0,'Données projet'!$E$9+1,1))-AVERAGE(OFFSET($H$3,0,0,'Données projet'!$E$9+1,1))</f>
        <v>402.79698021419853</v>
      </c>
      <c r="T96" s="60">
        <f t="shared" si="88"/>
        <v>218.26721063098552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6.1</v>
      </c>
      <c r="AI96" s="14">
        <f>IF('Données projet'!$A$62&gt;35,AI95+AH96-AQ95,IF(A96&lt;'Données projet'!$A$62,$AF$205^A96,IF(A96='Données projet'!$A$62,'Données projet'!$B$62,AI95+AH96-AQ95)))</f>
        <v>314.3</v>
      </c>
      <c r="AJ96" s="14">
        <f>AI96*VLOOKUP('Données projet'!$B$10,Paramètres!$A$1:$I$89,3,0)*VLOOKUP('Données projet'!$B$10,Paramètres!$A$1:$I$89,5,0)</f>
        <v>269.6694</v>
      </c>
      <c r="AK96" s="14">
        <f t="shared" si="89"/>
        <v>64.779102621867594</v>
      </c>
      <c r="AL96" s="22">
        <f t="shared" si="58"/>
        <v>582.497808733086</v>
      </c>
      <c r="AM96" s="60">
        <f t="shared" si="59"/>
        <v>875.83114206641926</v>
      </c>
      <c r="AN96" s="60">
        <f ca="1">AVERAGE(OFFSET($AM$3,0,0,'Données projet'!$E$10+1,1))-AVERAGE(OFFSET($H$3,0,0,'Données projet'!$E$10+1,1))</f>
        <v>440.51611312502263</v>
      </c>
      <c r="AO96" s="60">
        <f t="shared" si="90"/>
        <v>176.81257896138806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-1.9895196601282805E-13</v>
      </c>
      <c r="BE96" s="14">
        <f>BD96*VLOOKUP('Données projet'!$B$11,Paramètres!$A$1:$I$89,3,0)*VLOOKUP('Données projet'!$B$11,Paramètres!$A$1:$I$89,5,0)</f>
        <v>-1.6138983482960614E-13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236.22643401787644</v>
      </c>
      <c r="BJ96" s="60">
        <f t="shared" si="92"/>
        <v>188.80444043778022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-1.7053025658242404E-13</v>
      </c>
      <c r="BZ96" s="14">
        <f>BY96*VLOOKUP('Données projet'!$B$12,Paramètres!$A$1:$I$89,3,0)*VLOOKUP('Données projet'!$B$12,Paramètres!$A$1:$I$89,5,0)</f>
        <v>-1.4897523215040567E-13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202.86354781280403</v>
      </c>
      <c r="CE96" s="60">
        <f t="shared" si="94"/>
        <v>217.25323885665131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4.4337866711430253E-14</v>
      </c>
      <c r="CV96" s="14">
        <f t="shared" si="95"/>
        <v>7.3222115536967035E-13</v>
      </c>
      <c r="CW96" s="22">
        <f t="shared" si="67"/>
        <v>1.3525069634579169E-12</v>
      </c>
      <c r="CX96" s="60">
        <f t="shared" si="68"/>
        <v>293.33333333333468</v>
      </c>
      <c r="CY96" s="60">
        <f ca="1">AVERAGE(OFFSET($CX$3,0,0,'Données projet'!$E$13+1,1))-AVERAGE(OFFSET($H$3,0,0,'Données projet'!$E$13+1,1))</f>
        <v>288.82868507674738</v>
      </c>
      <c r="CZ96" s="60">
        <f t="shared" si="96"/>
        <v>283.48738729114024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273.5999999999998</v>
      </c>
      <c r="O97" s="14">
        <f>N97*VLOOKUP('Données projet'!$B$9,Paramètres!$A$1:$I$89,3,0)*VLOOKUP('Données projet'!$B$9,Paramètres!$A$1:$I$89,5,0)</f>
        <v>230.48063999999982</v>
      </c>
      <c r="P97" s="14">
        <f t="shared" si="87"/>
        <v>56.386594506599742</v>
      </c>
      <c r="Q97" s="22">
        <f t="shared" si="54"/>
        <v>499.62710009899428</v>
      </c>
      <c r="R97" s="60">
        <f t="shared" si="55"/>
        <v>792.96043343232759</v>
      </c>
      <c r="S97" s="60">
        <f ca="1">AVERAGE(OFFSET($R$3,0,0,'Données projet'!$E$9+1,1))-AVERAGE(OFFSET($H$3,0,0,'Données projet'!$E$9+1,1))</f>
        <v>402.79698021419853</v>
      </c>
      <c r="T97" s="60">
        <f t="shared" si="88"/>
        <v>218.26721063098552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6.1</v>
      </c>
      <c r="AI97" s="14">
        <f>IF('Données projet'!$A$62&gt;35,AI96+AH97-AQ96,IF(A97&lt;'Données projet'!$A$62,$AF$205^A97,IF(A97='Données projet'!$A$62,'Données projet'!$B$62,AI96+AH97-AQ96)))</f>
        <v>320.40000000000003</v>
      </c>
      <c r="AJ97" s="14">
        <f>AI97*VLOOKUP('Données projet'!$B$10,Paramètres!$A$1:$I$89,3,0)*VLOOKUP('Données projet'!$B$10,Paramètres!$A$1:$I$89,5,0)</f>
        <v>274.90320000000003</v>
      </c>
      <c r="AK97" s="14">
        <f t="shared" si="89"/>
        <v>65.888759633664876</v>
      </c>
      <c r="AL97" s="22">
        <f t="shared" si="58"/>
        <v>593.54599636196633</v>
      </c>
      <c r="AM97" s="60">
        <f t="shared" si="59"/>
        <v>886.8793296952997</v>
      </c>
      <c r="AN97" s="60">
        <f ca="1">AVERAGE(OFFSET($AM$3,0,0,'Données projet'!$E$10+1,1))-AVERAGE(OFFSET($H$3,0,0,'Données projet'!$E$10+1,1))</f>
        <v>440.51611312502263</v>
      </c>
      <c r="AO97" s="60">
        <f t="shared" si="90"/>
        <v>176.81257896138806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-1.9895196601282805E-13</v>
      </c>
      <c r="BE97" s="14">
        <f>BD97*VLOOKUP('Données projet'!$B$11,Paramètres!$A$1:$I$89,3,0)*VLOOKUP('Données projet'!$B$11,Paramètres!$A$1:$I$89,5,0)</f>
        <v>-1.6138983482960614E-13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236.22643401787644</v>
      </c>
      <c r="BJ97" s="60">
        <f t="shared" si="92"/>
        <v>188.80444043778022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-1.7053025658242404E-13</v>
      </c>
      <c r="BZ97" s="14">
        <f>BY97*VLOOKUP('Données projet'!$B$12,Paramètres!$A$1:$I$89,3,0)*VLOOKUP('Données projet'!$B$12,Paramètres!$A$1:$I$89,5,0)</f>
        <v>-1.4897523215040567E-13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202.86354781280403</v>
      </c>
      <c r="CE97" s="60">
        <f t="shared" si="94"/>
        <v>217.25323885665131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4.4337866711430253E-14</v>
      </c>
      <c r="CV97" s="14">
        <f t="shared" si="95"/>
        <v>7.3222115536967035E-13</v>
      </c>
      <c r="CW97" s="22">
        <f t="shared" si="67"/>
        <v>1.3525069634579169E-12</v>
      </c>
      <c r="CX97" s="60">
        <f t="shared" si="68"/>
        <v>293.33333333333468</v>
      </c>
      <c r="CY97" s="60">
        <f ca="1">AVERAGE(OFFSET($CX$3,0,0,'Données projet'!$E$13+1,1))-AVERAGE(OFFSET($H$3,0,0,'Données projet'!$E$13+1,1))</f>
        <v>288.82868507674738</v>
      </c>
      <c r="CZ97" s="60">
        <f t="shared" si="96"/>
        <v>283.48738729114024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278.49999999999977</v>
      </c>
      <c r="O98" s="14">
        <f>N98*VLOOKUP('Données projet'!$B$9,Paramètres!$A$1:$I$89,3,0)*VLOOKUP('Données projet'!$B$9,Paramètres!$A$1:$I$89,5,0)</f>
        <v>234.60839999999985</v>
      </c>
      <c r="P98" s="14">
        <f t="shared" si="87"/>
        <v>57.277971950226856</v>
      </c>
      <c r="Q98" s="22">
        <f t="shared" si="54"/>
        <v>508.36876447997815</v>
      </c>
      <c r="R98" s="60">
        <f t="shared" si="55"/>
        <v>801.70209781331141</v>
      </c>
      <c r="S98" s="60">
        <f ca="1">AVERAGE(OFFSET($R$3,0,0,'Données projet'!$E$9+1,1))-AVERAGE(OFFSET($H$3,0,0,'Données projet'!$E$9+1,1))</f>
        <v>402.79698021419853</v>
      </c>
      <c r="T98" s="60">
        <f t="shared" si="88"/>
        <v>218.26721063098552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6.1</v>
      </c>
      <c r="AI98" s="14">
        <f>IF('Données projet'!$A$62&gt;35,AI97+AH98-AQ97,IF(A98&lt;'Données projet'!$A$62,$AF$205^A98,IF(A98='Données projet'!$A$62,'Données projet'!$B$62,AI97+AH98-AQ97)))</f>
        <v>326.50000000000006</v>
      </c>
      <c r="AJ98" s="14">
        <f>AI98*VLOOKUP('Données projet'!$B$10,Paramètres!$A$1:$I$89,3,0)*VLOOKUP('Données projet'!$B$10,Paramètres!$A$1:$I$89,5,0)</f>
        <v>280.13700000000006</v>
      </c>
      <c r="AK98" s="14">
        <f t="shared" si="89"/>
        <v>66.99596009509132</v>
      </c>
      <c r="AL98" s="22">
        <f t="shared" si="58"/>
        <v>604.58990549895088</v>
      </c>
      <c r="AM98" s="60">
        <f t="shared" si="59"/>
        <v>897.92323883228414</v>
      </c>
      <c r="AN98" s="60">
        <f ca="1">AVERAGE(OFFSET($AM$3,0,0,'Données projet'!$E$10+1,1))-AVERAGE(OFFSET($H$3,0,0,'Données projet'!$E$10+1,1))</f>
        <v>440.51611312502263</v>
      </c>
      <c r="AO98" s="60">
        <f t="shared" si="90"/>
        <v>176.81257896138806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-1.9895196601282805E-13</v>
      </c>
      <c r="BE98" s="14">
        <f>BD98*VLOOKUP('Données projet'!$B$11,Paramètres!$A$1:$I$89,3,0)*VLOOKUP('Données projet'!$B$11,Paramètres!$A$1:$I$89,5,0)</f>
        <v>-1.6138983482960614E-13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236.22643401787644</v>
      </c>
      <c r="BJ98" s="60">
        <f t="shared" si="92"/>
        <v>188.80444043778022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-1.7053025658242404E-13</v>
      </c>
      <c r="BZ98" s="14">
        <f>BY98*VLOOKUP('Données projet'!$B$12,Paramètres!$A$1:$I$89,3,0)*VLOOKUP('Données projet'!$B$12,Paramètres!$A$1:$I$89,5,0)</f>
        <v>-1.4897523215040567E-13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202.86354781280403</v>
      </c>
      <c r="CE98" s="60">
        <f t="shared" si="94"/>
        <v>217.25323885665131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4.4337866711430253E-14</v>
      </c>
      <c r="CV98" s="14">
        <f t="shared" si="95"/>
        <v>7.3222115536967035E-13</v>
      </c>
      <c r="CW98" s="22">
        <f t="shared" si="67"/>
        <v>1.3525069634579169E-12</v>
      </c>
      <c r="CX98" s="60">
        <f t="shared" si="68"/>
        <v>293.33333333333468</v>
      </c>
      <c r="CY98" s="60">
        <f ca="1">AVERAGE(OFFSET($CX$3,0,0,'Données projet'!$E$13+1,1))-AVERAGE(OFFSET($H$3,0,0,'Données projet'!$E$13+1,1))</f>
        <v>288.82868507674738</v>
      </c>
      <c r="CZ98" s="60">
        <f t="shared" si="96"/>
        <v>283.48738729114024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283.39999999999975</v>
      </c>
      <c r="O99" s="14">
        <f>N99*VLOOKUP('Données projet'!$B$9,Paramètres!$A$1:$I$89,3,0)*VLOOKUP('Données projet'!$B$9,Paramètres!$A$1:$I$89,5,0)</f>
        <v>238.73615999999984</v>
      </c>
      <c r="P99" s="14">
        <f t="shared" si="87"/>
        <v>58.167525647006343</v>
      </c>
      <c r="Q99" s="22">
        <f t="shared" ref="Q99:Q130" si="107">(O99+P99)*0.475*44/12</f>
        <v>517.10725250186908</v>
      </c>
      <c r="R99" s="60">
        <f t="shared" si="55"/>
        <v>810.44058583520246</v>
      </c>
      <c r="S99" s="60">
        <f ca="1">AVERAGE(OFFSET($R$3,0,0,'Données projet'!$E$9+1,1))-AVERAGE(OFFSET($H$3,0,0,'Données projet'!$E$9+1,1))</f>
        <v>402.79698021419853</v>
      </c>
      <c r="T99" s="60">
        <f t="shared" si="88"/>
        <v>218.26721063098552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6.1</v>
      </c>
      <c r="AI99" s="14">
        <f>IF('Données projet'!$A$62&gt;35,AI98+AH99-AQ98,IF(A99&lt;'Données projet'!$A$62,$AF$205^A99,IF(A99='Données projet'!$A$62,'Données projet'!$B$62,AI98+AH99-AQ98)))</f>
        <v>332.60000000000008</v>
      </c>
      <c r="AJ99" s="14">
        <f>AI99*VLOOKUP('Données projet'!$B$10,Paramètres!$A$1:$I$89,3,0)*VLOOKUP('Données projet'!$B$10,Paramètres!$A$1:$I$89,5,0)</f>
        <v>285.37080000000009</v>
      </c>
      <c r="AK99" s="14">
        <f t="shared" si="89"/>
        <v>68.100755194477955</v>
      </c>
      <c r="AL99" s="22">
        <f t="shared" si="58"/>
        <v>615.62962529704919</v>
      </c>
      <c r="AM99" s="60">
        <f t="shared" si="59"/>
        <v>908.96295863038245</v>
      </c>
      <c r="AN99" s="60">
        <f ca="1">AVERAGE(OFFSET($AM$3,0,0,'Données projet'!$E$10+1,1))-AVERAGE(OFFSET($H$3,0,0,'Données projet'!$E$10+1,1))</f>
        <v>440.51611312502263</v>
      </c>
      <c r="AO99" s="60">
        <f t="shared" si="90"/>
        <v>176.81257896138806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-1.9895196601282805E-13</v>
      </c>
      <c r="BE99" s="14">
        <f>BD99*VLOOKUP('Données projet'!$B$11,Paramètres!$A$1:$I$89,3,0)*VLOOKUP('Données projet'!$B$11,Paramètres!$A$1:$I$89,5,0)</f>
        <v>-1.6138983482960614E-13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236.22643401787644</v>
      </c>
      <c r="BJ99" s="60">
        <f t="shared" si="92"/>
        <v>188.80444043778022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-1.7053025658242404E-13</v>
      </c>
      <c r="BZ99" s="14">
        <f>BY99*VLOOKUP('Données projet'!$B$12,Paramètres!$A$1:$I$89,3,0)*VLOOKUP('Données projet'!$B$12,Paramètres!$A$1:$I$89,5,0)</f>
        <v>-1.4897523215040567E-13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202.86354781280403</v>
      </c>
      <c r="CE99" s="60">
        <f t="shared" si="94"/>
        <v>217.25323885665131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4.4337866711430253E-14</v>
      </c>
      <c r="CV99" s="14">
        <f t="shared" si="95"/>
        <v>7.3222115536967035E-13</v>
      </c>
      <c r="CW99" s="22">
        <f t="shared" si="67"/>
        <v>1.3525069634579169E-12</v>
      </c>
      <c r="CX99" s="60">
        <f t="shared" si="68"/>
        <v>293.33333333333468</v>
      </c>
      <c r="CY99" s="60">
        <f ca="1">AVERAGE(OFFSET($CX$3,0,0,'Données projet'!$E$13+1,1))-AVERAGE(OFFSET($H$3,0,0,'Données projet'!$E$13+1,1))</f>
        <v>288.82868507674738</v>
      </c>
      <c r="CZ99" s="60">
        <f t="shared" si="96"/>
        <v>283.48738729114024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288.29999999999973</v>
      </c>
      <c r="O100" s="14">
        <f>N100*VLOOKUP('Données projet'!$B$9,Paramètres!$A$1:$I$89,3,0)*VLOOKUP('Données projet'!$B$9,Paramètres!$A$1:$I$89,5,0)</f>
        <v>242.86391999999981</v>
      </c>
      <c r="P100" s="14">
        <f t="shared" si="87"/>
        <v>59.055290768146357</v>
      </c>
      <c r="Q100" s="22">
        <f t="shared" si="107"/>
        <v>525.8426254211879</v>
      </c>
      <c r="R100" s="60">
        <f t="shared" si="55"/>
        <v>819.17595875452116</v>
      </c>
      <c r="S100" s="60">
        <f ca="1">AVERAGE(OFFSET($R$3,0,0,'Données projet'!$E$9+1,1))-AVERAGE(OFFSET($H$3,0,0,'Données projet'!$E$9+1,1))</f>
        <v>402.79698021419853</v>
      </c>
      <c r="T100" s="60">
        <f t="shared" si="88"/>
        <v>218.26721063098552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6.1</v>
      </c>
      <c r="AI100" s="14">
        <f>IF('Données projet'!$A$62&gt;35,AI99+AH100-AQ99,IF(A100&lt;'Données projet'!$A$62,$AF$205^A100,IF(A100='Données projet'!$A$62,'Données projet'!$B$62,AI99+AH100-AQ99)))</f>
        <v>338.7000000000001</v>
      </c>
      <c r="AJ100" s="14">
        <f>AI100*VLOOKUP('Données projet'!$B$10,Paramètres!$A$1:$I$89,3,0)*VLOOKUP('Données projet'!$B$10,Paramètres!$A$1:$I$89,5,0)</f>
        <v>290.60460000000012</v>
      </c>
      <c r="AK100" s="14">
        <f t="shared" si="89"/>
        <v>69.203194135040519</v>
      </c>
      <c r="AL100" s="22">
        <f t="shared" si="58"/>
        <v>626.66524145186236</v>
      </c>
      <c r="AM100" s="60">
        <f t="shared" si="59"/>
        <v>919.99857478519561</v>
      </c>
      <c r="AN100" s="60">
        <f ca="1">AVERAGE(OFFSET($AM$3,0,0,'Données projet'!$E$10+1,1))-AVERAGE(OFFSET($H$3,0,0,'Données projet'!$E$10+1,1))</f>
        <v>440.51611312502263</v>
      </c>
      <c r="AO100" s="60">
        <f t="shared" si="90"/>
        <v>176.81257896138806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-1.9895196601282805E-13</v>
      </c>
      <c r="BE100" s="14">
        <f>BD100*VLOOKUP('Données projet'!$B$11,Paramètres!$A$1:$I$89,3,0)*VLOOKUP('Données projet'!$B$11,Paramètres!$A$1:$I$89,5,0)</f>
        <v>-1.6138983482960614E-13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236.22643401787644</v>
      </c>
      <c r="BJ100" s="60">
        <f t="shared" si="92"/>
        <v>188.80444043778022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-1.7053025658242404E-13</v>
      </c>
      <c r="BZ100" s="14">
        <f>BY100*VLOOKUP('Données projet'!$B$12,Paramètres!$A$1:$I$89,3,0)*VLOOKUP('Données projet'!$B$12,Paramètres!$A$1:$I$89,5,0)</f>
        <v>-1.4897523215040567E-13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202.86354781280403</v>
      </c>
      <c r="CE100" s="60">
        <f t="shared" si="94"/>
        <v>217.25323885665131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4.4337866711430253E-14</v>
      </c>
      <c r="CV100" s="14">
        <f t="shared" si="95"/>
        <v>7.3222115536967035E-13</v>
      </c>
      <c r="CW100" s="22">
        <f t="shared" si="67"/>
        <v>1.3525069634579169E-12</v>
      </c>
      <c r="CX100" s="60">
        <f t="shared" si="68"/>
        <v>293.33333333333468</v>
      </c>
      <c r="CY100" s="60">
        <f ca="1">AVERAGE(OFFSET($CX$3,0,0,'Données projet'!$E$13+1,1))-AVERAGE(OFFSET($H$3,0,0,'Données projet'!$E$13+1,1))</f>
        <v>288.82868507674738</v>
      </c>
      <c r="CZ100" s="60">
        <f t="shared" si="96"/>
        <v>283.48738729114024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293.1999999999997</v>
      </c>
      <c r="O101" s="14">
        <f>N101*VLOOKUP('Données projet'!$B$9,Paramètres!$A$1:$I$89,3,0)*VLOOKUP('Données projet'!$B$9,Paramètres!$A$1:$I$89,5,0)</f>
        <v>246.9916799999998</v>
      </c>
      <c r="P101" s="14">
        <f t="shared" si="87"/>
        <v>59.94130122078969</v>
      </c>
      <c r="Q101" s="22">
        <f t="shared" si="107"/>
        <v>534.57494229287499</v>
      </c>
      <c r="R101" s="60">
        <f t="shared" si="55"/>
        <v>827.90827562620825</v>
      </c>
      <c r="S101" s="60">
        <f ca="1">AVERAGE(OFFSET($R$3,0,0,'Données projet'!$E$9+1,1))-AVERAGE(OFFSET($H$3,0,0,'Données projet'!$E$9+1,1))</f>
        <v>402.79698021419853</v>
      </c>
      <c r="T101" s="60">
        <f t="shared" si="88"/>
        <v>218.26721063098552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6.1</v>
      </c>
      <c r="AI101" s="14">
        <f>IF('Données projet'!$A$62&gt;35,AI100+AH101-AQ100,IF(A101&lt;'Données projet'!$A$62,$AF$205^A101,IF(A101='Données projet'!$A$62,'Données projet'!$B$62,AI100+AH101-AQ100)))</f>
        <v>344.80000000000013</v>
      </c>
      <c r="AJ101" s="14">
        <f>AI101*VLOOKUP('Données projet'!$B$10,Paramètres!$A$1:$I$89,3,0)*VLOOKUP('Données projet'!$B$10,Paramètres!$A$1:$I$89,5,0)</f>
        <v>295.83840000000015</v>
      </c>
      <c r="AK101" s="14">
        <f t="shared" si="89"/>
        <v>70.303324246204156</v>
      </c>
      <c r="AL101" s="22">
        <f t="shared" si="58"/>
        <v>637.69683639547247</v>
      </c>
      <c r="AM101" s="60">
        <f t="shared" si="59"/>
        <v>931.03016972880573</v>
      </c>
      <c r="AN101" s="60">
        <f ca="1">AVERAGE(OFFSET($AM$3,0,0,'Données projet'!$E$10+1,1))-AVERAGE(OFFSET($H$3,0,0,'Données projet'!$E$10+1,1))</f>
        <v>440.51611312502263</v>
      </c>
      <c r="AO101" s="60">
        <f t="shared" si="90"/>
        <v>176.81257896138806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-1.9895196601282805E-13</v>
      </c>
      <c r="BE101" s="14">
        <f>BD101*VLOOKUP('Données projet'!$B$11,Paramètres!$A$1:$I$89,3,0)*VLOOKUP('Données projet'!$B$11,Paramètres!$A$1:$I$89,5,0)</f>
        <v>-1.6138983482960614E-13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236.22643401787644</v>
      </c>
      <c r="BJ101" s="60">
        <f t="shared" si="92"/>
        <v>188.80444043778022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-1.7053025658242404E-13</v>
      </c>
      <c r="BZ101" s="14">
        <f>BY101*VLOOKUP('Données projet'!$B$12,Paramètres!$A$1:$I$89,3,0)*VLOOKUP('Données projet'!$B$12,Paramètres!$A$1:$I$89,5,0)</f>
        <v>-1.4897523215040567E-13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202.86354781280403</v>
      </c>
      <c r="CE101" s="60">
        <f t="shared" si="94"/>
        <v>217.25323885665131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4.4337866711430253E-14</v>
      </c>
      <c r="CV101" s="14">
        <f t="shared" si="95"/>
        <v>7.3222115536967035E-13</v>
      </c>
      <c r="CW101" s="22">
        <f t="shared" si="67"/>
        <v>1.3525069634579169E-12</v>
      </c>
      <c r="CX101" s="60">
        <f t="shared" si="68"/>
        <v>293.33333333333468</v>
      </c>
      <c r="CY101" s="60">
        <f ca="1">AVERAGE(OFFSET($CX$3,0,0,'Données projet'!$E$13+1,1))-AVERAGE(OFFSET($H$3,0,0,'Données projet'!$E$13+1,1))</f>
        <v>288.82868507674738</v>
      </c>
      <c r="CZ101" s="60">
        <f t="shared" si="96"/>
        <v>283.48738729114024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298.09999999999968</v>
      </c>
      <c r="O102" s="14">
        <f>N102*VLOOKUP('Données projet'!$B$9,Paramètres!$A$1:$I$89,3,0)*VLOOKUP('Données projet'!$B$9,Paramètres!$A$1:$I$89,5,0)</f>
        <v>251.11943999999977</v>
      </c>
      <c r="P102" s="14">
        <f t="shared" si="87"/>
        <v>60.825589713796923</v>
      </c>
      <c r="Q102" s="22">
        <f t="shared" si="107"/>
        <v>543.30426008486256</v>
      </c>
      <c r="R102" s="60">
        <f t="shared" si="55"/>
        <v>836.63759341819582</v>
      </c>
      <c r="S102" s="60">
        <f ca="1">AVERAGE(OFFSET($R$3,0,0,'Données projet'!$E$9+1,1))-AVERAGE(OFFSET($H$3,0,0,'Données projet'!$E$9+1,1))</f>
        <v>402.79698021419853</v>
      </c>
      <c r="T102" s="60">
        <f t="shared" si="88"/>
        <v>218.26721063098552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6.1</v>
      </c>
      <c r="AI102" s="14">
        <f>IF('Données projet'!$A$62&gt;35,AI101+AH102-AQ101,IF(A102&lt;'Données projet'!$A$62,$AF$205^A102,IF(A102='Données projet'!$A$62,'Données projet'!$B$62,AI101+AH102-AQ101)))</f>
        <v>350.90000000000015</v>
      </c>
      <c r="AJ102" s="14">
        <f>AI102*VLOOKUP('Données projet'!$B$10,Paramètres!$A$1:$I$89,3,0)*VLOOKUP('Données projet'!$B$10,Paramètres!$A$1:$I$89,5,0)</f>
        <v>301.07220000000012</v>
      </c>
      <c r="AK102" s="14">
        <f t="shared" si="89"/>
        <v>71.401191086827438</v>
      </c>
      <c r="AL102" s="22">
        <f t="shared" si="58"/>
        <v>648.72448947622468</v>
      </c>
      <c r="AM102" s="60">
        <f t="shared" si="59"/>
        <v>942.05782280955805</v>
      </c>
      <c r="AN102" s="60">
        <f ca="1">AVERAGE(OFFSET($AM$3,0,0,'Données projet'!$E$10+1,1))-AVERAGE(OFFSET($H$3,0,0,'Données projet'!$E$10+1,1))</f>
        <v>440.51611312502263</v>
      </c>
      <c r="AO102" s="60">
        <f t="shared" si="90"/>
        <v>176.81257896138806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-1.9895196601282805E-13</v>
      </c>
      <c r="BE102" s="14">
        <f>BD102*VLOOKUP('Données projet'!$B$11,Paramètres!$A$1:$I$89,3,0)*VLOOKUP('Données projet'!$B$11,Paramètres!$A$1:$I$89,5,0)</f>
        <v>-1.6138983482960614E-13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236.22643401787644</v>
      </c>
      <c r="BJ102" s="60">
        <f t="shared" si="92"/>
        <v>188.80444043778022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-1.7053025658242404E-13</v>
      </c>
      <c r="BZ102" s="14">
        <f>BY102*VLOOKUP('Données projet'!$B$12,Paramètres!$A$1:$I$89,3,0)*VLOOKUP('Données projet'!$B$12,Paramètres!$A$1:$I$89,5,0)</f>
        <v>-1.4897523215040567E-13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202.86354781280403</v>
      </c>
      <c r="CE102" s="60">
        <f t="shared" si="94"/>
        <v>217.25323885665131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4.4337866711430253E-14</v>
      </c>
      <c r="CV102" s="14">
        <f t="shared" si="95"/>
        <v>7.3222115536967035E-13</v>
      </c>
      <c r="CW102" s="22">
        <f t="shared" si="67"/>
        <v>1.3525069634579169E-12</v>
      </c>
      <c r="CX102" s="60">
        <f t="shared" si="68"/>
        <v>293.33333333333468</v>
      </c>
      <c r="CY102" s="60">
        <f ca="1">AVERAGE(OFFSET($CX$3,0,0,'Données projet'!$E$13+1,1))-AVERAGE(OFFSET($H$3,0,0,'Données projet'!$E$13+1,1))</f>
        <v>288.82868507674738</v>
      </c>
      <c r="CZ102" s="60">
        <f t="shared" si="96"/>
        <v>283.48738729114024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302.99999999999966</v>
      </c>
      <c r="O103" s="14">
        <f>N103*VLOOKUP('Données projet'!$B$9,Paramètres!$A$1:$I$89,3,0)*VLOOKUP('Données projet'!$B$9,Paramètres!$A$1:$I$89,5,0)</f>
        <v>255.24719999999974</v>
      </c>
      <c r="P103" s="14">
        <f t="shared" si="87"/>
        <v>61.708187819081161</v>
      </c>
      <c r="Q103" s="22">
        <f t="shared" si="107"/>
        <v>552.03063378489924</v>
      </c>
      <c r="R103" s="60">
        <f t="shared" si="55"/>
        <v>845.36396711823249</v>
      </c>
      <c r="S103" s="60">
        <f ca="1">AVERAGE(OFFSET($R$3,0,0,'Données projet'!$E$9+1,1))-AVERAGE(OFFSET($H$3,0,0,'Données projet'!$E$9+1,1))</f>
        <v>402.79698021419853</v>
      </c>
      <c r="T103" s="60">
        <f t="shared" si="88"/>
        <v>218.26721063098552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357</v>
      </c>
      <c r="AG103" s="13">
        <f>VLOOKUP(A103,'Données projet'!$A$61:$I$81,9,0)</f>
        <v>6.1</v>
      </c>
      <c r="AH103" s="13">
        <f t="array" ref="AH103">INDEX(AG:AG,MIN(IF(ISNUMBER(AG103:AG299),ROW(AG103:AG299),"")))</f>
        <v>6.1</v>
      </c>
      <c r="AI103" s="14">
        <f>IF('Données projet'!$A$62&gt;35,AI102+AH103-AQ102,IF(A103&lt;'Données projet'!$A$62,$AF$205^A103,IF(A103='Données projet'!$A$62,'Données projet'!$B$62,AI102+AH103-AQ102)))</f>
        <v>357.00000000000017</v>
      </c>
      <c r="AJ103" s="14">
        <f>AI103*VLOOKUP('Données projet'!$B$10,Paramètres!$A$1:$I$89,3,0)*VLOOKUP('Données projet'!$B$10,Paramètres!$A$1:$I$89,5,0)</f>
        <v>306.30600000000015</v>
      </c>
      <c r="AK103" s="14">
        <f t="shared" si="89"/>
        <v>72.49683854104542</v>
      </c>
      <c r="AL103" s="22">
        <f t="shared" si="58"/>
        <v>659.74827712565423</v>
      </c>
      <c r="AM103" s="60">
        <f t="shared" si="59"/>
        <v>953.0816104589876</v>
      </c>
      <c r="AN103" s="60">
        <f ca="1">AVERAGE(OFFSET($AM$3,0,0,'Données projet'!$E$10+1,1))-AVERAGE(OFFSET($H$3,0,0,'Données projet'!$E$10+1,1))</f>
        <v>440.51611312502263</v>
      </c>
      <c r="AO103" s="60">
        <f t="shared" si="90"/>
        <v>176.81257896138806</v>
      </c>
      <c r="AP103" s="16">
        <f>IF(ISNA(VLOOKUP(A103,'Données projet'!$A$61:$I$81,3,0)),0,VLOOKUP(A103,'Données projet'!$A$61:$I$81,3,0))</f>
        <v>7</v>
      </c>
      <c r="AQ103" s="16">
        <f>IF(ISNA(VLOOKUP(A103,'Données projet'!$A$61:$I$81,4,0)),0,VLOOKUP(A103,'Données projet'!$A$61:$I$81,4,0))</f>
        <v>60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-1.9895196601282805E-13</v>
      </c>
      <c r="BE103" s="14">
        <f>BD103*VLOOKUP('Données projet'!$B$11,Paramètres!$A$1:$I$89,3,0)*VLOOKUP('Données projet'!$B$11,Paramètres!$A$1:$I$89,5,0)</f>
        <v>-1.6138983482960614E-13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236.22643401787644</v>
      </c>
      <c r="BJ103" s="60">
        <f t="shared" si="92"/>
        <v>188.80444043778022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-1.7053025658242404E-13</v>
      </c>
      <c r="BZ103" s="14">
        <f>BY103*VLOOKUP('Données projet'!$B$12,Paramètres!$A$1:$I$89,3,0)*VLOOKUP('Données projet'!$B$12,Paramètres!$A$1:$I$89,5,0)</f>
        <v>-1.4897523215040567E-13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202.86354781280403</v>
      </c>
      <c r="CE103" s="60">
        <f t="shared" si="94"/>
        <v>217.25323885665131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4.4337866711430253E-14</v>
      </c>
      <c r="CV103" s="14">
        <f t="shared" si="95"/>
        <v>7.3222115536967035E-13</v>
      </c>
      <c r="CW103" s="22">
        <f t="shared" si="67"/>
        <v>1.3525069634579169E-12</v>
      </c>
      <c r="CX103" s="60">
        <f t="shared" si="68"/>
        <v>293.33333333333468</v>
      </c>
      <c r="CY103" s="60">
        <f ca="1">AVERAGE(OFFSET($CX$3,0,0,'Données projet'!$E$13+1,1))-AVERAGE(OFFSET($H$3,0,0,'Données projet'!$E$13+1,1))</f>
        <v>288.82868507674738</v>
      </c>
      <c r="CZ103" s="60">
        <f t="shared" si="96"/>
        <v>283.48738729114024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265.39999999999964</v>
      </c>
      <c r="O104" s="14">
        <f>N104*VLOOKUP('Données projet'!$B$9,Paramètres!$A$1:$I$89,3,0)*VLOOKUP('Données projet'!$B$9,Paramètres!$A$1:$I$89,5,0)</f>
        <v>223.57295999999971</v>
      </c>
      <c r="P104" s="14">
        <f t="shared" si="87"/>
        <v>54.890721304299518</v>
      </c>
      <c r="Q104" s="22">
        <f t="shared" si="107"/>
        <v>484.99091160498784</v>
      </c>
      <c r="R104" s="60">
        <f t="shared" si="55"/>
        <v>778.32424493832116</v>
      </c>
      <c r="S104" s="60">
        <f ca="1">AVERAGE(OFFSET($R$3,0,0,'Données projet'!$E$9+1,1))-AVERAGE(OFFSET($H$3,0,0,'Données projet'!$E$9+1,1))</f>
        <v>402.79698021419853</v>
      </c>
      <c r="T104" s="60">
        <f t="shared" si="88"/>
        <v>218.26721063098552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302.40000000000015</v>
      </c>
      <c r="AJ104" s="14">
        <f>AI104*VLOOKUP('Données projet'!$B$10,Paramètres!$A$1:$I$89,3,0)*VLOOKUP('Données projet'!$B$10,Paramètres!$A$1:$I$89,5,0)</f>
        <v>259.45920000000018</v>
      </c>
      <c r="AK104" s="14">
        <f t="shared" si="89"/>
        <v>62.607087284635185</v>
      </c>
      <c r="AL104" s="22">
        <f t="shared" si="58"/>
        <v>560.93211702073984</v>
      </c>
      <c r="AM104" s="60">
        <f t="shared" si="59"/>
        <v>854.26545035407321</v>
      </c>
      <c r="AN104" s="60">
        <f ca="1">AVERAGE(OFFSET($AM$3,0,0,'Données projet'!$E$10+1,1))-AVERAGE(OFFSET($H$3,0,0,'Données projet'!$E$10+1,1))</f>
        <v>440.51611312502263</v>
      </c>
      <c r="AO104" s="60">
        <f t="shared" si="90"/>
        <v>176.81257896138806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-1.9895196601282805E-13</v>
      </c>
      <c r="BE104" s="14">
        <f>BD104*VLOOKUP('Données projet'!$B$11,Paramètres!$A$1:$I$89,3,0)*VLOOKUP('Données projet'!$B$11,Paramètres!$A$1:$I$89,5,0)</f>
        <v>-1.6138983482960614E-13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236.22643401787644</v>
      </c>
      <c r="BJ104" s="60">
        <f t="shared" si="92"/>
        <v>188.80444043778022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-1.7053025658242404E-13</v>
      </c>
      <c r="BZ104" s="14">
        <f>BY104*VLOOKUP('Données projet'!$B$12,Paramètres!$A$1:$I$89,3,0)*VLOOKUP('Données projet'!$B$12,Paramètres!$A$1:$I$89,5,0)</f>
        <v>-1.4897523215040567E-13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202.86354781280403</v>
      </c>
      <c r="CE104" s="60">
        <f t="shared" si="94"/>
        <v>217.25323885665131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4.4337866711430253E-14</v>
      </c>
      <c r="CV104" s="14">
        <f t="shared" si="95"/>
        <v>7.3222115536967035E-13</v>
      </c>
      <c r="CW104" s="22">
        <f t="shared" si="67"/>
        <v>1.3525069634579169E-12</v>
      </c>
      <c r="CX104" s="60">
        <f t="shared" si="68"/>
        <v>293.33333333333468</v>
      </c>
      <c r="CY104" s="60">
        <f ca="1">AVERAGE(OFFSET($CX$3,0,0,'Données projet'!$E$13+1,1))-AVERAGE(OFFSET($H$3,0,0,'Données projet'!$E$13+1,1))</f>
        <v>288.82868507674738</v>
      </c>
      <c r="CZ104" s="60">
        <f t="shared" si="96"/>
        <v>283.48738729114024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269.79999999999961</v>
      </c>
      <c r="O105" s="14">
        <f>N105*VLOOKUP('Données projet'!$B$9,Paramètres!$A$1:$I$89,3,0)*VLOOKUP('Données projet'!$B$9,Paramètres!$A$1:$I$89,5,0)</f>
        <v>227.27951999999971</v>
      </c>
      <c r="P105" s="14">
        <f t="shared" si="87"/>
        <v>55.694043418351256</v>
      </c>
      <c r="Q105" s="22">
        <f t="shared" si="107"/>
        <v>492.84562295362798</v>
      </c>
      <c r="R105" s="60">
        <f t="shared" si="55"/>
        <v>786.17895628696124</v>
      </c>
      <c r="S105" s="60">
        <f ca="1">AVERAGE(OFFSET($R$3,0,0,'Données projet'!$E$9+1,1))-AVERAGE(OFFSET($H$3,0,0,'Données projet'!$E$9+1,1))</f>
        <v>402.79698021419853</v>
      </c>
      <c r="T105" s="60">
        <f t="shared" si="88"/>
        <v>218.26721063098552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307.80000000000013</v>
      </c>
      <c r="AJ105" s="14">
        <f>AI105*VLOOKUP('Données projet'!$B$10,Paramètres!$A$1:$I$89,3,0)*VLOOKUP('Données projet'!$B$10,Paramètres!$A$1:$I$89,5,0)</f>
        <v>264.09240000000011</v>
      </c>
      <c r="AK105" s="14">
        <f t="shared" si="89"/>
        <v>63.593917783124951</v>
      </c>
      <c r="AL105" s="22">
        <f t="shared" si="58"/>
        <v>570.72033680560946</v>
      </c>
      <c r="AM105" s="60">
        <f t="shared" si="59"/>
        <v>864.05367013894283</v>
      </c>
      <c r="AN105" s="60">
        <f ca="1">AVERAGE(OFFSET($AM$3,0,0,'Données projet'!$E$10+1,1))-AVERAGE(OFFSET($H$3,0,0,'Données projet'!$E$10+1,1))</f>
        <v>440.51611312502263</v>
      </c>
      <c r="AO105" s="60">
        <f t="shared" si="90"/>
        <v>176.81257896138806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-1.9895196601282805E-13</v>
      </c>
      <c r="BE105" s="14">
        <f>BD105*VLOOKUP('Données projet'!$B$11,Paramètres!$A$1:$I$89,3,0)*VLOOKUP('Données projet'!$B$11,Paramètres!$A$1:$I$89,5,0)</f>
        <v>-1.6138983482960614E-13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236.22643401787644</v>
      </c>
      <c r="BJ105" s="60">
        <f t="shared" si="92"/>
        <v>188.80444043778022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-1.7053025658242404E-13</v>
      </c>
      <c r="BZ105" s="14">
        <f>BY105*VLOOKUP('Données projet'!$B$12,Paramètres!$A$1:$I$89,3,0)*VLOOKUP('Données projet'!$B$12,Paramètres!$A$1:$I$89,5,0)</f>
        <v>-1.4897523215040567E-13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202.86354781280403</v>
      </c>
      <c r="CE105" s="60">
        <f t="shared" si="94"/>
        <v>217.25323885665131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4.4337866711430253E-14</v>
      </c>
      <c r="CV105" s="14">
        <f t="shared" si="95"/>
        <v>7.3222115536967035E-13</v>
      </c>
      <c r="CW105" s="22">
        <f t="shared" si="67"/>
        <v>1.3525069634579169E-12</v>
      </c>
      <c r="CX105" s="60">
        <f t="shared" si="68"/>
        <v>293.33333333333468</v>
      </c>
      <c r="CY105" s="60">
        <f ca="1">AVERAGE(OFFSET($CX$3,0,0,'Données projet'!$E$13+1,1))-AVERAGE(OFFSET($H$3,0,0,'Données projet'!$E$13+1,1))</f>
        <v>288.82868507674738</v>
      </c>
      <c r="CZ105" s="60">
        <f t="shared" si="96"/>
        <v>283.48738729114024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274.19999999999959</v>
      </c>
      <c r="O106" s="14">
        <f>N106*VLOOKUP('Données projet'!$B$9,Paramètres!$A$1:$I$89,3,0)*VLOOKUP('Données projet'!$B$9,Paramètres!$A$1:$I$89,5,0)</f>
        <v>230.98607999999967</v>
      </c>
      <c r="P106" s="14">
        <f t="shared" si="87"/>
        <v>56.495841965100745</v>
      </c>
      <c r="Q106" s="22">
        <f t="shared" si="107"/>
        <v>500.69768075588314</v>
      </c>
      <c r="R106" s="60">
        <f t="shared" si="55"/>
        <v>794.03101408921646</v>
      </c>
      <c r="S106" s="60">
        <f ca="1">AVERAGE(OFFSET($R$3,0,0,'Données projet'!$E$9+1,1))-AVERAGE(OFFSET($H$3,0,0,'Données projet'!$E$9+1,1))</f>
        <v>402.79698021419853</v>
      </c>
      <c r="T106" s="60">
        <f t="shared" si="88"/>
        <v>218.26721063098552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313.2000000000001</v>
      </c>
      <c r="AJ106" s="14">
        <f>AI106*VLOOKUP('Données projet'!$B$10,Paramètres!$A$1:$I$89,3,0)*VLOOKUP('Données projet'!$B$10,Paramètres!$A$1:$I$89,5,0)</f>
        <v>268.72560000000016</v>
      </c>
      <c r="AK106" s="14">
        <f t="shared" si="89"/>
        <v>64.578735016913924</v>
      </c>
      <c r="AL106" s="22">
        <f t="shared" si="58"/>
        <v>580.50505015445867</v>
      </c>
      <c r="AM106" s="60">
        <f t="shared" si="59"/>
        <v>873.83838348779204</v>
      </c>
      <c r="AN106" s="60">
        <f ca="1">AVERAGE(OFFSET($AM$3,0,0,'Données projet'!$E$10+1,1))-AVERAGE(OFFSET($H$3,0,0,'Données projet'!$E$10+1,1))</f>
        <v>440.51611312502263</v>
      </c>
      <c r="AO106" s="60">
        <f t="shared" si="90"/>
        <v>176.81257896138806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-1.9895196601282805E-13</v>
      </c>
      <c r="BE106" s="14">
        <f>BD106*VLOOKUP('Données projet'!$B$11,Paramètres!$A$1:$I$89,3,0)*VLOOKUP('Données projet'!$B$11,Paramètres!$A$1:$I$89,5,0)</f>
        <v>-1.6138983482960614E-13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236.22643401787644</v>
      </c>
      <c r="BJ106" s="60">
        <f t="shared" si="92"/>
        <v>188.80444043778022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-1.7053025658242404E-13</v>
      </c>
      <c r="BZ106" s="14">
        <f>BY106*VLOOKUP('Données projet'!$B$12,Paramètres!$A$1:$I$89,3,0)*VLOOKUP('Données projet'!$B$12,Paramètres!$A$1:$I$89,5,0)</f>
        <v>-1.4897523215040567E-13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202.86354781280403</v>
      </c>
      <c r="CE106" s="60">
        <f t="shared" si="94"/>
        <v>217.25323885665131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4.4337866711430253E-14</v>
      </c>
      <c r="CV106" s="14">
        <f t="shared" si="95"/>
        <v>7.3222115536967035E-13</v>
      </c>
      <c r="CW106" s="22">
        <f t="shared" si="67"/>
        <v>1.3525069634579169E-12</v>
      </c>
      <c r="CX106" s="60">
        <f t="shared" si="68"/>
        <v>293.33333333333468</v>
      </c>
      <c r="CY106" s="60">
        <f ca="1">AVERAGE(OFFSET($CX$3,0,0,'Données projet'!$E$13+1,1))-AVERAGE(OFFSET($H$3,0,0,'Données projet'!$E$13+1,1))</f>
        <v>288.82868507674738</v>
      </c>
      <c r="CZ106" s="60">
        <f t="shared" si="96"/>
        <v>283.48738729114024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278.59999999999957</v>
      </c>
      <c r="O107" s="14">
        <f>N107*VLOOKUP('Données projet'!$B$9,Paramètres!$A$1:$I$89,3,0)*VLOOKUP('Données projet'!$B$9,Paramètres!$A$1:$I$89,5,0)</f>
        <v>234.69263999999967</v>
      </c>
      <c r="P107" s="14">
        <f t="shared" si="87"/>
        <v>57.29614421540041</v>
      </c>
      <c r="Q107" s="22">
        <f t="shared" si="107"/>
        <v>508.54713250848846</v>
      </c>
      <c r="R107" s="60">
        <f t="shared" si="55"/>
        <v>801.88046584182177</v>
      </c>
      <c r="S107" s="60">
        <f ca="1">AVERAGE(OFFSET($R$3,0,0,'Données projet'!$E$9+1,1))-AVERAGE(OFFSET($H$3,0,0,'Données projet'!$E$9+1,1))</f>
        <v>402.79698021419853</v>
      </c>
      <c r="T107" s="60">
        <f t="shared" si="88"/>
        <v>218.26721063098552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318.60000000000008</v>
      </c>
      <c r="AJ107" s="14">
        <f>AI107*VLOOKUP('Données projet'!$B$10,Paramètres!$A$1:$I$89,3,0)*VLOOKUP('Données projet'!$B$10,Paramètres!$A$1:$I$89,5,0)</f>
        <v>273.35880000000009</v>
      </c>
      <c r="AK107" s="14">
        <f t="shared" si="89"/>
        <v>65.56157770288327</v>
      </c>
      <c r="AL107" s="22">
        <f t="shared" si="58"/>
        <v>590.28632449918848</v>
      </c>
      <c r="AM107" s="60">
        <f t="shared" si="59"/>
        <v>883.61965783252185</v>
      </c>
      <c r="AN107" s="60">
        <f ca="1">AVERAGE(OFFSET($AM$3,0,0,'Données projet'!$E$10+1,1))-AVERAGE(OFFSET($H$3,0,0,'Données projet'!$E$10+1,1))</f>
        <v>440.51611312502263</v>
      </c>
      <c r="AO107" s="60">
        <f t="shared" si="90"/>
        <v>176.81257896138806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-1.9895196601282805E-13</v>
      </c>
      <c r="BE107" s="14">
        <f>BD107*VLOOKUP('Données projet'!$B$11,Paramètres!$A$1:$I$89,3,0)*VLOOKUP('Données projet'!$B$11,Paramètres!$A$1:$I$89,5,0)</f>
        <v>-1.6138983482960614E-13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236.22643401787644</v>
      </c>
      <c r="BJ107" s="60">
        <f t="shared" si="92"/>
        <v>188.80444043778022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-1.7053025658242404E-13</v>
      </c>
      <c r="BZ107" s="14">
        <f>BY107*VLOOKUP('Données projet'!$B$12,Paramètres!$A$1:$I$89,3,0)*VLOOKUP('Données projet'!$B$12,Paramètres!$A$1:$I$89,5,0)</f>
        <v>-1.4897523215040567E-13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202.86354781280403</v>
      </c>
      <c r="CE107" s="60">
        <f t="shared" si="94"/>
        <v>217.25323885665131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4.4337866711430253E-14</v>
      </c>
      <c r="CV107" s="14">
        <f t="shared" si="95"/>
        <v>7.3222115536967035E-13</v>
      </c>
      <c r="CW107" s="22">
        <f t="shared" si="67"/>
        <v>1.3525069634579169E-12</v>
      </c>
      <c r="CX107" s="60">
        <f t="shared" si="68"/>
        <v>293.33333333333468</v>
      </c>
      <c r="CY107" s="60">
        <f ca="1">AVERAGE(OFFSET($CX$3,0,0,'Données projet'!$E$13+1,1))-AVERAGE(OFFSET($H$3,0,0,'Données projet'!$E$13+1,1))</f>
        <v>288.82868507674738</v>
      </c>
      <c r="CZ107" s="60">
        <f t="shared" si="96"/>
        <v>283.48738729114024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282.99999999999955</v>
      </c>
      <c r="O108" s="14">
        <f>N108*VLOOKUP('Données projet'!$B$9,Paramètres!$A$1:$I$89,3,0)*VLOOKUP('Données projet'!$B$9,Paramètres!$A$1:$I$89,5,0)</f>
        <v>238.39919999999964</v>
      </c>
      <c r="P108" s="14">
        <f t="shared" si="87"/>
        <v>58.094976529303302</v>
      </c>
      <c r="Q108" s="22">
        <f t="shared" si="107"/>
        <v>516.39402412186928</v>
      </c>
      <c r="R108" s="60">
        <f t="shared" si="55"/>
        <v>809.72735745520254</v>
      </c>
      <c r="S108" s="60">
        <f ca="1">AVERAGE(OFFSET($R$3,0,0,'Données projet'!$E$9+1,1))-AVERAGE(OFFSET($H$3,0,0,'Données projet'!$E$9+1,1))</f>
        <v>402.79698021419853</v>
      </c>
      <c r="T108" s="60">
        <f t="shared" si="88"/>
        <v>218.26721063098552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324.00000000000006</v>
      </c>
      <c r="AJ108" s="14">
        <f>AI108*VLOOKUP('Données projet'!$B$10,Paramètres!$A$1:$I$89,3,0)*VLOOKUP('Données projet'!$B$10,Paramètres!$A$1:$I$89,5,0)</f>
        <v>277.99200000000008</v>
      </c>
      <c r="AK108" s="14">
        <f t="shared" si="89"/>
        <v>66.542483170264177</v>
      </c>
      <c r="AL108" s="22">
        <f t="shared" si="58"/>
        <v>600.0642248548769</v>
      </c>
      <c r="AM108" s="60">
        <f t="shared" si="59"/>
        <v>893.39755818821027</v>
      </c>
      <c r="AN108" s="60">
        <f ca="1">AVERAGE(OFFSET($AM$3,0,0,'Données projet'!$E$10+1,1))-AVERAGE(OFFSET($H$3,0,0,'Données projet'!$E$10+1,1))</f>
        <v>440.51611312502263</v>
      </c>
      <c r="AO108" s="60">
        <f t="shared" si="90"/>
        <v>176.81257896138806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-1.9895196601282805E-13</v>
      </c>
      <c r="BE108" s="14">
        <f>BD108*VLOOKUP('Données projet'!$B$11,Paramètres!$A$1:$I$89,3,0)*VLOOKUP('Données projet'!$B$11,Paramètres!$A$1:$I$89,5,0)</f>
        <v>-1.6138983482960614E-13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236.22643401787644</v>
      </c>
      <c r="BJ108" s="60">
        <f t="shared" si="92"/>
        <v>188.80444043778022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-1.7053025658242404E-13</v>
      </c>
      <c r="BZ108" s="14">
        <f>BY108*VLOOKUP('Données projet'!$B$12,Paramètres!$A$1:$I$89,3,0)*VLOOKUP('Données projet'!$B$12,Paramètres!$A$1:$I$89,5,0)</f>
        <v>-1.4897523215040567E-13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202.86354781280403</v>
      </c>
      <c r="CE108" s="60">
        <f t="shared" si="94"/>
        <v>217.25323885665131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4.4337866711430253E-14</v>
      </c>
      <c r="CV108" s="14">
        <f t="shared" si="95"/>
        <v>7.3222115536967035E-13</v>
      </c>
      <c r="CW108" s="22">
        <f t="shared" si="67"/>
        <v>1.3525069634579169E-12</v>
      </c>
      <c r="CX108" s="60">
        <f t="shared" si="68"/>
        <v>293.33333333333468</v>
      </c>
      <c r="CY108" s="60">
        <f ca="1">AVERAGE(OFFSET($CX$3,0,0,'Données projet'!$E$13+1,1))-AVERAGE(OFFSET($H$3,0,0,'Données projet'!$E$13+1,1))</f>
        <v>288.82868507674738</v>
      </c>
      <c r="CZ108" s="60">
        <f t="shared" si="96"/>
        <v>283.48738729114024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287.39999999999952</v>
      </c>
      <c r="O109" s="14">
        <f>N109*VLOOKUP('Données projet'!$B$9,Paramètres!$A$1:$I$89,3,0)*VLOOKUP('Données projet'!$B$9,Paramètres!$A$1:$I$89,5,0)</f>
        <v>242.10575999999961</v>
      </c>
      <c r="P109" s="14">
        <f t="shared" si="87"/>
        <v>58.892364400160623</v>
      </c>
      <c r="Q109" s="22">
        <f t="shared" si="107"/>
        <v>524.23839999694576</v>
      </c>
      <c r="R109" s="60">
        <f t="shared" si="55"/>
        <v>817.57173333027913</v>
      </c>
      <c r="S109" s="60">
        <f ca="1">AVERAGE(OFFSET($R$3,0,0,'Données projet'!$E$9+1,1))-AVERAGE(OFFSET($H$3,0,0,'Données projet'!$E$9+1,1))</f>
        <v>402.79698021419853</v>
      </c>
      <c r="T109" s="60">
        <f t="shared" si="88"/>
        <v>218.26721063098552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5.4</v>
      </c>
      <c r="AI109" s="14">
        <f>IF('Données projet'!$A$62&gt;35,AI108+AH109-AQ108,IF(A109&lt;'Données projet'!$A$62,$AF$205^A109,IF(A109='Données projet'!$A$62,'Données projet'!$B$62,AI108+AH109-AQ108)))</f>
        <v>329.40000000000003</v>
      </c>
      <c r="AJ109" s="14">
        <f>AI109*VLOOKUP('Données projet'!$B$10,Paramètres!$A$1:$I$89,3,0)*VLOOKUP('Données projet'!$B$10,Paramètres!$A$1:$I$89,5,0)</f>
        <v>282.62520000000006</v>
      </c>
      <c r="AK109" s="14">
        <f t="shared" si="89"/>
        <v>67.521487432655931</v>
      </c>
      <c r="AL109" s="22">
        <f t="shared" si="58"/>
        <v>609.83881394520915</v>
      </c>
      <c r="AM109" s="60">
        <f t="shared" si="59"/>
        <v>903.17214727854252</v>
      </c>
      <c r="AN109" s="60">
        <f ca="1">AVERAGE(OFFSET($AM$3,0,0,'Données projet'!$E$10+1,1))-AVERAGE(OFFSET($H$3,0,0,'Données projet'!$E$10+1,1))</f>
        <v>440.51611312502263</v>
      </c>
      <c r="AO109" s="60">
        <f t="shared" si="90"/>
        <v>176.81257896138806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-1.9895196601282805E-13</v>
      </c>
      <c r="BE109" s="14">
        <f>BD109*VLOOKUP('Données projet'!$B$11,Paramètres!$A$1:$I$89,3,0)*VLOOKUP('Données projet'!$B$11,Paramètres!$A$1:$I$89,5,0)</f>
        <v>-1.6138983482960614E-13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236.22643401787644</v>
      </c>
      <c r="BJ109" s="60">
        <f t="shared" si="92"/>
        <v>188.80444043778022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-1.7053025658242404E-13</v>
      </c>
      <c r="BZ109" s="14">
        <f>BY109*VLOOKUP('Données projet'!$B$12,Paramètres!$A$1:$I$89,3,0)*VLOOKUP('Données projet'!$B$12,Paramètres!$A$1:$I$89,5,0)</f>
        <v>-1.4897523215040567E-13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202.86354781280403</v>
      </c>
      <c r="CE109" s="60">
        <f t="shared" si="94"/>
        <v>217.25323885665131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4.4337866711430253E-14</v>
      </c>
      <c r="CV109" s="14">
        <f t="shared" si="95"/>
        <v>7.3222115536967035E-13</v>
      </c>
      <c r="CW109" s="22">
        <f t="shared" si="67"/>
        <v>1.3525069634579169E-12</v>
      </c>
      <c r="CX109" s="60">
        <f t="shared" si="68"/>
        <v>293.33333333333468</v>
      </c>
      <c r="CY109" s="60">
        <f ca="1">AVERAGE(OFFSET($CX$3,0,0,'Données projet'!$E$13+1,1))-AVERAGE(OFFSET($H$3,0,0,'Données projet'!$E$13+1,1))</f>
        <v>288.82868507674738</v>
      </c>
      <c r="CZ109" s="60">
        <f t="shared" si="96"/>
        <v>283.48738729114024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291.7999999999995</v>
      </c>
      <c r="O110" s="14">
        <f>N110*VLOOKUP('Données projet'!$B$9,Paramètres!$A$1:$I$89,3,0)*VLOOKUP('Données projet'!$B$9,Paramètres!$A$1:$I$89,5,0)</f>
        <v>245.8123199999996</v>
      </c>
      <c r="P110" s="14">
        <f t="shared" si="87"/>
        <v>59.68833249594293</v>
      </c>
      <c r="Q110" s="22">
        <f t="shared" si="107"/>
        <v>532.08030309709989</v>
      </c>
      <c r="R110" s="60">
        <f t="shared" si="55"/>
        <v>825.41363643043314</v>
      </c>
      <c r="S110" s="60">
        <f ca="1">AVERAGE(OFFSET($R$3,0,0,'Données projet'!$E$9+1,1))-AVERAGE(OFFSET($H$3,0,0,'Données projet'!$E$9+1,1))</f>
        <v>402.79698021419853</v>
      </c>
      <c r="T110" s="60">
        <f t="shared" si="88"/>
        <v>218.26721063098552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5.4</v>
      </c>
      <c r="AI110" s="14">
        <f>IF('Données projet'!$A$62&gt;35,AI109+AH110-AQ109,IF(A110&lt;'Données projet'!$A$62,$AF$205^A110,IF(A110='Données projet'!$A$62,'Données projet'!$B$62,AI109+AH110-AQ109)))</f>
        <v>334.8</v>
      </c>
      <c r="AJ110" s="14">
        <f>AI110*VLOOKUP('Données projet'!$B$10,Paramètres!$A$1:$I$89,3,0)*VLOOKUP('Données projet'!$B$10,Paramètres!$A$1:$I$89,5,0)</f>
        <v>287.25840000000005</v>
      </c>
      <c r="AK110" s="14">
        <f t="shared" si="89"/>
        <v>68.498625255186909</v>
      </c>
      <c r="AL110" s="22">
        <f t="shared" si="58"/>
        <v>619.61015231945055</v>
      </c>
      <c r="AM110" s="60">
        <f t="shared" si="59"/>
        <v>912.94348565278392</v>
      </c>
      <c r="AN110" s="60">
        <f ca="1">AVERAGE(OFFSET($AM$3,0,0,'Données projet'!$E$10+1,1))-AVERAGE(OFFSET($H$3,0,0,'Données projet'!$E$10+1,1))</f>
        <v>440.51611312502263</v>
      </c>
      <c r="AO110" s="60">
        <f t="shared" si="90"/>
        <v>176.81257896138806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-1.9895196601282805E-13</v>
      </c>
      <c r="BE110" s="14">
        <f>BD110*VLOOKUP('Données projet'!$B$11,Paramètres!$A$1:$I$89,3,0)*VLOOKUP('Données projet'!$B$11,Paramètres!$A$1:$I$89,5,0)</f>
        <v>-1.6138983482960614E-13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236.22643401787644</v>
      </c>
      <c r="BJ110" s="60">
        <f t="shared" si="92"/>
        <v>188.80444043778022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-1.7053025658242404E-13</v>
      </c>
      <c r="BZ110" s="14">
        <f>BY110*VLOOKUP('Données projet'!$B$12,Paramètres!$A$1:$I$89,3,0)*VLOOKUP('Données projet'!$B$12,Paramètres!$A$1:$I$89,5,0)</f>
        <v>-1.4897523215040567E-13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202.86354781280403</v>
      </c>
      <c r="CE110" s="60">
        <f t="shared" si="94"/>
        <v>217.25323885665131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4.4337866711430253E-14</v>
      </c>
      <c r="CV110" s="14">
        <f t="shared" si="95"/>
        <v>7.3222115536967035E-13</v>
      </c>
      <c r="CW110" s="22">
        <f t="shared" si="67"/>
        <v>1.3525069634579169E-12</v>
      </c>
      <c r="CX110" s="60">
        <f t="shared" si="68"/>
        <v>293.33333333333468</v>
      </c>
      <c r="CY110" s="60">
        <f ca="1">AVERAGE(OFFSET($CX$3,0,0,'Données projet'!$E$13+1,1))-AVERAGE(OFFSET($H$3,0,0,'Données projet'!$E$13+1,1))</f>
        <v>288.82868507674738</v>
      </c>
      <c r="CZ110" s="60">
        <f t="shared" si="96"/>
        <v>283.48738729114024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296.19999999999948</v>
      </c>
      <c r="O111" s="14">
        <f>N111*VLOOKUP('Données projet'!$B$9,Paramètres!$A$1:$I$89,3,0)*VLOOKUP('Données projet'!$B$9,Paramètres!$A$1:$I$89,5,0)</f>
        <v>249.51887999999957</v>
      </c>
      <c r="P111" s="14">
        <f t="shared" si="87"/>
        <v>60.482904697997853</v>
      </c>
      <c r="Q111" s="22">
        <f t="shared" si="107"/>
        <v>539.91977501567897</v>
      </c>
      <c r="R111" s="60">
        <f t="shared" si="55"/>
        <v>833.25310834901234</v>
      </c>
      <c r="S111" s="60">
        <f ca="1">AVERAGE(OFFSET($R$3,0,0,'Données projet'!$E$9+1,1))-AVERAGE(OFFSET($H$3,0,0,'Données projet'!$E$9+1,1))</f>
        <v>402.79698021419853</v>
      </c>
      <c r="T111" s="60">
        <f t="shared" si="88"/>
        <v>218.26721063098552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5.4</v>
      </c>
      <c r="AI111" s="14">
        <f>IF('Données projet'!$A$62&gt;35,AI110+AH111-AQ110,IF(A111&lt;'Données projet'!$A$62,$AF$205^A111,IF(A111='Données projet'!$A$62,'Données projet'!$B$62,AI110+AH111-AQ110)))</f>
        <v>340.2</v>
      </c>
      <c r="AJ111" s="14">
        <f>AI111*VLOOKUP('Données projet'!$B$10,Paramètres!$A$1:$I$89,3,0)*VLOOKUP('Données projet'!$B$10,Paramètres!$A$1:$I$89,5,0)</f>
        <v>291.89160000000004</v>
      </c>
      <c r="AK111" s="14">
        <f t="shared" si="89"/>
        <v>69.473930217220953</v>
      </c>
      <c r="AL111" s="22">
        <f t="shared" si="58"/>
        <v>629.37829846165994</v>
      </c>
      <c r="AM111" s="60">
        <f t="shared" si="59"/>
        <v>922.71163179499331</v>
      </c>
      <c r="AN111" s="60">
        <f ca="1">AVERAGE(OFFSET($AM$3,0,0,'Données projet'!$E$10+1,1))-AVERAGE(OFFSET($H$3,0,0,'Données projet'!$E$10+1,1))</f>
        <v>440.51611312502263</v>
      </c>
      <c r="AO111" s="60">
        <f t="shared" si="90"/>
        <v>176.81257896138806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-1.9895196601282805E-13</v>
      </c>
      <c r="BE111" s="14">
        <f>BD111*VLOOKUP('Données projet'!$B$11,Paramètres!$A$1:$I$89,3,0)*VLOOKUP('Données projet'!$B$11,Paramètres!$A$1:$I$89,5,0)</f>
        <v>-1.6138983482960614E-13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236.22643401787644</v>
      </c>
      <c r="BJ111" s="60">
        <f t="shared" si="92"/>
        <v>188.80444043778022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-1.7053025658242404E-13</v>
      </c>
      <c r="BZ111" s="14">
        <f>BY111*VLOOKUP('Données projet'!$B$12,Paramètres!$A$1:$I$89,3,0)*VLOOKUP('Données projet'!$B$12,Paramètres!$A$1:$I$89,5,0)</f>
        <v>-1.4897523215040567E-13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202.86354781280403</v>
      </c>
      <c r="CE111" s="60">
        <f t="shared" si="94"/>
        <v>217.25323885665131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4.4337866711430253E-14</v>
      </c>
      <c r="CV111" s="14">
        <f t="shared" si="95"/>
        <v>7.3222115536967035E-13</v>
      </c>
      <c r="CW111" s="22">
        <f t="shared" si="67"/>
        <v>1.3525069634579169E-12</v>
      </c>
      <c r="CX111" s="60">
        <f t="shared" si="68"/>
        <v>293.33333333333468</v>
      </c>
      <c r="CY111" s="60">
        <f ca="1">AVERAGE(OFFSET($CX$3,0,0,'Données projet'!$E$13+1,1))-AVERAGE(OFFSET($H$3,0,0,'Données projet'!$E$13+1,1))</f>
        <v>288.82868507674738</v>
      </c>
      <c r="CZ111" s="60">
        <f t="shared" si="96"/>
        <v>283.48738729114024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300.59999999999945</v>
      </c>
      <c r="O112" s="14">
        <f>N112*VLOOKUP('Données projet'!$B$9,Paramètres!$A$1:$I$89,3,0)*VLOOKUP('Données projet'!$B$9,Paramètres!$A$1:$I$89,5,0)</f>
        <v>253.22543999999959</v>
      </c>
      <c r="P112" s="14">
        <f t="shared" si="87"/>
        <v>61.276104137439368</v>
      </c>
      <c r="Q112" s="22">
        <f t="shared" si="107"/>
        <v>547.75685603937279</v>
      </c>
      <c r="R112" s="60">
        <f t="shared" si="55"/>
        <v>841.09018937270616</v>
      </c>
      <c r="S112" s="60">
        <f ca="1">AVERAGE(OFFSET($R$3,0,0,'Données projet'!$E$9+1,1))-AVERAGE(OFFSET($H$3,0,0,'Données projet'!$E$9+1,1))</f>
        <v>402.79698021419853</v>
      </c>
      <c r="T112" s="60">
        <f t="shared" si="88"/>
        <v>218.26721063098552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5.4</v>
      </c>
      <c r="AI112" s="14">
        <f>IF('Données projet'!$A$62&gt;35,AI111+AH112-AQ111,IF(A112&lt;'Données projet'!$A$62,$AF$205^A112,IF(A112='Données projet'!$A$62,'Données projet'!$B$62,AI111+AH112-AQ111)))</f>
        <v>345.59999999999997</v>
      </c>
      <c r="AJ112" s="14">
        <f>AI112*VLOOKUP('Données projet'!$B$10,Paramètres!$A$1:$I$89,3,0)*VLOOKUP('Données projet'!$B$10,Paramètres!$A$1:$I$89,5,0)</f>
        <v>296.52479999999997</v>
      </c>
      <c r="AK112" s="14">
        <f t="shared" si="89"/>
        <v>70.447434770968528</v>
      </c>
      <c r="AL112" s="22">
        <f t="shared" si="58"/>
        <v>639.14330889277016</v>
      </c>
      <c r="AM112" s="60">
        <f t="shared" si="59"/>
        <v>932.47664222610342</v>
      </c>
      <c r="AN112" s="60">
        <f ca="1">AVERAGE(OFFSET($AM$3,0,0,'Données projet'!$E$10+1,1))-AVERAGE(OFFSET($H$3,0,0,'Données projet'!$E$10+1,1))</f>
        <v>440.51611312502263</v>
      </c>
      <c r="AO112" s="60">
        <f t="shared" si="90"/>
        <v>176.81257896138806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-1.9895196601282805E-13</v>
      </c>
      <c r="BE112" s="14">
        <f>BD112*VLOOKUP('Données projet'!$B$11,Paramètres!$A$1:$I$89,3,0)*VLOOKUP('Données projet'!$B$11,Paramètres!$A$1:$I$89,5,0)</f>
        <v>-1.6138983482960614E-13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236.22643401787644</v>
      </c>
      <c r="BJ112" s="60">
        <f t="shared" si="92"/>
        <v>188.80444043778022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-1.7053025658242404E-13</v>
      </c>
      <c r="BZ112" s="14">
        <f>BY112*VLOOKUP('Données projet'!$B$12,Paramètres!$A$1:$I$89,3,0)*VLOOKUP('Données projet'!$B$12,Paramètres!$A$1:$I$89,5,0)</f>
        <v>-1.4897523215040567E-13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202.86354781280403</v>
      </c>
      <c r="CE112" s="60">
        <f t="shared" si="94"/>
        <v>217.25323885665131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4.4337866711430253E-14</v>
      </c>
      <c r="CV112" s="14">
        <f t="shared" si="95"/>
        <v>7.3222115536967035E-13</v>
      </c>
      <c r="CW112" s="22">
        <f t="shared" si="67"/>
        <v>1.3525069634579169E-12</v>
      </c>
      <c r="CX112" s="60">
        <f t="shared" si="68"/>
        <v>293.33333333333468</v>
      </c>
      <c r="CY112" s="60">
        <f ca="1">AVERAGE(OFFSET($CX$3,0,0,'Données projet'!$E$13+1,1))-AVERAGE(OFFSET($H$3,0,0,'Données projet'!$E$13+1,1))</f>
        <v>288.82868507674738</v>
      </c>
      <c r="CZ112" s="60">
        <f t="shared" si="96"/>
        <v>283.48738729114024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304.99999999999943</v>
      </c>
      <c r="O113" s="14">
        <f>N113*VLOOKUP('Données projet'!$B$9,Paramètres!$A$1:$I$89,3,0)*VLOOKUP('Données projet'!$B$9,Paramètres!$A$1:$I$89,5,0)</f>
        <v>256.93199999999956</v>
      </c>
      <c r="P113" s="14">
        <f t="shared" si="87"/>
        <v>62.0679532293465</v>
      </c>
      <c r="Q113" s="22">
        <f t="shared" si="107"/>
        <v>555.59158520777771</v>
      </c>
      <c r="R113" s="60">
        <f t="shared" si="55"/>
        <v>848.92491854111108</v>
      </c>
      <c r="S113" s="60">
        <f ca="1">AVERAGE(OFFSET($R$3,0,0,'Données projet'!$E$9+1,1))-AVERAGE(OFFSET($H$3,0,0,'Données projet'!$E$9+1,1))</f>
        <v>402.79698021419853</v>
      </c>
      <c r="T113" s="60">
        <f t="shared" si="88"/>
        <v>218.26721063098552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351</v>
      </c>
      <c r="AG113" s="13">
        <f>VLOOKUP(A113,'Données projet'!$A$61:$I$81,9,0)</f>
        <v>5.4</v>
      </c>
      <c r="AH113" s="13">
        <f t="array" ref="AH113">INDEX(AG:AG,MIN(IF(ISNUMBER(AG113:AG309),ROW(AG113:AG309),"")))</f>
        <v>5.4</v>
      </c>
      <c r="AI113" s="14">
        <f>IF('Données projet'!$A$62&gt;35,AI112+AH113-AQ112,IF(A113&lt;'Données projet'!$A$62,$AF$205^A113,IF(A113='Données projet'!$A$62,'Données projet'!$B$62,AI112+AH113-AQ112)))</f>
        <v>350.99999999999994</v>
      </c>
      <c r="AJ113" s="14">
        <f>AI113*VLOOKUP('Données projet'!$B$10,Paramètres!$A$1:$I$89,3,0)*VLOOKUP('Données projet'!$B$10,Paramètres!$A$1:$I$89,5,0)</f>
        <v>301.15799999999996</v>
      </c>
      <c r="AK113" s="14">
        <f t="shared" si="89"/>
        <v>71.419170296330975</v>
      </c>
      <c r="AL113" s="22">
        <f t="shared" si="58"/>
        <v>648.90523826610968</v>
      </c>
      <c r="AM113" s="60">
        <f t="shared" si="59"/>
        <v>942.23857159944305</v>
      </c>
      <c r="AN113" s="60">
        <f ca="1">AVERAGE(OFFSET($AM$3,0,0,'Données projet'!$E$10+1,1))-AVERAGE(OFFSET($H$3,0,0,'Données projet'!$E$10+1,1))</f>
        <v>440.51611312502263</v>
      </c>
      <c r="AO113" s="60">
        <f t="shared" si="90"/>
        <v>176.81257896138806</v>
      </c>
      <c r="AP113" s="16">
        <f>IF(ISNA(VLOOKUP(A113,'Données projet'!$A$61:$I$81,3,0)),0,VLOOKUP(A113,'Données projet'!$A$61:$I$81,3,0))</f>
        <v>8</v>
      </c>
      <c r="AQ113" s="16">
        <f>IF(ISNA(VLOOKUP(A113,'Données projet'!$A$61:$I$81,4,0)),0,VLOOKUP(A113,'Données projet'!$A$61:$I$81,4,0))</f>
        <v>36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-1.9895196601282805E-13</v>
      </c>
      <c r="BE113" s="14">
        <f>BD113*VLOOKUP('Données projet'!$B$11,Paramètres!$A$1:$I$89,3,0)*VLOOKUP('Données projet'!$B$11,Paramètres!$A$1:$I$89,5,0)</f>
        <v>-1.6138983482960614E-13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236.22643401787644</v>
      </c>
      <c r="BJ113" s="60">
        <f t="shared" si="92"/>
        <v>188.80444043778022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-1.7053025658242404E-13</v>
      </c>
      <c r="BZ113" s="14">
        <f>BY113*VLOOKUP('Données projet'!$B$12,Paramètres!$A$1:$I$89,3,0)*VLOOKUP('Données projet'!$B$12,Paramètres!$A$1:$I$89,5,0)</f>
        <v>-1.4897523215040567E-13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202.86354781280403</v>
      </c>
      <c r="CE113" s="60">
        <f t="shared" si="94"/>
        <v>217.25323885665131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4.4337866711430253E-14</v>
      </c>
      <c r="CV113" s="14">
        <f t="shared" si="95"/>
        <v>7.3222115536967035E-13</v>
      </c>
      <c r="CW113" s="22">
        <f t="shared" si="67"/>
        <v>1.3525069634579169E-12</v>
      </c>
      <c r="CX113" s="60">
        <f t="shared" si="68"/>
        <v>293.33333333333468</v>
      </c>
      <c r="CY113" s="60">
        <f ca="1">AVERAGE(OFFSET($CX$3,0,0,'Données projet'!$E$13+1,1))-AVERAGE(OFFSET($H$3,0,0,'Données projet'!$E$13+1,1))</f>
        <v>288.82868507674738</v>
      </c>
      <c r="CZ113" s="60">
        <f t="shared" si="96"/>
        <v>283.48738729114024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269.69999999999942</v>
      </c>
      <c r="O114" s="14">
        <f>N114*VLOOKUP('Données projet'!$B$9,Paramètres!$A$1:$I$89,3,0)*VLOOKUP('Données projet'!$B$9,Paramètres!$A$1:$I$89,5,0)</f>
        <v>227.19527999999954</v>
      </c>
      <c r="P114" s="14">
        <f t="shared" si="87"/>
        <v>55.675803122401177</v>
      </c>
      <c r="Q114" s="22">
        <f t="shared" si="107"/>
        <v>492.66713643818122</v>
      </c>
      <c r="R114" s="60">
        <f t="shared" si="55"/>
        <v>786.00046977151453</v>
      </c>
      <c r="S114" s="60">
        <f ca="1">AVERAGE(OFFSET($R$3,0,0,'Données projet'!$E$9+1,1))-AVERAGE(OFFSET($H$3,0,0,'Données projet'!$E$9+1,1))</f>
        <v>402.79698021419853</v>
      </c>
      <c r="T114" s="60">
        <f t="shared" si="88"/>
        <v>218.26721063098552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4.7</v>
      </c>
      <c r="AI114" s="14">
        <f>IF('Données projet'!$A$62&gt;35,AI113+AH114-AQ113,IF(A114&lt;'Données projet'!$A$62,$AF$205^A114,IF(A114='Données projet'!$A$62,'Données projet'!$B$62,AI113+AH114-AQ113)))</f>
        <v>319.69999999999993</v>
      </c>
      <c r="AJ114" s="14">
        <f>AI114*VLOOKUP('Données projet'!$B$10,Paramètres!$A$1:$I$89,3,0)*VLOOKUP('Données projet'!$B$10,Paramètres!$A$1:$I$89,5,0)</f>
        <v>274.30259999999998</v>
      </c>
      <c r="AK114" s="14">
        <f t="shared" si="89"/>
        <v>65.761547705509244</v>
      </c>
      <c r="AL114" s="22">
        <f t="shared" si="58"/>
        <v>592.27839058709526</v>
      </c>
      <c r="AM114" s="60">
        <f t="shared" si="59"/>
        <v>885.61172392042863</v>
      </c>
      <c r="AN114" s="60">
        <f ca="1">AVERAGE(OFFSET($AM$3,0,0,'Données projet'!$E$10+1,1))-AVERAGE(OFFSET($H$3,0,0,'Données projet'!$E$10+1,1))</f>
        <v>440.51611312502263</v>
      </c>
      <c r="AO114" s="60">
        <f t="shared" si="90"/>
        <v>176.81257896138806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-1.9895196601282805E-13</v>
      </c>
      <c r="BE114" s="14">
        <f>BD114*VLOOKUP('Données projet'!$B$11,Paramètres!$A$1:$I$89,3,0)*VLOOKUP('Données projet'!$B$11,Paramètres!$A$1:$I$89,5,0)</f>
        <v>-1.6138983482960614E-13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236.22643401787644</v>
      </c>
      <c r="BJ114" s="60">
        <f t="shared" si="92"/>
        <v>188.80444043778022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-1.7053025658242404E-13</v>
      </c>
      <c r="BZ114" s="14">
        <f>BY114*VLOOKUP('Données projet'!$B$12,Paramètres!$A$1:$I$89,3,0)*VLOOKUP('Données projet'!$B$12,Paramètres!$A$1:$I$89,5,0)</f>
        <v>-1.4897523215040567E-13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202.86354781280403</v>
      </c>
      <c r="CE114" s="60">
        <f t="shared" si="94"/>
        <v>217.25323885665131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4.4337866711430253E-14</v>
      </c>
      <c r="CV114" s="14">
        <f t="shared" si="95"/>
        <v>7.3222115536967035E-13</v>
      </c>
      <c r="CW114" s="22">
        <f t="shared" si="67"/>
        <v>1.3525069634579169E-12</v>
      </c>
      <c r="CX114" s="60">
        <f t="shared" si="68"/>
        <v>293.33333333333468</v>
      </c>
      <c r="CY114" s="60">
        <f ca="1">AVERAGE(OFFSET($CX$3,0,0,'Données projet'!$E$13+1,1))-AVERAGE(OFFSET($H$3,0,0,'Données projet'!$E$13+1,1))</f>
        <v>288.82868507674738</v>
      </c>
      <c r="CZ114" s="60">
        <f t="shared" si="96"/>
        <v>283.48738729114024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273.39999999999941</v>
      </c>
      <c r="O115" s="14">
        <f>N115*VLOOKUP('Données projet'!$B$9,Paramètres!$A$1:$I$89,3,0)*VLOOKUP('Données projet'!$B$9,Paramètres!$A$1:$I$89,5,0)</f>
        <v>230.31215999999952</v>
      </c>
      <c r="P115" s="14">
        <f t="shared" si="87"/>
        <v>56.350172492598276</v>
      </c>
      <c r="Q115" s="22">
        <f t="shared" si="107"/>
        <v>499.27022909127442</v>
      </c>
      <c r="R115" s="60">
        <f t="shared" si="55"/>
        <v>792.60356242460773</v>
      </c>
      <c r="S115" s="60">
        <f ca="1">AVERAGE(OFFSET($R$3,0,0,'Données projet'!$E$9+1,1))-AVERAGE(OFFSET($H$3,0,0,'Données projet'!$E$9+1,1))</f>
        <v>402.79698021419853</v>
      </c>
      <c r="T115" s="60">
        <f t="shared" si="88"/>
        <v>218.26721063098552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4.7</v>
      </c>
      <c r="AI115" s="14">
        <f>IF('Données projet'!$A$62&gt;35,AI114+AH115-AQ114,IF(A115&lt;'Données projet'!$A$62,$AF$205^A115,IF(A115='Données projet'!$A$62,'Données projet'!$B$62,AI114+AH115-AQ114)))</f>
        <v>324.39999999999992</v>
      </c>
      <c r="AJ115" s="14">
        <f>AI115*VLOOKUP('Données projet'!$B$10,Paramètres!$A$1:$I$89,3,0)*VLOOKUP('Données projet'!$B$10,Paramètres!$A$1:$I$89,5,0)</f>
        <v>278.33519999999993</v>
      </c>
      <c r="AK115" s="14">
        <f t="shared" si="89"/>
        <v>66.615066769523423</v>
      </c>
      <c r="AL115" s="22">
        <f t="shared" si="58"/>
        <v>600.78838129025314</v>
      </c>
      <c r="AM115" s="60">
        <f t="shared" si="59"/>
        <v>894.12171462358651</v>
      </c>
      <c r="AN115" s="60">
        <f ca="1">AVERAGE(OFFSET($AM$3,0,0,'Données projet'!$E$10+1,1))-AVERAGE(OFFSET($H$3,0,0,'Données projet'!$E$10+1,1))</f>
        <v>440.51611312502263</v>
      </c>
      <c r="AO115" s="60">
        <f t="shared" si="90"/>
        <v>176.81257896138806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-1.9895196601282805E-13</v>
      </c>
      <c r="BE115" s="14">
        <f>BD115*VLOOKUP('Données projet'!$B$11,Paramètres!$A$1:$I$89,3,0)*VLOOKUP('Données projet'!$B$11,Paramètres!$A$1:$I$89,5,0)</f>
        <v>-1.6138983482960614E-13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236.22643401787644</v>
      </c>
      <c r="BJ115" s="60">
        <f t="shared" si="92"/>
        <v>188.80444043778022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-1.7053025658242404E-13</v>
      </c>
      <c r="BZ115" s="14">
        <f>BY115*VLOOKUP('Données projet'!$B$12,Paramètres!$A$1:$I$89,3,0)*VLOOKUP('Données projet'!$B$12,Paramètres!$A$1:$I$89,5,0)</f>
        <v>-1.4897523215040567E-13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202.86354781280403</v>
      </c>
      <c r="CE115" s="60">
        <f t="shared" si="94"/>
        <v>217.25323885665131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4.4337866711430253E-14</v>
      </c>
      <c r="CV115" s="14">
        <f t="shared" si="95"/>
        <v>7.3222115536967035E-13</v>
      </c>
      <c r="CW115" s="22">
        <f t="shared" si="67"/>
        <v>1.3525069634579169E-12</v>
      </c>
      <c r="CX115" s="60">
        <f t="shared" si="68"/>
        <v>293.33333333333468</v>
      </c>
      <c r="CY115" s="60">
        <f ca="1">AVERAGE(OFFSET($CX$3,0,0,'Données projet'!$E$13+1,1))-AVERAGE(OFFSET($H$3,0,0,'Données projet'!$E$13+1,1))</f>
        <v>288.82868507674738</v>
      </c>
      <c r="CZ115" s="60">
        <f t="shared" si="96"/>
        <v>283.48738729114024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277.0999999999994</v>
      </c>
      <c r="O116" s="14">
        <f>N116*VLOOKUP('Données projet'!$B$9,Paramètres!$A$1:$I$89,3,0)*VLOOKUP('Données projet'!$B$9,Paramètres!$A$1:$I$89,5,0)</f>
        <v>233.4290399999995</v>
      </c>
      <c r="P116" s="14">
        <f t="shared" si="87"/>
        <v>57.023480348060083</v>
      </c>
      <c r="Q116" s="22">
        <f t="shared" si="107"/>
        <v>505.871472939537</v>
      </c>
      <c r="R116" s="60">
        <f t="shared" si="55"/>
        <v>799.20480627287031</v>
      </c>
      <c r="S116" s="60">
        <f ca="1">AVERAGE(OFFSET($R$3,0,0,'Données projet'!$E$9+1,1))-AVERAGE(OFFSET($H$3,0,0,'Données projet'!$E$9+1,1))</f>
        <v>402.79698021419853</v>
      </c>
      <c r="T116" s="60">
        <f t="shared" si="88"/>
        <v>218.26721063098552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4.7</v>
      </c>
      <c r="AI116" s="14">
        <f>IF('Données projet'!$A$62&gt;35,AI115+AH116-AQ115,IF(A116&lt;'Données projet'!$A$62,$AF$205^A116,IF(A116='Données projet'!$A$62,'Données projet'!$B$62,AI115+AH116-AQ115)))</f>
        <v>329.09999999999991</v>
      </c>
      <c r="AJ116" s="14">
        <f>AI116*VLOOKUP('Données projet'!$B$10,Paramètres!$A$1:$I$89,3,0)*VLOOKUP('Données projet'!$B$10,Paramètres!$A$1:$I$89,5,0)</f>
        <v>282.36779999999993</v>
      </c>
      <c r="AK116" s="14">
        <f t="shared" si="89"/>
        <v>67.467147587684053</v>
      </c>
      <c r="AL116" s="22">
        <f t="shared" si="58"/>
        <v>609.29586704854955</v>
      </c>
      <c r="AM116" s="60">
        <f t="shared" si="59"/>
        <v>902.62920038188281</v>
      </c>
      <c r="AN116" s="60">
        <f ca="1">AVERAGE(OFFSET($AM$3,0,0,'Données projet'!$E$10+1,1))-AVERAGE(OFFSET($H$3,0,0,'Données projet'!$E$10+1,1))</f>
        <v>440.51611312502263</v>
      </c>
      <c r="AO116" s="60">
        <f t="shared" si="90"/>
        <v>176.81257896138806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-1.9895196601282805E-13</v>
      </c>
      <c r="BE116" s="14">
        <f>BD116*VLOOKUP('Données projet'!$B$11,Paramètres!$A$1:$I$89,3,0)*VLOOKUP('Données projet'!$B$11,Paramètres!$A$1:$I$89,5,0)</f>
        <v>-1.6138983482960614E-13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236.22643401787644</v>
      </c>
      <c r="BJ116" s="60">
        <f t="shared" si="92"/>
        <v>188.80444043778022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-1.7053025658242404E-13</v>
      </c>
      <c r="BZ116" s="14">
        <f>BY116*VLOOKUP('Données projet'!$B$12,Paramètres!$A$1:$I$89,3,0)*VLOOKUP('Données projet'!$B$12,Paramètres!$A$1:$I$89,5,0)</f>
        <v>-1.4897523215040567E-13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202.86354781280403</v>
      </c>
      <c r="CE116" s="60">
        <f t="shared" si="94"/>
        <v>217.25323885665131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4.4337866711430253E-14</v>
      </c>
      <c r="CV116" s="14">
        <f t="shared" si="95"/>
        <v>7.3222115536967035E-13</v>
      </c>
      <c r="CW116" s="22">
        <f t="shared" si="67"/>
        <v>1.3525069634579169E-12</v>
      </c>
      <c r="CX116" s="60">
        <f t="shared" si="68"/>
        <v>293.33333333333468</v>
      </c>
      <c r="CY116" s="60">
        <f ca="1">AVERAGE(OFFSET($CX$3,0,0,'Données projet'!$E$13+1,1))-AVERAGE(OFFSET($H$3,0,0,'Données projet'!$E$13+1,1))</f>
        <v>288.82868507674738</v>
      </c>
      <c r="CZ116" s="60">
        <f t="shared" si="96"/>
        <v>283.48738729114024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280.79999999999939</v>
      </c>
      <c r="O117" s="14">
        <f>N117*VLOOKUP('Données projet'!$B$9,Paramètres!$A$1:$I$89,3,0)*VLOOKUP('Données projet'!$B$9,Paramètres!$A$1:$I$89,5,0)</f>
        <v>236.54591999999954</v>
      </c>
      <c r="P117" s="14">
        <f t="shared" si="87"/>
        <v>57.695742501250926</v>
      </c>
      <c r="Q117" s="22">
        <f t="shared" si="107"/>
        <v>512.47089552301122</v>
      </c>
      <c r="R117" s="60">
        <f t="shared" si="55"/>
        <v>805.80422885634448</v>
      </c>
      <c r="S117" s="60">
        <f ca="1">AVERAGE(OFFSET($R$3,0,0,'Données projet'!$E$9+1,1))-AVERAGE(OFFSET($H$3,0,0,'Données projet'!$E$9+1,1))</f>
        <v>402.79698021419853</v>
      </c>
      <c r="T117" s="60">
        <f t="shared" si="88"/>
        <v>218.26721063098552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4.7</v>
      </c>
      <c r="AI117" s="14">
        <f>IF('Données projet'!$A$62&gt;35,AI116+AH117-AQ116,IF(A117&lt;'Données projet'!$A$62,$AF$205^A117,IF(A117='Données projet'!$A$62,'Données projet'!$B$62,AI116+AH117-AQ116)))</f>
        <v>333.7999999999999</v>
      </c>
      <c r="AJ117" s="14">
        <f>AI117*VLOOKUP('Données projet'!$B$10,Paramètres!$A$1:$I$89,3,0)*VLOOKUP('Données projet'!$B$10,Paramètres!$A$1:$I$89,5,0)</f>
        <v>286.40039999999993</v>
      </c>
      <c r="AK117" s="14">
        <f t="shared" si="89"/>
        <v>68.317813073506414</v>
      </c>
      <c r="AL117" s="22">
        <f t="shared" si="58"/>
        <v>617.80088776969023</v>
      </c>
      <c r="AM117" s="60">
        <f t="shared" si="59"/>
        <v>911.13422110302349</v>
      </c>
      <c r="AN117" s="60">
        <f ca="1">AVERAGE(OFFSET($AM$3,0,0,'Données projet'!$E$10+1,1))-AVERAGE(OFFSET($H$3,0,0,'Données projet'!$E$10+1,1))</f>
        <v>440.51611312502263</v>
      </c>
      <c r="AO117" s="60">
        <f t="shared" si="90"/>
        <v>176.81257896138806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-1.9895196601282805E-13</v>
      </c>
      <c r="BE117" s="14">
        <f>BD117*VLOOKUP('Données projet'!$B$11,Paramètres!$A$1:$I$89,3,0)*VLOOKUP('Données projet'!$B$11,Paramètres!$A$1:$I$89,5,0)</f>
        <v>-1.6138983482960614E-13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236.22643401787644</v>
      </c>
      <c r="BJ117" s="60">
        <f t="shared" si="92"/>
        <v>188.80444043778022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-1.7053025658242404E-13</v>
      </c>
      <c r="BZ117" s="14">
        <f>BY117*VLOOKUP('Données projet'!$B$12,Paramètres!$A$1:$I$89,3,0)*VLOOKUP('Données projet'!$B$12,Paramètres!$A$1:$I$89,5,0)</f>
        <v>-1.4897523215040567E-13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202.86354781280403</v>
      </c>
      <c r="CE117" s="60">
        <f t="shared" si="94"/>
        <v>217.25323885665131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4.4337866711430253E-14</v>
      </c>
      <c r="CV117" s="14">
        <f t="shared" si="95"/>
        <v>7.3222115536967035E-13</v>
      </c>
      <c r="CW117" s="22">
        <f t="shared" si="67"/>
        <v>1.3525069634579169E-12</v>
      </c>
      <c r="CX117" s="60">
        <f t="shared" si="68"/>
        <v>293.33333333333468</v>
      </c>
      <c r="CY117" s="60">
        <f ca="1">AVERAGE(OFFSET($CX$3,0,0,'Données projet'!$E$13+1,1))-AVERAGE(OFFSET($H$3,0,0,'Données projet'!$E$13+1,1))</f>
        <v>288.82868507674738</v>
      </c>
      <c r="CZ117" s="60">
        <f t="shared" si="96"/>
        <v>283.48738729114024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284.49999999999937</v>
      </c>
      <c r="O118" s="14">
        <f>N118*VLOOKUP('Données projet'!$B$9,Paramètres!$A$1:$I$89,3,0)*VLOOKUP('Données projet'!$B$9,Paramètres!$A$1:$I$89,5,0)</f>
        <v>239.66279999999952</v>
      </c>
      <c r="P118" s="14">
        <f t="shared" si="87"/>
        <v>58.366974323972691</v>
      </c>
      <c r="Q118" s="22">
        <f t="shared" si="107"/>
        <v>519.0685236142516</v>
      </c>
      <c r="R118" s="60">
        <f t="shared" si="55"/>
        <v>812.40185694758497</v>
      </c>
      <c r="S118" s="60">
        <f ca="1">AVERAGE(OFFSET($R$3,0,0,'Données projet'!$E$9+1,1))-AVERAGE(OFFSET($H$3,0,0,'Données projet'!$E$9+1,1))</f>
        <v>402.79698021419853</v>
      </c>
      <c r="T118" s="60">
        <f t="shared" si="88"/>
        <v>218.26721063098552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4.7</v>
      </c>
      <c r="AI118" s="14">
        <f>IF('Données projet'!$A$62&gt;35,AI117+AH118-AQ117,IF(A118&lt;'Données projet'!$A$62,$AF$205^A118,IF(A118='Données projet'!$A$62,'Données projet'!$B$62,AI117+AH118-AQ117)))</f>
        <v>338.49999999999989</v>
      </c>
      <c r="AJ118" s="14">
        <f>AI118*VLOOKUP('Données projet'!$B$10,Paramètres!$A$1:$I$89,3,0)*VLOOKUP('Données projet'!$B$10,Paramètres!$A$1:$I$89,5,0)</f>
        <v>290.43299999999994</v>
      </c>
      <c r="AK118" s="14">
        <f t="shared" si="89"/>
        <v>69.167085458186335</v>
      </c>
      <c r="AL118" s="22">
        <f t="shared" si="58"/>
        <v>626.30348217300775</v>
      </c>
      <c r="AM118" s="60">
        <f t="shared" si="59"/>
        <v>919.63681550634101</v>
      </c>
      <c r="AN118" s="60">
        <f ca="1">AVERAGE(OFFSET($AM$3,0,0,'Données projet'!$E$10+1,1))-AVERAGE(OFFSET($H$3,0,0,'Données projet'!$E$10+1,1))</f>
        <v>440.51611312502263</v>
      </c>
      <c r="AO118" s="60">
        <f t="shared" si="90"/>
        <v>176.81257896138806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-1.9895196601282805E-13</v>
      </c>
      <c r="BE118" s="14">
        <f>BD118*VLOOKUP('Données projet'!$B$11,Paramètres!$A$1:$I$89,3,0)*VLOOKUP('Données projet'!$B$11,Paramètres!$A$1:$I$89,5,0)</f>
        <v>-1.6138983482960614E-13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236.22643401787644</v>
      </c>
      <c r="BJ118" s="60">
        <f t="shared" si="92"/>
        <v>188.80444043778022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-1.7053025658242404E-13</v>
      </c>
      <c r="BZ118" s="14">
        <f>BY118*VLOOKUP('Données projet'!$B$12,Paramètres!$A$1:$I$89,3,0)*VLOOKUP('Données projet'!$B$12,Paramètres!$A$1:$I$89,5,0)</f>
        <v>-1.4897523215040567E-13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202.86354781280403</v>
      </c>
      <c r="CE118" s="60">
        <f t="shared" si="94"/>
        <v>217.25323885665131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4.4337866711430253E-14</v>
      </c>
      <c r="CV118" s="14">
        <f t="shared" si="95"/>
        <v>7.3222115536967035E-13</v>
      </c>
      <c r="CW118" s="22">
        <f t="shared" si="67"/>
        <v>1.3525069634579169E-12</v>
      </c>
      <c r="CX118" s="60">
        <f t="shared" si="68"/>
        <v>293.33333333333468</v>
      </c>
      <c r="CY118" s="60">
        <f ca="1">AVERAGE(OFFSET($CX$3,0,0,'Données projet'!$E$13+1,1))-AVERAGE(OFFSET($H$3,0,0,'Données projet'!$E$13+1,1))</f>
        <v>288.82868507674738</v>
      </c>
      <c r="CZ118" s="60">
        <f t="shared" si="96"/>
        <v>283.48738729114024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288.19999999999936</v>
      </c>
      <c r="O119" s="14">
        <f>N119*VLOOKUP('Données projet'!$B$9,Paramètres!$A$1:$I$89,3,0)*VLOOKUP('Données projet'!$B$9,Paramètres!$A$1:$I$89,5,0)</f>
        <v>242.7796799999995</v>
      </c>
      <c r="P119" s="14">
        <f t="shared" si="87"/>
        <v>59.037190765212657</v>
      </c>
      <c r="Q119" s="22">
        <f t="shared" si="107"/>
        <v>525.66438324941112</v>
      </c>
      <c r="R119" s="60">
        <f t="shared" si="55"/>
        <v>818.99771658274449</v>
      </c>
      <c r="S119" s="60">
        <f ca="1">AVERAGE(OFFSET($R$3,0,0,'Données projet'!$E$9+1,1))-AVERAGE(OFFSET($H$3,0,0,'Données projet'!$E$9+1,1))</f>
        <v>402.79698021419853</v>
      </c>
      <c r="T119" s="60">
        <f t="shared" si="88"/>
        <v>218.26721063098552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4.7</v>
      </c>
      <c r="AI119" s="14">
        <f>IF('Données projet'!$A$62&gt;35,AI118+AH119-AQ118,IF(A119&lt;'Données projet'!$A$62,$AF$205^A119,IF(A119='Données projet'!$A$62,'Données projet'!$B$62,AI118+AH119-AQ118)))</f>
        <v>343.19999999999987</v>
      </c>
      <c r="AJ119" s="14">
        <f>AI119*VLOOKUP('Données projet'!$B$10,Paramètres!$A$1:$I$89,3,0)*VLOOKUP('Données projet'!$B$10,Paramètres!$A$1:$I$89,5,0)</f>
        <v>294.46559999999988</v>
      </c>
      <c r="AK119" s="14">
        <f t="shared" si="89"/>
        <v>70.014986320104228</v>
      </c>
      <c r="AL119" s="22">
        <f t="shared" si="58"/>
        <v>634.80368784084806</v>
      </c>
      <c r="AM119" s="60">
        <f t="shared" si="59"/>
        <v>928.13702117418143</v>
      </c>
      <c r="AN119" s="60">
        <f ca="1">AVERAGE(OFFSET($AM$3,0,0,'Données projet'!$E$10+1,1))-AVERAGE(OFFSET($H$3,0,0,'Données projet'!$E$10+1,1))</f>
        <v>440.51611312502263</v>
      </c>
      <c r="AO119" s="60">
        <f t="shared" si="90"/>
        <v>176.81257896138806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-1.9895196601282805E-13</v>
      </c>
      <c r="BE119" s="14">
        <f>BD119*VLOOKUP('Données projet'!$B$11,Paramètres!$A$1:$I$89,3,0)*VLOOKUP('Données projet'!$B$11,Paramètres!$A$1:$I$89,5,0)</f>
        <v>-1.6138983482960614E-13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236.22643401787644</v>
      </c>
      <c r="BJ119" s="60">
        <f t="shared" si="92"/>
        <v>188.80444043778022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-1.7053025658242404E-13</v>
      </c>
      <c r="BZ119" s="14">
        <f>BY119*VLOOKUP('Données projet'!$B$12,Paramètres!$A$1:$I$89,3,0)*VLOOKUP('Données projet'!$B$12,Paramètres!$A$1:$I$89,5,0)</f>
        <v>-1.4897523215040567E-13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202.86354781280403</v>
      </c>
      <c r="CE119" s="60">
        <f t="shared" si="94"/>
        <v>217.25323885665131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4.4337866711430253E-14</v>
      </c>
      <c r="CV119" s="14">
        <f t="shared" si="95"/>
        <v>7.3222115536967035E-13</v>
      </c>
      <c r="CW119" s="22">
        <f t="shared" si="67"/>
        <v>1.3525069634579169E-12</v>
      </c>
      <c r="CX119" s="60">
        <f t="shared" si="68"/>
        <v>293.33333333333468</v>
      </c>
      <c r="CY119" s="60">
        <f ca="1">AVERAGE(OFFSET($CX$3,0,0,'Données projet'!$E$13+1,1))-AVERAGE(OFFSET($H$3,0,0,'Données projet'!$E$13+1,1))</f>
        <v>288.82868507674738</v>
      </c>
      <c r="CZ119" s="60">
        <f t="shared" si="96"/>
        <v>283.48738729114024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291.89999999999935</v>
      </c>
      <c r="O120" s="14">
        <f>N120*VLOOKUP('Données projet'!$B$9,Paramètres!$A$1:$I$89,3,0)*VLOOKUP('Données projet'!$B$9,Paramètres!$A$1:$I$89,5,0)</f>
        <v>245.89655999999948</v>
      </c>
      <c r="P120" s="14">
        <f t="shared" si="87"/>
        <v>59.706406368049514</v>
      </c>
      <c r="Q120" s="22">
        <f t="shared" si="107"/>
        <v>532.2584997576854</v>
      </c>
      <c r="R120" s="60">
        <f t="shared" si="55"/>
        <v>825.59183309101877</v>
      </c>
      <c r="S120" s="60">
        <f ca="1">AVERAGE(OFFSET($R$3,0,0,'Données projet'!$E$9+1,1))-AVERAGE(OFFSET($H$3,0,0,'Données projet'!$E$9+1,1))</f>
        <v>402.79698021419853</v>
      </c>
      <c r="T120" s="60">
        <f t="shared" si="88"/>
        <v>218.26721063098552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4.7</v>
      </c>
      <c r="AI120" s="14">
        <f>IF('Données projet'!$A$62&gt;35,AI119+AH120-AQ119,IF(A120&lt;'Données projet'!$A$62,$AF$205^A120,IF(A120='Données projet'!$A$62,'Données projet'!$B$62,AI119+AH120-AQ119)))</f>
        <v>347.89999999999986</v>
      </c>
      <c r="AJ120" s="14">
        <f>AI120*VLOOKUP('Données projet'!$B$10,Paramètres!$A$1:$I$89,3,0)*VLOOKUP('Données projet'!$B$10,Paramètres!$A$1:$I$89,5,0)</f>
        <v>298.49819999999994</v>
      </c>
      <c r="AK120" s="14">
        <f t="shared" si="89"/>
        <v>70.86153661266674</v>
      </c>
      <c r="AL120" s="22">
        <f t="shared" si="58"/>
        <v>643.30154126706111</v>
      </c>
      <c r="AM120" s="60">
        <f t="shared" si="59"/>
        <v>936.63487460039437</v>
      </c>
      <c r="AN120" s="60">
        <f ca="1">AVERAGE(OFFSET($AM$3,0,0,'Données projet'!$E$10+1,1))-AVERAGE(OFFSET($H$3,0,0,'Données projet'!$E$10+1,1))</f>
        <v>440.51611312502263</v>
      </c>
      <c r="AO120" s="60">
        <f t="shared" si="90"/>
        <v>176.81257896138806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-1.9895196601282805E-13</v>
      </c>
      <c r="BE120" s="14">
        <f>BD120*VLOOKUP('Données projet'!$B$11,Paramètres!$A$1:$I$89,3,0)*VLOOKUP('Données projet'!$B$11,Paramètres!$A$1:$I$89,5,0)</f>
        <v>-1.6138983482960614E-13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236.22643401787644</v>
      </c>
      <c r="BJ120" s="60">
        <f t="shared" si="92"/>
        <v>188.80444043778022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-1.7053025658242404E-13</v>
      </c>
      <c r="BZ120" s="14">
        <f>BY120*VLOOKUP('Données projet'!$B$12,Paramètres!$A$1:$I$89,3,0)*VLOOKUP('Données projet'!$B$12,Paramètres!$A$1:$I$89,5,0)</f>
        <v>-1.4897523215040567E-13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202.86354781280403</v>
      </c>
      <c r="CE120" s="60">
        <f t="shared" si="94"/>
        <v>217.25323885665131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4.4337866711430253E-14</v>
      </c>
      <c r="CV120" s="14">
        <f t="shared" si="95"/>
        <v>7.3222115536967035E-13</v>
      </c>
      <c r="CW120" s="22">
        <f t="shared" si="67"/>
        <v>1.3525069634579169E-12</v>
      </c>
      <c r="CX120" s="60">
        <f t="shared" si="68"/>
        <v>293.33333333333468</v>
      </c>
      <c r="CY120" s="60">
        <f ca="1">AVERAGE(OFFSET($CX$3,0,0,'Données projet'!$E$13+1,1))-AVERAGE(OFFSET($H$3,0,0,'Données projet'!$E$13+1,1))</f>
        <v>288.82868507674738</v>
      </c>
      <c r="CZ120" s="60">
        <f t="shared" si="96"/>
        <v>283.48738729114024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295.59999999999934</v>
      </c>
      <c r="O121" s="14">
        <f>N121*VLOOKUP('Données projet'!$B$9,Paramètres!$A$1:$I$89,3,0)*VLOOKUP('Données projet'!$B$9,Paramètres!$A$1:$I$89,5,0)</f>
        <v>249.01343999999946</v>
      </c>
      <c r="P121" s="14">
        <f t="shared" si="87"/>
        <v>60.374635285677471</v>
      </c>
      <c r="Q121" s="22">
        <f t="shared" si="107"/>
        <v>538.85089778922054</v>
      </c>
      <c r="R121" s="60">
        <f t="shared" si="55"/>
        <v>832.18423112255391</v>
      </c>
      <c r="S121" s="60">
        <f ca="1">AVERAGE(OFFSET($R$3,0,0,'Données projet'!$E$9+1,1))-AVERAGE(OFFSET($H$3,0,0,'Données projet'!$E$9+1,1))</f>
        <v>402.79698021419853</v>
      </c>
      <c r="T121" s="60">
        <f t="shared" si="88"/>
        <v>218.26721063098552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4.7</v>
      </c>
      <c r="AI121" s="14">
        <f>IF('Données projet'!$A$62&gt;35,AI120+AH121-AQ120,IF(A121&lt;'Données projet'!$A$62,$AF$205^A121,IF(A121='Données projet'!$A$62,'Données projet'!$B$62,AI120+AH121-AQ120)))</f>
        <v>352.59999999999985</v>
      </c>
      <c r="AJ121" s="14">
        <f>AI121*VLOOKUP('Données projet'!$B$10,Paramètres!$A$1:$I$89,3,0)*VLOOKUP('Données projet'!$B$10,Paramètres!$A$1:$I$89,5,0)</f>
        <v>302.53079999999989</v>
      </c>
      <c r="AK121" s="14">
        <f t="shared" si="89"/>
        <v>71.706756690602205</v>
      </c>
      <c r="AL121" s="22">
        <f t="shared" si="58"/>
        <v>651.79707790279861</v>
      </c>
      <c r="AM121" s="60">
        <f t="shared" si="59"/>
        <v>945.13041123613198</v>
      </c>
      <c r="AN121" s="60">
        <f ca="1">AVERAGE(OFFSET($AM$3,0,0,'Données projet'!$E$10+1,1))-AVERAGE(OFFSET($H$3,0,0,'Données projet'!$E$10+1,1))</f>
        <v>440.51611312502263</v>
      </c>
      <c r="AO121" s="60">
        <f t="shared" si="90"/>
        <v>176.81257896138806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-1.9895196601282805E-13</v>
      </c>
      <c r="BE121" s="14">
        <f>BD121*VLOOKUP('Données projet'!$B$11,Paramètres!$A$1:$I$89,3,0)*VLOOKUP('Données projet'!$B$11,Paramètres!$A$1:$I$89,5,0)</f>
        <v>-1.6138983482960614E-13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236.22643401787644</v>
      </c>
      <c r="BJ121" s="60">
        <f t="shared" si="92"/>
        <v>188.80444043778022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-1.7053025658242404E-13</v>
      </c>
      <c r="BZ121" s="14">
        <f>BY121*VLOOKUP('Données projet'!$B$12,Paramètres!$A$1:$I$89,3,0)*VLOOKUP('Données projet'!$B$12,Paramètres!$A$1:$I$89,5,0)</f>
        <v>-1.4897523215040567E-13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202.86354781280403</v>
      </c>
      <c r="CE121" s="60">
        <f t="shared" si="94"/>
        <v>217.25323885665131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4.4337866711430253E-14</v>
      </c>
      <c r="CV121" s="14">
        <f t="shared" si="95"/>
        <v>7.3222115536967035E-13</v>
      </c>
      <c r="CW121" s="22">
        <f t="shared" si="67"/>
        <v>1.3525069634579169E-12</v>
      </c>
      <c r="CX121" s="60">
        <f t="shared" si="68"/>
        <v>293.33333333333468</v>
      </c>
      <c r="CY121" s="60">
        <f ca="1">AVERAGE(OFFSET($CX$3,0,0,'Données projet'!$E$13+1,1))-AVERAGE(OFFSET($H$3,0,0,'Données projet'!$E$13+1,1))</f>
        <v>288.82868507674738</v>
      </c>
      <c r="CZ121" s="60">
        <f t="shared" si="96"/>
        <v>283.48738729114024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299.29999999999933</v>
      </c>
      <c r="O122" s="14">
        <f>N122*VLOOKUP('Données projet'!$B$9,Paramètres!$A$1:$I$89,3,0)*VLOOKUP('Données projet'!$B$9,Paramètres!$A$1:$I$89,5,0)</f>
        <v>252.13031999999944</v>
      </c>
      <c r="P122" s="14">
        <f t="shared" si="87"/>
        <v>61.041891296605009</v>
      </c>
      <c r="Q122" s="22">
        <f t="shared" si="107"/>
        <v>545.44160134158608</v>
      </c>
      <c r="R122" s="60">
        <f t="shared" si="55"/>
        <v>838.77493467491945</v>
      </c>
      <c r="S122" s="60">
        <f ca="1">AVERAGE(OFFSET($R$3,0,0,'Données projet'!$E$9+1,1))-AVERAGE(OFFSET($H$3,0,0,'Données projet'!$E$9+1,1))</f>
        <v>402.79698021419853</v>
      </c>
      <c r="T122" s="60">
        <f t="shared" si="88"/>
        <v>218.26721063098552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4.7</v>
      </c>
      <c r="AI122" s="14">
        <f>IF('Données projet'!$A$62&gt;35,AI121+AH122-AQ121,IF(A122&lt;'Données projet'!$A$62,$AF$205^A122,IF(A122='Données projet'!$A$62,'Données projet'!$B$62,AI121+AH122-AQ121)))</f>
        <v>357.29999999999984</v>
      </c>
      <c r="AJ122" s="14">
        <f>AI122*VLOOKUP('Données projet'!$B$10,Paramètres!$A$1:$I$89,3,0)*VLOOKUP('Données projet'!$B$10,Paramètres!$A$1:$I$89,5,0)</f>
        <v>306.56339999999989</v>
      </c>
      <c r="AK122" s="14">
        <f t="shared" si="89"/>
        <v>72.550666334812874</v>
      </c>
      <c r="AL122" s="22">
        <f t="shared" si="58"/>
        <v>660.29033219979885</v>
      </c>
      <c r="AM122" s="60">
        <f t="shared" si="59"/>
        <v>953.62366553313223</v>
      </c>
      <c r="AN122" s="60">
        <f ca="1">AVERAGE(OFFSET($AM$3,0,0,'Données projet'!$E$10+1,1))-AVERAGE(OFFSET($H$3,0,0,'Données projet'!$E$10+1,1))</f>
        <v>440.51611312502263</v>
      </c>
      <c r="AO122" s="60">
        <f t="shared" si="90"/>
        <v>176.81257896138806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-1.9895196601282805E-13</v>
      </c>
      <c r="BE122" s="14">
        <f>BD122*VLOOKUP('Données projet'!$B$11,Paramètres!$A$1:$I$89,3,0)*VLOOKUP('Données projet'!$B$11,Paramètres!$A$1:$I$89,5,0)</f>
        <v>-1.6138983482960614E-13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236.22643401787644</v>
      </c>
      <c r="BJ122" s="60">
        <f t="shared" si="92"/>
        <v>188.80444043778022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-1.7053025658242404E-13</v>
      </c>
      <c r="BZ122" s="14">
        <f>BY122*VLOOKUP('Données projet'!$B$12,Paramètres!$A$1:$I$89,3,0)*VLOOKUP('Données projet'!$B$12,Paramètres!$A$1:$I$89,5,0)</f>
        <v>-1.4897523215040567E-13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202.86354781280403</v>
      </c>
      <c r="CE122" s="60">
        <f t="shared" si="94"/>
        <v>217.25323885665131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4.4337866711430253E-14</v>
      </c>
      <c r="CV122" s="14">
        <f t="shared" si="95"/>
        <v>7.3222115536967035E-13</v>
      </c>
      <c r="CW122" s="22">
        <f t="shared" si="67"/>
        <v>1.3525069634579169E-12</v>
      </c>
      <c r="CX122" s="60">
        <f t="shared" si="68"/>
        <v>293.33333333333468</v>
      </c>
      <c r="CY122" s="60">
        <f ca="1">AVERAGE(OFFSET($CX$3,0,0,'Données projet'!$E$13+1,1))-AVERAGE(OFFSET($H$3,0,0,'Données projet'!$E$13+1,1))</f>
        <v>288.82868507674738</v>
      </c>
      <c r="CZ122" s="60">
        <f t="shared" si="96"/>
        <v>283.48738729114024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302.99999999999932</v>
      </c>
      <c r="O123" s="14">
        <f>N123*VLOOKUP('Données projet'!$B$9,Paramètres!$A$1:$I$89,3,0)*VLOOKUP('Données projet'!$B$9,Paramètres!$A$1:$I$89,5,0)</f>
        <v>255.24719999999945</v>
      </c>
      <c r="P123" s="14">
        <f t="shared" si="87"/>
        <v>61.708187819081161</v>
      </c>
      <c r="Q123" s="22">
        <f t="shared" si="107"/>
        <v>552.03063378489867</v>
      </c>
      <c r="R123" s="60">
        <f t="shared" si="55"/>
        <v>845.36396711823204</v>
      </c>
      <c r="S123" s="60">
        <f ca="1">AVERAGE(OFFSET($R$3,0,0,'Données projet'!$E$9+1,1))-AVERAGE(OFFSET($H$3,0,0,'Données projet'!$E$9+1,1))</f>
        <v>402.79698021419853</v>
      </c>
      <c r="T123" s="60">
        <f t="shared" si="88"/>
        <v>218.26721063098552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362</v>
      </c>
      <c r="AG123" s="13">
        <f>VLOOKUP(A123,'Données projet'!$A$61:$I$81,9,0)</f>
        <v>4.7</v>
      </c>
      <c r="AH123" s="13">
        <f t="array" ref="AH123">INDEX(AG:AG,MIN(IF(ISNUMBER(AG123:AG319),ROW(AG123:AG319),"")))</f>
        <v>4.7</v>
      </c>
      <c r="AI123" s="14">
        <f>IF('Données projet'!$A$62&gt;35,AI122+AH123-AQ122,IF(A123&lt;'Données projet'!$A$62,$AF$205^A123,IF(A123='Données projet'!$A$62,'Données projet'!$B$62,AI122+AH123-AQ122)))</f>
        <v>361.99999999999983</v>
      </c>
      <c r="AJ123" s="14">
        <f>AI123*VLOOKUP('Données projet'!$B$10,Paramètres!$A$1:$I$89,3,0)*VLOOKUP('Données projet'!$B$10,Paramètres!$A$1:$I$89,5,0)</f>
        <v>310.59599999999989</v>
      </c>
      <c r="AK123" s="14">
        <f t="shared" si="89"/>
        <v>73.393284775883487</v>
      </c>
      <c r="AL123" s="22">
        <f t="shared" si="58"/>
        <v>668.7813376513302</v>
      </c>
      <c r="AM123" s="60">
        <f t="shared" si="59"/>
        <v>962.11467098466346</v>
      </c>
      <c r="AN123" s="60">
        <f ca="1">AVERAGE(OFFSET($AM$3,0,0,'Données projet'!$E$10+1,1))-AVERAGE(OFFSET($H$3,0,0,'Données projet'!$E$10+1,1))</f>
        <v>440.51611312502263</v>
      </c>
      <c r="AO123" s="60">
        <f t="shared" si="90"/>
        <v>176.81257896138806</v>
      </c>
      <c r="AP123" s="16">
        <f>IF(ISNA(VLOOKUP(A123,'Données projet'!$A$61:$I$81,3,0)),0,VLOOKUP(A123,'Données projet'!$A$61:$I$81,3,0))</f>
        <v>9</v>
      </c>
      <c r="AQ123" s="16">
        <f>IF(ISNA(VLOOKUP(A123,'Données projet'!$A$61:$I$81,4,0)),0,VLOOKUP(A123,'Données projet'!$A$61:$I$81,4,0))</f>
        <v>33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-1.9895196601282805E-13</v>
      </c>
      <c r="BE123" s="14">
        <f>BD123*VLOOKUP('Données projet'!$B$11,Paramètres!$A$1:$I$89,3,0)*VLOOKUP('Données projet'!$B$11,Paramètres!$A$1:$I$89,5,0)</f>
        <v>-1.6138983482960614E-13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236.22643401787644</v>
      </c>
      <c r="BJ123" s="60">
        <f t="shared" si="92"/>
        <v>188.80444043778022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-1.7053025658242404E-13</v>
      </c>
      <c r="BZ123" s="14">
        <f>BY123*VLOOKUP('Données projet'!$B$12,Paramètres!$A$1:$I$89,3,0)*VLOOKUP('Données projet'!$B$12,Paramètres!$A$1:$I$89,5,0)</f>
        <v>-1.4897523215040567E-13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202.86354781280403</v>
      </c>
      <c r="CE123" s="60">
        <f t="shared" si="94"/>
        <v>217.25323885665131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4.4337866711430253E-14</v>
      </c>
      <c r="CV123" s="14">
        <f t="shared" si="95"/>
        <v>7.3222115536967035E-13</v>
      </c>
      <c r="CW123" s="22">
        <f t="shared" si="67"/>
        <v>1.3525069634579169E-12</v>
      </c>
      <c r="CX123" s="60">
        <f t="shared" si="68"/>
        <v>293.33333333333468</v>
      </c>
      <c r="CY123" s="60">
        <f ca="1">AVERAGE(OFFSET($CX$3,0,0,'Données projet'!$E$13+1,1))-AVERAGE(OFFSET($H$3,0,0,'Données projet'!$E$13+1,1))</f>
        <v>288.82868507674738</v>
      </c>
      <c r="CZ123" s="60">
        <f t="shared" si="96"/>
        <v>283.48738729114024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271.19999999999931</v>
      </c>
      <c r="O124" s="14">
        <f>N124*VLOOKUP('Données projet'!$B$9,Paramètres!$A$1:$I$89,3,0)*VLOOKUP('Données projet'!$B$9,Paramètres!$A$1:$I$89,5,0)</f>
        <v>228.45887999999945</v>
      </c>
      <c r="P124" s="14">
        <f t="shared" si="87"/>
        <v>55.949325082237685</v>
      </c>
      <c r="Q124" s="22">
        <f t="shared" si="107"/>
        <v>495.34429051822968</v>
      </c>
      <c r="R124" s="60">
        <f t="shared" si="55"/>
        <v>788.677623851563</v>
      </c>
      <c r="S124" s="60">
        <f ca="1">AVERAGE(OFFSET($R$3,0,0,'Données projet'!$E$9+1,1))-AVERAGE(OFFSET($H$3,0,0,'Données projet'!$E$9+1,1))</f>
        <v>402.79698021419853</v>
      </c>
      <c r="T124" s="60">
        <f t="shared" si="88"/>
        <v>218.26721063098552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4.2</v>
      </c>
      <c r="AI124" s="14">
        <f>IF('Données projet'!$A$62&gt;35,AI123+AH124-AQ123,IF(A124&lt;'Données projet'!$A$62,$AF$205^A124,IF(A124='Données projet'!$A$62,'Données projet'!$B$62,AI123+AH124-AQ123)))</f>
        <v>333.19999999999982</v>
      </c>
      <c r="AJ124" s="14">
        <f>AI124*VLOOKUP('Données projet'!$B$10,Paramètres!$A$1:$I$89,3,0)*VLOOKUP('Données projet'!$B$10,Paramètres!$A$1:$I$89,5,0)</f>
        <v>285.88559999999984</v>
      </c>
      <c r="AK124" s="14">
        <f t="shared" si="89"/>
        <v>68.209295508039986</v>
      </c>
      <c r="AL124" s="22">
        <f t="shared" si="58"/>
        <v>616.71527634316942</v>
      </c>
      <c r="AM124" s="60">
        <f t="shared" si="59"/>
        <v>910.04860967650279</v>
      </c>
      <c r="AN124" s="60">
        <f ca="1">AVERAGE(OFFSET($AM$3,0,0,'Données projet'!$E$10+1,1))-AVERAGE(OFFSET($H$3,0,0,'Données projet'!$E$10+1,1))</f>
        <v>440.51611312502263</v>
      </c>
      <c r="AO124" s="60">
        <f t="shared" si="90"/>
        <v>176.81257896138806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-1.9895196601282805E-13</v>
      </c>
      <c r="BE124" s="14">
        <f>BD124*VLOOKUP('Données projet'!$B$11,Paramètres!$A$1:$I$89,3,0)*VLOOKUP('Données projet'!$B$11,Paramètres!$A$1:$I$89,5,0)</f>
        <v>-1.6138983482960614E-13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236.22643401787644</v>
      </c>
      <c r="BJ124" s="60">
        <f t="shared" si="92"/>
        <v>188.80444043778022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-1.7053025658242404E-13</v>
      </c>
      <c r="BZ124" s="14">
        <f>BY124*VLOOKUP('Données projet'!$B$12,Paramètres!$A$1:$I$89,3,0)*VLOOKUP('Données projet'!$B$12,Paramètres!$A$1:$I$89,5,0)</f>
        <v>-1.4897523215040567E-13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202.86354781280403</v>
      </c>
      <c r="CE124" s="60">
        <f t="shared" si="94"/>
        <v>217.25323885665131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4.4337866711430253E-14</v>
      </c>
      <c r="CV124" s="14">
        <f t="shared" si="95"/>
        <v>7.3222115536967035E-13</v>
      </c>
      <c r="CW124" s="22">
        <f t="shared" si="67"/>
        <v>1.3525069634579169E-12</v>
      </c>
      <c r="CX124" s="60">
        <f t="shared" si="68"/>
        <v>293.33333333333468</v>
      </c>
      <c r="CY124" s="60">
        <f ca="1">AVERAGE(OFFSET($CX$3,0,0,'Données projet'!$E$13+1,1))-AVERAGE(OFFSET($H$3,0,0,'Données projet'!$E$13+1,1))</f>
        <v>288.82868507674738</v>
      </c>
      <c r="CZ124" s="60">
        <f t="shared" si="96"/>
        <v>283.48738729114024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274.3999999999993</v>
      </c>
      <c r="O125" s="14">
        <f>N125*VLOOKUP('Données projet'!$B$9,Paramètres!$A$1:$I$89,3,0)*VLOOKUP('Données projet'!$B$9,Paramètres!$A$1:$I$89,5,0)</f>
        <v>231.15455999999941</v>
      </c>
      <c r="P125" s="14">
        <f t="shared" si="87"/>
        <v>56.532251598510385</v>
      </c>
      <c r="Q125" s="22">
        <f t="shared" si="107"/>
        <v>501.05453020073787</v>
      </c>
      <c r="R125" s="60">
        <f t="shared" si="55"/>
        <v>794.38786353407113</v>
      </c>
      <c r="S125" s="60">
        <f ca="1">AVERAGE(OFFSET($R$3,0,0,'Données projet'!$E$9+1,1))-AVERAGE(OFFSET($H$3,0,0,'Données projet'!$E$9+1,1))</f>
        <v>402.79698021419853</v>
      </c>
      <c r="T125" s="60">
        <f t="shared" si="88"/>
        <v>218.26721063098552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4.2</v>
      </c>
      <c r="AI125" s="14">
        <f>IF('Données projet'!$A$62&gt;35,AI124+AH125-AQ124,IF(A125&lt;'Données projet'!$A$62,$AF$205^A125,IF(A125='Données projet'!$A$62,'Données projet'!$B$62,AI124+AH125-AQ124)))</f>
        <v>337.39999999999981</v>
      </c>
      <c r="AJ125" s="14">
        <f>AI125*VLOOKUP('Données projet'!$B$10,Paramètres!$A$1:$I$89,3,0)*VLOOKUP('Données projet'!$B$10,Paramètres!$A$1:$I$89,5,0)</f>
        <v>289.48919999999987</v>
      </c>
      <c r="AK125" s="14">
        <f t="shared" si="89"/>
        <v>68.968443300291085</v>
      </c>
      <c r="AL125" s="22">
        <f t="shared" si="58"/>
        <v>624.31372874800661</v>
      </c>
      <c r="AM125" s="60">
        <f t="shared" si="59"/>
        <v>917.64706208133998</v>
      </c>
      <c r="AN125" s="60">
        <f ca="1">AVERAGE(OFFSET($AM$3,0,0,'Données projet'!$E$10+1,1))-AVERAGE(OFFSET($H$3,0,0,'Données projet'!$E$10+1,1))</f>
        <v>440.51611312502263</v>
      </c>
      <c r="AO125" s="60">
        <f t="shared" si="90"/>
        <v>176.81257896138806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-1.9895196601282805E-13</v>
      </c>
      <c r="BE125" s="14">
        <f>BD125*VLOOKUP('Données projet'!$B$11,Paramètres!$A$1:$I$89,3,0)*VLOOKUP('Données projet'!$B$11,Paramètres!$A$1:$I$89,5,0)</f>
        <v>-1.6138983482960614E-13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236.22643401787644</v>
      </c>
      <c r="BJ125" s="60">
        <f t="shared" si="92"/>
        <v>188.80444043778022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-1.7053025658242404E-13</v>
      </c>
      <c r="BZ125" s="14">
        <f>BY125*VLOOKUP('Données projet'!$B$12,Paramètres!$A$1:$I$89,3,0)*VLOOKUP('Données projet'!$B$12,Paramètres!$A$1:$I$89,5,0)</f>
        <v>-1.4897523215040567E-13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202.86354781280403</v>
      </c>
      <c r="CE125" s="60">
        <f t="shared" si="94"/>
        <v>217.25323885665131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4.4337866711430253E-14</v>
      </c>
      <c r="CV125" s="14">
        <f t="shared" si="95"/>
        <v>7.3222115536967035E-13</v>
      </c>
      <c r="CW125" s="22">
        <f t="shared" si="67"/>
        <v>1.3525069634579169E-12</v>
      </c>
      <c r="CX125" s="60">
        <f t="shared" si="68"/>
        <v>293.33333333333468</v>
      </c>
      <c r="CY125" s="60">
        <f ca="1">AVERAGE(OFFSET($CX$3,0,0,'Données projet'!$E$13+1,1))-AVERAGE(OFFSET($H$3,0,0,'Données projet'!$E$13+1,1))</f>
        <v>288.82868507674738</v>
      </c>
      <c r="CZ125" s="60">
        <f t="shared" si="96"/>
        <v>283.48738729114024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277.59999999999928</v>
      </c>
      <c r="O126" s="14">
        <f>N126*VLOOKUP('Données projet'!$B$9,Paramètres!$A$1:$I$89,3,0)*VLOOKUP('Données projet'!$B$9,Paramètres!$A$1:$I$89,5,0)</f>
        <v>233.85023999999942</v>
      </c>
      <c r="P126" s="14">
        <f t="shared" si="87"/>
        <v>57.114387348136688</v>
      </c>
      <c r="Q126" s="22">
        <f t="shared" si="107"/>
        <v>506.76339263133701</v>
      </c>
      <c r="R126" s="60">
        <f t="shared" si="55"/>
        <v>800.09672596467033</v>
      </c>
      <c r="S126" s="60">
        <f ca="1">AVERAGE(OFFSET($R$3,0,0,'Données projet'!$E$9+1,1))-AVERAGE(OFFSET($H$3,0,0,'Données projet'!$E$9+1,1))</f>
        <v>402.79698021419853</v>
      </c>
      <c r="T126" s="60">
        <f t="shared" si="88"/>
        <v>218.26721063098552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4.2</v>
      </c>
      <c r="AI126" s="14">
        <f>IF('Données projet'!$A$62&gt;35,AI125+AH126-AQ125,IF(A126&lt;'Données projet'!$A$62,$AF$205^A126,IF(A126='Données projet'!$A$62,'Données projet'!$B$62,AI125+AH126-AQ125)))</f>
        <v>341.5999999999998</v>
      </c>
      <c r="AJ126" s="14">
        <f>AI126*VLOOKUP('Données projet'!$B$10,Paramètres!$A$1:$I$89,3,0)*VLOOKUP('Données projet'!$B$10,Paramètres!$A$1:$I$89,5,0)</f>
        <v>293.0927999999999</v>
      </c>
      <c r="AK126" s="14">
        <f t="shared" si="89"/>
        <v>69.726491882249377</v>
      </c>
      <c r="AL126" s="22">
        <f t="shared" si="58"/>
        <v>631.91026669491748</v>
      </c>
      <c r="AM126" s="60">
        <f t="shared" si="59"/>
        <v>925.24360002825074</v>
      </c>
      <c r="AN126" s="60">
        <f ca="1">AVERAGE(OFFSET($AM$3,0,0,'Données projet'!$E$10+1,1))-AVERAGE(OFFSET($H$3,0,0,'Données projet'!$E$10+1,1))</f>
        <v>440.51611312502263</v>
      </c>
      <c r="AO126" s="60">
        <f t="shared" si="90"/>
        <v>176.81257896138806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-1.9895196601282805E-13</v>
      </c>
      <c r="BE126" s="14">
        <f>BD126*VLOOKUP('Données projet'!$B$11,Paramètres!$A$1:$I$89,3,0)*VLOOKUP('Données projet'!$B$11,Paramètres!$A$1:$I$89,5,0)</f>
        <v>-1.6138983482960614E-13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236.22643401787644</v>
      </c>
      <c r="BJ126" s="60">
        <f t="shared" si="92"/>
        <v>188.80444043778022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-1.7053025658242404E-13</v>
      </c>
      <c r="BZ126" s="14">
        <f>BY126*VLOOKUP('Données projet'!$B$12,Paramètres!$A$1:$I$89,3,0)*VLOOKUP('Données projet'!$B$12,Paramètres!$A$1:$I$89,5,0)</f>
        <v>-1.4897523215040567E-13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202.86354781280403</v>
      </c>
      <c r="CE126" s="60">
        <f t="shared" si="94"/>
        <v>217.25323885665131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4.4337866711430253E-14</v>
      </c>
      <c r="CV126" s="14">
        <f t="shared" si="95"/>
        <v>7.3222115536967035E-13</v>
      </c>
      <c r="CW126" s="22">
        <f t="shared" si="67"/>
        <v>1.3525069634579169E-12</v>
      </c>
      <c r="CX126" s="60">
        <f t="shared" si="68"/>
        <v>293.33333333333468</v>
      </c>
      <c r="CY126" s="60">
        <f ca="1">AVERAGE(OFFSET($CX$3,0,0,'Données projet'!$E$13+1,1))-AVERAGE(OFFSET($H$3,0,0,'Données projet'!$E$13+1,1))</f>
        <v>288.82868507674738</v>
      </c>
      <c r="CZ126" s="60">
        <f t="shared" si="96"/>
        <v>283.48738729114024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280.79999999999927</v>
      </c>
      <c r="O127" s="14">
        <f>N127*VLOOKUP('Données projet'!$B$9,Paramètres!$A$1:$I$89,3,0)*VLOOKUP('Données projet'!$B$9,Paramètres!$A$1:$I$89,5,0)</f>
        <v>236.5459199999994</v>
      </c>
      <c r="P127" s="14">
        <f t="shared" si="87"/>
        <v>57.695742501250876</v>
      </c>
      <c r="Q127" s="22">
        <f t="shared" si="107"/>
        <v>512.47089552301088</v>
      </c>
      <c r="R127" s="60">
        <f t="shared" si="55"/>
        <v>805.80422885634425</v>
      </c>
      <c r="S127" s="60">
        <f ca="1">AVERAGE(OFFSET($R$3,0,0,'Données projet'!$E$9+1,1))-AVERAGE(OFFSET($H$3,0,0,'Données projet'!$E$9+1,1))</f>
        <v>402.79698021419853</v>
      </c>
      <c r="T127" s="60">
        <f t="shared" si="88"/>
        <v>218.26721063098552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4.2</v>
      </c>
      <c r="AI127" s="14">
        <f>IF('Données projet'!$A$62&gt;35,AI126+AH127-AQ126,IF(A127&lt;'Données projet'!$A$62,$AF$205^A127,IF(A127='Données projet'!$A$62,'Données projet'!$B$62,AI126+AH127-AQ126)))</f>
        <v>345.79999999999978</v>
      </c>
      <c r="AJ127" s="14">
        <f>AI127*VLOOKUP('Données projet'!$B$10,Paramètres!$A$1:$I$89,3,0)*VLOOKUP('Données projet'!$B$10,Paramètres!$A$1:$I$89,5,0)</f>
        <v>296.69639999999981</v>
      </c>
      <c r="AK127" s="14">
        <f t="shared" si="89"/>
        <v>70.48345633189993</v>
      </c>
      <c r="AL127" s="22">
        <f t="shared" si="58"/>
        <v>639.50491644472538</v>
      </c>
      <c r="AM127" s="60">
        <f t="shared" si="59"/>
        <v>932.83824977805875</v>
      </c>
      <c r="AN127" s="60">
        <f ca="1">AVERAGE(OFFSET($AM$3,0,0,'Données projet'!$E$10+1,1))-AVERAGE(OFFSET($H$3,0,0,'Données projet'!$E$10+1,1))</f>
        <v>440.51611312502263</v>
      </c>
      <c r="AO127" s="60">
        <f t="shared" si="90"/>
        <v>176.81257896138806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-1.9895196601282805E-13</v>
      </c>
      <c r="BE127" s="14">
        <f>BD127*VLOOKUP('Données projet'!$B$11,Paramètres!$A$1:$I$89,3,0)*VLOOKUP('Données projet'!$B$11,Paramètres!$A$1:$I$89,5,0)</f>
        <v>-1.6138983482960614E-13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236.22643401787644</v>
      </c>
      <c r="BJ127" s="60">
        <f t="shared" si="92"/>
        <v>188.80444043778022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-1.7053025658242404E-13</v>
      </c>
      <c r="BZ127" s="14">
        <f>BY127*VLOOKUP('Données projet'!$B$12,Paramètres!$A$1:$I$89,3,0)*VLOOKUP('Données projet'!$B$12,Paramètres!$A$1:$I$89,5,0)</f>
        <v>-1.4897523215040567E-13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202.86354781280403</v>
      </c>
      <c r="CE127" s="60">
        <f t="shared" si="94"/>
        <v>217.25323885665131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4.4337866711430253E-14</v>
      </c>
      <c r="CV127" s="14">
        <f t="shared" si="95"/>
        <v>7.3222115536967035E-13</v>
      </c>
      <c r="CW127" s="22">
        <f t="shared" si="67"/>
        <v>1.3525069634579169E-12</v>
      </c>
      <c r="CX127" s="60">
        <f t="shared" si="68"/>
        <v>293.33333333333468</v>
      </c>
      <c r="CY127" s="60">
        <f ca="1">AVERAGE(OFFSET($CX$3,0,0,'Données projet'!$E$13+1,1))-AVERAGE(OFFSET($H$3,0,0,'Données projet'!$E$13+1,1))</f>
        <v>288.82868507674738</v>
      </c>
      <c r="CZ127" s="60">
        <f t="shared" si="96"/>
        <v>283.48738729114024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283.99999999999926</v>
      </c>
      <c r="O128" s="14">
        <f>N128*VLOOKUP('Données projet'!$B$9,Paramètres!$A$1:$I$89,3,0)*VLOOKUP('Données projet'!$B$9,Paramètres!$A$1:$I$89,5,0)</f>
        <v>239.24159999999941</v>
      </c>
      <c r="P128" s="14">
        <f t="shared" si="87"/>
        <v>58.276326982845731</v>
      </c>
      <c r="Q128" s="22">
        <f t="shared" si="107"/>
        <v>518.17705616178853</v>
      </c>
      <c r="R128" s="60">
        <f t="shared" si="55"/>
        <v>811.5103894951219</v>
      </c>
      <c r="S128" s="60">
        <f ca="1">AVERAGE(OFFSET($R$3,0,0,'Données projet'!$E$9+1,1))-AVERAGE(OFFSET($H$3,0,0,'Données projet'!$E$9+1,1))</f>
        <v>402.79698021419853</v>
      </c>
      <c r="T128" s="60">
        <f t="shared" si="88"/>
        <v>218.26721063098552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4.2</v>
      </c>
      <c r="AI128" s="14">
        <f>IF('Données projet'!$A$62&gt;35,AI127+AH128-AQ127,IF(A128&lt;'Données projet'!$A$62,$AF$205^A128,IF(A128='Données projet'!$A$62,'Données projet'!$B$62,AI127+AH128-AQ127)))</f>
        <v>349.99999999999977</v>
      </c>
      <c r="AJ128" s="14">
        <f>AI128*VLOOKUP('Données projet'!$B$10,Paramètres!$A$1:$I$89,3,0)*VLOOKUP('Données projet'!$B$10,Paramètres!$A$1:$I$89,5,0)</f>
        <v>300.29999999999984</v>
      </c>
      <c r="AK128" s="14">
        <f t="shared" si="89"/>
        <v>71.239351339890092</v>
      </c>
      <c r="AL128" s="22">
        <f t="shared" si="58"/>
        <v>647.09770358364165</v>
      </c>
      <c r="AM128" s="60">
        <f t="shared" si="59"/>
        <v>940.43103691697502</v>
      </c>
      <c r="AN128" s="60">
        <f ca="1">AVERAGE(OFFSET($AM$3,0,0,'Données projet'!$E$10+1,1))-AVERAGE(OFFSET($H$3,0,0,'Données projet'!$E$10+1,1))</f>
        <v>440.51611312502263</v>
      </c>
      <c r="AO128" s="60">
        <f t="shared" si="90"/>
        <v>176.81257896138806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-1.9895196601282805E-13</v>
      </c>
      <c r="BE128" s="14">
        <f>BD128*VLOOKUP('Données projet'!$B$11,Paramètres!$A$1:$I$89,3,0)*VLOOKUP('Données projet'!$B$11,Paramètres!$A$1:$I$89,5,0)</f>
        <v>-1.6138983482960614E-13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236.22643401787644</v>
      </c>
      <c r="BJ128" s="60">
        <f t="shared" si="92"/>
        <v>188.80444043778022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-1.7053025658242404E-13</v>
      </c>
      <c r="BZ128" s="14">
        <f>BY128*VLOOKUP('Données projet'!$B$12,Paramètres!$A$1:$I$89,3,0)*VLOOKUP('Données projet'!$B$12,Paramètres!$A$1:$I$89,5,0)</f>
        <v>-1.4897523215040567E-13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202.86354781280403</v>
      </c>
      <c r="CE128" s="60">
        <f t="shared" si="94"/>
        <v>217.25323885665131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4.4337866711430253E-14</v>
      </c>
      <c r="CV128" s="14">
        <f t="shared" si="95"/>
        <v>7.3222115536967035E-13</v>
      </c>
      <c r="CW128" s="22">
        <f t="shared" si="67"/>
        <v>1.3525069634579169E-12</v>
      </c>
      <c r="CX128" s="60">
        <f t="shared" si="68"/>
        <v>293.33333333333468</v>
      </c>
      <c r="CY128" s="60">
        <f ca="1">AVERAGE(OFFSET($CX$3,0,0,'Données projet'!$E$13+1,1))-AVERAGE(OFFSET($H$3,0,0,'Données projet'!$E$13+1,1))</f>
        <v>288.82868507674738</v>
      </c>
      <c r="CZ128" s="60">
        <f t="shared" si="96"/>
        <v>283.48738729114024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287.19999999999925</v>
      </c>
      <c r="O129" s="14">
        <f>N129*VLOOKUP('Données projet'!$B$9,Paramètres!$A$1:$I$89,3,0)*VLOOKUP('Données projet'!$B$9,Paramètres!$A$1:$I$89,5,0)</f>
        <v>241.93727999999939</v>
      </c>
      <c r="P129" s="14">
        <f t="shared" si="87"/>
        <v>58.85615048137516</v>
      </c>
      <c r="Q129" s="22">
        <f t="shared" si="107"/>
        <v>523.88189142172735</v>
      </c>
      <c r="R129" s="60">
        <f t="shared" si="55"/>
        <v>817.21522475506072</v>
      </c>
      <c r="S129" s="60">
        <f ca="1">AVERAGE(OFFSET($R$3,0,0,'Données projet'!$E$9+1,1))-AVERAGE(OFFSET($H$3,0,0,'Données projet'!$E$9+1,1))</f>
        <v>402.79698021419853</v>
      </c>
      <c r="T129" s="60">
        <f t="shared" si="88"/>
        <v>218.26721063098552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4.2</v>
      </c>
      <c r="AI129" s="14">
        <f>IF('Données projet'!$A$62&gt;35,AI128+AH129-AQ128,IF(A129&lt;'Données projet'!$A$62,$AF$205^A129,IF(A129='Données projet'!$A$62,'Données projet'!$B$62,AI128+AH129-AQ128)))</f>
        <v>354.19999999999976</v>
      </c>
      <c r="AJ129" s="14">
        <f>AI129*VLOOKUP('Données projet'!$B$10,Paramètres!$A$1:$I$89,3,0)*VLOOKUP('Données projet'!$B$10,Paramètres!$A$1:$I$89,5,0)</f>
        <v>303.90359999999981</v>
      </c>
      <c r="AK129" s="14">
        <f t="shared" si="89"/>
        <v>71.994191224005519</v>
      </c>
      <c r="AL129" s="22">
        <f t="shared" si="58"/>
        <v>654.68865304847589</v>
      </c>
      <c r="AM129" s="60">
        <f t="shared" si="59"/>
        <v>948.02198638180926</v>
      </c>
      <c r="AN129" s="60">
        <f ca="1">AVERAGE(OFFSET($AM$3,0,0,'Données projet'!$E$10+1,1))-AVERAGE(OFFSET($H$3,0,0,'Données projet'!$E$10+1,1))</f>
        <v>440.51611312502263</v>
      </c>
      <c r="AO129" s="60">
        <f t="shared" si="90"/>
        <v>176.81257896138806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-1.9895196601282805E-13</v>
      </c>
      <c r="BE129" s="14">
        <f>BD129*VLOOKUP('Données projet'!$B$11,Paramètres!$A$1:$I$89,3,0)*VLOOKUP('Données projet'!$B$11,Paramètres!$A$1:$I$89,5,0)</f>
        <v>-1.6138983482960614E-13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236.22643401787644</v>
      </c>
      <c r="BJ129" s="60">
        <f t="shared" si="92"/>
        <v>188.80444043778022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-1.7053025658242404E-13</v>
      </c>
      <c r="BZ129" s="14">
        <f>BY129*VLOOKUP('Données projet'!$B$12,Paramètres!$A$1:$I$89,3,0)*VLOOKUP('Données projet'!$B$12,Paramètres!$A$1:$I$89,5,0)</f>
        <v>-1.4897523215040567E-13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202.86354781280403</v>
      </c>
      <c r="CE129" s="60">
        <f t="shared" si="94"/>
        <v>217.25323885665131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4.4337866711430253E-14</v>
      </c>
      <c r="CV129" s="14">
        <f t="shared" si="95"/>
        <v>7.3222115536967035E-13</v>
      </c>
      <c r="CW129" s="22">
        <f t="shared" si="67"/>
        <v>1.3525069634579169E-12</v>
      </c>
      <c r="CX129" s="60">
        <f t="shared" si="68"/>
        <v>293.33333333333468</v>
      </c>
      <c r="CY129" s="60">
        <f ca="1">AVERAGE(OFFSET($CX$3,0,0,'Données projet'!$E$13+1,1))-AVERAGE(OFFSET($H$3,0,0,'Données projet'!$E$13+1,1))</f>
        <v>288.82868507674738</v>
      </c>
      <c r="CZ129" s="60">
        <f t="shared" si="96"/>
        <v>283.48738729114024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290.39999999999924</v>
      </c>
      <c r="O130" s="14">
        <f>N130*VLOOKUP('Données projet'!$B$9,Paramètres!$A$1:$I$89,3,0)*VLOOKUP('Données projet'!$B$9,Paramètres!$A$1:$I$89,5,0)</f>
        <v>244.6329599999994</v>
      </c>
      <c r="P130" s="14">
        <f t="shared" si="87"/>
        <v>59.435222456963132</v>
      </c>
      <c r="Q130" s="22">
        <f t="shared" si="107"/>
        <v>529.58541777920971</v>
      </c>
      <c r="R130" s="60">
        <f t="shared" si="55"/>
        <v>822.91875111254308</v>
      </c>
      <c r="S130" s="60">
        <f ca="1">AVERAGE(OFFSET($R$3,0,0,'Données projet'!$E$9+1,1))-AVERAGE(OFFSET($H$3,0,0,'Données projet'!$E$9+1,1))</f>
        <v>402.79698021419853</v>
      </c>
      <c r="T130" s="60">
        <f t="shared" si="88"/>
        <v>218.26721063098552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4.2</v>
      </c>
      <c r="AI130" s="14">
        <f>IF('Données projet'!$A$62&gt;35,AI129+AH130-AQ129,IF(A130&lt;'Données projet'!$A$62,$AF$205^A130,IF(A130='Données projet'!$A$62,'Données projet'!$B$62,AI129+AH130-AQ129)))</f>
        <v>358.39999999999975</v>
      </c>
      <c r="AJ130" s="14">
        <f>AI130*VLOOKUP('Données projet'!$B$10,Paramètres!$A$1:$I$89,3,0)*VLOOKUP('Données projet'!$B$10,Paramètres!$A$1:$I$89,5,0)</f>
        <v>307.50719999999984</v>
      </c>
      <c r="AK130" s="14">
        <f t="shared" si="89"/>
        <v>72.747989942940393</v>
      </c>
      <c r="AL130" s="22">
        <f t="shared" si="58"/>
        <v>662.27778915062083</v>
      </c>
      <c r="AM130" s="60">
        <f t="shared" si="59"/>
        <v>955.6111224839542</v>
      </c>
      <c r="AN130" s="60">
        <f ca="1">AVERAGE(OFFSET($AM$3,0,0,'Données projet'!$E$10+1,1))-AVERAGE(OFFSET($H$3,0,0,'Données projet'!$E$10+1,1))</f>
        <v>440.51611312502263</v>
      </c>
      <c r="AO130" s="60">
        <f t="shared" si="90"/>
        <v>176.81257896138806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-1.9895196601282805E-13</v>
      </c>
      <c r="BE130" s="14">
        <f>BD130*VLOOKUP('Données projet'!$B$11,Paramètres!$A$1:$I$89,3,0)*VLOOKUP('Données projet'!$B$11,Paramètres!$A$1:$I$89,5,0)</f>
        <v>-1.6138983482960614E-13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236.22643401787644</v>
      </c>
      <c r="BJ130" s="60">
        <f t="shared" si="92"/>
        <v>188.80444043778022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-1.7053025658242404E-13</v>
      </c>
      <c r="BZ130" s="14">
        <f>BY130*VLOOKUP('Données projet'!$B$12,Paramètres!$A$1:$I$89,3,0)*VLOOKUP('Données projet'!$B$12,Paramètres!$A$1:$I$89,5,0)</f>
        <v>-1.4897523215040567E-13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202.86354781280403</v>
      </c>
      <c r="CE130" s="60">
        <f t="shared" si="94"/>
        <v>217.25323885665131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4.4337866711430253E-14</v>
      </c>
      <c r="CV130" s="14">
        <f t="shared" si="95"/>
        <v>7.3222115536967035E-13</v>
      </c>
      <c r="CW130" s="22">
        <f t="shared" si="67"/>
        <v>1.3525069634579169E-12</v>
      </c>
      <c r="CX130" s="60">
        <f t="shared" si="68"/>
        <v>293.33333333333468</v>
      </c>
      <c r="CY130" s="60">
        <f ca="1">AVERAGE(OFFSET($CX$3,0,0,'Données projet'!$E$13+1,1))-AVERAGE(OFFSET($H$3,0,0,'Données projet'!$E$13+1,1))</f>
        <v>288.82868507674738</v>
      </c>
      <c r="CZ130" s="60">
        <f t="shared" si="96"/>
        <v>283.48738729114024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293.59999999999923</v>
      </c>
      <c r="O131" s="14">
        <f>N131*VLOOKUP('Données projet'!$B$9,Paramètres!$A$1:$I$89,3,0)*VLOOKUP('Données projet'!$B$9,Paramètres!$A$1:$I$89,5,0)</f>
        <v>247.32863999999935</v>
      </c>
      <c r="P131" s="14">
        <f t="shared" si="87"/>
        <v>60.013552149240311</v>
      </c>
      <c r="Q131" s="22">
        <f t="shared" ref="Q131:Q153" si="108">(O131+P131)*0.475*44/12</f>
        <v>535.28765132659248</v>
      </c>
      <c r="R131" s="60">
        <f t="shared" ref="R131:R194" si="109">Q131+(I131+J131)*44/12</f>
        <v>828.62098465992585</v>
      </c>
      <c r="S131" s="60">
        <f ca="1">AVERAGE(OFFSET($R$3,0,0,'Données projet'!$E$9+1,1))-AVERAGE(OFFSET($H$3,0,0,'Données projet'!$E$9+1,1))</f>
        <v>402.79698021419853</v>
      </c>
      <c r="T131" s="60">
        <f t="shared" si="88"/>
        <v>218.26721063098552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4.2</v>
      </c>
      <c r="AI131" s="14">
        <f>IF('Données projet'!$A$62&gt;35,AI130+AH131-AQ130,IF(A131&lt;'Données projet'!$A$62,$AF$205^A131,IF(A131='Données projet'!$A$62,'Données projet'!$B$62,AI130+AH131-AQ130)))</f>
        <v>362.59999999999974</v>
      </c>
      <c r="AJ131" s="14">
        <f>AI131*VLOOKUP('Données projet'!$B$10,Paramètres!$A$1:$I$89,3,0)*VLOOKUP('Données projet'!$B$10,Paramètres!$A$1:$I$89,5,0)</f>
        <v>311.11079999999981</v>
      </c>
      <c r="AK131" s="14">
        <f t="shared" si="89"/>
        <v>73.500761109403982</v>
      </c>
      <c r="AL131" s="22">
        <f t="shared" si="58"/>
        <v>669.86513559887817</v>
      </c>
      <c r="AM131" s="60">
        <f t="shared" si="59"/>
        <v>963.19846893221143</v>
      </c>
      <c r="AN131" s="60">
        <f ca="1">AVERAGE(OFFSET($AM$3,0,0,'Données projet'!$E$10+1,1))-AVERAGE(OFFSET($H$3,0,0,'Données projet'!$E$10+1,1))</f>
        <v>440.51611312502263</v>
      </c>
      <c r="AO131" s="60">
        <f t="shared" si="90"/>
        <v>176.81257896138806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-1.9895196601282805E-13</v>
      </c>
      <c r="BE131" s="14">
        <f>BD131*VLOOKUP('Données projet'!$B$11,Paramètres!$A$1:$I$89,3,0)*VLOOKUP('Données projet'!$B$11,Paramètres!$A$1:$I$89,5,0)</f>
        <v>-1.6138983482960614E-13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236.22643401787644</v>
      </c>
      <c r="BJ131" s="60">
        <f t="shared" si="92"/>
        <v>188.80444043778022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-1.7053025658242404E-13</v>
      </c>
      <c r="BZ131" s="14">
        <f>BY131*VLOOKUP('Données projet'!$B$12,Paramètres!$A$1:$I$89,3,0)*VLOOKUP('Données projet'!$B$12,Paramètres!$A$1:$I$89,5,0)</f>
        <v>-1.4897523215040567E-13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202.86354781280403</v>
      </c>
      <c r="CE131" s="60">
        <f t="shared" si="94"/>
        <v>217.25323885665131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4.4337866711430253E-14</v>
      </c>
      <c r="CV131" s="14">
        <f t="shared" si="95"/>
        <v>7.3222115536967035E-13</v>
      </c>
      <c r="CW131" s="22">
        <f t="shared" si="67"/>
        <v>1.3525069634579169E-12</v>
      </c>
      <c r="CX131" s="60">
        <f t="shared" si="68"/>
        <v>293.33333333333468</v>
      </c>
      <c r="CY131" s="60">
        <f ca="1">AVERAGE(OFFSET($CX$3,0,0,'Données projet'!$E$13+1,1))-AVERAGE(OFFSET($H$3,0,0,'Données projet'!$E$13+1,1))</f>
        <v>288.82868507674738</v>
      </c>
      <c r="CZ131" s="60">
        <f t="shared" si="96"/>
        <v>283.48738729114024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296.79999999999922</v>
      </c>
      <c r="O132" s="14">
        <f>N132*VLOOKUP('Données projet'!$B$9,Paramètres!$A$1:$I$89,3,0)*VLOOKUP('Données projet'!$B$9,Paramètres!$A$1:$I$89,5,0)</f>
        <v>250.02431999999936</v>
      </c>
      <c r="P132" s="14">
        <f t="shared" si="87"/>
        <v>60.591148584829099</v>
      </c>
      <c r="Q132" s="22">
        <f t="shared" si="108"/>
        <v>540.98860778524295</v>
      </c>
      <c r="R132" s="60">
        <f t="shared" si="109"/>
        <v>834.32194111857621</v>
      </c>
      <c r="S132" s="60">
        <f ca="1">AVERAGE(OFFSET($R$3,0,0,'Données projet'!$E$9+1,1))-AVERAGE(OFFSET($H$3,0,0,'Données projet'!$E$9+1,1))</f>
        <v>402.79698021419853</v>
      </c>
      <c r="T132" s="60">
        <f t="shared" si="88"/>
        <v>218.26721063098552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4.2</v>
      </c>
      <c r="AI132" s="14">
        <f>IF('Données projet'!$A$62&gt;35,AI131+AH132-AQ131,IF(A132&lt;'Données projet'!$A$62,$AF$205^A132,IF(A132='Données projet'!$A$62,'Données projet'!$B$62,AI131+AH132-AQ131)))</f>
        <v>366.79999999999973</v>
      </c>
      <c r="AJ132" s="14">
        <f>AI132*VLOOKUP('Données projet'!$B$10,Paramètres!$A$1:$I$89,3,0)*VLOOKUP('Données projet'!$B$10,Paramètres!$A$1:$I$89,5,0)</f>
        <v>314.71439999999978</v>
      </c>
      <c r="AK132" s="14">
        <f t="shared" si="89"/>
        <v>74.252518002602443</v>
      </c>
      <c r="AL132" s="22">
        <f t="shared" ref="AL132:AL153" si="112">(AJ132+AK132)*0.475*44/12</f>
        <v>677.45071552119896</v>
      </c>
      <c r="AM132" s="60">
        <f t="shared" ref="AM132:AM195" si="113">AL132+(AD132+AE132)*44/12</f>
        <v>970.78404885453233</v>
      </c>
      <c r="AN132" s="60">
        <f ca="1">AVERAGE(OFFSET($AM$3,0,0,'Données projet'!$E$10+1,1))-AVERAGE(OFFSET($H$3,0,0,'Données projet'!$E$10+1,1))</f>
        <v>440.51611312502263</v>
      </c>
      <c r="AO132" s="60">
        <f t="shared" si="90"/>
        <v>176.81257896138806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-1.9895196601282805E-13</v>
      </c>
      <c r="BE132" s="14">
        <f>BD132*VLOOKUP('Données projet'!$B$11,Paramètres!$A$1:$I$89,3,0)*VLOOKUP('Données projet'!$B$11,Paramètres!$A$1:$I$89,5,0)</f>
        <v>-1.6138983482960614E-13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236.22643401787644</v>
      </c>
      <c r="BJ132" s="60">
        <f t="shared" si="92"/>
        <v>188.80444043778022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-1.7053025658242404E-13</v>
      </c>
      <c r="BZ132" s="14">
        <f>BY132*VLOOKUP('Données projet'!$B$12,Paramètres!$A$1:$I$89,3,0)*VLOOKUP('Données projet'!$B$12,Paramètres!$A$1:$I$89,5,0)</f>
        <v>-1.4897523215040567E-13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202.86354781280403</v>
      </c>
      <c r="CE132" s="60">
        <f t="shared" si="94"/>
        <v>217.25323885665131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4.4337866711430253E-14</v>
      </c>
      <c r="CV132" s="14">
        <f t="shared" si="95"/>
        <v>7.3222115536967035E-13</v>
      </c>
      <c r="CW132" s="22">
        <f t="shared" ref="CW132:CW153" si="121">(CU132+CV132)*0.475*44/12</f>
        <v>1.3525069634579169E-12</v>
      </c>
      <c r="CX132" s="60">
        <f t="shared" ref="CX132:CX195" si="122">CW132+(CO132+CP132)*44/12</f>
        <v>293.33333333333468</v>
      </c>
      <c r="CY132" s="60">
        <f ca="1">AVERAGE(OFFSET($CX$3,0,0,'Données projet'!$E$13+1,1))-AVERAGE(OFFSET($H$3,0,0,'Données projet'!$E$13+1,1))</f>
        <v>288.82868507674738</v>
      </c>
      <c r="CZ132" s="60">
        <f t="shared" si="96"/>
        <v>283.48738729114024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299.9999999999992</v>
      </c>
      <c r="O133" s="14">
        <f>N133*VLOOKUP('Données projet'!$B$9,Paramètres!$A$1:$I$89,3,0)*VLOOKUP('Données projet'!$B$9,Paramètres!$A$1:$I$89,5,0)</f>
        <v>252.71999999999935</v>
      </c>
      <c r="P133" s="14">
        <f t="shared" ref="P133:P196" si="141">EXP(-1.0587+0.8836*LN(O133)+0.284)</f>
        <v>61.168020584496716</v>
      </c>
      <c r="Q133" s="22">
        <f t="shared" si="108"/>
        <v>546.68830251799727</v>
      </c>
      <c r="R133" s="60">
        <f t="shared" si="109"/>
        <v>840.02163585133053</v>
      </c>
      <c r="S133" s="60">
        <f ca="1">AVERAGE(OFFSET($R$3,0,0,'Données projet'!$E$9+1,1))-AVERAGE(OFFSET($H$3,0,0,'Données projet'!$E$9+1,1))</f>
        <v>402.79698021419853</v>
      </c>
      <c r="T133" s="60">
        <f t="shared" ref="T133:T196" si="142">$T$3</f>
        <v>218.26721063098552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371</v>
      </c>
      <c r="AG133" s="13">
        <f>VLOOKUP(A133,'Données projet'!$A$61:$I$81,9,0)</f>
        <v>4.2</v>
      </c>
      <c r="AH133" s="13">
        <f t="array" ref="AH133">INDEX(AG:AG,MIN(IF(ISNUMBER(AG133:AG329),ROW(AG133:AG329),"")))</f>
        <v>4.2</v>
      </c>
      <c r="AI133" s="14">
        <f>IF('Données projet'!$A$62&gt;35,AI132+AH133-AQ132,IF(A133&lt;'Données projet'!$A$62,$AF$205^A133,IF(A133='Données projet'!$A$62,'Données projet'!$B$62,AI132+AH133-AQ132)))</f>
        <v>370.99999999999972</v>
      </c>
      <c r="AJ133" s="14">
        <f>AI133*VLOOKUP('Données projet'!$B$10,Paramètres!$A$1:$I$89,3,0)*VLOOKUP('Données projet'!$B$10,Paramètres!$A$1:$I$89,5,0)</f>
        <v>318.31799999999981</v>
      </c>
      <c r="AK133" s="14">
        <f t="shared" ref="AK133:AK153" si="143">EXP(-1.0587+0.8836*LN(AJ133)+0.284)</f>
        <v>75.003273580132529</v>
      </c>
      <c r="AL133" s="22">
        <f t="shared" si="112"/>
        <v>685.03455148539717</v>
      </c>
      <c r="AM133" s="60">
        <f t="shared" si="113"/>
        <v>978.36788481873054</v>
      </c>
      <c r="AN133" s="60">
        <f ca="1">AVERAGE(OFFSET($AM$3,0,0,'Données projet'!$E$10+1,1))-AVERAGE(OFFSET($H$3,0,0,'Données projet'!$E$10+1,1))</f>
        <v>440.51611312502263</v>
      </c>
      <c r="AO133" s="60">
        <f t="shared" ref="AO133:AO196" si="144">$AO$3</f>
        <v>176.81257896138806</v>
      </c>
      <c r="AP133" s="16">
        <f>IF(ISNA(VLOOKUP(A133,'Données projet'!$A$61:$I$81,3,0)),0,VLOOKUP(A133,'Données projet'!$A$61:$I$81,3,0))</f>
        <v>10</v>
      </c>
      <c r="AQ133" s="16">
        <f>IF(ISNA(VLOOKUP(A133,'Données projet'!$A$61:$I$81,4,0)),0,VLOOKUP(A133,'Données projet'!$A$61:$I$81,4,0))</f>
        <v>32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-1.9895196601282805E-13</v>
      </c>
      <c r="BE133" s="14">
        <f>BD133*VLOOKUP('Données projet'!$B$11,Paramètres!$A$1:$I$89,3,0)*VLOOKUP('Données projet'!$B$11,Paramètres!$A$1:$I$89,5,0)</f>
        <v>-1.6138983482960614E-13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236.22643401787644</v>
      </c>
      <c r="BJ133" s="60">
        <f t="shared" ref="BJ133:BJ196" si="146">$BJ$3</f>
        <v>188.80444043778022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-1.7053025658242404E-13</v>
      </c>
      <c r="BZ133" s="14">
        <f>BY133*VLOOKUP('Données projet'!$B$12,Paramètres!$A$1:$I$89,3,0)*VLOOKUP('Données projet'!$B$12,Paramètres!$A$1:$I$89,5,0)</f>
        <v>-1.4897523215040567E-13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202.86354781280403</v>
      </c>
      <c r="CE133" s="60">
        <f t="shared" ref="CE133:CE196" si="148">$CE$3</f>
        <v>217.25323885665131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4.4337866711430253E-14</v>
      </c>
      <c r="CV133" s="14">
        <f t="shared" ref="CV133:CV153" si="149">EXP(-1.0587+0.8836*LN(CU133)+0.284)</f>
        <v>7.3222115536967035E-13</v>
      </c>
      <c r="CW133" s="22">
        <f t="shared" si="121"/>
        <v>1.3525069634579169E-12</v>
      </c>
      <c r="CX133" s="60">
        <f t="shared" si="122"/>
        <v>293.33333333333468</v>
      </c>
      <c r="CY133" s="60">
        <f ca="1">AVERAGE(OFFSET($CX$3,0,0,'Données projet'!$E$13+1,1))-AVERAGE(OFFSET($H$3,0,0,'Données projet'!$E$13+1,1))</f>
        <v>288.82868507674738</v>
      </c>
      <c r="CZ133" s="60">
        <f t="shared" ref="CZ133:CZ196" si="150">$CZ$3</f>
        <v>283.48738729114024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271.69999999999919</v>
      </c>
      <c r="O134" s="14">
        <f>N134*VLOOKUP('Données projet'!$B$9,Paramètres!$A$1:$I$89,3,0)*VLOOKUP('Données projet'!$B$9,Paramètres!$A$1:$I$89,5,0)</f>
        <v>228.88007999999934</v>
      </c>
      <c r="P134" s="14">
        <f t="shared" si="141"/>
        <v>56.04045989540807</v>
      </c>
      <c r="Q134" s="22">
        <f t="shared" si="108"/>
        <v>496.23660698450118</v>
      </c>
      <c r="R134" s="60">
        <f t="shared" si="109"/>
        <v>789.56994031783449</v>
      </c>
      <c r="S134" s="60">
        <f ca="1">AVERAGE(OFFSET($R$3,0,0,'Données projet'!$E$9+1,1))-AVERAGE(OFFSET($H$3,0,0,'Données projet'!$E$9+1,1))</f>
        <v>402.79698021419853</v>
      </c>
      <c r="T134" s="60">
        <f t="shared" si="142"/>
        <v>218.26721063098552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3.7</v>
      </c>
      <c r="AI134" s="14">
        <f>IF('Données projet'!$A$62&gt;35,AI133+AH134-AQ133,IF(A134&lt;'Données projet'!$A$62,$AF$205^A134,IF(A134='Données projet'!$A$62,'Données projet'!$B$62,AI133+AH134-AQ133)))</f>
        <v>342.6999999999997</v>
      </c>
      <c r="AJ134" s="14">
        <f>AI134*VLOOKUP('Données projet'!$B$10,Paramètres!$A$1:$I$89,3,0)*VLOOKUP('Données projet'!$B$10,Paramètres!$A$1:$I$89,5,0)</f>
        <v>294.03659999999974</v>
      </c>
      <c r="AK134" s="14">
        <f t="shared" si="143"/>
        <v>69.924848659373779</v>
      </c>
      <c r="AL134" s="22">
        <f t="shared" si="112"/>
        <v>633.89952308174213</v>
      </c>
      <c r="AM134" s="60">
        <f t="shared" si="113"/>
        <v>927.2328564150755</v>
      </c>
      <c r="AN134" s="60">
        <f ca="1">AVERAGE(OFFSET($AM$3,0,0,'Données projet'!$E$10+1,1))-AVERAGE(OFFSET($H$3,0,0,'Données projet'!$E$10+1,1))</f>
        <v>440.51611312502263</v>
      </c>
      <c r="AO134" s="60">
        <f t="shared" si="144"/>
        <v>176.81257896138806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-1.9895196601282805E-13</v>
      </c>
      <c r="BE134" s="14">
        <f>BD134*VLOOKUP('Données projet'!$B$11,Paramètres!$A$1:$I$89,3,0)*VLOOKUP('Données projet'!$B$11,Paramètres!$A$1:$I$89,5,0)</f>
        <v>-1.6138983482960614E-13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236.22643401787644</v>
      </c>
      <c r="BJ134" s="60">
        <f t="shared" si="146"/>
        <v>188.80444043778022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-1.7053025658242404E-13</v>
      </c>
      <c r="BZ134" s="14">
        <f>BY134*VLOOKUP('Données projet'!$B$12,Paramètres!$A$1:$I$89,3,0)*VLOOKUP('Données projet'!$B$12,Paramètres!$A$1:$I$89,5,0)</f>
        <v>-1.4897523215040567E-13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202.86354781280403</v>
      </c>
      <c r="CE134" s="60">
        <f t="shared" si="148"/>
        <v>217.25323885665131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4.4337866711430253E-14</v>
      </c>
      <c r="CV134" s="14">
        <f t="shared" si="149"/>
        <v>7.3222115536967035E-13</v>
      </c>
      <c r="CW134" s="22">
        <f t="shared" si="121"/>
        <v>1.3525069634579169E-12</v>
      </c>
      <c r="CX134" s="60">
        <f t="shared" si="122"/>
        <v>293.33333333333468</v>
      </c>
      <c r="CY134" s="60">
        <f ca="1">AVERAGE(OFFSET($CX$3,0,0,'Données projet'!$E$13+1,1))-AVERAGE(OFFSET($H$3,0,0,'Données projet'!$E$13+1,1))</f>
        <v>288.82868507674738</v>
      </c>
      <c r="CZ134" s="60">
        <f t="shared" si="150"/>
        <v>283.48738729114024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274.39999999999918</v>
      </c>
      <c r="O135" s="14">
        <f>N135*VLOOKUP('Données projet'!$B$9,Paramètres!$A$1:$I$89,3,0)*VLOOKUP('Données projet'!$B$9,Paramètres!$A$1:$I$89,5,0)</f>
        <v>231.15455999999932</v>
      </c>
      <c r="P135" s="14">
        <f t="shared" si="141"/>
        <v>56.532251598510385</v>
      </c>
      <c r="Q135" s="22">
        <f t="shared" si="108"/>
        <v>501.05453020073782</v>
      </c>
      <c r="R135" s="60">
        <f t="shared" si="109"/>
        <v>794.38786353407113</v>
      </c>
      <c r="S135" s="60">
        <f ca="1">AVERAGE(OFFSET($R$3,0,0,'Données projet'!$E$9+1,1))-AVERAGE(OFFSET($H$3,0,0,'Données projet'!$E$9+1,1))</f>
        <v>402.79698021419853</v>
      </c>
      <c r="T135" s="60">
        <f t="shared" si="142"/>
        <v>218.26721063098552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3.7</v>
      </c>
      <c r="AI135" s="14">
        <f>IF('Données projet'!$A$62&gt;35,AI134+AH135-AQ134,IF(A135&lt;'Données projet'!$A$62,$AF$205^A135,IF(A135='Données projet'!$A$62,'Données projet'!$B$62,AI134+AH135-AQ134)))</f>
        <v>346.39999999999969</v>
      </c>
      <c r="AJ135" s="14">
        <f>AI135*VLOOKUP('Données projet'!$B$10,Paramètres!$A$1:$I$89,3,0)*VLOOKUP('Données projet'!$B$10,Paramètres!$A$1:$I$89,5,0)</f>
        <v>297.21119999999974</v>
      </c>
      <c r="AK135" s="14">
        <f t="shared" si="143"/>
        <v>70.591506471146673</v>
      </c>
      <c r="AL135" s="22">
        <f t="shared" si="112"/>
        <v>640.58971377057992</v>
      </c>
      <c r="AM135" s="60">
        <f t="shared" si="113"/>
        <v>933.92304710391318</v>
      </c>
      <c r="AN135" s="60">
        <f ca="1">AVERAGE(OFFSET($AM$3,0,0,'Données projet'!$E$10+1,1))-AVERAGE(OFFSET($H$3,0,0,'Données projet'!$E$10+1,1))</f>
        <v>440.51611312502263</v>
      </c>
      <c r="AO135" s="60">
        <f t="shared" si="144"/>
        <v>176.81257896138806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-1.9895196601282805E-13</v>
      </c>
      <c r="BE135" s="14">
        <f>BD135*VLOOKUP('Données projet'!$B$11,Paramètres!$A$1:$I$89,3,0)*VLOOKUP('Données projet'!$B$11,Paramètres!$A$1:$I$89,5,0)</f>
        <v>-1.6138983482960614E-13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236.22643401787644</v>
      </c>
      <c r="BJ135" s="60">
        <f t="shared" si="146"/>
        <v>188.80444043778022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-1.7053025658242404E-13</v>
      </c>
      <c r="BZ135" s="14">
        <f>BY135*VLOOKUP('Données projet'!$B$12,Paramètres!$A$1:$I$89,3,0)*VLOOKUP('Données projet'!$B$12,Paramètres!$A$1:$I$89,5,0)</f>
        <v>-1.4897523215040567E-13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202.86354781280403</v>
      </c>
      <c r="CE135" s="60">
        <f t="shared" si="148"/>
        <v>217.25323885665131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4.4337866711430253E-14</v>
      </c>
      <c r="CV135" s="14">
        <f t="shared" si="149"/>
        <v>7.3222115536967035E-13</v>
      </c>
      <c r="CW135" s="22">
        <f t="shared" si="121"/>
        <v>1.3525069634579169E-12</v>
      </c>
      <c r="CX135" s="60">
        <f t="shared" si="122"/>
        <v>293.33333333333468</v>
      </c>
      <c r="CY135" s="60">
        <f ca="1">AVERAGE(OFFSET($CX$3,0,0,'Données projet'!$E$13+1,1))-AVERAGE(OFFSET($H$3,0,0,'Données projet'!$E$13+1,1))</f>
        <v>288.82868507674738</v>
      </c>
      <c r="CZ135" s="60">
        <f t="shared" si="150"/>
        <v>283.48738729114024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277.09999999999917</v>
      </c>
      <c r="O136" s="14">
        <f>N136*VLOOKUP('Données projet'!$B$9,Paramètres!$A$1:$I$89,3,0)*VLOOKUP('Données projet'!$B$9,Paramètres!$A$1:$I$89,5,0)</f>
        <v>233.42903999999933</v>
      </c>
      <c r="P136" s="14">
        <f t="shared" si="141"/>
        <v>57.023480348060033</v>
      </c>
      <c r="Q136" s="22">
        <f t="shared" si="108"/>
        <v>505.87147293953672</v>
      </c>
      <c r="R136" s="60">
        <f t="shared" si="109"/>
        <v>799.20480627286997</v>
      </c>
      <c r="S136" s="60">
        <f ca="1">AVERAGE(OFFSET($R$3,0,0,'Données projet'!$E$9+1,1))-AVERAGE(OFFSET($H$3,0,0,'Données projet'!$E$9+1,1))</f>
        <v>402.79698021419853</v>
      </c>
      <c r="T136" s="60">
        <f t="shared" si="142"/>
        <v>218.26721063098552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3.7</v>
      </c>
      <c r="AI136" s="14">
        <f>IF('Données projet'!$A$62&gt;35,AI135+AH136-AQ135,IF(A136&lt;'Données projet'!$A$62,$AF$205^A136,IF(A136='Données projet'!$A$62,'Données projet'!$B$62,AI135+AH136-AQ135)))</f>
        <v>350.09999999999968</v>
      </c>
      <c r="AJ136" s="14">
        <f>AI136*VLOOKUP('Données projet'!$B$10,Paramètres!$A$1:$I$89,3,0)*VLOOKUP('Données projet'!$B$10,Paramètres!$A$1:$I$89,5,0)</f>
        <v>300.38579999999973</v>
      </c>
      <c r="AK136" s="14">
        <f t="shared" si="143"/>
        <v>71.257335923957271</v>
      </c>
      <c r="AL136" s="22">
        <f t="shared" si="112"/>
        <v>647.27846173422506</v>
      </c>
      <c r="AM136" s="60">
        <f t="shared" si="113"/>
        <v>940.61179506755843</v>
      </c>
      <c r="AN136" s="60">
        <f ca="1">AVERAGE(OFFSET($AM$3,0,0,'Données projet'!$E$10+1,1))-AVERAGE(OFFSET($H$3,0,0,'Données projet'!$E$10+1,1))</f>
        <v>440.51611312502263</v>
      </c>
      <c r="AO136" s="60">
        <f t="shared" si="144"/>
        <v>176.81257896138806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-1.9895196601282805E-13</v>
      </c>
      <c r="BE136" s="14">
        <f>BD136*VLOOKUP('Données projet'!$B$11,Paramètres!$A$1:$I$89,3,0)*VLOOKUP('Données projet'!$B$11,Paramètres!$A$1:$I$89,5,0)</f>
        <v>-1.6138983482960614E-13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236.22643401787644</v>
      </c>
      <c r="BJ136" s="60">
        <f t="shared" si="146"/>
        <v>188.80444043778022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-1.7053025658242404E-13</v>
      </c>
      <c r="BZ136" s="14">
        <f>BY136*VLOOKUP('Données projet'!$B$12,Paramètres!$A$1:$I$89,3,0)*VLOOKUP('Données projet'!$B$12,Paramètres!$A$1:$I$89,5,0)</f>
        <v>-1.4897523215040567E-13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202.86354781280403</v>
      </c>
      <c r="CE136" s="60">
        <f t="shared" si="148"/>
        <v>217.25323885665131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4.4337866711430253E-14</v>
      </c>
      <c r="CV136" s="14">
        <f t="shared" si="149"/>
        <v>7.3222115536967035E-13</v>
      </c>
      <c r="CW136" s="22">
        <f t="shared" si="121"/>
        <v>1.3525069634579169E-12</v>
      </c>
      <c r="CX136" s="60">
        <f t="shared" si="122"/>
        <v>293.33333333333468</v>
      </c>
      <c r="CY136" s="60">
        <f ca="1">AVERAGE(OFFSET($CX$3,0,0,'Données projet'!$E$13+1,1))-AVERAGE(OFFSET($H$3,0,0,'Données projet'!$E$13+1,1))</f>
        <v>288.82868507674738</v>
      </c>
      <c r="CZ136" s="60">
        <f t="shared" si="150"/>
        <v>283.48738729114024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279.79999999999916</v>
      </c>
      <c r="O137" s="14">
        <f>N137*VLOOKUP('Données projet'!$B$9,Paramètres!$A$1:$I$89,3,0)*VLOOKUP('Données projet'!$B$9,Paramètres!$A$1:$I$89,5,0)</f>
        <v>235.70351999999932</v>
      </c>
      <c r="P137" s="14">
        <f t="shared" si="141"/>
        <v>57.514152264560821</v>
      </c>
      <c r="Q137" s="22">
        <f t="shared" si="108"/>
        <v>510.68744586077554</v>
      </c>
      <c r="R137" s="60">
        <f t="shared" si="109"/>
        <v>804.02077919410885</v>
      </c>
      <c r="S137" s="60">
        <f ca="1">AVERAGE(OFFSET($R$3,0,0,'Données projet'!$E$9+1,1))-AVERAGE(OFFSET($H$3,0,0,'Données projet'!$E$9+1,1))</f>
        <v>402.79698021419853</v>
      </c>
      <c r="T137" s="60">
        <f t="shared" si="142"/>
        <v>218.26721063098552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3.7</v>
      </c>
      <c r="AI137" s="14">
        <f>IF('Données projet'!$A$62&gt;35,AI136+AH137-AQ136,IF(A137&lt;'Données projet'!$A$62,$AF$205^A137,IF(A137='Données projet'!$A$62,'Données projet'!$B$62,AI136+AH137-AQ136)))</f>
        <v>353.79999999999967</v>
      </c>
      <c r="AJ137" s="14">
        <f>AI137*VLOOKUP('Données projet'!$B$10,Paramètres!$A$1:$I$89,3,0)*VLOOKUP('Données projet'!$B$10,Paramètres!$A$1:$I$89,5,0)</f>
        <v>303.56039999999973</v>
      </c>
      <c r="AK137" s="14">
        <f t="shared" si="143"/>
        <v>71.922346785614678</v>
      </c>
      <c r="AL137" s="22">
        <f t="shared" si="112"/>
        <v>653.96578398494501</v>
      </c>
      <c r="AM137" s="60">
        <f t="shared" si="113"/>
        <v>947.29911731827838</v>
      </c>
      <c r="AN137" s="60">
        <f ca="1">AVERAGE(OFFSET($AM$3,0,0,'Données projet'!$E$10+1,1))-AVERAGE(OFFSET($H$3,0,0,'Données projet'!$E$10+1,1))</f>
        <v>440.51611312502263</v>
      </c>
      <c r="AO137" s="60">
        <f t="shared" si="144"/>
        <v>176.81257896138806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-1.9895196601282805E-13</v>
      </c>
      <c r="BE137" s="14">
        <f>BD137*VLOOKUP('Données projet'!$B$11,Paramètres!$A$1:$I$89,3,0)*VLOOKUP('Données projet'!$B$11,Paramètres!$A$1:$I$89,5,0)</f>
        <v>-1.6138983482960614E-13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236.22643401787644</v>
      </c>
      <c r="BJ137" s="60">
        <f t="shared" si="146"/>
        <v>188.80444043778022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-1.7053025658242404E-13</v>
      </c>
      <c r="BZ137" s="14">
        <f>BY137*VLOOKUP('Données projet'!$B$12,Paramètres!$A$1:$I$89,3,0)*VLOOKUP('Données projet'!$B$12,Paramètres!$A$1:$I$89,5,0)</f>
        <v>-1.4897523215040567E-13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202.86354781280403</v>
      </c>
      <c r="CE137" s="60">
        <f t="shared" si="148"/>
        <v>217.25323885665131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4.4337866711430253E-14</v>
      </c>
      <c r="CV137" s="14">
        <f t="shared" si="149"/>
        <v>7.3222115536967035E-13</v>
      </c>
      <c r="CW137" s="22">
        <f t="shared" si="121"/>
        <v>1.3525069634579169E-12</v>
      </c>
      <c r="CX137" s="60">
        <f t="shared" si="122"/>
        <v>293.33333333333468</v>
      </c>
      <c r="CY137" s="60">
        <f ca="1">AVERAGE(OFFSET($CX$3,0,0,'Données projet'!$E$13+1,1))-AVERAGE(OFFSET($H$3,0,0,'Données projet'!$E$13+1,1))</f>
        <v>288.82868507674738</v>
      </c>
      <c r="CZ137" s="60">
        <f t="shared" si="150"/>
        <v>283.48738729114024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282.49999999999915</v>
      </c>
      <c r="O138" s="14">
        <f>N138*VLOOKUP('Données projet'!$B$9,Paramètres!$A$1:$I$89,3,0)*VLOOKUP('Données projet'!$B$9,Paramètres!$A$1:$I$89,5,0)</f>
        <v>237.97799999999933</v>
      </c>
      <c r="P138" s="14">
        <f t="shared" si="141"/>
        <v>58.004273343583677</v>
      </c>
      <c r="Q138" s="22">
        <f t="shared" si="108"/>
        <v>515.5024594067404</v>
      </c>
      <c r="R138" s="60">
        <f t="shared" si="109"/>
        <v>808.83579274007366</v>
      </c>
      <c r="S138" s="60">
        <f ca="1">AVERAGE(OFFSET($R$3,0,0,'Données projet'!$E$9+1,1))-AVERAGE(OFFSET($H$3,0,0,'Données projet'!$E$9+1,1))</f>
        <v>402.79698021419853</v>
      </c>
      <c r="T138" s="60">
        <f t="shared" si="142"/>
        <v>218.26721063098552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3.7</v>
      </c>
      <c r="AI138" s="14">
        <f>IF('Données projet'!$A$62&gt;35,AI137+AH138-AQ137,IF(A138&lt;'Données projet'!$A$62,$AF$205^A138,IF(A138='Données projet'!$A$62,'Données projet'!$B$62,AI137+AH138-AQ137)))</f>
        <v>357.49999999999966</v>
      </c>
      <c r="AJ138" s="14">
        <f>AI138*VLOOKUP('Données projet'!$B$10,Paramètres!$A$1:$I$89,3,0)*VLOOKUP('Données projet'!$B$10,Paramètres!$A$1:$I$89,5,0)</f>
        <v>306.73499999999973</v>
      </c>
      <c r="AK138" s="14">
        <f t="shared" si="143"/>
        <v>72.586548607856258</v>
      </c>
      <c r="AL138" s="22">
        <f t="shared" si="112"/>
        <v>660.65169715868251</v>
      </c>
      <c r="AM138" s="60">
        <f t="shared" si="113"/>
        <v>953.98503049201577</v>
      </c>
      <c r="AN138" s="60">
        <f ca="1">AVERAGE(OFFSET($AM$3,0,0,'Données projet'!$E$10+1,1))-AVERAGE(OFFSET($H$3,0,0,'Données projet'!$E$10+1,1))</f>
        <v>440.51611312502263</v>
      </c>
      <c r="AO138" s="60">
        <f t="shared" si="144"/>
        <v>176.81257896138806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-1.9895196601282805E-13</v>
      </c>
      <c r="BE138" s="14">
        <f>BD138*VLOOKUP('Données projet'!$B$11,Paramètres!$A$1:$I$89,3,0)*VLOOKUP('Données projet'!$B$11,Paramètres!$A$1:$I$89,5,0)</f>
        <v>-1.6138983482960614E-13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236.22643401787644</v>
      </c>
      <c r="BJ138" s="60">
        <f t="shared" si="146"/>
        <v>188.80444043778022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-1.7053025658242404E-13</v>
      </c>
      <c r="BZ138" s="14">
        <f>BY138*VLOOKUP('Données projet'!$B$12,Paramètres!$A$1:$I$89,3,0)*VLOOKUP('Données projet'!$B$12,Paramètres!$A$1:$I$89,5,0)</f>
        <v>-1.4897523215040567E-13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202.86354781280403</v>
      </c>
      <c r="CE138" s="60">
        <f t="shared" si="148"/>
        <v>217.25323885665131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4.4337866711430253E-14</v>
      </c>
      <c r="CV138" s="14">
        <f t="shared" si="149"/>
        <v>7.3222115536967035E-13</v>
      </c>
      <c r="CW138" s="22">
        <f t="shared" si="121"/>
        <v>1.3525069634579169E-12</v>
      </c>
      <c r="CX138" s="60">
        <f t="shared" si="122"/>
        <v>293.33333333333468</v>
      </c>
      <c r="CY138" s="60">
        <f ca="1">AVERAGE(OFFSET($CX$3,0,0,'Données projet'!$E$13+1,1))-AVERAGE(OFFSET($H$3,0,0,'Données projet'!$E$13+1,1))</f>
        <v>288.82868507674738</v>
      </c>
      <c r="CZ138" s="60">
        <f t="shared" si="150"/>
        <v>283.48738729114024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285.19999999999914</v>
      </c>
      <c r="O139" s="14">
        <f>N139*VLOOKUP('Données projet'!$B$9,Paramètres!$A$1:$I$89,3,0)*VLOOKUP('Données projet'!$B$9,Paramètres!$A$1:$I$89,5,0)</f>
        <v>240.25247999999931</v>
      </c>
      <c r="P139" s="14">
        <f t="shared" si="141"/>
        <v>58.493849459485787</v>
      </c>
      <c r="Q139" s="22">
        <f t="shared" si="108"/>
        <v>520.31652380860316</v>
      </c>
      <c r="R139" s="60">
        <f t="shared" si="109"/>
        <v>813.64985714193654</v>
      </c>
      <c r="S139" s="60">
        <f ca="1">AVERAGE(OFFSET($R$3,0,0,'Données projet'!$E$9+1,1))-AVERAGE(OFFSET($H$3,0,0,'Données projet'!$E$9+1,1))</f>
        <v>402.79698021419853</v>
      </c>
      <c r="T139" s="60">
        <f t="shared" si="142"/>
        <v>218.26721063098552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3.7</v>
      </c>
      <c r="AI139" s="14">
        <f>IF('Données projet'!$A$62&gt;35,AI138+AH139-AQ138,IF(A139&lt;'Données projet'!$A$62,$AF$205^A139,IF(A139='Données projet'!$A$62,'Données projet'!$B$62,AI138+AH139-AQ138)))</f>
        <v>361.19999999999965</v>
      </c>
      <c r="AJ139" s="14">
        <f>AI139*VLOOKUP('Données projet'!$B$10,Paramètres!$A$1:$I$89,3,0)*VLOOKUP('Données projet'!$B$10,Paramètres!$A$1:$I$89,5,0)</f>
        <v>309.90959999999973</v>
      </c>
      <c r="AK139" s="14">
        <f t="shared" si="143"/>
        <v>73.249950733312943</v>
      </c>
      <c r="AL139" s="22">
        <f t="shared" si="112"/>
        <v>667.33621752718625</v>
      </c>
      <c r="AM139" s="60">
        <f t="shared" si="113"/>
        <v>960.66955086051962</v>
      </c>
      <c r="AN139" s="60">
        <f ca="1">AVERAGE(OFFSET($AM$3,0,0,'Données projet'!$E$10+1,1))-AVERAGE(OFFSET($H$3,0,0,'Données projet'!$E$10+1,1))</f>
        <v>440.51611312502263</v>
      </c>
      <c r="AO139" s="60">
        <f t="shared" si="144"/>
        <v>176.81257896138806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-1.9895196601282805E-13</v>
      </c>
      <c r="BE139" s="14">
        <f>BD139*VLOOKUP('Données projet'!$B$11,Paramètres!$A$1:$I$89,3,0)*VLOOKUP('Données projet'!$B$11,Paramètres!$A$1:$I$89,5,0)</f>
        <v>-1.6138983482960614E-13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236.22643401787644</v>
      </c>
      <c r="BJ139" s="60">
        <f t="shared" si="146"/>
        <v>188.80444043778022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-1.7053025658242404E-13</v>
      </c>
      <c r="BZ139" s="14">
        <f>BY139*VLOOKUP('Données projet'!$B$12,Paramètres!$A$1:$I$89,3,0)*VLOOKUP('Données projet'!$B$12,Paramètres!$A$1:$I$89,5,0)</f>
        <v>-1.4897523215040567E-13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202.86354781280403</v>
      </c>
      <c r="CE139" s="60">
        <f t="shared" si="148"/>
        <v>217.25323885665131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4.4337866711430253E-14</v>
      </c>
      <c r="CV139" s="14">
        <f t="shared" si="149"/>
        <v>7.3222115536967035E-13</v>
      </c>
      <c r="CW139" s="22">
        <f t="shared" si="121"/>
        <v>1.3525069634579169E-12</v>
      </c>
      <c r="CX139" s="60">
        <f t="shared" si="122"/>
        <v>293.33333333333468</v>
      </c>
      <c r="CY139" s="60">
        <f ca="1">AVERAGE(OFFSET($CX$3,0,0,'Données projet'!$E$13+1,1))-AVERAGE(OFFSET($H$3,0,0,'Données projet'!$E$13+1,1))</f>
        <v>288.82868507674738</v>
      </c>
      <c r="CZ139" s="60">
        <f t="shared" si="150"/>
        <v>283.48738729114024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287.89999999999912</v>
      </c>
      <c r="O140" s="14">
        <f>N140*VLOOKUP('Données projet'!$B$9,Paramètres!$A$1:$I$89,3,0)*VLOOKUP('Données projet'!$B$9,Paramètres!$A$1:$I$89,5,0)</f>
        <v>242.52695999999926</v>
      </c>
      <c r="P140" s="14">
        <f t="shared" si="141"/>
        <v>58.982886368984964</v>
      </c>
      <c r="Q140" s="22">
        <f t="shared" si="108"/>
        <v>525.12964909264747</v>
      </c>
      <c r="R140" s="60">
        <f t="shared" si="109"/>
        <v>818.46298242598073</v>
      </c>
      <c r="S140" s="60">
        <f ca="1">AVERAGE(OFFSET($R$3,0,0,'Données projet'!$E$9+1,1))-AVERAGE(OFFSET($H$3,0,0,'Données projet'!$E$9+1,1))</f>
        <v>402.79698021419853</v>
      </c>
      <c r="T140" s="60">
        <f t="shared" si="142"/>
        <v>218.26721063098552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3.7</v>
      </c>
      <c r="AI140" s="14">
        <f>IF('Données projet'!$A$62&gt;35,AI139+AH140-AQ139,IF(A140&lt;'Données projet'!$A$62,$AF$205^A140,IF(A140='Données projet'!$A$62,'Données projet'!$B$62,AI139+AH140-AQ139)))</f>
        <v>364.89999999999964</v>
      </c>
      <c r="AJ140" s="14">
        <f>AI140*VLOOKUP('Données projet'!$B$10,Paramètres!$A$1:$I$89,3,0)*VLOOKUP('Données projet'!$B$10,Paramètres!$A$1:$I$89,5,0)</f>
        <v>313.08419999999973</v>
      </c>
      <c r="AK140" s="14">
        <f t="shared" si="143"/>
        <v>73.912562302181072</v>
      </c>
      <c r="AL140" s="22">
        <f t="shared" si="112"/>
        <v>674.01936100963155</v>
      </c>
      <c r="AM140" s="60">
        <f t="shared" si="113"/>
        <v>967.35269434296492</v>
      </c>
      <c r="AN140" s="60">
        <f ca="1">AVERAGE(OFFSET($AM$3,0,0,'Données projet'!$E$10+1,1))-AVERAGE(OFFSET($H$3,0,0,'Données projet'!$E$10+1,1))</f>
        <v>440.51611312502263</v>
      </c>
      <c r="AO140" s="60">
        <f t="shared" si="144"/>
        <v>176.81257896138806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-1.9895196601282805E-13</v>
      </c>
      <c r="BE140" s="14">
        <f>BD140*VLOOKUP('Données projet'!$B$11,Paramètres!$A$1:$I$89,3,0)*VLOOKUP('Données projet'!$B$11,Paramètres!$A$1:$I$89,5,0)</f>
        <v>-1.6138983482960614E-13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236.22643401787644</v>
      </c>
      <c r="BJ140" s="60">
        <f t="shared" si="146"/>
        <v>188.80444043778022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-1.7053025658242404E-13</v>
      </c>
      <c r="BZ140" s="14">
        <f>BY140*VLOOKUP('Données projet'!$B$12,Paramètres!$A$1:$I$89,3,0)*VLOOKUP('Données projet'!$B$12,Paramètres!$A$1:$I$89,5,0)</f>
        <v>-1.4897523215040567E-13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202.86354781280403</v>
      </c>
      <c r="CE140" s="60">
        <f t="shared" si="148"/>
        <v>217.25323885665131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4.4337866711430253E-14</v>
      </c>
      <c r="CV140" s="14">
        <f t="shared" si="149"/>
        <v>7.3222115536967035E-13</v>
      </c>
      <c r="CW140" s="22">
        <f t="shared" si="121"/>
        <v>1.3525069634579169E-12</v>
      </c>
      <c r="CX140" s="60">
        <f t="shared" si="122"/>
        <v>293.33333333333468</v>
      </c>
      <c r="CY140" s="60">
        <f ca="1">AVERAGE(OFFSET($CX$3,0,0,'Données projet'!$E$13+1,1))-AVERAGE(OFFSET($H$3,0,0,'Données projet'!$E$13+1,1))</f>
        <v>288.82868507674738</v>
      </c>
      <c r="CZ140" s="60">
        <f t="shared" si="150"/>
        <v>283.48738729114024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290.59999999999911</v>
      </c>
      <c r="O141" s="14">
        <f>N141*VLOOKUP('Données projet'!$B$9,Paramètres!$A$1:$I$89,3,0)*VLOOKUP('Données projet'!$B$9,Paramètres!$A$1:$I$89,5,0)</f>
        <v>244.80143999999927</v>
      </c>
      <c r="P141" s="14">
        <f t="shared" si="141"/>
        <v>59.471389714596413</v>
      </c>
      <c r="Q141" s="22">
        <f t="shared" si="108"/>
        <v>529.94184508625415</v>
      </c>
      <c r="R141" s="60">
        <f t="shared" si="109"/>
        <v>823.27517841958752</v>
      </c>
      <c r="S141" s="60">
        <f ca="1">AVERAGE(OFFSET($R$3,0,0,'Données projet'!$E$9+1,1))-AVERAGE(OFFSET($H$3,0,0,'Données projet'!$E$9+1,1))</f>
        <v>402.79698021419853</v>
      </c>
      <c r="T141" s="60">
        <f t="shared" si="142"/>
        <v>218.26721063098552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3.7</v>
      </c>
      <c r="AI141" s="14">
        <f>IF('Données projet'!$A$62&gt;35,AI140+AH141-AQ140,IF(A141&lt;'Données projet'!$A$62,$AF$205^A141,IF(A141='Données projet'!$A$62,'Données projet'!$B$62,AI140+AH141-AQ140)))</f>
        <v>368.59999999999962</v>
      </c>
      <c r="AJ141" s="14">
        <f>AI141*VLOOKUP('Données projet'!$B$10,Paramètres!$A$1:$I$89,3,0)*VLOOKUP('Données projet'!$B$10,Paramètres!$A$1:$I$89,5,0)</f>
        <v>316.25879999999972</v>
      </c>
      <c r="AK141" s="14">
        <f t="shared" si="143"/>
        <v>74.574392258616214</v>
      </c>
      <c r="AL141" s="22">
        <f t="shared" si="112"/>
        <v>680.70114318375613</v>
      </c>
      <c r="AM141" s="60">
        <f t="shared" si="113"/>
        <v>974.03447651708939</v>
      </c>
      <c r="AN141" s="60">
        <f ca="1">AVERAGE(OFFSET($AM$3,0,0,'Données projet'!$E$10+1,1))-AVERAGE(OFFSET($H$3,0,0,'Données projet'!$E$10+1,1))</f>
        <v>440.51611312502263</v>
      </c>
      <c r="AO141" s="60">
        <f t="shared" si="144"/>
        <v>176.81257896138806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-1.9895196601282805E-13</v>
      </c>
      <c r="BE141" s="14">
        <f>BD141*VLOOKUP('Données projet'!$B$11,Paramètres!$A$1:$I$89,3,0)*VLOOKUP('Données projet'!$B$11,Paramètres!$A$1:$I$89,5,0)</f>
        <v>-1.6138983482960614E-13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236.22643401787644</v>
      </c>
      <c r="BJ141" s="60">
        <f t="shared" si="146"/>
        <v>188.80444043778022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-1.7053025658242404E-13</v>
      </c>
      <c r="BZ141" s="14">
        <f>BY141*VLOOKUP('Données projet'!$B$12,Paramètres!$A$1:$I$89,3,0)*VLOOKUP('Données projet'!$B$12,Paramètres!$A$1:$I$89,5,0)</f>
        <v>-1.4897523215040567E-13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202.86354781280403</v>
      </c>
      <c r="CE141" s="60">
        <f t="shared" si="148"/>
        <v>217.25323885665131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4.4337866711430253E-14</v>
      </c>
      <c r="CV141" s="14">
        <f t="shared" si="149"/>
        <v>7.3222115536967035E-13</v>
      </c>
      <c r="CW141" s="22">
        <f t="shared" si="121"/>
        <v>1.3525069634579169E-12</v>
      </c>
      <c r="CX141" s="60">
        <f t="shared" si="122"/>
        <v>293.33333333333468</v>
      </c>
      <c r="CY141" s="60">
        <f ca="1">AVERAGE(OFFSET($CX$3,0,0,'Données projet'!$E$13+1,1))-AVERAGE(OFFSET($H$3,0,0,'Données projet'!$E$13+1,1))</f>
        <v>288.82868507674738</v>
      </c>
      <c r="CZ141" s="60">
        <f t="shared" si="150"/>
        <v>283.48738729114024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293.2999999999991</v>
      </c>
      <c r="O142" s="14">
        <f>N142*VLOOKUP('Données projet'!$B$9,Paramètres!$A$1:$I$89,3,0)*VLOOKUP('Données projet'!$B$9,Paramètres!$A$1:$I$89,5,0)</f>
        <v>247.07591999999926</v>
      </c>
      <c r="P142" s="14">
        <f t="shared" si="141"/>
        <v>59.959365027937501</v>
      </c>
      <c r="Q142" s="22">
        <f t="shared" si="108"/>
        <v>534.75312142365658</v>
      </c>
      <c r="R142" s="60">
        <f t="shared" si="109"/>
        <v>828.08645475698995</v>
      </c>
      <c r="S142" s="60">
        <f ca="1">AVERAGE(OFFSET($R$3,0,0,'Données projet'!$E$9+1,1))-AVERAGE(OFFSET($H$3,0,0,'Données projet'!$E$9+1,1))</f>
        <v>402.79698021419853</v>
      </c>
      <c r="T142" s="60">
        <f t="shared" si="142"/>
        <v>218.26721063098552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3.7</v>
      </c>
      <c r="AI142" s="14">
        <f>IF('Données projet'!$A$62&gt;35,AI141+AH142-AQ141,IF(A142&lt;'Données projet'!$A$62,$AF$205^A142,IF(A142='Données projet'!$A$62,'Données projet'!$B$62,AI141+AH142-AQ141)))</f>
        <v>372.29999999999961</v>
      </c>
      <c r="AJ142" s="14">
        <f>AI142*VLOOKUP('Données projet'!$B$10,Paramètres!$A$1:$I$89,3,0)*VLOOKUP('Données projet'!$B$10,Paramètres!$A$1:$I$89,5,0)</f>
        <v>319.43339999999972</v>
      </c>
      <c r="AK142" s="14">
        <f t="shared" si="143"/>
        <v>75.235449356862148</v>
      </c>
      <c r="AL142" s="22">
        <f t="shared" si="112"/>
        <v>687.38157929653437</v>
      </c>
      <c r="AM142" s="60">
        <f t="shared" si="113"/>
        <v>980.71491262986774</v>
      </c>
      <c r="AN142" s="60">
        <f ca="1">AVERAGE(OFFSET($AM$3,0,0,'Données projet'!$E$10+1,1))-AVERAGE(OFFSET($H$3,0,0,'Données projet'!$E$10+1,1))</f>
        <v>440.51611312502263</v>
      </c>
      <c r="AO142" s="60">
        <f t="shared" si="144"/>
        <v>176.81257896138806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-1.9895196601282805E-13</v>
      </c>
      <c r="BE142" s="14">
        <f>BD142*VLOOKUP('Données projet'!$B$11,Paramètres!$A$1:$I$89,3,0)*VLOOKUP('Données projet'!$B$11,Paramètres!$A$1:$I$89,5,0)</f>
        <v>-1.6138983482960614E-13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236.22643401787644</v>
      </c>
      <c r="BJ142" s="60">
        <f t="shared" si="146"/>
        <v>188.80444043778022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-1.7053025658242404E-13</v>
      </c>
      <c r="BZ142" s="14">
        <f>BY142*VLOOKUP('Données projet'!$B$12,Paramètres!$A$1:$I$89,3,0)*VLOOKUP('Données projet'!$B$12,Paramètres!$A$1:$I$89,5,0)</f>
        <v>-1.4897523215040567E-13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202.86354781280403</v>
      </c>
      <c r="CE142" s="60">
        <f t="shared" si="148"/>
        <v>217.25323885665131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4.4337866711430253E-14</v>
      </c>
      <c r="CV142" s="14">
        <f t="shared" si="149"/>
        <v>7.3222115536967035E-13</v>
      </c>
      <c r="CW142" s="22">
        <f t="shared" si="121"/>
        <v>1.3525069634579169E-12</v>
      </c>
      <c r="CX142" s="60">
        <f t="shared" si="122"/>
        <v>293.33333333333468</v>
      </c>
      <c r="CY142" s="60">
        <f ca="1">AVERAGE(OFFSET($CX$3,0,0,'Données projet'!$E$13+1,1))-AVERAGE(OFFSET($H$3,0,0,'Données projet'!$E$13+1,1))</f>
        <v>288.82868507674738</v>
      </c>
      <c r="CZ142" s="60">
        <f t="shared" si="150"/>
        <v>283.48738729114024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295.99999999999909</v>
      </c>
      <c r="O143" s="14">
        <f>N143*VLOOKUP('Données projet'!$B$9,Paramètres!$A$1:$I$89,3,0)*VLOOKUP('Données projet'!$B$9,Paramètres!$A$1:$I$89,5,0)</f>
        <v>249.35039999999927</v>
      </c>
      <c r="P143" s="14">
        <f t="shared" si="141"/>
        <v>60.446817732908059</v>
      </c>
      <c r="Q143" s="22">
        <f t="shared" si="108"/>
        <v>539.56348755148019</v>
      </c>
      <c r="R143" s="60">
        <f t="shared" si="109"/>
        <v>832.89682088481345</v>
      </c>
      <c r="S143" s="60">
        <f ca="1">AVERAGE(OFFSET($R$3,0,0,'Données projet'!$E$9+1,1))-AVERAGE(OFFSET($H$3,0,0,'Données projet'!$E$9+1,1))</f>
        <v>402.79698021419853</v>
      </c>
      <c r="T143" s="60">
        <f t="shared" si="142"/>
        <v>218.26721063098552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376</v>
      </c>
      <c r="AG143" s="13">
        <f>VLOOKUP(A143,'Données projet'!$A$61:$I$81,9,0)</f>
        <v>3.7</v>
      </c>
      <c r="AH143" s="13">
        <f t="array" ref="AH143">INDEX(AG:AG,MIN(IF(ISNUMBER(AG143:AG339),ROW(AG143:AG339),"")))</f>
        <v>3.7</v>
      </c>
      <c r="AI143" s="14">
        <f>IF('Données projet'!$A$62&gt;35,AI142+AH143-AQ142,IF(A143&lt;'Données projet'!$A$62,$AF$205^A143,IF(A143='Données projet'!$A$62,'Données projet'!$B$62,AI142+AH143-AQ142)))</f>
        <v>375.9999999999996</v>
      </c>
      <c r="AJ143" s="14">
        <f>AI143*VLOOKUP('Données projet'!$B$10,Paramètres!$A$1:$I$89,3,0)*VLOOKUP('Données projet'!$B$10,Paramètres!$A$1:$I$89,5,0)</f>
        <v>322.60799999999966</v>
      </c>
      <c r="AK143" s="14">
        <f t="shared" si="143"/>
        <v>75.895742167129754</v>
      </c>
      <c r="AL143" s="22">
        <f t="shared" si="112"/>
        <v>694.06068427441699</v>
      </c>
      <c r="AM143" s="60">
        <f t="shared" si="113"/>
        <v>987.39401760775036</v>
      </c>
      <c r="AN143" s="60">
        <f ca="1">AVERAGE(OFFSET($AM$3,0,0,'Données projet'!$E$10+1,1))-AVERAGE(OFFSET($H$3,0,0,'Données projet'!$E$10+1,1))</f>
        <v>440.51611312502263</v>
      </c>
      <c r="AO143" s="60">
        <f t="shared" si="144"/>
        <v>176.81257896138806</v>
      </c>
      <c r="AP143" s="16">
        <f>IF(ISNA(VLOOKUP(A143,'Données projet'!$A$61:$I$81,3,0)),0,VLOOKUP(A143,'Données projet'!$A$61:$I$81,3,0))</f>
        <v>11</v>
      </c>
      <c r="AQ143" s="16">
        <f>IF(ISNA(VLOOKUP(A143,'Données projet'!$A$61:$I$81,4,0)),0,VLOOKUP(A143,'Données projet'!$A$61:$I$81,4,0))</f>
        <v>30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-1.9895196601282805E-13</v>
      </c>
      <c r="BE143" s="14">
        <f>BD143*VLOOKUP('Données projet'!$B$11,Paramètres!$A$1:$I$89,3,0)*VLOOKUP('Données projet'!$B$11,Paramètres!$A$1:$I$89,5,0)</f>
        <v>-1.6138983482960614E-13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236.22643401787644</v>
      </c>
      <c r="BJ143" s="60">
        <f t="shared" si="146"/>
        <v>188.80444043778022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-1.7053025658242404E-13</v>
      </c>
      <c r="BZ143" s="14">
        <f>BY143*VLOOKUP('Données projet'!$B$12,Paramètres!$A$1:$I$89,3,0)*VLOOKUP('Données projet'!$B$12,Paramètres!$A$1:$I$89,5,0)</f>
        <v>-1.4897523215040567E-13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202.86354781280403</v>
      </c>
      <c r="CE143" s="60">
        <f t="shared" si="148"/>
        <v>217.25323885665131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4.4337866711430253E-14</v>
      </c>
      <c r="CV143" s="14">
        <f t="shared" si="149"/>
        <v>7.3222115536967035E-13</v>
      </c>
      <c r="CW143" s="22">
        <f t="shared" si="121"/>
        <v>1.3525069634579169E-12</v>
      </c>
      <c r="CX143" s="60">
        <f t="shared" si="122"/>
        <v>293.33333333333468</v>
      </c>
      <c r="CY143" s="60">
        <f ca="1">AVERAGE(OFFSET($CX$3,0,0,'Données projet'!$E$13+1,1))-AVERAGE(OFFSET($H$3,0,0,'Données projet'!$E$13+1,1))</f>
        <v>288.82868507674738</v>
      </c>
      <c r="CZ143" s="60">
        <f t="shared" si="150"/>
        <v>283.48738729114024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271.39999999999907</v>
      </c>
      <c r="O144" s="14">
        <f>N144*VLOOKUP('Données projet'!$B$9,Paramètres!$A$1:$I$89,3,0)*VLOOKUP('Données projet'!$B$9,Paramètres!$A$1:$I$89,5,0)</f>
        <v>228.62735999999921</v>
      </c>
      <c r="P144" s="14">
        <f t="shared" si="141"/>
        <v>55.985781352428546</v>
      </c>
      <c r="Q144" s="22">
        <f t="shared" si="108"/>
        <v>495.70122118881164</v>
      </c>
      <c r="R144" s="60">
        <f t="shared" si="109"/>
        <v>789.03455452214496</v>
      </c>
      <c r="S144" s="60">
        <f ca="1">AVERAGE(OFFSET($R$3,0,0,'Données projet'!$E$9+1,1))-AVERAGE(OFFSET($H$3,0,0,'Données projet'!$E$9+1,1))</f>
        <v>402.79698021419853</v>
      </c>
      <c r="T144" s="60">
        <f t="shared" si="142"/>
        <v>218.26721063098552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3.1</v>
      </c>
      <c r="AI144" s="14">
        <f>IF('Données projet'!$A$62&gt;35,AI143+AH144-AQ143,IF(A144&lt;'Données projet'!$A$62,$AF$205^A144,IF(A144='Données projet'!$A$62,'Données projet'!$B$62,AI143+AH144-AQ143)))</f>
        <v>349.09999999999962</v>
      </c>
      <c r="AJ144" s="14">
        <f>AI144*VLOOKUP('Données projet'!$B$10,Paramètres!$A$1:$I$89,3,0)*VLOOKUP('Données projet'!$B$10,Paramètres!$A$1:$I$89,5,0)</f>
        <v>299.52779999999967</v>
      </c>
      <c r="AK144" s="14">
        <f t="shared" si="143"/>
        <v>71.077463144697759</v>
      </c>
      <c r="AL144" s="22">
        <f t="shared" si="112"/>
        <v>645.47083331034798</v>
      </c>
      <c r="AM144" s="60">
        <f t="shared" si="113"/>
        <v>938.80416664368136</v>
      </c>
      <c r="AN144" s="60">
        <f ca="1">AVERAGE(OFFSET($AM$3,0,0,'Données projet'!$E$10+1,1))-AVERAGE(OFFSET($H$3,0,0,'Données projet'!$E$10+1,1))</f>
        <v>440.51611312502263</v>
      </c>
      <c r="AO144" s="60">
        <f t="shared" si="144"/>
        <v>176.81257896138806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-1.9895196601282805E-13</v>
      </c>
      <c r="BE144" s="14">
        <f>BD144*VLOOKUP('Données projet'!$B$11,Paramètres!$A$1:$I$89,3,0)*VLOOKUP('Données projet'!$B$11,Paramètres!$A$1:$I$89,5,0)</f>
        <v>-1.6138983482960614E-13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236.22643401787644</v>
      </c>
      <c r="BJ144" s="60">
        <f t="shared" si="146"/>
        <v>188.80444043778022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-1.7053025658242404E-13</v>
      </c>
      <c r="BZ144" s="14">
        <f>BY144*VLOOKUP('Données projet'!$B$12,Paramètres!$A$1:$I$89,3,0)*VLOOKUP('Données projet'!$B$12,Paramètres!$A$1:$I$89,5,0)</f>
        <v>-1.4897523215040567E-13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202.86354781280403</v>
      </c>
      <c r="CE144" s="60">
        <f t="shared" si="148"/>
        <v>217.25323885665131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4.4337866711430253E-14</v>
      </c>
      <c r="CV144" s="14">
        <f t="shared" si="149"/>
        <v>7.3222115536967035E-13</v>
      </c>
      <c r="CW144" s="22">
        <f t="shared" si="121"/>
        <v>1.3525069634579169E-12</v>
      </c>
      <c r="CX144" s="60">
        <f t="shared" si="122"/>
        <v>293.33333333333468</v>
      </c>
      <c r="CY144" s="60">
        <f ca="1">AVERAGE(OFFSET($CX$3,0,0,'Données projet'!$E$13+1,1))-AVERAGE(OFFSET($H$3,0,0,'Données projet'!$E$13+1,1))</f>
        <v>288.82868507674738</v>
      </c>
      <c r="CZ144" s="60">
        <f t="shared" si="150"/>
        <v>283.48738729114024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273.79999999999905</v>
      </c>
      <c r="O145" s="14">
        <f>N145*VLOOKUP('Données projet'!$B$9,Paramètres!$A$1:$I$89,3,0)*VLOOKUP('Données projet'!$B$9,Paramètres!$A$1:$I$89,5,0)</f>
        <v>230.64911999999921</v>
      </c>
      <c r="P145" s="14">
        <f t="shared" si="141"/>
        <v>56.423013421666433</v>
      </c>
      <c r="Q145" s="22">
        <f t="shared" si="108"/>
        <v>499.98396570940093</v>
      </c>
      <c r="R145" s="60">
        <f t="shared" si="109"/>
        <v>793.31729904273425</v>
      </c>
      <c r="S145" s="60">
        <f ca="1">AVERAGE(OFFSET($R$3,0,0,'Données projet'!$E$9+1,1))-AVERAGE(OFFSET($H$3,0,0,'Données projet'!$E$9+1,1))</f>
        <v>402.79698021419853</v>
      </c>
      <c r="T145" s="60">
        <f t="shared" si="142"/>
        <v>218.26721063098552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3.1</v>
      </c>
      <c r="AI145" s="14">
        <f>IF('Données projet'!$A$62&gt;35,AI144+AH145-AQ144,IF(A145&lt;'Données projet'!$A$62,$AF$205^A145,IF(A145='Données projet'!$A$62,'Données projet'!$B$62,AI144+AH145-AQ144)))</f>
        <v>352.19999999999965</v>
      </c>
      <c r="AJ145" s="14">
        <f>AI145*VLOOKUP('Données projet'!$B$10,Paramètres!$A$1:$I$89,3,0)*VLOOKUP('Données projet'!$B$10,Paramètres!$A$1:$I$89,5,0)</f>
        <v>302.18759999999969</v>
      </c>
      <c r="AK145" s="14">
        <f t="shared" si="143"/>
        <v>71.634874359060106</v>
      </c>
      <c r="AL145" s="22">
        <f t="shared" si="112"/>
        <v>651.07414284202912</v>
      </c>
      <c r="AM145" s="60">
        <f t="shared" si="113"/>
        <v>944.40747617536249</v>
      </c>
      <c r="AN145" s="60">
        <f ca="1">AVERAGE(OFFSET($AM$3,0,0,'Données projet'!$E$10+1,1))-AVERAGE(OFFSET($H$3,0,0,'Données projet'!$E$10+1,1))</f>
        <v>440.51611312502263</v>
      </c>
      <c r="AO145" s="60">
        <f t="shared" si="144"/>
        <v>176.81257896138806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-1.9895196601282805E-13</v>
      </c>
      <c r="BE145" s="14">
        <f>BD145*VLOOKUP('Données projet'!$B$11,Paramètres!$A$1:$I$89,3,0)*VLOOKUP('Données projet'!$B$11,Paramètres!$A$1:$I$89,5,0)</f>
        <v>-1.6138983482960614E-13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236.22643401787644</v>
      </c>
      <c r="BJ145" s="60">
        <f t="shared" si="146"/>
        <v>188.80444043778022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-1.7053025658242404E-13</v>
      </c>
      <c r="BZ145" s="14">
        <f>BY145*VLOOKUP('Données projet'!$B$12,Paramètres!$A$1:$I$89,3,0)*VLOOKUP('Données projet'!$B$12,Paramètres!$A$1:$I$89,5,0)</f>
        <v>-1.4897523215040567E-13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202.86354781280403</v>
      </c>
      <c r="CE145" s="60">
        <f t="shared" si="148"/>
        <v>217.25323885665131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4.4337866711430253E-14</v>
      </c>
      <c r="CV145" s="14">
        <f t="shared" si="149"/>
        <v>7.3222115536967035E-13</v>
      </c>
      <c r="CW145" s="22">
        <f t="shared" si="121"/>
        <v>1.3525069634579169E-12</v>
      </c>
      <c r="CX145" s="60">
        <f t="shared" si="122"/>
        <v>293.33333333333468</v>
      </c>
      <c r="CY145" s="60">
        <f ca="1">AVERAGE(OFFSET($CX$3,0,0,'Données projet'!$E$13+1,1))-AVERAGE(OFFSET($H$3,0,0,'Données projet'!$E$13+1,1))</f>
        <v>288.82868507674738</v>
      </c>
      <c r="CZ145" s="60">
        <f t="shared" si="150"/>
        <v>283.48738729114024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276.19999999999902</v>
      </c>
      <c r="O146" s="14">
        <f>N146*VLOOKUP('Données projet'!$B$9,Paramètres!$A$1:$I$89,3,0)*VLOOKUP('Données projet'!$B$9,Paramètres!$A$1:$I$89,5,0)</f>
        <v>232.67087999999922</v>
      </c>
      <c r="P146" s="14">
        <f t="shared" si="141"/>
        <v>56.859799601522155</v>
      </c>
      <c r="Q146" s="22">
        <f t="shared" si="108"/>
        <v>504.26593363931642</v>
      </c>
      <c r="R146" s="60">
        <f t="shared" si="109"/>
        <v>797.59926697264973</v>
      </c>
      <c r="S146" s="60">
        <f ca="1">AVERAGE(OFFSET($R$3,0,0,'Données projet'!$E$9+1,1))-AVERAGE(OFFSET($H$3,0,0,'Données projet'!$E$9+1,1))</f>
        <v>402.79698021419853</v>
      </c>
      <c r="T146" s="60">
        <f t="shared" si="142"/>
        <v>218.26721063098552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3.1</v>
      </c>
      <c r="AI146" s="14">
        <f>IF('Données projet'!$A$62&gt;35,AI145+AH146-AQ145,IF(A146&lt;'Données projet'!$A$62,$AF$205^A146,IF(A146='Données projet'!$A$62,'Données projet'!$B$62,AI145+AH146-AQ145)))</f>
        <v>355.29999999999967</v>
      </c>
      <c r="AJ146" s="14">
        <f>AI146*VLOOKUP('Données projet'!$B$10,Paramètres!$A$1:$I$89,3,0)*VLOOKUP('Données projet'!$B$10,Paramètres!$A$1:$I$89,5,0)</f>
        <v>304.84739999999971</v>
      </c>
      <c r="AK146" s="14">
        <f t="shared" si="143"/>
        <v>72.191714772718228</v>
      </c>
      <c r="AL146" s="22">
        <f t="shared" si="112"/>
        <v>656.6764582291504</v>
      </c>
      <c r="AM146" s="60">
        <f t="shared" si="113"/>
        <v>950.00979156248377</v>
      </c>
      <c r="AN146" s="60">
        <f ca="1">AVERAGE(OFFSET($AM$3,0,0,'Données projet'!$E$10+1,1))-AVERAGE(OFFSET($H$3,0,0,'Données projet'!$E$10+1,1))</f>
        <v>440.51611312502263</v>
      </c>
      <c r="AO146" s="60">
        <f t="shared" si="144"/>
        <v>176.81257896138806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-1.9895196601282805E-13</v>
      </c>
      <c r="BE146" s="14">
        <f>BD146*VLOOKUP('Données projet'!$B$11,Paramètres!$A$1:$I$89,3,0)*VLOOKUP('Données projet'!$B$11,Paramètres!$A$1:$I$89,5,0)</f>
        <v>-1.6138983482960614E-13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236.22643401787644</v>
      </c>
      <c r="BJ146" s="60">
        <f t="shared" si="146"/>
        <v>188.80444043778022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-1.7053025658242404E-13</v>
      </c>
      <c r="BZ146" s="14">
        <f>BY146*VLOOKUP('Données projet'!$B$12,Paramètres!$A$1:$I$89,3,0)*VLOOKUP('Données projet'!$B$12,Paramètres!$A$1:$I$89,5,0)</f>
        <v>-1.4897523215040567E-13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202.86354781280403</v>
      </c>
      <c r="CE146" s="60">
        <f t="shared" si="148"/>
        <v>217.25323885665131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4.4337866711430253E-14</v>
      </c>
      <c r="CV146" s="14">
        <f t="shared" si="149"/>
        <v>7.3222115536967035E-13</v>
      </c>
      <c r="CW146" s="22">
        <f t="shared" si="121"/>
        <v>1.3525069634579169E-12</v>
      </c>
      <c r="CX146" s="60">
        <f t="shared" si="122"/>
        <v>293.33333333333468</v>
      </c>
      <c r="CY146" s="60">
        <f ca="1">AVERAGE(OFFSET($CX$3,0,0,'Données projet'!$E$13+1,1))-AVERAGE(OFFSET($H$3,0,0,'Données projet'!$E$13+1,1))</f>
        <v>288.82868507674738</v>
      </c>
      <c r="CZ146" s="60">
        <f t="shared" si="150"/>
        <v>283.48738729114024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</v>
      </c>
      <c r="O147" s="14">
        <f>N147*VLOOKUP('Données projet'!$B$9,Paramètres!$A$1:$I$89,3,0)*VLOOKUP('Données projet'!$B$9,Paramètres!$A$1:$I$89,5,0)</f>
        <v>234.69263999999919</v>
      </c>
      <c r="P147" s="14">
        <f t="shared" si="141"/>
        <v>57.296144215400361</v>
      </c>
      <c r="Q147" s="22">
        <f t="shared" si="108"/>
        <v>508.54713250848749</v>
      </c>
      <c r="R147" s="60">
        <f t="shared" si="109"/>
        <v>801.88046584182075</v>
      </c>
      <c r="S147" s="60">
        <f ca="1">AVERAGE(OFFSET($R$3,0,0,'Données projet'!$E$9+1,1))-AVERAGE(OFFSET($H$3,0,0,'Données projet'!$E$9+1,1))</f>
        <v>402.79698021419853</v>
      </c>
      <c r="T147" s="60">
        <f t="shared" si="142"/>
        <v>218.26721063098552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3.1</v>
      </c>
      <c r="AI147" s="14">
        <f>IF('Données projet'!$A$62&gt;35,AI146+AH147-AQ146,IF(A147&lt;'Données projet'!$A$62,$AF$205^A147,IF(A147='Données projet'!$A$62,'Données projet'!$B$62,AI146+AH147-AQ146)))</f>
        <v>358.39999999999969</v>
      </c>
      <c r="AJ147" s="14">
        <f>AI147*VLOOKUP('Données projet'!$B$10,Paramètres!$A$1:$I$89,3,0)*VLOOKUP('Données projet'!$B$10,Paramètres!$A$1:$I$89,5,0)</f>
        <v>307.50719999999973</v>
      </c>
      <c r="AK147" s="14">
        <f t="shared" si="143"/>
        <v>72.747989942940393</v>
      </c>
      <c r="AL147" s="22">
        <f t="shared" si="112"/>
        <v>662.27778915062061</v>
      </c>
      <c r="AM147" s="60">
        <f t="shared" si="113"/>
        <v>955.61112248395398</v>
      </c>
      <c r="AN147" s="60">
        <f ca="1">AVERAGE(OFFSET($AM$3,0,0,'Données projet'!$E$10+1,1))-AVERAGE(OFFSET($H$3,0,0,'Données projet'!$E$10+1,1))</f>
        <v>440.51611312502263</v>
      </c>
      <c r="AO147" s="60">
        <f t="shared" si="144"/>
        <v>176.81257896138806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-1.9895196601282805E-13</v>
      </c>
      <c r="BE147" s="14">
        <f>BD147*VLOOKUP('Données projet'!$B$11,Paramètres!$A$1:$I$89,3,0)*VLOOKUP('Données projet'!$B$11,Paramètres!$A$1:$I$89,5,0)</f>
        <v>-1.6138983482960614E-13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236.22643401787644</v>
      </c>
      <c r="BJ147" s="60">
        <f t="shared" si="146"/>
        <v>188.80444043778022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-1.7053025658242404E-13</v>
      </c>
      <c r="BZ147" s="14">
        <f>BY147*VLOOKUP('Données projet'!$B$12,Paramètres!$A$1:$I$89,3,0)*VLOOKUP('Données projet'!$B$12,Paramètres!$A$1:$I$89,5,0)</f>
        <v>-1.4897523215040567E-13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202.86354781280403</v>
      </c>
      <c r="CE147" s="60">
        <f t="shared" si="148"/>
        <v>217.25323885665131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4.4337866711430253E-14</v>
      </c>
      <c r="CV147" s="14">
        <f t="shared" si="149"/>
        <v>7.3222115536967035E-13</v>
      </c>
      <c r="CW147" s="22">
        <f t="shared" si="121"/>
        <v>1.3525069634579169E-12</v>
      </c>
      <c r="CX147" s="60">
        <f t="shared" si="122"/>
        <v>293.33333333333468</v>
      </c>
      <c r="CY147" s="60">
        <f ca="1">AVERAGE(OFFSET($CX$3,0,0,'Données projet'!$E$13+1,1))-AVERAGE(OFFSET($H$3,0,0,'Données projet'!$E$13+1,1))</f>
        <v>288.82868507674738</v>
      </c>
      <c r="CZ147" s="60">
        <f t="shared" si="150"/>
        <v>283.48738729114024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280.99999999999898</v>
      </c>
      <c r="O148" s="14">
        <f>N148*VLOOKUP('Données projet'!$B$9,Paramètres!$A$1:$I$89,3,0)*VLOOKUP('Données projet'!$B$9,Paramètres!$A$1:$I$89,5,0)</f>
        <v>236.71439999999919</v>
      </c>
      <c r="P148" s="14">
        <f t="shared" si="141"/>
        <v>57.732051507919088</v>
      </c>
      <c r="Q148" s="22">
        <f t="shared" si="108"/>
        <v>512.8275697096243</v>
      </c>
      <c r="R148" s="60">
        <f t="shared" si="109"/>
        <v>806.16090304295767</v>
      </c>
      <c r="S148" s="60">
        <f ca="1">AVERAGE(OFFSET($R$3,0,0,'Données projet'!$E$9+1,1))-AVERAGE(OFFSET($H$3,0,0,'Données projet'!$E$9+1,1))</f>
        <v>402.79698021419853</v>
      </c>
      <c r="T148" s="60">
        <f t="shared" si="142"/>
        <v>218.26721063098552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3.1</v>
      </c>
      <c r="AI148" s="14">
        <f>IF('Données projet'!$A$62&gt;35,AI147+AH148-AQ147,IF(A148&lt;'Données projet'!$A$62,$AF$205^A148,IF(A148='Données projet'!$A$62,'Données projet'!$B$62,AI147+AH148-AQ147)))</f>
        <v>361.49999999999972</v>
      </c>
      <c r="AJ148" s="14">
        <f>AI148*VLOOKUP('Données projet'!$B$10,Paramètres!$A$1:$I$89,3,0)*VLOOKUP('Données projet'!$B$10,Paramètres!$A$1:$I$89,5,0)</f>
        <v>310.16699999999975</v>
      </c>
      <c r="AK148" s="14">
        <f t="shared" si="143"/>
        <v>73.303705325311327</v>
      </c>
      <c r="AL148" s="22">
        <f t="shared" si="112"/>
        <v>667.87814510825012</v>
      </c>
      <c r="AM148" s="60">
        <f t="shared" si="113"/>
        <v>961.21147844158349</v>
      </c>
      <c r="AN148" s="60">
        <f ca="1">AVERAGE(OFFSET($AM$3,0,0,'Données projet'!$E$10+1,1))-AVERAGE(OFFSET($H$3,0,0,'Données projet'!$E$10+1,1))</f>
        <v>440.51611312502263</v>
      </c>
      <c r="AO148" s="60">
        <f t="shared" si="144"/>
        <v>176.81257896138806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-1.9895196601282805E-13</v>
      </c>
      <c r="BE148" s="14">
        <f>BD148*VLOOKUP('Données projet'!$B$11,Paramètres!$A$1:$I$89,3,0)*VLOOKUP('Données projet'!$B$11,Paramètres!$A$1:$I$89,5,0)</f>
        <v>-1.6138983482960614E-13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236.22643401787644</v>
      </c>
      <c r="BJ148" s="60">
        <f t="shared" si="146"/>
        <v>188.80444043778022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-1.7053025658242404E-13</v>
      </c>
      <c r="BZ148" s="14">
        <f>BY148*VLOOKUP('Données projet'!$B$12,Paramètres!$A$1:$I$89,3,0)*VLOOKUP('Données projet'!$B$12,Paramètres!$A$1:$I$89,5,0)</f>
        <v>-1.4897523215040567E-13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202.86354781280403</v>
      </c>
      <c r="CE148" s="60">
        <f t="shared" si="148"/>
        <v>217.25323885665131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4.4337866711430253E-14</v>
      </c>
      <c r="CV148" s="14">
        <f t="shared" si="149"/>
        <v>7.3222115536967035E-13</v>
      </c>
      <c r="CW148" s="22">
        <f t="shared" si="121"/>
        <v>1.3525069634579169E-12</v>
      </c>
      <c r="CX148" s="60">
        <f t="shared" si="122"/>
        <v>293.33333333333468</v>
      </c>
      <c r="CY148" s="60">
        <f ca="1">AVERAGE(OFFSET($CX$3,0,0,'Données projet'!$E$13+1,1))-AVERAGE(OFFSET($H$3,0,0,'Données projet'!$E$13+1,1))</f>
        <v>288.82868507674738</v>
      </c>
      <c r="CZ148" s="60">
        <f t="shared" si="150"/>
        <v>283.48738729114024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283.39999999999895</v>
      </c>
      <c r="O149" s="14">
        <f>N149*VLOOKUP('Données projet'!$B$9,Paramètres!$A$1:$I$89,3,0)*VLOOKUP('Données projet'!$B$9,Paramètres!$A$1:$I$89,5,0)</f>
        <v>238.73615999999913</v>
      </c>
      <c r="P149" s="14">
        <f t="shared" si="141"/>
        <v>58.167525647006187</v>
      </c>
      <c r="Q149" s="22">
        <f t="shared" si="108"/>
        <v>517.10725250186761</v>
      </c>
      <c r="R149" s="60">
        <f t="shared" si="109"/>
        <v>810.44058583520086</v>
      </c>
      <c r="S149" s="60">
        <f ca="1">AVERAGE(OFFSET($R$3,0,0,'Données projet'!$E$9+1,1))-AVERAGE(OFFSET($H$3,0,0,'Données projet'!$E$9+1,1))</f>
        <v>402.79698021419853</v>
      </c>
      <c r="T149" s="60">
        <f t="shared" si="142"/>
        <v>218.26721063098552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3.1</v>
      </c>
      <c r="AI149" s="14">
        <f>IF('Données projet'!$A$62&gt;35,AI148+AH149-AQ148,IF(A149&lt;'Données projet'!$A$62,$AF$205^A149,IF(A149='Données projet'!$A$62,'Données projet'!$B$62,AI148+AH149-AQ148)))</f>
        <v>364.59999999999974</v>
      </c>
      <c r="AJ149" s="14">
        <f>AI149*VLOOKUP('Données projet'!$B$10,Paramètres!$A$1:$I$89,3,0)*VLOOKUP('Données projet'!$B$10,Paramètres!$A$1:$I$89,5,0)</f>
        <v>312.82679999999976</v>
      </c>
      <c r="AK149" s="14">
        <f t="shared" si="143"/>
        <v>73.858866276448708</v>
      </c>
      <c r="AL149" s="22">
        <f t="shared" si="112"/>
        <v>673.4775354314811</v>
      </c>
      <c r="AM149" s="60">
        <f t="shared" si="113"/>
        <v>966.81086876481436</v>
      </c>
      <c r="AN149" s="60">
        <f ca="1">AVERAGE(OFFSET($AM$3,0,0,'Données projet'!$E$10+1,1))-AVERAGE(OFFSET($H$3,0,0,'Données projet'!$E$10+1,1))</f>
        <v>440.51611312502263</v>
      </c>
      <c r="AO149" s="60">
        <f t="shared" si="144"/>
        <v>176.81257896138806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-1.9895196601282805E-13</v>
      </c>
      <c r="BE149" s="14">
        <f>BD149*VLOOKUP('Données projet'!$B$11,Paramètres!$A$1:$I$89,3,0)*VLOOKUP('Données projet'!$B$11,Paramètres!$A$1:$I$89,5,0)</f>
        <v>-1.6138983482960614E-13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236.22643401787644</v>
      </c>
      <c r="BJ149" s="60">
        <f t="shared" si="146"/>
        <v>188.80444043778022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-1.7053025658242404E-13</v>
      </c>
      <c r="BZ149" s="14">
        <f>BY149*VLOOKUP('Données projet'!$B$12,Paramètres!$A$1:$I$89,3,0)*VLOOKUP('Données projet'!$B$12,Paramètres!$A$1:$I$89,5,0)</f>
        <v>-1.4897523215040567E-13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202.86354781280403</v>
      </c>
      <c r="CE149" s="60">
        <f t="shared" si="148"/>
        <v>217.25323885665131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4.4337866711430253E-14</v>
      </c>
      <c r="CV149" s="14">
        <f t="shared" si="149"/>
        <v>7.3222115536967035E-13</v>
      </c>
      <c r="CW149" s="22">
        <f t="shared" si="121"/>
        <v>1.3525069634579169E-12</v>
      </c>
      <c r="CX149" s="60">
        <f t="shared" si="122"/>
        <v>293.33333333333468</v>
      </c>
      <c r="CY149" s="60">
        <f ca="1">AVERAGE(OFFSET($CX$3,0,0,'Données projet'!$E$13+1,1))-AVERAGE(OFFSET($H$3,0,0,'Données projet'!$E$13+1,1))</f>
        <v>288.82868507674738</v>
      </c>
      <c r="CZ149" s="60">
        <f t="shared" si="150"/>
        <v>283.48738729114024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285.79999999999893</v>
      </c>
      <c r="O150" s="14">
        <f>N150*VLOOKUP('Données projet'!$B$9,Paramètres!$A$1:$I$89,3,0)*VLOOKUP('Données projet'!$B$9,Paramètres!$A$1:$I$89,5,0)</f>
        <v>240.7579199999991</v>
      </c>
      <c r="P150" s="14">
        <f t="shared" si="141"/>
        <v>58.602570725921979</v>
      </c>
      <c r="Q150" s="22">
        <f t="shared" si="108"/>
        <v>521.38618801431255</v>
      </c>
      <c r="R150" s="60">
        <f t="shared" si="109"/>
        <v>814.71952134764592</v>
      </c>
      <c r="S150" s="60">
        <f ca="1">AVERAGE(OFFSET($R$3,0,0,'Données projet'!$E$9+1,1))-AVERAGE(OFFSET($H$3,0,0,'Données projet'!$E$9+1,1))</f>
        <v>402.79698021419853</v>
      </c>
      <c r="T150" s="60">
        <f t="shared" si="142"/>
        <v>218.26721063098552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3.1</v>
      </c>
      <c r="AI150" s="14">
        <f>IF('Données projet'!$A$62&gt;35,AI149+AH150-AQ149,IF(A150&lt;'Données projet'!$A$62,$AF$205^A150,IF(A150='Données projet'!$A$62,'Données projet'!$B$62,AI149+AH150-AQ149)))</f>
        <v>367.69999999999976</v>
      </c>
      <c r="AJ150" s="14">
        <f>AI150*VLOOKUP('Données projet'!$B$10,Paramètres!$A$1:$I$89,3,0)*VLOOKUP('Données projet'!$B$10,Paramètres!$A$1:$I$89,5,0)</f>
        <v>315.48659999999978</v>
      </c>
      <c r="AK150" s="14">
        <f t="shared" si="143"/>
        <v>74.413478056624086</v>
      </c>
      <c r="AL150" s="22">
        <f t="shared" si="112"/>
        <v>679.07596928195323</v>
      </c>
      <c r="AM150" s="60">
        <f t="shared" si="113"/>
        <v>972.40930261528661</v>
      </c>
      <c r="AN150" s="60">
        <f ca="1">AVERAGE(OFFSET($AM$3,0,0,'Données projet'!$E$10+1,1))-AVERAGE(OFFSET($H$3,0,0,'Données projet'!$E$10+1,1))</f>
        <v>440.51611312502263</v>
      </c>
      <c r="AO150" s="60">
        <f t="shared" si="144"/>
        <v>176.81257896138806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-1.9895196601282805E-13</v>
      </c>
      <c r="BE150" s="14">
        <f>BD150*VLOOKUP('Données projet'!$B$11,Paramètres!$A$1:$I$89,3,0)*VLOOKUP('Données projet'!$B$11,Paramètres!$A$1:$I$89,5,0)</f>
        <v>-1.6138983482960614E-13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236.22643401787644</v>
      </c>
      <c r="BJ150" s="60">
        <f t="shared" si="146"/>
        <v>188.80444043778022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-1.7053025658242404E-13</v>
      </c>
      <c r="BZ150" s="14">
        <f>BY150*VLOOKUP('Données projet'!$B$12,Paramètres!$A$1:$I$89,3,0)*VLOOKUP('Données projet'!$B$12,Paramètres!$A$1:$I$89,5,0)</f>
        <v>-1.4897523215040567E-13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202.86354781280403</v>
      </c>
      <c r="CE150" s="60">
        <f t="shared" si="148"/>
        <v>217.25323885665131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4.4337866711430253E-14</v>
      </c>
      <c r="CV150" s="14">
        <f t="shared" si="149"/>
        <v>7.3222115536967035E-13</v>
      </c>
      <c r="CW150" s="22">
        <f t="shared" si="121"/>
        <v>1.3525069634579169E-12</v>
      </c>
      <c r="CX150" s="60">
        <f t="shared" si="122"/>
        <v>293.33333333333468</v>
      </c>
      <c r="CY150" s="60">
        <f ca="1">AVERAGE(OFFSET($CX$3,0,0,'Données projet'!$E$13+1,1))-AVERAGE(OFFSET($H$3,0,0,'Données projet'!$E$13+1,1))</f>
        <v>288.82868507674738</v>
      </c>
      <c r="CZ150" s="60">
        <f t="shared" si="150"/>
        <v>283.48738729114024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288.19999999999891</v>
      </c>
      <c r="O151" s="14">
        <f>N151*VLOOKUP('Données projet'!$B$9,Paramètres!$A$1:$I$89,3,0)*VLOOKUP('Données projet'!$B$9,Paramètres!$A$1:$I$89,5,0)</f>
        <v>242.7796799999991</v>
      </c>
      <c r="P151" s="14">
        <f t="shared" si="141"/>
        <v>59.0371907652126</v>
      </c>
      <c r="Q151" s="22">
        <f t="shared" si="108"/>
        <v>525.66438324941043</v>
      </c>
      <c r="R151" s="60">
        <f t="shared" si="109"/>
        <v>818.99771658274381</v>
      </c>
      <c r="S151" s="60">
        <f ca="1">AVERAGE(OFFSET($R$3,0,0,'Données projet'!$E$9+1,1))-AVERAGE(OFFSET($H$3,0,0,'Données projet'!$E$9+1,1))</f>
        <v>402.79698021419853</v>
      </c>
      <c r="T151" s="60">
        <f t="shared" si="142"/>
        <v>218.26721063098552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3.1</v>
      </c>
      <c r="AI151" s="14">
        <f>IF('Données projet'!$A$62&gt;35,AI150+AH151-AQ150,IF(A151&lt;'Données projet'!$A$62,$AF$205^A151,IF(A151='Données projet'!$A$62,'Données projet'!$B$62,AI150+AH151-AQ150)))</f>
        <v>370.79999999999978</v>
      </c>
      <c r="AJ151" s="14">
        <f>AI151*VLOOKUP('Données projet'!$B$10,Paramètres!$A$1:$I$89,3,0)*VLOOKUP('Données projet'!$B$10,Paramètres!$A$1:$I$89,5,0)</f>
        <v>318.14639999999986</v>
      </c>
      <c r="AK151" s="14">
        <f t="shared" si="143"/>
        <v>74.967545832293013</v>
      </c>
      <c r="AL151" s="22">
        <f t="shared" si="112"/>
        <v>684.67345565791004</v>
      </c>
      <c r="AM151" s="60">
        <f t="shared" si="113"/>
        <v>978.00678899124341</v>
      </c>
      <c r="AN151" s="60">
        <f ca="1">AVERAGE(OFFSET($AM$3,0,0,'Données projet'!$E$10+1,1))-AVERAGE(OFFSET($H$3,0,0,'Données projet'!$E$10+1,1))</f>
        <v>440.51611312502263</v>
      </c>
      <c r="AO151" s="60">
        <f t="shared" si="144"/>
        <v>176.81257896138806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-1.9895196601282805E-13</v>
      </c>
      <c r="BE151" s="14">
        <f>BD151*VLOOKUP('Données projet'!$B$11,Paramètres!$A$1:$I$89,3,0)*VLOOKUP('Données projet'!$B$11,Paramètres!$A$1:$I$89,5,0)</f>
        <v>-1.6138983482960614E-13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236.22643401787644</v>
      </c>
      <c r="BJ151" s="60">
        <f t="shared" si="146"/>
        <v>188.80444043778022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-1.7053025658242404E-13</v>
      </c>
      <c r="BZ151" s="14">
        <f>BY151*VLOOKUP('Données projet'!$B$12,Paramètres!$A$1:$I$89,3,0)*VLOOKUP('Données projet'!$B$12,Paramètres!$A$1:$I$89,5,0)</f>
        <v>-1.4897523215040567E-13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202.86354781280403</v>
      </c>
      <c r="CE151" s="60">
        <f t="shared" si="148"/>
        <v>217.25323885665131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4.4337866711430253E-14</v>
      </c>
      <c r="CV151" s="14">
        <f t="shared" si="149"/>
        <v>7.3222115536967035E-13</v>
      </c>
      <c r="CW151" s="22">
        <f t="shared" si="121"/>
        <v>1.3525069634579169E-12</v>
      </c>
      <c r="CX151" s="60">
        <f t="shared" si="122"/>
        <v>293.33333333333468</v>
      </c>
      <c r="CY151" s="60">
        <f ca="1">AVERAGE(OFFSET($CX$3,0,0,'Données projet'!$E$13+1,1))-AVERAGE(OFFSET($H$3,0,0,'Données projet'!$E$13+1,1))</f>
        <v>288.82868507674738</v>
      </c>
      <c r="CZ151" s="60">
        <f t="shared" si="150"/>
        <v>283.48738729114024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290.59999999999889</v>
      </c>
      <c r="O152" s="14">
        <f>N152*VLOOKUP('Données projet'!$B$9,Paramètres!$A$1:$I$89,3,0)*VLOOKUP('Données projet'!$B$9,Paramètres!$A$1:$I$89,5,0)</f>
        <v>244.80143999999908</v>
      </c>
      <c r="P152" s="14">
        <f t="shared" si="141"/>
        <v>59.471389714596363</v>
      </c>
      <c r="Q152" s="22">
        <f t="shared" si="108"/>
        <v>529.94184508625369</v>
      </c>
      <c r="R152" s="60">
        <f t="shared" si="109"/>
        <v>823.27517841958706</v>
      </c>
      <c r="S152" s="60">
        <f ca="1">AVERAGE(OFFSET($R$3,0,0,'Données projet'!$E$9+1,1))-AVERAGE(OFFSET($H$3,0,0,'Données projet'!$E$9+1,1))</f>
        <v>402.79698021419853</v>
      </c>
      <c r="T152" s="60">
        <f t="shared" si="142"/>
        <v>218.26721063098552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3.1</v>
      </c>
      <c r="AI152" s="14">
        <f>IF('Données projet'!$A$62&gt;35,AI151+AH152-AQ151,IF(A152&lt;'Données projet'!$A$62,$AF$205^A152,IF(A152='Données projet'!$A$62,'Données projet'!$B$62,AI151+AH152-AQ151)))</f>
        <v>373.89999999999981</v>
      </c>
      <c r="AJ152" s="14">
        <f>AI152*VLOOKUP('Données projet'!$B$10,Paramètres!$A$1:$I$89,3,0)*VLOOKUP('Données projet'!$B$10,Paramètres!$A$1:$I$89,5,0)</f>
        <v>320.80619999999988</v>
      </c>
      <c r="AK152" s="14">
        <f t="shared" si="143"/>
        <v>75.521074678538568</v>
      </c>
      <c r="AL152" s="22">
        <f t="shared" si="112"/>
        <v>690.27000339845438</v>
      </c>
      <c r="AM152" s="60">
        <f t="shared" si="113"/>
        <v>983.60333673178775</v>
      </c>
      <c r="AN152" s="60">
        <f ca="1">AVERAGE(OFFSET($AM$3,0,0,'Données projet'!$E$10+1,1))-AVERAGE(OFFSET($H$3,0,0,'Données projet'!$E$10+1,1))</f>
        <v>440.51611312502263</v>
      </c>
      <c r="AO152" s="60">
        <f t="shared" si="144"/>
        <v>176.81257896138806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-1.9895196601282805E-13</v>
      </c>
      <c r="BE152" s="14">
        <f>BD152*VLOOKUP('Données projet'!$B$11,Paramètres!$A$1:$I$89,3,0)*VLOOKUP('Données projet'!$B$11,Paramètres!$A$1:$I$89,5,0)</f>
        <v>-1.6138983482960614E-13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236.22643401787644</v>
      </c>
      <c r="BJ152" s="60">
        <f t="shared" si="146"/>
        <v>188.80444043778022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-1.7053025658242404E-13</v>
      </c>
      <c r="BZ152" s="14">
        <f>BY152*VLOOKUP('Données projet'!$B$12,Paramètres!$A$1:$I$89,3,0)*VLOOKUP('Données projet'!$B$12,Paramètres!$A$1:$I$89,5,0)</f>
        <v>-1.4897523215040567E-13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202.86354781280403</v>
      </c>
      <c r="CE152" s="60">
        <f t="shared" si="148"/>
        <v>217.25323885665131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4.4337866711430253E-14</v>
      </c>
      <c r="CV152" s="14">
        <f t="shared" si="149"/>
        <v>7.3222115536967035E-13</v>
      </c>
      <c r="CW152" s="22">
        <f t="shared" si="121"/>
        <v>1.3525069634579169E-12</v>
      </c>
      <c r="CX152" s="60">
        <f t="shared" si="122"/>
        <v>293.33333333333468</v>
      </c>
      <c r="CY152" s="60">
        <f ca="1">AVERAGE(OFFSET($CX$3,0,0,'Données projet'!$E$13+1,1))-AVERAGE(OFFSET($H$3,0,0,'Données projet'!$E$13+1,1))</f>
        <v>288.82868507674738</v>
      </c>
      <c r="CZ152" s="60">
        <f t="shared" si="150"/>
        <v>283.48738729114024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292.99999999999886</v>
      </c>
      <c r="O153" s="14">
        <f>N153*VLOOKUP('Données projet'!$B$9,Paramètres!$A$1:$I$89,3,0)*VLOOKUP('Données projet'!$B$9,Paramètres!$A$1:$I$89,5,0)</f>
        <v>246.82319999999908</v>
      </c>
      <c r="P153" s="14">
        <f t="shared" si="141"/>
        <v>59.905171454785801</v>
      </c>
      <c r="Q153" s="22">
        <f t="shared" si="108"/>
        <v>534.21858028375038</v>
      </c>
      <c r="R153" s="60">
        <f t="shared" si="109"/>
        <v>827.55191361708376</v>
      </c>
      <c r="S153" s="60">
        <f ca="1">AVERAGE(OFFSET($R$3,0,0,'Données projet'!$E$9+1,1))-AVERAGE(OFFSET($H$3,0,0,'Données projet'!$E$9+1,1))</f>
        <v>402.79698021419853</v>
      </c>
      <c r="T153" s="60">
        <f t="shared" si="142"/>
        <v>218.26721063098552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377</v>
      </c>
      <c r="AG153" s="13">
        <f>VLOOKUP(A153,'Données projet'!$A$61:$I$81,9,0)</f>
        <v>3.1</v>
      </c>
      <c r="AH153" s="13">
        <f t="array" ref="AH153">INDEX(AG:AG,MIN(IF(ISNUMBER(AG153:AG349),ROW(AG153:AG349),"")))</f>
        <v>3.1</v>
      </c>
      <c r="AI153" s="14">
        <f>IF('Données projet'!$A$62&gt;35,AI152+AH153-AQ152,IF(A153&lt;'Données projet'!$A$62,$AF$205^A153,IF(A153='Données projet'!$A$62,'Données projet'!$B$62,AI152+AH153-AQ152)))</f>
        <v>376.99999999999983</v>
      </c>
      <c r="AJ153" s="14">
        <f>AI153*VLOOKUP('Données projet'!$B$10,Paramètres!$A$1:$I$89,3,0)*VLOOKUP('Données projet'!$B$10,Paramètres!$A$1:$I$89,5,0)</f>
        <v>323.46599999999989</v>
      </c>
      <c r="AK153" s="14">
        <f t="shared" si="143"/>
        <v>76.074069581431147</v>
      </c>
      <c r="AL153" s="22">
        <f t="shared" si="112"/>
        <v>695.86562118765903</v>
      </c>
      <c r="AM153" s="60">
        <f t="shared" si="113"/>
        <v>989.1989545209924</v>
      </c>
      <c r="AN153" s="60">
        <f ca="1">AVERAGE(OFFSET($AM$3,0,0,'Données projet'!$E$10+1,1))-AVERAGE(OFFSET($H$3,0,0,'Données projet'!$E$10+1,1))</f>
        <v>440.51611312502263</v>
      </c>
      <c r="AO153" s="60">
        <f t="shared" si="144"/>
        <v>176.81257896138806</v>
      </c>
      <c r="AP153" s="16">
        <f>IF(ISNA(VLOOKUP(A153,'Données projet'!$A$61:$I$81,3,0)),0,VLOOKUP(A153,'Données projet'!$A$61:$I$81,3,0))</f>
        <v>12</v>
      </c>
      <c r="AQ153" s="16">
        <f>IF(ISNA(VLOOKUP(A153,'Données projet'!$A$61:$I$81,4,0)),0,VLOOKUP(A153,'Données projet'!$A$61:$I$81,4,0))</f>
        <v>377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-1.9895196601282805E-13</v>
      </c>
      <c r="BE153" s="14">
        <f>BD153*VLOOKUP('Données projet'!$B$11,Paramètres!$A$1:$I$89,3,0)*VLOOKUP('Données projet'!$B$11,Paramètres!$A$1:$I$89,5,0)</f>
        <v>-1.6138983482960614E-13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236.22643401787644</v>
      </c>
      <c r="BJ153" s="60">
        <f t="shared" si="146"/>
        <v>188.80444043778022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-1.7053025658242404E-13</v>
      </c>
      <c r="BZ153" s="14">
        <f>BY153*VLOOKUP('Données projet'!$B$12,Paramètres!$A$1:$I$89,3,0)*VLOOKUP('Données projet'!$B$12,Paramètres!$A$1:$I$89,5,0)</f>
        <v>-1.4897523215040567E-13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202.86354781280403</v>
      </c>
      <c r="CE153" s="60">
        <f t="shared" si="148"/>
        <v>217.25323885665131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4.4337866711430253E-14</v>
      </c>
      <c r="CV153" s="14">
        <f t="shared" si="149"/>
        <v>7.3222115536967035E-13</v>
      </c>
      <c r="CW153" s="22">
        <f t="shared" si="121"/>
        <v>1.3525069634579169E-12</v>
      </c>
      <c r="CX153" s="60">
        <f t="shared" si="122"/>
        <v>293.33333333333468</v>
      </c>
      <c r="CY153" s="60">
        <f ca="1">AVERAGE(OFFSET($CX$3,0,0,'Données projet'!$E$13+1,1))-AVERAGE(OFFSET($H$3,0,0,'Données projet'!$E$13+1,1))</f>
        <v>288.82868507674738</v>
      </c>
      <c r="CZ153" s="60">
        <f t="shared" si="150"/>
        <v>283.48738729114024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-1.1368683772161603E-12</v>
      </c>
      <c r="O154" s="14">
        <f>N154*VLOOKUP('Données projet'!$B$9,Paramètres!$A$1:$I$89,3,0)*VLOOKUP('Données projet'!$B$9,Paramètres!$A$1:$I$89,5,0)</f>
        <v>-9.5769792096689358E-13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402.79698021419853</v>
      </c>
      <c r="T154" s="60">
        <f t="shared" si="142"/>
        <v>218.26721063098552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-1.4631496014771985E-13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440.51611312502263</v>
      </c>
      <c r="AO154" s="60">
        <f t="shared" si="144"/>
        <v>176.81257896138806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-1.9895196601282805E-13</v>
      </c>
      <c r="BE154" s="14">
        <f>BD154*VLOOKUP('Données projet'!$B$11,Paramètres!$A$1:$I$89,3,0)*VLOOKUP('Données projet'!$B$11,Paramètres!$A$1:$I$89,5,0)</f>
        <v>-1.6138983482960614E-13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236.22643401787644</v>
      </c>
      <c r="BJ154" s="60">
        <f t="shared" si="146"/>
        <v>188.80444043778022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-1.7053025658242404E-13</v>
      </c>
      <c r="BZ154" s="14">
        <f>BY154*VLOOKUP('Données projet'!$B$12,Paramètres!$A$1:$I$89,3,0)*VLOOKUP('Données projet'!$B$12,Paramètres!$A$1:$I$89,5,0)</f>
        <v>-1.4897523215040567E-13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202.86354781280403</v>
      </c>
      <c r="CE154" s="60">
        <f t="shared" si="148"/>
        <v>217.25323885665131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4.4337866711430253E-14</v>
      </c>
      <c r="CV154" s="14">
        <f t="shared" ref="CV154:CV203" si="173">EXP(-1.0587+0.8836*LN(CU154)+0.284)</f>
        <v>7.3222115536967035E-13</v>
      </c>
      <c r="CW154" s="22">
        <f t="shared" ref="CW154:CW203" si="174">(CU154+CV154)*0.475*44/12</f>
        <v>1.3525069634579169E-12</v>
      </c>
      <c r="CX154" s="60">
        <f t="shared" si="122"/>
        <v>293.33333333333468</v>
      </c>
      <c r="CY154" s="60">
        <f ca="1">AVERAGE(OFFSET($CX$3,0,0,'Données projet'!$E$13+1,1))-AVERAGE(OFFSET($H$3,0,0,'Données projet'!$E$13+1,1))</f>
        <v>288.82868507674738</v>
      </c>
      <c r="CZ154" s="60">
        <f t="shared" si="150"/>
        <v>283.48738729114024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-1.1368683772161603E-12</v>
      </c>
      <c r="O155" s="14">
        <f>N155*VLOOKUP('Données projet'!$B$9,Paramètres!$A$1:$I$89,3,0)*VLOOKUP('Données projet'!$B$9,Paramètres!$A$1:$I$89,5,0)</f>
        <v>-9.5769792096689358E-13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402.79698021419853</v>
      </c>
      <c r="T155" s="60">
        <f t="shared" si="142"/>
        <v>218.26721063098552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-1.4631496014771985E-13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440.51611312502263</v>
      </c>
      <c r="AO155" s="60">
        <f t="shared" si="144"/>
        <v>176.81257896138806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-1.9895196601282805E-13</v>
      </c>
      <c r="BE155" s="14">
        <f>BD155*VLOOKUP('Données projet'!$B$11,Paramètres!$A$1:$I$89,3,0)*VLOOKUP('Données projet'!$B$11,Paramètres!$A$1:$I$89,5,0)</f>
        <v>-1.6138983482960614E-13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236.22643401787644</v>
      </c>
      <c r="BJ155" s="60">
        <f t="shared" si="146"/>
        <v>188.80444043778022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-1.7053025658242404E-13</v>
      </c>
      <c r="BZ155" s="14">
        <f>BY155*VLOOKUP('Données projet'!$B$12,Paramètres!$A$1:$I$89,3,0)*VLOOKUP('Données projet'!$B$12,Paramètres!$A$1:$I$89,5,0)</f>
        <v>-1.4897523215040567E-13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202.86354781280403</v>
      </c>
      <c r="CE155" s="60">
        <f t="shared" si="148"/>
        <v>217.25323885665131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4.4337866711430253E-14</v>
      </c>
      <c r="CV155" s="14">
        <f t="shared" si="173"/>
        <v>7.3222115536967035E-13</v>
      </c>
      <c r="CW155" s="22">
        <f t="shared" si="174"/>
        <v>1.3525069634579169E-12</v>
      </c>
      <c r="CX155" s="60">
        <f t="shared" si="122"/>
        <v>293.33333333333468</v>
      </c>
      <c r="CY155" s="60">
        <f ca="1">AVERAGE(OFFSET($CX$3,0,0,'Données projet'!$E$13+1,1))-AVERAGE(OFFSET($H$3,0,0,'Données projet'!$E$13+1,1))</f>
        <v>288.82868507674738</v>
      </c>
      <c r="CZ155" s="60">
        <f t="shared" si="150"/>
        <v>283.48738729114024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-1.1368683772161603E-12</v>
      </c>
      <c r="O156" s="14">
        <f>N156*VLOOKUP('Données projet'!$B$9,Paramètres!$A$1:$I$89,3,0)*VLOOKUP('Données projet'!$B$9,Paramètres!$A$1:$I$89,5,0)</f>
        <v>-9.5769792096689358E-13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402.79698021419853</v>
      </c>
      <c r="T156" s="60">
        <f t="shared" si="142"/>
        <v>218.26721063098552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-1.4631496014771985E-13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440.51611312502263</v>
      </c>
      <c r="AO156" s="60">
        <f t="shared" si="144"/>
        <v>176.81257896138806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-1.9895196601282805E-13</v>
      </c>
      <c r="BE156" s="14">
        <f>BD156*VLOOKUP('Données projet'!$B$11,Paramètres!$A$1:$I$89,3,0)*VLOOKUP('Données projet'!$B$11,Paramètres!$A$1:$I$89,5,0)</f>
        <v>-1.6138983482960614E-13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236.22643401787644</v>
      </c>
      <c r="BJ156" s="60">
        <f t="shared" si="146"/>
        <v>188.80444043778022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-1.7053025658242404E-13</v>
      </c>
      <c r="BZ156" s="14">
        <f>BY156*VLOOKUP('Données projet'!$B$12,Paramètres!$A$1:$I$89,3,0)*VLOOKUP('Données projet'!$B$12,Paramètres!$A$1:$I$89,5,0)</f>
        <v>-1.4897523215040567E-13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202.86354781280403</v>
      </c>
      <c r="CE156" s="60">
        <f t="shared" si="148"/>
        <v>217.25323885665131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4.4337866711430253E-14</v>
      </c>
      <c r="CV156" s="14">
        <f t="shared" si="173"/>
        <v>7.3222115536967035E-13</v>
      </c>
      <c r="CW156" s="22">
        <f t="shared" si="174"/>
        <v>1.3525069634579169E-12</v>
      </c>
      <c r="CX156" s="60">
        <f t="shared" si="122"/>
        <v>293.33333333333468</v>
      </c>
      <c r="CY156" s="60">
        <f ca="1">AVERAGE(OFFSET($CX$3,0,0,'Données projet'!$E$13+1,1))-AVERAGE(OFFSET($H$3,0,0,'Données projet'!$E$13+1,1))</f>
        <v>288.82868507674738</v>
      </c>
      <c r="CZ156" s="60">
        <f t="shared" si="150"/>
        <v>283.48738729114024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-1.1368683772161603E-12</v>
      </c>
      <c r="O157" s="14">
        <f>N157*VLOOKUP('Données projet'!$B$9,Paramètres!$A$1:$I$89,3,0)*VLOOKUP('Données projet'!$B$9,Paramètres!$A$1:$I$89,5,0)</f>
        <v>-9.5769792096689358E-13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402.79698021419853</v>
      </c>
      <c r="T157" s="60">
        <f t="shared" si="142"/>
        <v>218.26721063098552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-1.4631496014771985E-13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440.51611312502263</v>
      </c>
      <c r="AO157" s="60">
        <f t="shared" si="144"/>
        <v>176.81257896138806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-1.9895196601282805E-13</v>
      </c>
      <c r="BE157" s="14">
        <f>BD157*VLOOKUP('Données projet'!$B$11,Paramètres!$A$1:$I$89,3,0)*VLOOKUP('Données projet'!$B$11,Paramètres!$A$1:$I$89,5,0)</f>
        <v>-1.6138983482960614E-13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236.22643401787644</v>
      </c>
      <c r="BJ157" s="60">
        <f t="shared" si="146"/>
        <v>188.80444043778022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-1.7053025658242404E-13</v>
      </c>
      <c r="BZ157" s="14">
        <f>BY157*VLOOKUP('Données projet'!$B$12,Paramètres!$A$1:$I$89,3,0)*VLOOKUP('Données projet'!$B$12,Paramètres!$A$1:$I$89,5,0)</f>
        <v>-1.4897523215040567E-13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202.86354781280403</v>
      </c>
      <c r="CE157" s="60">
        <f t="shared" si="148"/>
        <v>217.25323885665131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4.4337866711430253E-14</v>
      </c>
      <c r="CV157" s="14">
        <f t="shared" si="173"/>
        <v>7.3222115536967035E-13</v>
      </c>
      <c r="CW157" s="22">
        <f t="shared" si="174"/>
        <v>1.3525069634579169E-12</v>
      </c>
      <c r="CX157" s="60">
        <f t="shared" si="122"/>
        <v>293.33333333333468</v>
      </c>
      <c r="CY157" s="60">
        <f ca="1">AVERAGE(OFFSET($CX$3,0,0,'Données projet'!$E$13+1,1))-AVERAGE(OFFSET($H$3,0,0,'Données projet'!$E$13+1,1))</f>
        <v>288.82868507674738</v>
      </c>
      <c r="CZ157" s="60">
        <f t="shared" si="150"/>
        <v>283.48738729114024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-1.1368683772161603E-12</v>
      </c>
      <c r="O158" s="14">
        <f>N158*VLOOKUP('Données projet'!$B$9,Paramètres!$A$1:$I$89,3,0)*VLOOKUP('Données projet'!$B$9,Paramètres!$A$1:$I$89,5,0)</f>
        <v>-9.5769792096689358E-13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402.79698021419853</v>
      </c>
      <c r="T158" s="60">
        <f t="shared" si="142"/>
        <v>218.26721063098552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-1.4631496014771985E-13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440.51611312502263</v>
      </c>
      <c r="AO158" s="60">
        <f t="shared" si="144"/>
        <v>176.81257896138806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-1.9895196601282805E-13</v>
      </c>
      <c r="BE158" s="14">
        <f>BD158*VLOOKUP('Données projet'!$B$11,Paramètres!$A$1:$I$89,3,0)*VLOOKUP('Données projet'!$B$11,Paramètres!$A$1:$I$89,5,0)</f>
        <v>-1.6138983482960614E-13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236.22643401787644</v>
      </c>
      <c r="BJ158" s="60">
        <f t="shared" si="146"/>
        <v>188.80444043778022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-1.7053025658242404E-13</v>
      </c>
      <c r="BZ158" s="14">
        <f>BY158*VLOOKUP('Données projet'!$B$12,Paramètres!$A$1:$I$89,3,0)*VLOOKUP('Données projet'!$B$12,Paramètres!$A$1:$I$89,5,0)</f>
        <v>-1.4897523215040567E-13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202.86354781280403</v>
      </c>
      <c r="CE158" s="60">
        <f t="shared" si="148"/>
        <v>217.25323885665131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4.4337866711430253E-14</v>
      </c>
      <c r="CV158" s="14">
        <f t="shared" si="173"/>
        <v>7.3222115536967035E-13</v>
      </c>
      <c r="CW158" s="22">
        <f t="shared" si="174"/>
        <v>1.3525069634579169E-12</v>
      </c>
      <c r="CX158" s="60">
        <f t="shared" si="122"/>
        <v>293.33333333333468</v>
      </c>
      <c r="CY158" s="60">
        <f ca="1">AVERAGE(OFFSET($CX$3,0,0,'Données projet'!$E$13+1,1))-AVERAGE(OFFSET($H$3,0,0,'Données projet'!$E$13+1,1))</f>
        <v>288.82868507674738</v>
      </c>
      <c r="CZ158" s="60">
        <f t="shared" si="150"/>
        <v>283.48738729114024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-1.1368683772161603E-12</v>
      </c>
      <c r="O159" s="14">
        <f>N159*VLOOKUP('Données projet'!$B$9,Paramètres!$A$1:$I$89,3,0)*VLOOKUP('Données projet'!$B$9,Paramètres!$A$1:$I$89,5,0)</f>
        <v>-9.5769792096689358E-13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402.79698021419853</v>
      </c>
      <c r="T159" s="60">
        <f t="shared" si="142"/>
        <v>218.26721063098552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-1.4631496014771985E-13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440.51611312502263</v>
      </c>
      <c r="AO159" s="60">
        <f t="shared" si="144"/>
        <v>176.81257896138806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-1.9895196601282805E-13</v>
      </c>
      <c r="BE159" s="14">
        <f>BD159*VLOOKUP('Données projet'!$B$11,Paramètres!$A$1:$I$89,3,0)*VLOOKUP('Données projet'!$B$11,Paramètres!$A$1:$I$89,5,0)</f>
        <v>-1.6138983482960614E-13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236.22643401787644</v>
      </c>
      <c r="BJ159" s="60">
        <f t="shared" si="146"/>
        <v>188.80444043778022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-1.7053025658242404E-13</v>
      </c>
      <c r="BZ159" s="14">
        <f>BY159*VLOOKUP('Données projet'!$B$12,Paramètres!$A$1:$I$89,3,0)*VLOOKUP('Données projet'!$B$12,Paramètres!$A$1:$I$89,5,0)</f>
        <v>-1.4897523215040567E-13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202.86354781280403</v>
      </c>
      <c r="CE159" s="60">
        <f t="shared" si="148"/>
        <v>217.25323885665131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4.4337866711430253E-14</v>
      </c>
      <c r="CV159" s="14">
        <f t="shared" si="173"/>
        <v>7.3222115536967035E-13</v>
      </c>
      <c r="CW159" s="22">
        <f t="shared" si="174"/>
        <v>1.3525069634579169E-12</v>
      </c>
      <c r="CX159" s="60">
        <f t="shared" si="122"/>
        <v>293.33333333333468</v>
      </c>
      <c r="CY159" s="60">
        <f ca="1">AVERAGE(OFFSET($CX$3,0,0,'Données projet'!$E$13+1,1))-AVERAGE(OFFSET($H$3,0,0,'Données projet'!$E$13+1,1))</f>
        <v>288.82868507674738</v>
      </c>
      <c r="CZ159" s="60">
        <f t="shared" si="150"/>
        <v>283.48738729114024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-1.1368683772161603E-12</v>
      </c>
      <c r="O160" s="14">
        <f>N160*VLOOKUP('Données projet'!$B$9,Paramètres!$A$1:$I$89,3,0)*VLOOKUP('Données projet'!$B$9,Paramètres!$A$1:$I$89,5,0)</f>
        <v>-9.5769792096689358E-13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402.79698021419853</v>
      </c>
      <c r="T160" s="60">
        <f t="shared" si="142"/>
        <v>218.26721063098552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-1.4631496014771985E-13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440.51611312502263</v>
      </c>
      <c r="AO160" s="60">
        <f t="shared" si="144"/>
        <v>176.81257896138806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-1.9895196601282805E-13</v>
      </c>
      <c r="BE160" s="14">
        <f>BD160*VLOOKUP('Données projet'!$B$11,Paramètres!$A$1:$I$89,3,0)*VLOOKUP('Données projet'!$B$11,Paramètres!$A$1:$I$89,5,0)</f>
        <v>-1.6138983482960614E-13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236.22643401787644</v>
      </c>
      <c r="BJ160" s="60">
        <f t="shared" si="146"/>
        <v>188.80444043778022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-1.7053025658242404E-13</v>
      </c>
      <c r="BZ160" s="14">
        <f>BY160*VLOOKUP('Données projet'!$B$12,Paramètres!$A$1:$I$89,3,0)*VLOOKUP('Données projet'!$B$12,Paramètres!$A$1:$I$89,5,0)</f>
        <v>-1.4897523215040567E-13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202.86354781280403</v>
      </c>
      <c r="CE160" s="60">
        <f t="shared" si="148"/>
        <v>217.25323885665131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4.4337866711430253E-14</v>
      </c>
      <c r="CV160" s="14">
        <f t="shared" si="173"/>
        <v>7.3222115536967035E-13</v>
      </c>
      <c r="CW160" s="22">
        <f t="shared" si="174"/>
        <v>1.3525069634579169E-12</v>
      </c>
      <c r="CX160" s="60">
        <f t="shared" si="122"/>
        <v>293.33333333333468</v>
      </c>
      <c r="CY160" s="60">
        <f ca="1">AVERAGE(OFFSET($CX$3,0,0,'Données projet'!$E$13+1,1))-AVERAGE(OFFSET($H$3,0,0,'Données projet'!$E$13+1,1))</f>
        <v>288.82868507674738</v>
      </c>
      <c r="CZ160" s="60">
        <f t="shared" si="150"/>
        <v>283.48738729114024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-1.1368683772161603E-12</v>
      </c>
      <c r="O161" s="14">
        <f>N161*VLOOKUP('Données projet'!$B$9,Paramètres!$A$1:$I$89,3,0)*VLOOKUP('Données projet'!$B$9,Paramètres!$A$1:$I$89,5,0)</f>
        <v>-9.5769792096689358E-13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402.79698021419853</v>
      </c>
      <c r="T161" s="60">
        <f t="shared" si="142"/>
        <v>218.26721063098552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-1.4631496014771985E-13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440.51611312502263</v>
      </c>
      <c r="AO161" s="60">
        <f t="shared" si="144"/>
        <v>176.81257896138806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-1.9895196601282805E-13</v>
      </c>
      <c r="BE161" s="14">
        <f>BD161*VLOOKUP('Données projet'!$B$11,Paramètres!$A$1:$I$89,3,0)*VLOOKUP('Données projet'!$B$11,Paramètres!$A$1:$I$89,5,0)</f>
        <v>-1.6138983482960614E-13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236.22643401787644</v>
      </c>
      <c r="BJ161" s="60">
        <f t="shared" si="146"/>
        <v>188.80444043778022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-1.7053025658242404E-13</v>
      </c>
      <c r="BZ161" s="14">
        <f>BY161*VLOOKUP('Données projet'!$B$12,Paramètres!$A$1:$I$89,3,0)*VLOOKUP('Données projet'!$B$12,Paramètres!$A$1:$I$89,5,0)</f>
        <v>-1.4897523215040567E-13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202.86354781280403</v>
      </c>
      <c r="CE161" s="60">
        <f t="shared" si="148"/>
        <v>217.25323885665131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4.4337866711430253E-14</v>
      </c>
      <c r="CV161" s="14">
        <f t="shared" si="173"/>
        <v>7.3222115536967035E-13</v>
      </c>
      <c r="CW161" s="22">
        <f t="shared" si="174"/>
        <v>1.3525069634579169E-12</v>
      </c>
      <c r="CX161" s="60">
        <f t="shared" si="122"/>
        <v>293.33333333333468</v>
      </c>
      <c r="CY161" s="60">
        <f ca="1">AVERAGE(OFFSET($CX$3,0,0,'Données projet'!$E$13+1,1))-AVERAGE(OFFSET($H$3,0,0,'Données projet'!$E$13+1,1))</f>
        <v>288.82868507674738</v>
      </c>
      <c r="CZ161" s="60">
        <f t="shared" si="150"/>
        <v>283.48738729114024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-1.1368683772161603E-12</v>
      </c>
      <c r="O162" s="14">
        <f>N162*VLOOKUP('Données projet'!$B$9,Paramètres!$A$1:$I$89,3,0)*VLOOKUP('Données projet'!$B$9,Paramètres!$A$1:$I$89,5,0)</f>
        <v>-9.5769792096689358E-13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402.79698021419853</v>
      </c>
      <c r="T162" s="60">
        <f t="shared" si="142"/>
        <v>218.26721063098552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-1.4631496014771985E-13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440.51611312502263</v>
      </c>
      <c r="AO162" s="60">
        <f t="shared" si="144"/>
        <v>176.81257896138806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-1.9895196601282805E-13</v>
      </c>
      <c r="BE162" s="14">
        <f>BD162*VLOOKUP('Données projet'!$B$11,Paramètres!$A$1:$I$89,3,0)*VLOOKUP('Données projet'!$B$11,Paramètres!$A$1:$I$89,5,0)</f>
        <v>-1.6138983482960614E-13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236.22643401787644</v>
      </c>
      <c r="BJ162" s="60">
        <f t="shared" si="146"/>
        <v>188.80444043778022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-1.7053025658242404E-13</v>
      </c>
      <c r="BZ162" s="14">
        <f>BY162*VLOOKUP('Données projet'!$B$12,Paramètres!$A$1:$I$89,3,0)*VLOOKUP('Données projet'!$B$12,Paramètres!$A$1:$I$89,5,0)</f>
        <v>-1.4897523215040567E-13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202.86354781280403</v>
      </c>
      <c r="CE162" s="60">
        <f t="shared" si="148"/>
        <v>217.25323885665131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4.4337866711430253E-14</v>
      </c>
      <c r="CV162" s="14">
        <f t="shared" si="173"/>
        <v>7.3222115536967035E-13</v>
      </c>
      <c r="CW162" s="22">
        <f t="shared" si="174"/>
        <v>1.3525069634579169E-12</v>
      </c>
      <c r="CX162" s="60">
        <f t="shared" si="122"/>
        <v>293.33333333333468</v>
      </c>
      <c r="CY162" s="60">
        <f ca="1">AVERAGE(OFFSET($CX$3,0,0,'Données projet'!$E$13+1,1))-AVERAGE(OFFSET($H$3,0,0,'Données projet'!$E$13+1,1))</f>
        <v>288.82868507674738</v>
      </c>
      <c r="CZ162" s="60">
        <f t="shared" si="150"/>
        <v>283.48738729114024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-1.1368683772161603E-12</v>
      </c>
      <c r="O163" s="14">
        <f>N163*VLOOKUP('Données projet'!$B$9,Paramètres!$A$1:$I$89,3,0)*VLOOKUP('Données projet'!$B$9,Paramètres!$A$1:$I$89,5,0)</f>
        <v>-9.5769792096689358E-13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402.79698021419853</v>
      </c>
      <c r="T163" s="60">
        <f t="shared" si="142"/>
        <v>218.26721063098552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-1.4631496014771985E-13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440.51611312502263</v>
      </c>
      <c r="AO163" s="60">
        <f t="shared" si="144"/>
        <v>176.81257896138806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-1.9895196601282805E-13</v>
      </c>
      <c r="BE163" s="14">
        <f>BD163*VLOOKUP('Données projet'!$B$11,Paramètres!$A$1:$I$89,3,0)*VLOOKUP('Données projet'!$B$11,Paramètres!$A$1:$I$89,5,0)</f>
        <v>-1.6138983482960614E-13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236.22643401787644</v>
      </c>
      <c r="BJ163" s="60">
        <f t="shared" si="146"/>
        <v>188.80444043778022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-1.7053025658242404E-13</v>
      </c>
      <c r="BZ163" s="14">
        <f>BY163*VLOOKUP('Données projet'!$B$12,Paramètres!$A$1:$I$89,3,0)*VLOOKUP('Données projet'!$B$12,Paramètres!$A$1:$I$89,5,0)</f>
        <v>-1.4897523215040567E-13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202.86354781280403</v>
      </c>
      <c r="CE163" s="60">
        <f t="shared" si="148"/>
        <v>217.25323885665131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4.4337866711430253E-14</v>
      </c>
      <c r="CV163" s="14">
        <f t="shared" si="173"/>
        <v>7.3222115536967035E-13</v>
      </c>
      <c r="CW163" s="22">
        <f t="shared" si="174"/>
        <v>1.3525069634579169E-12</v>
      </c>
      <c r="CX163" s="60">
        <f t="shared" si="122"/>
        <v>293.33333333333468</v>
      </c>
      <c r="CY163" s="60">
        <f ca="1">AVERAGE(OFFSET($CX$3,0,0,'Données projet'!$E$13+1,1))-AVERAGE(OFFSET($H$3,0,0,'Données projet'!$E$13+1,1))</f>
        <v>288.82868507674738</v>
      </c>
      <c r="CZ163" s="60">
        <f t="shared" si="150"/>
        <v>283.48738729114024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-1.1368683772161603E-12</v>
      </c>
      <c r="O164" s="14">
        <f>N164*VLOOKUP('Données projet'!$B$9,Paramètres!$A$1:$I$89,3,0)*VLOOKUP('Données projet'!$B$9,Paramètres!$A$1:$I$89,5,0)</f>
        <v>-9.5769792096689358E-13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402.79698021419853</v>
      </c>
      <c r="T164" s="60">
        <f t="shared" si="142"/>
        <v>218.26721063098552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-1.4631496014771985E-13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440.51611312502263</v>
      </c>
      <c r="AO164" s="60">
        <f t="shared" si="144"/>
        <v>176.81257896138806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-1.9895196601282805E-13</v>
      </c>
      <c r="BE164" s="14">
        <f>BD164*VLOOKUP('Données projet'!$B$11,Paramètres!$A$1:$I$89,3,0)*VLOOKUP('Données projet'!$B$11,Paramètres!$A$1:$I$89,5,0)</f>
        <v>-1.6138983482960614E-13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236.22643401787644</v>
      </c>
      <c r="BJ164" s="60">
        <f t="shared" si="146"/>
        <v>188.80444043778022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-1.7053025658242404E-13</v>
      </c>
      <c r="BZ164" s="14">
        <f>BY164*VLOOKUP('Données projet'!$B$12,Paramètres!$A$1:$I$89,3,0)*VLOOKUP('Données projet'!$B$12,Paramètres!$A$1:$I$89,5,0)</f>
        <v>-1.4897523215040567E-13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202.86354781280403</v>
      </c>
      <c r="CE164" s="60">
        <f t="shared" si="148"/>
        <v>217.25323885665131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4.4337866711430253E-14</v>
      </c>
      <c r="CV164" s="14">
        <f t="shared" si="173"/>
        <v>7.3222115536967035E-13</v>
      </c>
      <c r="CW164" s="22">
        <f t="shared" si="174"/>
        <v>1.3525069634579169E-12</v>
      </c>
      <c r="CX164" s="60">
        <f t="shared" si="122"/>
        <v>293.33333333333468</v>
      </c>
      <c r="CY164" s="60">
        <f ca="1">AVERAGE(OFFSET($CX$3,0,0,'Données projet'!$E$13+1,1))-AVERAGE(OFFSET($H$3,0,0,'Données projet'!$E$13+1,1))</f>
        <v>288.82868507674738</v>
      </c>
      <c r="CZ164" s="60">
        <f t="shared" si="150"/>
        <v>283.48738729114024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-1.1368683772161603E-12</v>
      </c>
      <c r="O165" s="14">
        <f>N165*VLOOKUP('Données projet'!$B$9,Paramètres!$A$1:$I$89,3,0)*VLOOKUP('Données projet'!$B$9,Paramètres!$A$1:$I$89,5,0)</f>
        <v>-9.5769792096689358E-13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402.79698021419853</v>
      </c>
      <c r="T165" s="60">
        <f t="shared" si="142"/>
        <v>218.26721063098552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-1.4631496014771985E-13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440.51611312502263</v>
      </c>
      <c r="AO165" s="60">
        <f t="shared" si="144"/>
        <v>176.81257896138806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-1.9895196601282805E-13</v>
      </c>
      <c r="BE165" s="14">
        <f>BD165*VLOOKUP('Données projet'!$B$11,Paramètres!$A$1:$I$89,3,0)*VLOOKUP('Données projet'!$B$11,Paramètres!$A$1:$I$89,5,0)</f>
        <v>-1.6138983482960614E-13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236.22643401787644</v>
      </c>
      <c r="BJ165" s="60">
        <f t="shared" si="146"/>
        <v>188.80444043778022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-1.7053025658242404E-13</v>
      </c>
      <c r="BZ165" s="14">
        <f>BY165*VLOOKUP('Données projet'!$B$12,Paramètres!$A$1:$I$89,3,0)*VLOOKUP('Données projet'!$B$12,Paramètres!$A$1:$I$89,5,0)</f>
        <v>-1.4897523215040567E-13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202.86354781280403</v>
      </c>
      <c r="CE165" s="60">
        <f t="shared" si="148"/>
        <v>217.25323885665131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4.4337866711430253E-14</v>
      </c>
      <c r="CV165" s="14">
        <f t="shared" si="173"/>
        <v>7.3222115536967035E-13</v>
      </c>
      <c r="CW165" s="22">
        <f t="shared" si="174"/>
        <v>1.3525069634579169E-12</v>
      </c>
      <c r="CX165" s="60">
        <f t="shared" si="122"/>
        <v>293.33333333333468</v>
      </c>
      <c r="CY165" s="60">
        <f ca="1">AVERAGE(OFFSET($CX$3,0,0,'Données projet'!$E$13+1,1))-AVERAGE(OFFSET($H$3,0,0,'Données projet'!$E$13+1,1))</f>
        <v>288.82868507674738</v>
      </c>
      <c r="CZ165" s="60">
        <f t="shared" si="150"/>
        <v>283.48738729114024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-1.1368683772161603E-12</v>
      </c>
      <c r="O166" s="14">
        <f>N166*VLOOKUP('Données projet'!$B$9,Paramètres!$A$1:$I$89,3,0)*VLOOKUP('Données projet'!$B$9,Paramètres!$A$1:$I$89,5,0)</f>
        <v>-9.5769792096689358E-13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402.79698021419853</v>
      </c>
      <c r="T166" s="60">
        <f t="shared" si="142"/>
        <v>218.26721063098552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-1.4631496014771985E-13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440.51611312502263</v>
      </c>
      <c r="AO166" s="60">
        <f t="shared" si="144"/>
        <v>176.81257896138806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-1.9895196601282805E-13</v>
      </c>
      <c r="BE166" s="14">
        <f>BD166*VLOOKUP('Données projet'!$B$11,Paramètres!$A$1:$I$89,3,0)*VLOOKUP('Données projet'!$B$11,Paramètres!$A$1:$I$89,5,0)</f>
        <v>-1.6138983482960614E-13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236.22643401787644</v>
      </c>
      <c r="BJ166" s="60">
        <f t="shared" si="146"/>
        <v>188.80444043778022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-1.7053025658242404E-13</v>
      </c>
      <c r="BZ166" s="14">
        <f>BY166*VLOOKUP('Données projet'!$B$12,Paramètres!$A$1:$I$89,3,0)*VLOOKUP('Données projet'!$B$12,Paramètres!$A$1:$I$89,5,0)</f>
        <v>-1.4897523215040567E-13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202.86354781280403</v>
      </c>
      <c r="CE166" s="60">
        <f t="shared" si="148"/>
        <v>217.25323885665131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4.4337866711430253E-14</v>
      </c>
      <c r="CV166" s="14">
        <f t="shared" si="173"/>
        <v>7.3222115536967035E-13</v>
      </c>
      <c r="CW166" s="22">
        <f t="shared" si="174"/>
        <v>1.3525069634579169E-12</v>
      </c>
      <c r="CX166" s="60">
        <f t="shared" si="122"/>
        <v>293.33333333333468</v>
      </c>
      <c r="CY166" s="60">
        <f ca="1">AVERAGE(OFFSET($CX$3,0,0,'Données projet'!$E$13+1,1))-AVERAGE(OFFSET($H$3,0,0,'Données projet'!$E$13+1,1))</f>
        <v>288.82868507674738</v>
      </c>
      <c r="CZ166" s="60">
        <f t="shared" si="150"/>
        <v>283.48738729114024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-1.1368683772161603E-12</v>
      </c>
      <c r="O167" s="14">
        <f>N167*VLOOKUP('Données projet'!$B$9,Paramètres!$A$1:$I$89,3,0)*VLOOKUP('Données projet'!$B$9,Paramètres!$A$1:$I$89,5,0)</f>
        <v>-9.5769792096689358E-13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402.79698021419853</v>
      </c>
      <c r="T167" s="60">
        <f t="shared" si="142"/>
        <v>218.26721063098552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-1.4631496014771985E-13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440.51611312502263</v>
      </c>
      <c r="AO167" s="60">
        <f t="shared" si="144"/>
        <v>176.81257896138806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-1.9895196601282805E-13</v>
      </c>
      <c r="BE167" s="14">
        <f>BD167*VLOOKUP('Données projet'!$B$11,Paramètres!$A$1:$I$89,3,0)*VLOOKUP('Données projet'!$B$11,Paramètres!$A$1:$I$89,5,0)</f>
        <v>-1.6138983482960614E-13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236.22643401787644</v>
      </c>
      <c r="BJ167" s="60">
        <f t="shared" si="146"/>
        <v>188.80444043778022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-1.7053025658242404E-13</v>
      </c>
      <c r="BZ167" s="14">
        <f>BY167*VLOOKUP('Données projet'!$B$12,Paramètres!$A$1:$I$89,3,0)*VLOOKUP('Données projet'!$B$12,Paramètres!$A$1:$I$89,5,0)</f>
        <v>-1.4897523215040567E-13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202.86354781280403</v>
      </c>
      <c r="CE167" s="60">
        <f t="shared" si="148"/>
        <v>217.25323885665131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4.4337866711430253E-14</v>
      </c>
      <c r="CV167" s="14">
        <f t="shared" si="173"/>
        <v>7.3222115536967035E-13</v>
      </c>
      <c r="CW167" s="22">
        <f t="shared" si="174"/>
        <v>1.3525069634579169E-12</v>
      </c>
      <c r="CX167" s="60">
        <f t="shared" si="122"/>
        <v>293.33333333333468</v>
      </c>
      <c r="CY167" s="60">
        <f ca="1">AVERAGE(OFFSET($CX$3,0,0,'Données projet'!$E$13+1,1))-AVERAGE(OFFSET($H$3,0,0,'Données projet'!$E$13+1,1))</f>
        <v>288.82868507674738</v>
      </c>
      <c r="CZ167" s="60">
        <f t="shared" si="150"/>
        <v>283.48738729114024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-1.1368683772161603E-12</v>
      </c>
      <c r="O168" s="14">
        <f>N168*VLOOKUP('Données projet'!$B$9,Paramètres!$A$1:$I$89,3,0)*VLOOKUP('Données projet'!$B$9,Paramètres!$A$1:$I$89,5,0)</f>
        <v>-9.5769792096689358E-13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402.79698021419853</v>
      </c>
      <c r="T168" s="60">
        <f t="shared" si="142"/>
        <v>218.26721063098552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-1.4631496014771985E-13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440.51611312502263</v>
      </c>
      <c r="AO168" s="60">
        <f t="shared" si="144"/>
        <v>176.81257896138806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-1.9895196601282805E-13</v>
      </c>
      <c r="BE168" s="14">
        <f>BD168*VLOOKUP('Données projet'!$B$11,Paramètres!$A$1:$I$89,3,0)*VLOOKUP('Données projet'!$B$11,Paramètres!$A$1:$I$89,5,0)</f>
        <v>-1.6138983482960614E-13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236.22643401787644</v>
      </c>
      <c r="BJ168" s="60">
        <f t="shared" si="146"/>
        <v>188.80444043778022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-1.7053025658242404E-13</v>
      </c>
      <c r="BZ168" s="14">
        <f>BY168*VLOOKUP('Données projet'!$B$12,Paramètres!$A$1:$I$89,3,0)*VLOOKUP('Données projet'!$B$12,Paramètres!$A$1:$I$89,5,0)</f>
        <v>-1.4897523215040567E-13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202.86354781280403</v>
      </c>
      <c r="CE168" s="60">
        <f t="shared" si="148"/>
        <v>217.25323885665131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4.4337866711430253E-14</v>
      </c>
      <c r="CV168" s="14">
        <f t="shared" si="173"/>
        <v>7.3222115536967035E-13</v>
      </c>
      <c r="CW168" s="22">
        <f t="shared" si="174"/>
        <v>1.3525069634579169E-12</v>
      </c>
      <c r="CX168" s="60">
        <f t="shared" si="122"/>
        <v>293.33333333333468</v>
      </c>
      <c r="CY168" s="60">
        <f ca="1">AVERAGE(OFFSET($CX$3,0,0,'Données projet'!$E$13+1,1))-AVERAGE(OFFSET($H$3,0,0,'Données projet'!$E$13+1,1))</f>
        <v>288.82868507674738</v>
      </c>
      <c r="CZ168" s="60">
        <f t="shared" si="150"/>
        <v>283.48738729114024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-1.1368683772161603E-12</v>
      </c>
      <c r="O169" s="14">
        <f>N169*VLOOKUP('Données projet'!$B$9,Paramètres!$A$1:$I$89,3,0)*VLOOKUP('Données projet'!$B$9,Paramètres!$A$1:$I$89,5,0)</f>
        <v>-9.5769792096689358E-13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402.79698021419853</v>
      </c>
      <c r="T169" s="60">
        <f t="shared" si="142"/>
        <v>218.26721063098552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-1.4631496014771985E-13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440.51611312502263</v>
      </c>
      <c r="AO169" s="60">
        <f t="shared" si="144"/>
        <v>176.81257896138806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-1.9895196601282805E-13</v>
      </c>
      <c r="BE169" s="14">
        <f>BD169*VLOOKUP('Données projet'!$B$11,Paramètres!$A$1:$I$89,3,0)*VLOOKUP('Données projet'!$B$11,Paramètres!$A$1:$I$89,5,0)</f>
        <v>-1.6138983482960614E-13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236.22643401787644</v>
      </c>
      <c r="BJ169" s="60">
        <f t="shared" si="146"/>
        <v>188.80444043778022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-1.7053025658242404E-13</v>
      </c>
      <c r="BZ169" s="14">
        <f>BY169*VLOOKUP('Données projet'!$B$12,Paramètres!$A$1:$I$89,3,0)*VLOOKUP('Données projet'!$B$12,Paramètres!$A$1:$I$89,5,0)</f>
        <v>-1.4897523215040567E-13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202.86354781280403</v>
      </c>
      <c r="CE169" s="60">
        <f t="shared" si="148"/>
        <v>217.25323885665131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4.4337866711430253E-14</v>
      </c>
      <c r="CV169" s="14">
        <f t="shared" si="173"/>
        <v>7.3222115536967035E-13</v>
      </c>
      <c r="CW169" s="22">
        <f t="shared" si="174"/>
        <v>1.3525069634579169E-12</v>
      </c>
      <c r="CX169" s="60">
        <f t="shared" si="122"/>
        <v>293.33333333333468</v>
      </c>
      <c r="CY169" s="60">
        <f ca="1">AVERAGE(OFFSET($CX$3,0,0,'Données projet'!$E$13+1,1))-AVERAGE(OFFSET($H$3,0,0,'Données projet'!$E$13+1,1))</f>
        <v>288.82868507674738</v>
      </c>
      <c r="CZ169" s="60">
        <f t="shared" si="150"/>
        <v>283.48738729114024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-1.1368683772161603E-12</v>
      </c>
      <c r="O170" s="14">
        <f>N170*VLOOKUP('Données projet'!$B$9,Paramètres!$A$1:$I$89,3,0)*VLOOKUP('Données projet'!$B$9,Paramètres!$A$1:$I$89,5,0)</f>
        <v>-9.5769792096689358E-13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402.79698021419853</v>
      </c>
      <c r="T170" s="60">
        <f t="shared" si="142"/>
        <v>218.26721063098552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-1.4631496014771985E-13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440.51611312502263</v>
      </c>
      <c r="AO170" s="60">
        <f t="shared" si="144"/>
        <v>176.81257896138806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-1.9895196601282805E-13</v>
      </c>
      <c r="BE170" s="14">
        <f>BD170*VLOOKUP('Données projet'!$B$11,Paramètres!$A$1:$I$89,3,0)*VLOOKUP('Données projet'!$B$11,Paramètres!$A$1:$I$89,5,0)</f>
        <v>-1.6138983482960614E-13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236.22643401787644</v>
      </c>
      <c r="BJ170" s="60">
        <f t="shared" si="146"/>
        <v>188.80444043778022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-1.7053025658242404E-13</v>
      </c>
      <c r="BZ170" s="14">
        <f>BY170*VLOOKUP('Données projet'!$B$12,Paramètres!$A$1:$I$89,3,0)*VLOOKUP('Données projet'!$B$12,Paramètres!$A$1:$I$89,5,0)</f>
        <v>-1.4897523215040567E-13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202.86354781280403</v>
      </c>
      <c r="CE170" s="60">
        <f t="shared" si="148"/>
        <v>217.25323885665131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4.4337866711430253E-14</v>
      </c>
      <c r="CV170" s="14">
        <f t="shared" si="173"/>
        <v>7.3222115536967035E-13</v>
      </c>
      <c r="CW170" s="22">
        <f t="shared" si="174"/>
        <v>1.3525069634579169E-12</v>
      </c>
      <c r="CX170" s="60">
        <f t="shared" si="122"/>
        <v>293.33333333333468</v>
      </c>
      <c r="CY170" s="60">
        <f ca="1">AVERAGE(OFFSET($CX$3,0,0,'Données projet'!$E$13+1,1))-AVERAGE(OFFSET($H$3,0,0,'Données projet'!$E$13+1,1))</f>
        <v>288.82868507674738</v>
      </c>
      <c r="CZ170" s="60">
        <f t="shared" si="150"/>
        <v>283.48738729114024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-1.1368683772161603E-12</v>
      </c>
      <c r="O171" s="14">
        <f>N171*VLOOKUP('Données projet'!$B$9,Paramètres!$A$1:$I$89,3,0)*VLOOKUP('Données projet'!$B$9,Paramètres!$A$1:$I$89,5,0)</f>
        <v>-9.5769792096689358E-13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402.79698021419853</v>
      </c>
      <c r="T171" s="60">
        <f t="shared" si="142"/>
        <v>218.26721063098552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-1.4631496014771985E-13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440.51611312502263</v>
      </c>
      <c r="AO171" s="60">
        <f t="shared" si="144"/>
        <v>176.81257896138806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-1.9895196601282805E-13</v>
      </c>
      <c r="BE171" s="14">
        <f>BD171*VLOOKUP('Données projet'!$B$11,Paramètres!$A$1:$I$89,3,0)*VLOOKUP('Données projet'!$B$11,Paramètres!$A$1:$I$89,5,0)</f>
        <v>-1.6138983482960614E-13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236.22643401787644</v>
      </c>
      <c r="BJ171" s="60">
        <f t="shared" si="146"/>
        <v>188.80444043778022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-1.7053025658242404E-13</v>
      </c>
      <c r="BZ171" s="14">
        <f>BY171*VLOOKUP('Données projet'!$B$12,Paramètres!$A$1:$I$89,3,0)*VLOOKUP('Données projet'!$B$12,Paramètres!$A$1:$I$89,5,0)</f>
        <v>-1.4897523215040567E-13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202.86354781280403</v>
      </c>
      <c r="CE171" s="60">
        <f t="shared" si="148"/>
        <v>217.25323885665131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4.4337866711430253E-14</v>
      </c>
      <c r="CV171" s="14">
        <f t="shared" si="173"/>
        <v>7.3222115536967035E-13</v>
      </c>
      <c r="CW171" s="22">
        <f t="shared" si="174"/>
        <v>1.3525069634579169E-12</v>
      </c>
      <c r="CX171" s="60">
        <f t="shared" si="122"/>
        <v>293.33333333333468</v>
      </c>
      <c r="CY171" s="60">
        <f ca="1">AVERAGE(OFFSET($CX$3,0,0,'Données projet'!$E$13+1,1))-AVERAGE(OFFSET($H$3,0,0,'Données projet'!$E$13+1,1))</f>
        <v>288.82868507674738</v>
      </c>
      <c r="CZ171" s="60">
        <f t="shared" si="150"/>
        <v>283.48738729114024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-1.1368683772161603E-12</v>
      </c>
      <c r="O172" s="14">
        <f>N172*VLOOKUP('Données projet'!$B$9,Paramètres!$A$1:$I$89,3,0)*VLOOKUP('Données projet'!$B$9,Paramètres!$A$1:$I$89,5,0)</f>
        <v>-9.5769792096689358E-13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402.79698021419853</v>
      </c>
      <c r="T172" s="60">
        <f t="shared" si="142"/>
        <v>218.26721063098552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-1.4631496014771985E-13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440.51611312502263</v>
      </c>
      <c r="AO172" s="60">
        <f t="shared" si="144"/>
        <v>176.81257896138806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-1.9895196601282805E-13</v>
      </c>
      <c r="BE172" s="14">
        <f>BD172*VLOOKUP('Données projet'!$B$11,Paramètres!$A$1:$I$89,3,0)*VLOOKUP('Données projet'!$B$11,Paramètres!$A$1:$I$89,5,0)</f>
        <v>-1.6138983482960614E-13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236.22643401787644</v>
      </c>
      <c r="BJ172" s="60">
        <f t="shared" si="146"/>
        <v>188.80444043778022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-1.7053025658242404E-13</v>
      </c>
      <c r="BZ172" s="14">
        <f>BY172*VLOOKUP('Données projet'!$B$12,Paramètres!$A$1:$I$89,3,0)*VLOOKUP('Données projet'!$B$12,Paramètres!$A$1:$I$89,5,0)</f>
        <v>-1.4897523215040567E-13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202.86354781280403</v>
      </c>
      <c r="CE172" s="60">
        <f t="shared" si="148"/>
        <v>217.25323885665131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4.4337866711430253E-14</v>
      </c>
      <c r="CV172" s="14">
        <f t="shared" si="173"/>
        <v>7.3222115536967035E-13</v>
      </c>
      <c r="CW172" s="22">
        <f t="shared" si="174"/>
        <v>1.3525069634579169E-12</v>
      </c>
      <c r="CX172" s="60">
        <f t="shared" si="122"/>
        <v>293.33333333333468</v>
      </c>
      <c r="CY172" s="60">
        <f ca="1">AVERAGE(OFFSET($CX$3,0,0,'Données projet'!$E$13+1,1))-AVERAGE(OFFSET($H$3,0,0,'Données projet'!$E$13+1,1))</f>
        <v>288.82868507674738</v>
      </c>
      <c r="CZ172" s="60">
        <f t="shared" si="150"/>
        <v>283.48738729114024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-1.1368683772161603E-12</v>
      </c>
      <c r="O173" s="14">
        <f>N173*VLOOKUP('Données projet'!$B$9,Paramètres!$A$1:$I$89,3,0)*VLOOKUP('Données projet'!$B$9,Paramètres!$A$1:$I$89,5,0)</f>
        <v>-9.5769792096689358E-13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402.79698021419853</v>
      </c>
      <c r="T173" s="60">
        <f t="shared" si="142"/>
        <v>218.26721063098552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-1.4631496014771985E-13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440.51611312502263</v>
      </c>
      <c r="AO173" s="60">
        <f t="shared" si="144"/>
        <v>176.81257896138806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-1.9895196601282805E-13</v>
      </c>
      <c r="BE173" s="14">
        <f>BD173*VLOOKUP('Données projet'!$B$11,Paramètres!$A$1:$I$89,3,0)*VLOOKUP('Données projet'!$B$11,Paramètres!$A$1:$I$89,5,0)</f>
        <v>-1.6138983482960614E-13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236.22643401787644</v>
      </c>
      <c r="BJ173" s="60">
        <f t="shared" si="146"/>
        <v>188.80444043778022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-1.7053025658242404E-13</v>
      </c>
      <c r="BZ173" s="14">
        <f>BY173*VLOOKUP('Données projet'!$B$12,Paramètres!$A$1:$I$89,3,0)*VLOOKUP('Données projet'!$B$12,Paramètres!$A$1:$I$89,5,0)</f>
        <v>-1.4897523215040567E-13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202.86354781280403</v>
      </c>
      <c r="CE173" s="60">
        <f t="shared" si="148"/>
        <v>217.25323885665131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4.4337866711430253E-14</v>
      </c>
      <c r="CV173" s="14">
        <f t="shared" si="173"/>
        <v>7.3222115536967035E-13</v>
      </c>
      <c r="CW173" s="22">
        <f t="shared" si="174"/>
        <v>1.3525069634579169E-12</v>
      </c>
      <c r="CX173" s="60">
        <f t="shared" si="122"/>
        <v>293.33333333333468</v>
      </c>
      <c r="CY173" s="60">
        <f ca="1">AVERAGE(OFFSET($CX$3,0,0,'Données projet'!$E$13+1,1))-AVERAGE(OFFSET($H$3,0,0,'Données projet'!$E$13+1,1))</f>
        <v>288.82868507674738</v>
      </c>
      <c r="CZ173" s="60">
        <f t="shared" si="150"/>
        <v>283.48738729114024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-1.1368683772161603E-12</v>
      </c>
      <c r="O174" s="14">
        <f>N174*VLOOKUP('Données projet'!$B$9,Paramètres!$A$1:$I$89,3,0)*VLOOKUP('Données projet'!$B$9,Paramètres!$A$1:$I$89,5,0)</f>
        <v>-9.5769792096689358E-13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402.79698021419853</v>
      </c>
      <c r="T174" s="60">
        <f t="shared" si="142"/>
        <v>218.26721063098552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-1.4631496014771985E-13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440.51611312502263</v>
      </c>
      <c r="AO174" s="60">
        <f t="shared" si="144"/>
        <v>176.81257896138806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-1.9895196601282805E-13</v>
      </c>
      <c r="BE174" s="14">
        <f>BD174*VLOOKUP('Données projet'!$B$11,Paramètres!$A$1:$I$89,3,0)*VLOOKUP('Données projet'!$B$11,Paramètres!$A$1:$I$89,5,0)</f>
        <v>-1.6138983482960614E-13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236.22643401787644</v>
      </c>
      <c r="BJ174" s="60">
        <f t="shared" si="146"/>
        <v>188.80444043778022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-1.7053025658242404E-13</v>
      </c>
      <c r="BZ174" s="14">
        <f>BY174*VLOOKUP('Données projet'!$B$12,Paramètres!$A$1:$I$89,3,0)*VLOOKUP('Données projet'!$B$12,Paramètres!$A$1:$I$89,5,0)</f>
        <v>-1.4897523215040567E-13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202.86354781280403</v>
      </c>
      <c r="CE174" s="60">
        <f t="shared" si="148"/>
        <v>217.25323885665131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4.4337866711430253E-14</v>
      </c>
      <c r="CV174" s="14">
        <f t="shared" si="173"/>
        <v>7.3222115536967035E-13</v>
      </c>
      <c r="CW174" s="22">
        <f t="shared" si="174"/>
        <v>1.3525069634579169E-12</v>
      </c>
      <c r="CX174" s="60">
        <f t="shared" si="122"/>
        <v>293.33333333333468</v>
      </c>
      <c r="CY174" s="60">
        <f ca="1">AVERAGE(OFFSET($CX$3,0,0,'Données projet'!$E$13+1,1))-AVERAGE(OFFSET($H$3,0,0,'Données projet'!$E$13+1,1))</f>
        <v>288.82868507674738</v>
      </c>
      <c r="CZ174" s="60">
        <f t="shared" si="150"/>
        <v>283.48738729114024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-1.1368683772161603E-12</v>
      </c>
      <c r="O175" s="14">
        <f>N175*VLOOKUP('Données projet'!$B$9,Paramètres!$A$1:$I$89,3,0)*VLOOKUP('Données projet'!$B$9,Paramètres!$A$1:$I$89,5,0)</f>
        <v>-9.5769792096689358E-13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402.79698021419853</v>
      </c>
      <c r="T175" s="60">
        <f t="shared" si="142"/>
        <v>218.26721063098552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-1.4631496014771985E-13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440.51611312502263</v>
      </c>
      <c r="AO175" s="60">
        <f t="shared" si="144"/>
        <v>176.81257896138806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-1.9895196601282805E-13</v>
      </c>
      <c r="BE175" s="14">
        <f>BD175*VLOOKUP('Données projet'!$B$11,Paramètres!$A$1:$I$89,3,0)*VLOOKUP('Données projet'!$B$11,Paramètres!$A$1:$I$89,5,0)</f>
        <v>-1.6138983482960614E-13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236.22643401787644</v>
      </c>
      <c r="BJ175" s="60">
        <f t="shared" si="146"/>
        <v>188.80444043778022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-1.7053025658242404E-13</v>
      </c>
      <c r="BZ175" s="14">
        <f>BY175*VLOOKUP('Données projet'!$B$12,Paramètres!$A$1:$I$89,3,0)*VLOOKUP('Données projet'!$B$12,Paramètres!$A$1:$I$89,5,0)</f>
        <v>-1.4897523215040567E-13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202.86354781280403</v>
      </c>
      <c r="CE175" s="60">
        <f t="shared" si="148"/>
        <v>217.25323885665131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4.4337866711430253E-14</v>
      </c>
      <c r="CV175" s="14">
        <f t="shared" si="173"/>
        <v>7.3222115536967035E-13</v>
      </c>
      <c r="CW175" s="22">
        <f t="shared" si="174"/>
        <v>1.3525069634579169E-12</v>
      </c>
      <c r="CX175" s="60">
        <f t="shared" si="122"/>
        <v>293.33333333333468</v>
      </c>
      <c r="CY175" s="60">
        <f ca="1">AVERAGE(OFFSET($CX$3,0,0,'Données projet'!$E$13+1,1))-AVERAGE(OFFSET($H$3,0,0,'Données projet'!$E$13+1,1))</f>
        <v>288.82868507674738</v>
      </c>
      <c r="CZ175" s="60">
        <f t="shared" si="150"/>
        <v>283.48738729114024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-1.1368683772161603E-12</v>
      </c>
      <c r="O176" s="14">
        <f>N176*VLOOKUP('Données projet'!$B$9,Paramètres!$A$1:$I$89,3,0)*VLOOKUP('Données projet'!$B$9,Paramètres!$A$1:$I$89,5,0)</f>
        <v>-9.5769792096689358E-13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402.79698021419853</v>
      </c>
      <c r="T176" s="60">
        <f t="shared" si="142"/>
        <v>218.26721063098552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-1.4631496014771985E-13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440.51611312502263</v>
      </c>
      <c r="AO176" s="60">
        <f t="shared" si="144"/>
        <v>176.81257896138806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-1.9895196601282805E-13</v>
      </c>
      <c r="BE176" s="14">
        <f>BD176*VLOOKUP('Données projet'!$B$11,Paramètres!$A$1:$I$89,3,0)*VLOOKUP('Données projet'!$B$11,Paramètres!$A$1:$I$89,5,0)</f>
        <v>-1.6138983482960614E-13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236.22643401787644</v>
      </c>
      <c r="BJ176" s="60">
        <f t="shared" si="146"/>
        <v>188.80444043778022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-1.7053025658242404E-13</v>
      </c>
      <c r="BZ176" s="14">
        <f>BY176*VLOOKUP('Données projet'!$B$12,Paramètres!$A$1:$I$89,3,0)*VLOOKUP('Données projet'!$B$12,Paramètres!$A$1:$I$89,5,0)</f>
        <v>-1.4897523215040567E-13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202.86354781280403</v>
      </c>
      <c r="CE176" s="60">
        <f t="shared" si="148"/>
        <v>217.25323885665131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4.4337866711430253E-14</v>
      </c>
      <c r="CV176" s="14">
        <f t="shared" si="173"/>
        <v>7.3222115536967035E-13</v>
      </c>
      <c r="CW176" s="22">
        <f t="shared" si="174"/>
        <v>1.3525069634579169E-12</v>
      </c>
      <c r="CX176" s="60">
        <f t="shared" si="122"/>
        <v>293.33333333333468</v>
      </c>
      <c r="CY176" s="60">
        <f ca="1">AVERAGE(OFFSET($CX$3,0,0,'Données projet'!$E$13+1,1))-AVERAGE(OFFSET($H$3,0,0,'Données projet'!$E$13+1,1))</f>
        <v>288.82868507674738</v>
      </c>
      <c r="CZ176" s="60">
        <f t="shared" si="150"/>
        <v>283.48738729114024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-1.1368683772161603E-12</v>
      </c>
      <c r="O177" s="14">
        <f>N177*VLOOKUP('Données projet'!$B$9,Paramètres!$A$1:$I$89,3,0)*VLOOKUP('Données projet'!$B$9,Paramètres!$A$1:$I$89,5,0)</f>
        <v>-9.5769792096689358E-13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402.79698021419853</v>
      </c>
      <c r="T177" s="60">
        <f t="shared" si="142"/>
        <v>218.26721063098552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-1.4631496014771985E-13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440.51611312502263</v>
      </c>
      <c r="AO177" s="60">
        <f t="shared" si="144"/>
        <v>176.81257896138806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-1.9895196601282805E-13</v>
      </c>
      <c r="BE177" s="14">
        <f>BD177*VLOOKUP('Données projet'!$B$11,Paramètres!$A$1:$I$89,3,0)*VLOOKUP('Données projet'!$B$11,Paramètres!$A$1:$I$89,5,0)</f>
        <v>-1.6138983482960614E-13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236.22643401787644</v>
      </c>
      <c r="BJ177" s="60">
        <f t="shared" si="146"/>
        <v>188.80444043778022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-1.7053025658242404E-13</v>
      </c>
      <c r="BZ177" s="14">
        <f>BY177*VLOOKUP('Données projet'!$B$12,Paramètres!$A$1:$I$89,3,0)*VLOOKUP('Données projet'!$B$12,Paramètres!$A$1:$I$89,5,0)</f>
        <v>-1.4897523215040567E-13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202.86354781280403</v>
      </c>
      <c r="CE177" s="60">
        <f t="shared" si="148"/>
        <v>217.25323885665131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4.4337866711430253E-14</v>
      </c>
      <c r="CV177" s="14">
        <f t="shared" si="173"/>
        <v>7.3222115536967035E-13</v>
      </c>
      <c r="CW177" s="22">
        <f t="shared" si="174"/>
        <v>1.3525069634579169E-12</v>
      </c>
      <c r="CX177" s="60">
        <f t="shared" si="122"/>
        <v>293.33333333333468</v>
      </c>
      <c r="CY177" s="60">
        <f ca="1">AVERAGE(OFFSET($CX$3,0,0,'Données projet'!$E$13+1,1))-AVERAGE(OFFSET($H$3,0,0,'Données projet'!$E$13+1,1))</f>
        <v>288.82868507674738</v>
      </c>
      <c r="CZ177" s="60">
        <f t="shared" si="150"/>
        <v>283.48738729114024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-1.1368683772161603E-12</v>
      </c>
      <c r="O178" s="14">
        <f>N178*VLOOKUP('Données projet'!$B$9,Paramètres!$A$1:$I$89,3,0)*VLOOKUP('Données projet'!$B$9,Paramètres!$A$1:$I$89,5,0)</f>
        <v>-9.5769792096689358E-13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402.79698021419853</v>
      </c>
      <c r="T178" s="60">
        <f t="shared" si="142"/>
        <v>218.26721063098552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-1.4631496014771985E-13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440.51611312502263</v>
      </c>
      <c r="AO178" s="60">
        <f t="shared" si="144"/>
        <v>176.81257896138806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-1.9895196601282805E-13</v>
      </c>
      <c r="BE178" s="14">
        <f>BD178*VLOOKUP('Données projet'!$B$11,Paramètres!$A$1:$I$89,3,0)*VLOOKUP('Données projet'!$B$11,Paramètres!$A$1:$I$89,5,0)</f>
        <v>-1.6138983482960614E-13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236.22643401787644</v>
      </c>
      <c r="BJ178" s="60">
        <f t="shared" si="146"/>
        <v>188.80444043778022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-1.7053025658242404E-13</v>
      </c>
      <c r="BZ178" s="14">
        <f>BY178*VLOOKUP('Données projet'!$B$12,Paramètres!$A$1:$I$89,3,0)*VLOOKUP('Données projet'!$B$12,Paramètres!$A$1:$I$89,5,0)</f>
        <v>-1.4897523215040567E-13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202.86354781280403</v>
      </c>
      <c r="CE178" s="60">
        <f t="shared" si="148"/>
        <v>217.25323885665131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4.4337866711430253E-14</v>
      </c>
      <c r="CV178" s="14">
        <f t="shared" si="173"/>
        <v>7.3222115536967035E-13</v>
      </c>
      <c r="CW178" s="22">
        <f t="shared" si="174"/>
        <v>1.3525069634579169E-12</v>
      </c>
      <c r="CX178" s="60">
        <f t="shared" si="122"/>
        <v>293.33333333333468</v>
      </c>
      <c r="CY178" s="60">
        <f ca="1">AVERAGE(OFFSET($CX$3,0,0,'Données projet'!$E$13+1,1))-AVERAGE(OFFSET($H$3,0,0,'Données projet'!$E$13+1,1))</f>
        <v>288.82868507674738</v>
      </c>
      <c r="CZ178" s="60">
        <f t="shared" si="150"/>
        <v>283.48738729114024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-1.1368683772161603E-12</v>
      </c>
      <c r="O179" s="14">
        <f>N179*VLOOKUP('Données projet'!$B$9,Paramètres!$A$1:$I$89,3,0)*VLOOKUP('Données projet'!$B$9,Paramètres!$A$1:$I$89,5,0)</f>
        <v>-9.5769792096689358E-13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402.79698021419853</v>
      </c>
      <c r="T179" s="60">
        <f t="shared" si="142"/>
        <v>218.26721063098552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-1.4631496014771985E-13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440.51611312502263</v>
      </c>
      <c r="AO179" s="60">
        <f t="shared" si="144"/>
        <v>176.81257896138806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-1.9895196601282805E-13</v>
      </c>
      <c r="BE179" s="14">
        <f>BD179*VLOOKUP('Données projet'!$B$11,Paramètres!$A$1:$I$89,3,0)*VLOOKUP('Données projet'!$B$11,Paramètres!$A$1:$I$89,5,0)</f>
        <v>-1.6138983482960614E-13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236.22643401787644</v>
      </c>
      <c r="BJ179" s="60">
        <f t="shared" si="146"/>
        <v>188.80444043778022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-1.7053025658242404E-13</v>
      </c>
      <c r="BZ179" s="14">
        <f>BY179*VLOOKUP('Données projet'!$B$12,Paramètres!$A$1:$I$89,3,0)*VLOOKUP('Données projet'!$B$12,Paramètres!$A$1:$I$89,5,0)</f>
        <v>-1.4897523215040567E-13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202.86354781280403</v>
      </c>
      <c r="CE179" s="60">
        <f t="shared" si="148"/>
        <v>217.25323885665131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4.4337866711430253E-14</v>
      </c>
      <c r="CV179" s="14">
        <f t="shared" si="173"/>
        <v>7.3222115536967035E-13</v>
      </c>
      <c r="CW179" s="22">
        <f t="shared" si="174"/>
        <v>1.3525069634579169E-12</v>
      </c>
      <c r="CX179" s="60">
        <f t="shared" si="122"/>
        <v>293.33333333333468</v>
      </c>
      <c r="CY179" s="60">
        <f ca="1">AVERAGE(OFFSET($CX$3,0,0,'Données projet'!$E$13+1,1))-AVERAGE(OFFSET($H$3,0,0,'Données projet'!$E$13+1,1))</f>
        <v>288.82868507674738</v>
      </c>
      <c r="CZ179" s="60">
        <f t="shared" si="150"/>
        <v>283.48738729114024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-1.1368683772161603E-12</v>
      </c>
      <c r="O180" s="14">
        <f>N180*VLOOKUP('Données projet'!$B$9,Paramètres!$A$1:$I$89,3,0)*VLOOKUP('Données projet'!$B$9,Paramètres!$A$1:$I$89,5,0)</f>
        <v>-9.5769792096689358E-13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402.79698021419853</v>
      </c>
      <c r="T180" s="60">
        <f t="shared" si="142"/>
        <v>218.26721063098552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-1.4631496014771985E-13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440.51611312502263</v>
      </c>
      <c r="AO180" s="60">
        <f t="shared" si="144"/>
        <v>176.81257896138806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-1.9895196601282805E-13</v>
      </c>
      <c r="BE180" s="14">
        <f>BD180*VLOOKUP('Données projet'!$B$11,Paramètres!$A$1:$I$89,3,0)*VLOOKUP('Données projet'!$B$11,Paramètres!$A$1:$I$89,5,0)</f>
        <v>-1.6138983482960614E-13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236.22643401787644</v>
      </c>
      <c r="BJ180" s="60">
        <f t="shared" si="146"/>
        <v>188.80444043778022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-1.7053025658242404E-13</v>
      </c>
      <c r="BZ180" s="14">
        <f>BY180*VLOOKUP('Données projet'!$B$12,Paramètres!$A$1:$I$89,3,0)*VLOOKUP('Données projet'!$B$12,Paramètres!$A$1:$I$89,5,0)</f>
        <v>-1.4897523215040567E-13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202.86354781280403</v>
      </c>
      <c r="CE180" s="60">
        <f t="shared" si="148"/>
        <v>217.25323885665131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4.4337866711430253E-14</v>
      </c>
      <c r="CV180" s="14">
        <f t="shared" si="173"/>
        <v>7.3222115536967035E-13</v>
      </c>
      <c r="CW180" s="22">
        <f t="shared" si="174"/>
        <v>1.3525069634579169E-12</v>
      </c>
      <c r="CX180" s="60">
        <f t="shared" si="122"/>
        <v>293.33333333333468</v>
      </c>
      <c r="CY180" s="60">
        <f ca="1">AVERAGE(OFFSET($CX$3,0,0,'Données projet'!$E$13+1,1))-AVERAGE(OFFSET($H$3,0,0,'Données projet'!$E$13+1,1))</f>
        <v>288.82868507674738</v>
      </c>
      <c r="CZ180" s="60">
        <f t="shared" si="150"/>
        <v>283.48738729114024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-1.1368683772161603E-12</v>
      </c>
      <c r="O181" s="14">
        <f>N181*VLOOKUP('Données projet'!$B$9,Paramètres!$A$1:$I$89,3,0)*VLOOKUP('Données projet'!$B$9,Paramètres!$A$1:$I$89,5,0)</f>
        <v>-9.5769792096689358E-13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402.79698021419853</v>
      </c>
      <c r="T181" s="60">
        <f t="shared" si="142"/>
        <v>218.26721063098552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-1.4631496014771985E-13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440.51611312502263</v>
      </c>
      <c r="AO181" s="60">
        <f t="shared" si="144"/>
        <v>176.81257896138806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-1.9895196601282805E-13</v>
      </c>
      <c r="BE181" s="14">
        <f>BD181*VLOOKUP('Données projet'!$B$11,Paramètres!$A$1:$I$89,3,0)*VLOOKUP('Données projet'!$B$11,Paramètres!$A$1:$I$89,5,0)</f>
        <v>-1.6138983482960614E-13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236.22643401787644</v>
      </c>
      <c r="BJ181" s="60">
        <f t="shared" si="146"/>
        <v>188.80444043778022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-1.7053025658242404E-13</v>
      </c>
      <c r="BZ181" s="14">
        <f>BY181*VLOOKUP('Données projet'!$B$12,Paramètres!$A$1:$I$89,3,0)*VLOOKUP('Données projet'!$B$12,Paramètres!$A$1:$I$89,5,0)</f>
        <v>-1.4897523215040567E-13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202.86354781280403</v>
      </c>
      <c r="CE181" s="60">
        <f t="shared" si="148"/>
        <v>217.25323885665131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4.4337866711430253E-14</v>
      </c>
      <c r="CV181" s="14">
        <f t="shared" si="173"/>
        <v>7.3222115536967035E-13</v>
      </c>
      <c r="CW181" s="22">
        <f t="shared" si="174"/>
        <v>1.3525069634579169E-12</v>
      </c>
      <c r="CX181" s="60">
        <f t="shared" si="122"/>
        <v>293.33333333333468</v>
      </c>
      <c r="CY181" s="60">
        <f ca="1">AVERAGE(OFFSET($CX$3,0,0,'Données projet'!$E$13+1,1))-AVERAGE(OFFSET($H$3,0,0,'Données projet'!$E$13+1,1))</f>
        <v>288.82868507674738</v>
      </c>
      <c r="CZ181" s="60">
        <f t="shared" si="150"/>
        <v>283.48738729114024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-1.1368683772161603E-12</v>
      </c>
      <c r="O182" s="14">
        <f>N182*VLOOKUP('Données projet'!$B$9,Paramètres!$A$1:$I$89,3,0)*VLOOKUP('Données projet'!$B$9,Paramètres!$A$1:$I$89,5,0)</f>
        <v>-9.5769792096689358E-13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402.79698021419853</v>
      </c>
      <c r="T182" s="60">
        <f t="shared" si="142"/>
        <v>218.26721063098552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-1.4631496014771985E-13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440.51611312502263</v>
      </c>
      <c r="AO182" s="60">
        <f t="shared" si="144"/>
        <v>176.81257896138806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-1.9895196601282805E-13</v>
      </c>
      <c r="BE182" s="14">
        <f>BD182*VLOOKUP('Données projet'!$B$11,Paramètres!$A$1:$I$89,3,0)*VLOOKUP('Données projet'!$B$11,Paramètres!$A$1:$I$89,5,0)</f>
        <v>-1.6138983482960614E-13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236.22643401787644</v>
      </c>
      <c r="BJ182" s="60">
        <f t="shared" si="146"/>
        <v>188.80444043778022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-1.7053025658242404E-13</v>
      </c>
      <c r="BZ182" s="14">
        <f>BY182*VLOOKUP('Données projet'!$B$12,Paramètres!$A$1:$I$89,3,0)*VLOOKUP('Données projet'!$B$12,Paramètres!$A$1:$I$89,5,0)</f>
        <v>-1.4897523215040567E-13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202.86354781280403</v>
      </c>
      <c r="CE182" s="60">
        <f t="shared" si="148"/>
        <v>217.25323885665131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4.4337866711430253E-14</v>
      </c>
      <c r="CV182" s="14">
        <f t="shared" si="173"/>
        <v>7.3222115536967035E-13</v>
      </c>
      <c r="CW182" s="22">
        <f t="shared" si="174"/>
        <v>1.3525069634579169E-12</v>
      </c>
      <c r="CX182" s="60">
        <f t="shared" si="122"/>
        <v>293.33333333333468</v>
      </c>
      <c r="CY182" s="60">
        <f ca="1">AVERAGE(OFFSET($CX$3,0,0,'Données projet'!$E$13+1,1))-AVERAGE(OFFSET($H$3,0,0,'Données projet'!$E$13+1,1))</f>
        <v>288.82868507674738</v>
      </c>
      <c r="CZ182" s="60">
        <f t="shared" si="150"/>
        <v>283.48738729114024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-1.1368683772161603E-12</v>
      </c>
      <c r="O183" s="14">
        <f>N183*VLOOKUP('Données projet'!$B$9,Paramètres!$A$1:$I$89,3,0)*VLOOKUP('Données projet'!$B$9,Paramètres!$A$1:$I$89,5,0)</f>
        <v>-9.5769792096689358E-13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402.79698021419853</v>
      </c>
      <c r="T183" s="60">
        <f t="shared" si="142"/>
        <v>218.26721063098552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-1.4631496014771985E-13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440.51611312502263</v>
      </c>
      <c r="AO183" s="60">
        <f t="shared" si="144"/>
        <v>176.81257896138806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-1.9895196601282805E-13</v>
      </c>
      <c r="BE183" s="14">
        <f>BD183*VLOOKUP('Données projet'!$B$11,Paramètres!$A$1:$I$89,3,0)*VLOOKUP('Données projet'!$B$11,Paramètres!$A$1:$I$89,5,0)</f>
        <v>-1.6138983482960614E-13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236.22643401787644</v>
      </c>
      <c r="BJ183" s="60">
        <f t="shared" si="146"/>
        <v>188.80444043778022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-1.7053025658242404E-13</v>
      </c>
      <c r="BZ183" s="14">
        <f>BY183*VLOOKUP('Données projet'!$B$12,Paramètres!$A$1:$I$89,3,0)*VLOOKUP('Données projet'!$B$12,Paramètres!$A$1:$I$89,5,0)</f>
        <v>-1.4897523215040567E-13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202.86354781280403</v>
      </c>
      <c r="CE183" s="60">
        <f t="shared" si="148"/>
        <v>217.25323885665131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4.4337866711430253E-14</v>
      </c>
      <c r="CV183" s="14">
        <f t="shared" si="173"/>
        <v>7.3222115536967035E-13</v>
      </c>
      <c r="CW183" s="22">
        <f t="shared" si="174"/>
        <v>1.3525069634579169E-12</v>
      </c>
      <c r="CX183" s="60">
        <f t="shared" si="122"/>
        <v>293.33333333333468</v>
      </c>
      <c r="CY183" s="60">
        <f ca="1">AVERAGE(OFFSET($CX$3,0,0,'Données projet'!$E$13+1,1))-AVERAGE(OFFSET($H$3,0,0,'Données projet'!$E$13+1,1))</f>
        <v>288.82868507674738</v>
      </c>
      <c r="CZ183" s="60">
        <f t="shared" si="150"/>
        <v>283.48738729114024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-1.1368683772161603E-12</v>
      </c>
      <c r="O184" s="14">
        <f>N184*VLOOKUP('Données projet'!$B$9,Paramètres!$A$1:$I$89,3,0)*VLOOKUP('Données projet'!$B$9,Paramètres!$A$1:$I$89,5,0)</f>
        <v>-9.5769792096689358E-13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402.79698021419853</v>
      </c>
      <c r="T184" s="60">
        <f t="shared" si="142"/>
        <v>218.26721063098552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-1.4631496014771985E-13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440.51611312502263</v>
      </c>
      <c r="AO184" s="60">
        <f t="shared" si="144"/>
        <v>176.81257896138806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-1.9895196601282805E-13</v>
      </c>
      <c r="BE184" s="14">
        <f>BD184*VLOOKUP('Données projet'!$B$11,Paramètres!$A$1:$I$89,3,0)*VLOOKUP('Données projet'!$B$11,Paramètres!$A$1:$I$89,5,0)</f>
        <v>-1.6138983482960614E-13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236.22643401787644</v>
      </c>
      <c r="BJ184" s="60">
        <f t="shared" si="146"/>
        <v>188.80444043778022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-1.7053025658242404E-13</v>
      </c>
      <c r="BZ184" s="14">
        <f>BY184*VLOOKUP('Données projet'!$B$12,Paramètres!$A$1:$I$89,3,0)*VLOOKUP('Données projet'!$B$12,Paramètres!$A$1:$I$89,5,0)</f>
        <v>-1.4897523215040567E-13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202.86354781280403</v>
      </c>
      <c r="CE184" s="60">
        <f t="shared" si="148"/>
        <v>217.25323885665131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4.4337866711430253E-14</v>
      </c>
      <c r="CV184" s="14">
        <f t="shared" si="173"/>
        <v>7.3222115536967035E-13</v>
      </c>
      <c r="CW184" s="22">
        <f t="shared" si="174"/>
        <v>1.3525069634579169E-12</v>
      </c>
      <c r="CX184" s="60">
        <f t="shared" si="122"/>
        <v>293.33333333333468</v>
      </c>
      <c r="CY184" s="60">
        <f ca="1">AVERAGE(OFFSET($CX$3,0,0,'Données projet'!$E$13+1,1))-AVERAGE(OFFSET($H$3,0,0,'Données projet'!$E$13+1,1))</f>
        <v>288.82868507674738</v>
      </c>
      <c r="CZ184" s="60">
        <f t="shared" si="150"/>
        <v>283.48738729114024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-1.1368683772161603E-12</v>
      </c>
      <c r="O185" s="14">
        <f>N185*VLOOKUP('Données projet'!$B$9,Paramètres!$A$1:$I$89,3,0)*VLOOKUP('Données projet'!$B$9,Paramètres!$A$1:$I$89,5,0)</f>
        <v>-9.5769792096689358E-13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402.79698021419853</v>
      </c>
      <c r="T185" s="60">
        <f t="shared" si="142"/>
        <v>218.26721063098552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-1.4631496014771985E-13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440.51611312502263</v>
      </c>
      <c r="AO185" s="60">
        <f t="shared" si="144"/>
        <v>176.81257896138806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-1.9895196601282805E-13</v>
      </c>
      <c r="BE185" s="14">
        <f>BD185*VLOOKUP('Données projet'!$B$11,Paramètres!$A$1:$I$89,3,0)*VLOOKUP('Données projet'!$B$11,Paramètres!$A$1:$I$89,5,0)</f>
        <v>-1.6138983482960614E-13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236.22643401787644</v>
      </c>
      <c r="BJ185" s="60">
        <f t="shared" si="146"/>
        <v>188.80444043778022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-1.7053025658242404E-13</v>
      </c>
      <c r="BZ185" s="14">
        <f>BY185*VLOOKUP('Données projet'!$B$12,Paramètres!$A$1:$I$89,3,0)*VLOOKUP('Données projet'!$B$12,Paramètres!$A$1:$I$89,5,0)</f>
        <v>-1.4897523215040567E-13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202.86354781280403</v>
      </c>
      <c r="CE185" s="60">
        <f t="shared" si="148"/>
        <v>217.25323885665131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4.4337866711430253E-14</v>
      </c>
      <c r="CV185" s="14">
        <f t="shared" si="173"/>
        <v>7.3222115536967035E-13</v>
      </c>
      <c r="CW185" s="22">
        <f t="shared" si="174"/>
        <v>1.3525069634579169E-12</v>
      </c>
      <c r="CX185" s="60">
        <f t="shared" si="122"/>
        <v>293.33333333333468</v>
      </c>
      <c r="CY185" s="60">
        <f ca="1">AVERAGE(OFFSET($CX$3,0,0,'Données projet'!$E$13+1,1))-AVERAGE(OFFSET($H$3,0,0,'Données projet'!$E$13+1,1))</f>
        <v>288.82868507674738</v>
      </c>
      <c r="CZ185" s="60">
        <f t="shared" si="150"/>
        <v>283.48738729114024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-1.1368683772161603E-12</v>
      </c>
      <c r="O186" s="14">
        <f>N186*VLOOKUP('Données projet'!$B$9,Paramètres!$A$1:$I$89,3,0)*VLOOKUP('Données projet'!$B$9,Paramètres!$A$1:$I$89,5,0)</f>
        <v>-9.5769792096689358E-13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402.79698021419853</v>
      </c>
      <c r="T186" s="60">
        <f t="shared" si="142"/>
        <v>218.26721063098552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-1.4631496014771985E-13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440.51611312502263</v>
      </c>
      <c r="AO186" s="60">
        <f t="shared" si="144"/>
        <v>176.81257896138806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-1.9895196601282805E-13</v>
      </c>
      <c r="BE186" s="14">
        <f>BD186*VLOOKUP('Données projet'!$B$11,Paramètres!$A$1:$I$89,3,0)*VLOOKUP('Données projet'!$B$11,Paramètres!$A$1:$I$89,5,0)</f>
        <v>-1.6138983482960614E-13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236.22643401787644</v>
      </c>
      <c r="BJ186" s="60">
        <f t="shared" si="146"/>
        <v>188.80444043778022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-1.7053025658242404E-13</v>
      </c>
      <c r="BZ186" s="14">
        <f>BY186*VLOOKUP('Données projet'!$B$12,Paramètres!$A$1:$I$89,3,0)*VLOOKUP('Données projet'!$B$12,Paramètres!$A$1:$I$89,5,0)</f>
        <v>-1.4897523215040567E-13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202.86354781280403</v>
      </c>
      <c r="CE186" s="60">
        <f t="shared" si="148"/>
        <v>217.25323885665131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4.4337866711430253E-14</v>
      </c>
      <c r="CV186" s="14">
        <f t="shared" si="173"/>
        <v>7.3222115536967035E-13</v>
      </c>
      <c r="CW186" s="22">
        <f t="shared" si="174"/>
        <v>1.3525069634579169E-12</v>
      </c>
      <c r="CX186" s="60">
        <f t="shared" si="122"/>
        <v>293.33333333333468</v>
      </c>
      <c r="CY186" s="60">
        <f ca="1">AVERAGE(OFFSET($CX$3,0,0,'Données projet'!$E$13+1,1))-AVERAGE(OFFSET($H$3,0,0,'Données projet'!$E$13+1,1))</f>
        <v>288.82868507674738</v>
      </c>
      <c r="CZ186" s="60">
        <f t="shared" si="150"/>
        <v>283.48738729114024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-1.1368683772161603E-12</v>
      </c>
      <c r="O187" s="14">
        <f>N187*VLOOKUP('Données projet'!$B$9,Paramètres!$A$1:$I$89,3,0)*VLOOKUP('Données projet'!$B$9,Paramètres!$A$1:$I$89,5,0)</f>
        <v>-9.5769792096689358E-13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402.79698021419853</v>
      </c>
      <c r="T187" s="60">
        <f t="shared" si="142"/>
        <v>218.26721063098552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-1.4631496014771985E-13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440.51611312502263</v>
      </c>
      <c r="AO187" s="60">
        <f t="shared" si="144"/>
        <v>176.81257896138806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-1.9895196601282805E-13</v>
      </c>
      <c r="BE187" s="14">
        <f>BD187*VLOOKUP('Données projet'!$B$11,Paramètres!$A$1:$I$89,3,0)*VLOOKUP('Données projet'!$B$11,Paramètres!$A$1:$I$89,5,0)</f>
        <v>-1.6138983482960614E-13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236.22643401787644</v>
      </c>
      <c r="BJ187" s="60">
        <f t="shared" si="146"/>
        <v>188.80444043778022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-1.7053025658242404E-13</v>
      </c>
      <c r="BZ187" s="14">
        <f>BY187*VLOOKUP('Données projet'!$B$12,Paramètres!$A$1:$I$89,3,0)*VLOOKUP('Données projet'!$B$12,Paramètres!$A$1:$I$89,5,0)</f>
        <v>-1.4897523215040567E-13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202.86354781280403</v>
      </c>
      <c r="CE187" s="60">
        <f t="shared" si="148"/>
        <v>217.25323885665131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4.4337866711430253E-14</v>
      </c>
      <c r="CV187" s="14">
        <f t="shared" si="173"/>
        <v>7.3222115536967035E-13</v>
      </c>
      <c r="CW187" s="22">
        <f t="shared" si="174"/>
        <v>1.3525069634579169E-12</v>
      </c>
      <c r="CX187" s="60">
        <f t="shared" si="122"/>
        <v>293.33333333333468</v>
      </c>
      <c r="CY187" s="60">
        <f ca="1">AVERAGE(OFFSET($CX$3,0,0,'Données projet'!$E$13+1,1))-AVERAGE(OFFSET($H$3,0,0,'Données projet'!$E$13+1,1))</f>
        <v>288.82868507674738</v>
      </c>
      <c r="CZ187" s="60">
        <f t="shared" si="150"/>
        <v>283.48738729114024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-1.1368683772161603E-12</v>
      </c>
      <c r="O188" s="14">
        <f>N188*VLOOKUP('Données projet'!$B$9,Paramètres!$A$1:$I$89,3,0)*VLOOKUP('Données projet'!$B$9,Paramètres!$A$1:$I$89,5,0)</f>
        <v>-9.5769792096689358E-13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402.79698021419853</v>
      </c>
      <c r="T188" s="60">
        <f t="shared" si="142"/>
        <v>218.26721063098552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-1.4631496014771985E-13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440.51611312502263</v>
      </c>
      <c r="AO188" s="60">
        <f t="shared" si="144"/>
        <v>176.81257896138806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-1.9895196601282805E-13</v>
      </c>
      <c r="BE188" s="14">
        <f>BD188*VLOOKUP('Données projet'!$B$11,Paramètres!$A$1:$I$89,3,0)*VLOOKUP('Données projet'!$B$11,Paramètres!$A$1:$I$89,5,0)</f>
        <v>-1.6138983482960614E-13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236.22643401787644</v>
      </c>
      <c r="BJ188" s="60">
        <f t="shared" si="146"/>
        <v>188.80444043778022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-1.7053025658242404E-13</v>
      </c>
      <c r="BZ188" s="14">
        <f>BY188*VLOOKUP('Données projet'!$B$12,Paramètres!$A$1:$I$89,3,0)*VLOOKUP('Données projet'!$B$12,Paramètres!$A$1:$I$89,5,0)</f>
        <v>-1.4897523215040567E-13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202.86354781280403</v>
      </c>
      <c r="CE188" s="60">
        <f t="shared" si="148"/>
        <v>217.25323885665131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4.4337866711430253E-14</v>
      </c>
      <c r="CV188" s="14">
        <f t="shared" si="173"/>
        <v>7.3222115536967035E-13</v>
      </c>
      <c r="CW188" s="22">
        <f t="shared" si="174"/>
        <v>1.3525069634579169E-12</v>
      </c>
      <c r="CX188" s="60">
        <f t="shared" si="122"/>
        <v>293.33333333333468</v>
      </c>
      <c r="CY188" s="60">
        <f ca="1">AVERAGE(OFFSET($CX$3,0,0,'Données projet'!$E$13+1,1))-AVERAGE(OFFSET($H$3,0,0,'Données projet'!$E$13+1,1))</f>
        <v>288.82868507674738</v>
      </c>
      <c r="CZ188" s="60">
        <f t="shared" si="150"/>
        <v>283.48738729114024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-1.1368683772161603E-12</v>
      </c>
      <c r="O189" s="14">
        <f>N189*VLOOKUP('Données projet'!$B$9,Paramètres!$A$1:$I$89,3,0)*VLOOKUP('Données projet'!$B$9,Paramètres!$A$1:$I$89,5,0)</f>
        <v>-9.5769792096689358E-13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402.79698021419853</v>
      </c>
      <c r="T189" s="60">
        <f t="shared" si="142"/>
        <v>218.26721063098552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-1.4631496014771985E-13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440.51611312502263</v>
      </c>
      <c r="AO189" s="60">
        <f t="shared" si="144"/>
        <v>176.81257896138806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-1.9895196601282805E-13</v>
      </c>
      <c r="BE189" s="14">
        <f>BD189*VLOOKUP('Données projet'!$B$11,Paramètres!$A$1:$I$89,3,0)*VLOOKUP('Données projet'!$B$11,Paramètres!$A$1:$I$89,5,0)</f>
        <v>-1.6138983482960614E-13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236.22643401787644</v>
      </c>
      <c r="BJ189" s="60">
        <f t="shared" si="146"/>
        <v>188.80444043778022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-1.7053025658242404E-13</v>
      </c>
      <c r="BZ189" s="14">
        <f>BY189*VLOOKUP('Données projet'!$B$12,Paramètres!$A$1:$I$89,3,0)*VLOOKUP('Données projet'!$B$12,Paramètres!$A$1:$I$89,5,0)</f>
        <v>-1.4897523215040567E-13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202.86354781280403</v>
      </c>
      <c r="CE189" s="60">
        <f t="shared" si="148"/>
        <v>217.25323885665131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4.4337866711430253E-14</v>
      </c>
      <c r="CV189" s="14">
        <f t="shared" si="173"/>
        <v>7.3222115536967035E-13</v>
      </c>
      <c r="CW189" s="22">
        <f t="shared" si="174"/>
        <v>1.3525069634579169E-12</v>
      </c>
      <c r="CX189" s="60">
        <f t="shared" si="122"/>
        <v>293.33333333333468</v>
      </c>
      <c r="CY189" s="60">
        <f ca="1">AVERAGE(OFFSET($CX$3,0,0,'Données projet'!$E$13+1,1))-AVERAGE(OFFSET($H$3,0,0,'Données projet'!$E$13+1,1))</f>
        <v>288.82868507674738</v>
      </c>
      <c r="CZ189" s="60">
        <f t="shared" si="150"/>
        <v>283.48738729114024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-1.1368683772161603E-12</v>
      </c>
      <c r="O190" s="14">
        <f>N190*VLOOKUP('Données projet'!$B$9,Paramètres!$A$1:$I$89,3,0)*VLOOKUP('Données projet'!$B$9,Paramètres!$A$1:$I$89,5,0)</f>
        <v>-9.5769792096689358E-13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402.79698021419853</v>
      </c>
      <c r="T190" s="60">
        <f t="shared" si="142"/>
        <v>218.26721063098552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-1.4631496014771985E-13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440.51611312502263</v>
      </c>
      <c r="AO190" s="60">
        <f t="shared" si="144"/>
        <v>176.81257896138806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-1.9895196601282805E-13</v>
      </c>
      <c r="BE190" s="14">
        <f>BD190*VLOOKUP('Données projet'!$B$11,Paramètres!$A$1:$I$89,3,0)*VLOOKUP('Données projet'!$B$11,Paramètres!$A$1:$I$89,5,0)</f>
        <v>-1.6138983482960614E-13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236.22643401787644</v>
      </c>
      <c r="BJ190" s="60">
        <f t="shared" si="146"/>
        <v>188.80444043778022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-1.7053025658242404E-13</v>
      </c>
      <c r="BZ190" s="14">
        <f>BY190*VLOOKUP('Données projet'!$B$12,Paramètres!$A$1:$I$89,3,0)*VLOOKUP('Données projet'!$B$12,Paramètres!$A$1:$I$89,5,0)</f>
        <v>-1.4897523215040567E-13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202.86354781280403</v>
      </c>
      <c r="CE190" s="60">
        <f t="shared" si="148"/>
        <v>217.25323885665131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4.4337866711430253E-14</v>
      </c>
      <c r="CV190" s="14">
        <f t="shared" si="173"/>
        <v>7.3222115536967035E-13</v>
      </c>
      <c r="CW190" s="22">
        <f t="shared" si="174"/>
        <v>1.3525069634579169E-12</v>
      </c>
      <c r="CX190" s="60">
        <f t="shared" si="122"/>
        <v>293.33333333333468</v>
      </c>
      <c r="CY190" s="60">
        <f ca="1">AVERAGE(OFFSET($CX$3,0,0,'Données projet'!$E$13+1,1))-AVERAGE(OFFSET($H$3,0,0,'Données projet'!$E$13+1,1))</f>
        <v>288.82868507674738</v>
      </c>
      <c r="CZ190" s="60">
        <f t="shared" si="150"/>
        <v>283.48738729114024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-1.1368683772161603E-12</v>
      </c>
      <c r="O191" s="14">
        <f>N191*VLOOKUP('Données projet'!$B$9,Paramètres!$A$1:$I$89,3,0)*VLOOKUP('Données projet'!$B$9,Paramètres!$A$1:$I$89,5,0)</f>
        <v>-9.5769792096689358E-13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402.79698021419853</v>
      </c>
      <c r="T191" s="60">
        <f t="shared" si="142"/>
        <v>218.26721063098552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-1.4631496014771985E-13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440.51611312502263</v>
      </c>
      <c r="AO191" s="60">
        <f t="shared" si="144"/>
        <v>176.81257896138806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-1.9895196601282805E-13</v>
      </c>
      <c r="BE191" s="14">
        <f>BD191*VLOOKUP('Données projet'!$B$11,Paramètres!$A$1:$I$89,3,0)*VLOOKUP('Données projet'!$B$11,Paramètres!$A$1:$I$89,5,0)</f>
        <v>-1.6138983482960614E-13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236.22643401787644</v>
      </c>
      <c r="BJ191" s="60">
        <f t="shared" si="146"/>
        <v>188.80444043778022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-1.7053025658242404E-13</v>
      </c>
      <c r="BZ191" s="14">
        <f>BY191*VLOOKUP('Données projet'!$B$12,Paramètres!$A$1:$I$89,3,0)*VLOOKUP('Données projet'!$B$12,Paramètres!$A$1:$I$89,5,0)</f>
        <v>-1.4897523215040567E-13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202.86354781280403</v>
      </c>
      <c r="CE191" s="60">
        <f t="shared" si="148"/>
        <v>217.25323885665131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4.4337866711430253E-14</v>
      </c>
      <c r="CV191" s="14">
        <f t="shared" si="173"/>
        <v>7.3222115536967035E-13</v>
      </c>
      <c r="CW191" s="22">
        <f t="shared" si="174"/>
        <v>1.3525069634579169E-12</v>
      </c>
      <c r="CX191" s="60">
        <f t="shared" si="122"/>
        <v>293.33333333333468</v>
      </c>
      <c r="CY191" s="60">
        <f ca="1">AVERAGE(OFFSET($CX$3,0,0,'Données projet'!$E$13+1,1))-AVERAGE(OFFSET($H$3,0,0,'Données projet'!$E$13+1,1))</f>
        <v>288.82868507674738</v>
      </c>
      <c r="CZ191" s="60">
        <f t="shared" si="150"/>
        <v>283.48738729114024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-1.1368683772161603E-12</v>
      </c>
      <c r="O192" s="14">
        <f>N192*VLOOKUP('Données projet'!$B$9,Paramètres!$A$1:$I$89,3,0)*VLOOKUP('Données projet'!$B$9,Paramètres!$A$1:$I$89,5,0)</f>
        <v>-9.5769792096689358E-13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402.79698021419853</v>
      </c>
      <c r="T192" s="60">
        <f t="shared" si="142"/>
        <v>218.26721063098552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-1.4631496014771985E-13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440.51611312502263</v>
      </c>
      <c r="AO192" s="60">
        <f t="shared" si="144"/>
        <v>176.81257896138806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-1.9895196601282805E-13</v>
      </c>
      <c r="BE192" s="14">
        <f>BD192*VLOOKUP('Données projet'!$B$11,Paramètres!$A$1:$I$89,3,0)*VLOOKUP('Données projet'!$B$11,Paramètres!$A$1:$I$89,5,0)</f>
        <v>-1.6138983482960614E-13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236.22643401787644</v>
      </c>
      <c r="BJ192" s="60">
        <f t="shared" si="146"/>
        <v>188.80444043778022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-1.7053025658242404E-13</v>
      </c>
      <c r="BZ192" s="14">
        <f>BY192*VLOOKUP('Données projet'!$B$12,Paramètres!$A$1:$I$89,3,0)*VLOOKUP('Données projet'!$B$12,Paramètres!$A$1:$I$89,5,0)</f>
        <v>-1.4897523215040567E-13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202.86354781280403</v>
      </c>
      <c r="CE192" s="60">
        <f t="shared" si="148"/>
        <v>217.25323885665131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4.4337866711430253E-14</v>
      </c>
      <c r="CV192" s="14">
        <f t="shared" si="173"/>
        <v>7.3222115536967035E-13</v>
      </c>
      <c r="CW192" s="22">
        <f t="shared" si="174"/>
        <v>1.3525069634579169E-12</v>
      </c>
      <c r="CX192" s="60">
        <f t="shared" si="122"/>
        <v>293.33333333333468</v>
      </c>
      <c r="CY192" s="60">
        <f ca="1">AVERAGE(OFFSET($CX$3,0,0,'Données projet'!$E$13+1,1))-AVERAGE(OFFSET($H$3,0,0,'Données projet'!$E$13+1,1))</f>
        <v>288.82868507674738</v>
      </c>
      <c r="CZ192" s="60">
        <f t="shared" si="150"/>
        <v>283.48738729114024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-1.1368683772161603E-12</v>
      </c>
      <c r="O193" s="14">
        <f>N193*VLOOKUP('Données projet'!$B$9,Paramètres!$A$1:$I$89,3,0)*VLOOKUP('Données projet'!$B$9,Paramètres!$A$1:$I$89,5,0)</f>
        <v>-9.5769792096689358E-13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402.79698021419853</v>
      </c>
      <c r="T193" s="60">
        <f t="shared" si="142"/>
        <v>218.26721063098552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-1.4631496014771985E-13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440.51611312502263</v>
      </c>
      <c r="AO193" s="60">
        <f t="shared" si="144"/>
        <v>176.81257896138806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-1.9895196601282805E-13</v>
      </c>
      <c r="BE193" s="14">
        <f>BD193*VLOOKUP('Données projet'!$B$11,Paramètres!$A$1:$I$89,3,0)*VLOOKUP('Données projet'!$B$11,Paramètres!$A$1:$I$89,5,0)</f>
        <v>-1.6138983482960614E-13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236.22643401787644</v>
      </c>
      <c r="BJ193" s="60">
        <f t="shared" si="146"/>
        <v>188.80444043778022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-1.7053025658242404E-13</v>
      </c>
      <c r="BZ193" s="14">
        <f>BY193*VLOOKUP('Données projet'!$B$12,Paramètres!$A$1:$I$89,3,0)*VLOOKUP('Données projet'!$B$12,Paramètres!$A$1:$I$89,5,0)</f>
        <v>-1.4897523215040567E-13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202.86354781280403</v>
      </c>
      <c r="CE193" s="60">
        <f t="shared" si="148"/>
        <v>217.25323885665131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4.4337866711430253E-14</v>
      </c>
      <c r="CV193" s="14">
        <f t="shared" si="173"/>
        <v>7.3222115536967035E-13</v>
      </c>
      <c r="CW193" s="22">
        <f t="shared" si="174"/>
        <v>1.3525069634579169E-12</v>
      </c>
      <c r="CX193" s="60">
        <f t="shared" si="122"/>
        <v>293.33333333333468</v>
      </c>
      <c r="CY193" s="60">
        <f ca="1">AVERAGE(OFFSET($CX$3,0,0,'Données projet'!$E$13+1,1))-AVERAGE(OFFSET($H$3,0,0,'Données projet'!$E$13+1,1))</f>
        <v>288.82868507674738</v>
      </c>
      <c r="CZ193" s="60">
        <f t="shared" si="150"/>
        <v>283.48738729114024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-1.1368683772161603E-12</v>
      </c>
      <c r="O194" s="14">
        <f>N194*VLOOKUP('Données projet'!$B$9,Paramètres!$A$1:$I$89,3,0)*VLOOKUP('Données projet'!$B$9,Paramètres!$A$1:$I$89,5,0)</f>
        <v>-9.5769792096689358E-13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402.79698021419853</v>
      </c>
      <c r="T194" s="60">
        <f t="shared" si="142"/>
        <v>218.26721063098552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-1.4631496014771985E-13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440.51611312502263</v>
      </c>
      <c r="AO194" s="60">
        <f t="shared" si="144"/>
        <v>176.81257896138806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-1.9895196601282805E-13</v>
      </c>
      <c r="BE194" s="14">
        <f>BD194*VLOOKUP('Données projet'!$B$11,Paramètres!$A$1:$I$89,3,0)*VLOOKUP('Données projet'!$B$11,Paramètres!$A$1:$I$89,5,0)</f>
        <v>-1.6138983482960614E-13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236.22643401787644</v>
      </c>
      <c r="BJ194" s="60">
        <f t="shared" si="146"/>
        <v>188.80444043778022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-1.7053025658242404E-13</v>
      </c>
      <c r="BZ194" s="14">
        <f>BY194*VLOOKUP('Données projet'!$B$12,Paramètres!$A$1:$I$89,3,0)*VLOOKUP('Données projet'!$B$12,Paramètres!$A$1:$I$89,5,0)</f>
        <v>-1.4897523215040567E-13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202.86354781280403</v>
      </c>
      <c r="CE194" s="60">
        <f t="shared" si="148"/>
        <v>217.25323885665131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4.4337866711430253E-14</v>
      </c>
      <c r="CV194" s="14">
        <f t="shared" si="173"/>
        <v>7.3222115536967035E-13</v>
      </c>
      <c r="CW194" s="22">
        <f t="shared" si="174"/>
        <v>1.3525069634579169E-12</v>
      </c>
      <c r="CX194" s="60">
        <f t="shared" si="122"/>
        <v>293.33333333333468</v>
      </c>
      <c r="CY194" s="60">
        <f ca="1">AVERAGE(OFFSET($CX$3,0,0,'Données projet'!$E$13+1,1))-AVERAGE(OFFSET($H$3,0,0,'Données projet'!$E$13+1,1))</f>
        <v>288.82868507674738</v>
      </c>
      <c r="CZ194" s="60">
        <f t="shared" si="150"/>
        <v>283.48738729114024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-1.1368683772161603E-12</v>
      </c>
      <c r="O195" s="14">
        <f>N195*VLOOKUP('Données projet'!$B$9,Paramètres!$A$1:$I$89,3,0)*VLOOKUP('Données projet'!$B$9,Paramètres!$A$1:$I$89,5,0)</f>
        <v>-9.5769792096689358E-13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402.79698021419853</v>
      </c>
      <c r="T195" s="60">
        <f t="shared" si="142"/>
        <v>218.26721063098552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-1.4631496014771985E-13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440.51611312502263</v>
      </c>
      <c r="AO195" s="60">
        <f t="shared" si="144"/>
        <v>176.81257896138806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-1.9895196601282805E-13</v>
      </c>
      <c r="BE195" s="14">
        <f>BD195*VLOOKUP('Données projet'!$B$11,Paramètres!$A$1:$I$89,3,0)*VLOOKUP('Données projet'!$B$11,Paramètres!$A$1:$I$89,5,0)</f>
        <v>-1.6138983482960614E-13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236.22643401787644</v>
      </c>
      <c r="BJ195" s="60">
        <f t="shared" si="146"/>
        <v>188.80444043778022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-1.7053025658242404E-13</v>
      </c>
      <c r="BZ195" s="14">
        <f>BY195*VLOOKUP('Données projet'!$B$12,Paramètres!$A$1:$I$89,3,0)*VLOOKUP('Données projet'!$B$12,Paramètres!$A$1:$I$89,5,0)</f>
        <v>-1.4897523215040567E-13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202.86354781280403</v>
      </c>
      <c r="CE195" s="60">
        <f t="shared" si="148"/>
        <v>217.25323885665131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4.4337866711430253E-14</v>
      </c>
      <c r="CV195" s="14">
        <f t="shared" si="173"/>
        <v>7.3222115536967035E-13</v>
      </c>
      <c r="CW195" s="22">
        <f t="shared" si="174"/>
        <v>1.3525069634579169E-12</v>
      </c>
      <c r="CX195" s="60">
        <f t="shared" si="122"/>
        <v>293.33333333333468</v>
      </c>
      <c r="CY195" s="60">
        <f ca="1">AVERAGE(OFFSET($CX$3,0,0,'Données projet'!$E$13+1,1))-AVERAGE(OFFSET($H$3,0,0,'Données projet'!$E$13+1,1))</f>
        <v>288.82868507674738</v>
      </c>
      <c r="CZ195" s="60">
        <f t="shared" si="150"/>
        <v>283.48738729114024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-1.1368683772161603E-12</v>
      </c>
      <c r="O196" s="14">
        <f>N196*VLOOKUP('Données projet'!$B$9,Paramètres!$A$1:$I$89,3,0)*VLOOKUP('Données projet'!$B$9,Paramètres!$A$1:$I$89,5,0)</f>
        <v>-9.5769792096689358E-13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402.79698021419853</v>
      </c>
      <c r="T196" s="60">
        <f t="shared" si="142"/>
        <v>218.26721063098552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-1.4631496014771985E-13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440.51611312502263</v>
      </c>
      <c r="AO196" s="60">
        <f t="shared" si="144"/>
        <v>176.81257896138806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-1.9895196601282805E-13</v>
      </c>
      <c r="BE196" s="14">
        <f>BD196*VLOOKUP('Données projet'!$B$11,Paramètres!$A$1:$I$89,3,0)*VLOOKUP('Données projet'!$B$11,Paramètres!$A$1:$I$89,5,0)</f>
        <v>-1.6138983482960614E-13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236.22643401787644</v>
      </c>
      <c r="BJ196" s="60">
        <f t="shared" si="146"/>
        <v>188.80444043778022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-1.7053025658242404E-13</v>
      </c>
      <c r="BZ196" s="14">
        <f>BY196*VLOOKUP('Données projet'!$B$12,Paramètres!$A$1:$I$89,3,0)*VLOOKUP('Données projet'!$B$12,Paramètres!$A$1:$I$89,5,0)</f>
        <v>-1.4897523215040567E-13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202.86354781280403</v>
      </c>
      <c r="CE196" s="60">
        <f t="shared" si="148"/>
        <v>217.25323885665131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4.4337866711430253E-14</v>
      </c>
      <c r="CV196" s="14">
        <f t="shared" si="173"/>
        <v>7.3222115536967035E-13</v>
      </c>
      <c r="CW196" s="22">
        <f t="shared" si="174"/>
        <v>1.3525069634579169E-12</v>
      </c>
      <c r="CX196" s="60">
        <f t="shared" ref="CX196:CX203" si="196">CW196+(CO196+CP196)*44/12</f>
        <v>293.33333333333468</v>
      </c>
      <c r="CY196" s="60">
        <f ca="1">AVERAGE(OFFSET($CX$3,0,0,'Données projet'!$E$13+1,1))-AVERAGE(OFFSET($H$3,0,0,'Données projet'!$E$13+1,1))</f>
        <v>288.82868507674738</v>
      </c>
      <c r="CZ196" s="60">
        <f t="shared" si="150"/>
        <v>283.48738729114024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-1.1368683772161603E-12</v>
      </c>
      <c r="O197" s="14">
        <f>N197*VLOOKUP('Données projet'!$B$9,Paramètres!$A$1:$I$89,3,0)*VLOOKUP('Données projet'!$B$9,Paramètres!$A$1:$I$89,5,0)</f>
        <v>-9.5769792096689358E-13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402.79698021419853</v>
      </c>
      <c r="T197" s="60">
        <f t="shared" ref="T197:T203" si="204">$T$3</f>
        <v>218.26721063098552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-1.4631496014771985E-13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440.51611312502263</v>
      </c>
      <c r="AO197" s="60">
        <f t="shared" ref="AO197:AO203" si="205">$AO$3</f>
        <v>176.81257896138806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-1.9895196601282805E-13</v>
      </c>
      <c r="BE197" s="14">
        <f>BD197*VLOOKUP('Données projet'!$B$11,Paramètres!$A$1:$I$89,3,0)*VLOOKUP('Données projet'!$B$11,Paramètres!$A$1:$I$89,5,0)</f>
        <v>-1.6138983482960614E-13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236.22643401787644</v>
      </c>
      <c r="BJ197" s="60">
        <f t="shared" ref="BJ197:BJ203" si="206">$BJ$3</f>
        <v>188.80444043778022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-1.7053025658242404E-13</v>
      </c>
      <c r="BZ197" s="14">
        <f>BY197*VLOOKUP('Données projet'!$B$12,Paramètres!$A$1:$I$89,3,0)*VLOOKUP('Données projet'!$B$12,Paramètres!$A$1:$I$89,5,0)</f>
        <v>-1.4897523215040567E-13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202.86354781280403</v>
      </c>
      <c r="CE197" s="60">
        <f t="shared" ref="CE197:CE203" si="207">$CE$3</f>
        <v>217.25323885665131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4.4337866711430253E-14</v>
      </c>
      <c r="CV197" s="14">
        <f t="shared" si="173"/>
        <v>7.3222115536967035E-13</v>
      </c>
      <c r="CW197" s="22">
        <f t="shared" si="174"/>
        <v>1.3525069634579169E-12</v>
      </c>
      <c r="CX197" s="60">
        <f t="shared" si="196"/>
        <v>293.33333333333468</v>
      </c>
      <c r="CY197" s="60">
        <f ca="1">AVERAGE(OFFSET($CX$3,0,0,'Données projet'!$E$13+1,1))-AVERAGE(OFFSET($H$3,0,0,'Données projet'!$E$13+1,1))</f>
        <v>288.82868507674738</v>
      </c>
      <c r="CZ197" s="60">
        <f t="shared" ref="CZ197:CZ203" si="208">$CZ$3</f>
        <v>283.48738729114024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-1.1368683772161603E-12</v>
      </c>
      <c r="O198" s="14">
        <f>N198*VLOOKUP('Données projet'!$B$9,Paramètres!$A$1:$I$89,3,0)*VLOOKUP('Données projet'!$B$9,Paramètres!$A$1:$I$89,5,0)</f>
        <v>-9.5769792096689358E-13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402.79698021419853</v>
      </c>
      <c r="T198" s="60">
        <f t="shared" si="204"/>
        <v>218.26721063098552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-1.4631496014771985E-13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440.51611312502263</v>
      </c>
      <c r="AO198" s="60">
        <f t="shared" si="205"/>
        <v>176.81257896138806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-1.9895196601282805E-13</v>
      </c>
      <c r="BE198" s="14">
        <f>BD198*VLOOKUP('Données projet'!$B$11,Paramètres!$A$1:$I$89,3,0)*VLOOKUP('Données projet'!$B$11,Paramètres!$A$1:$I$89,5,0)</f>
        <v>-1.6138983482960614E-13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236.22643401787644</v>
      </c>
      <c r="BJ198" s="60">
        <f t="shared" si="206"/>
        <v>188.80444043778022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-1.7053025658242404E-13</v>
      </c>
      <c r="BZ198" s="14">
        <f>BY198*VLOOKUP('Données projet'!$B$12,Paramètres!$A$1:$I$89,3,0)*VLOOKUP('Données projet'!$B$12,Paramètres!$A$1:$I$89,5,0)</f>
        <v>-1.4897523215040567E-13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202.86354781280403</v>
      </c>
      <c r="CE198" s="60">
        <f t="shared" si="207"/>
        <v>217.25323885665131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4.4337866711430253E-14</v>
      </c>
      <c r="CV198" s="14">
        <f t="shared" si="173"/>
        <v>7.3222115536967035E-13</v>
      </c>
      <c r="CW198" s="22">
        <f t="shared" si="174"/>
        <v>1.3525069634579169E-12</v>
      </c>
      <c r="CX198" s="60">
        <f t="shared" si="196"/>
        <v>293.33333333333468</v>
      </c>
      <c r="CY198" s="60">
        <f ca="1">AVERAGE(OFFSET($CX$3,0,0,'Données projet'!$E$13+1,1))-AVERAGE(OFFSET($H$3,0,0,'Données projet'!$E$13+1,1))</f>
        <v>288.82868507674738</v>
      </c>
      <c r="CZ198" s="60">
        <f t="shared" si="208"/>
        <v>283.48738729114024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-1.1368683772161603E-12</v>
      </c>
      <c r="O199" s="14">
        <f>N199*VLOOKUP('Données projet'!$B$9,Paramètres!$A$1:$I$89,3,0)*VLOOKUP('Données projet'!$B$9,Paramètres!$A$1:$I$89,5,0)</f>
        <v>-9.5769792096689358E-13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402.79698021419853</v>
      </c>
      <c r="T199" s="60">
        <f t="shared" si="204"/>
        <v>218.26721063098552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-1.4631496014771985E-13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440.51611312502263</v>
      </c>
      <c r="AO199" s="60">
        <f t="shared" si="205"/>
        <v>176.81257896138806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-1.9895196601282805E-13</v>
      </c>
      <c r="BE199" s="14">
        <f>BD199*VLOOKUP('Données projet'!$B$11,Paramètres!$A$1:$I$89,3,0)*VLOOKUP('Données projet'!$B$11,Paramètres!$A$1:$I$89,5,0)</f>
        <v>-1.6138983482960614E-13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236.22643401787644</v>
      </c>
      <c r="BJ199" s="60">
        <f t="shared" si="206"/>
        <v>188.80444043778022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-1.7053025658242404E-13</v>
      </c>
      <c r="BZ199" s="14">
        <f>BY199*VLOOKUP('Données projet'!$B$12,Paramètres!$A$1:$I$89,3,0)*VLOOKUP('Données projet'!$B$12,Paramètres!$A$1:$I$89,5,0)</f>
        <v>-1.4897523215040567E-13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202.86354781280403</v>
      </c>
      <c r="CE199" s="60">
        <f t="shared" si="207"/>
        <v>217.25323885665131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4.4337866711430253E-14</v>
      </c>
      <c r="CV199" s="14">
        <f t="shared" si="173"/>
        <v>7.3222115536967035E-13</v>
      </c>
      <c r="CW199" s="22">
        <f t="shared" si="174"/>
        <v>1.3525069634579169E-12</v>
      </c>
      <c r="CX199" s="60">
        <f t="shared" si="196"/>
        <v>293.33333333333468</v>
      </c>
      <c r="CY199" s="60">
        <f ca="1">AVERAGE(OFFSET($CX$3,0,0,'Données projet'!$E$13+1,1))-AVERAGE(OFFSET($H$3,0,0,'Données projet'!$E$13+1,1))</f>
        <v>288.82868507674738</v>
      </c>
      <c r="CZ199" s="60">
        <f t="shared" si="208"/>
        <v>283.48738729114024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-1.1368683772161603E-12</v>
      </c>
      <c r="O200" s="14">
        <f>N200*VLOOKUP('Données projet'!$B$9,Paramètres!$A$1:$I$89,3,0)*VLOOKUP('Données projet'!$B$9,Paramètres!$A$1:$I$89,5,0)</f>
        <v>-9.5769792096689358E-13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402.79698021419853</v>
      </c>
      <c r="T200" s="60">
        <f t="shared" si="204"/>
        <v>218.26721063098552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-1.4631496014771985E-13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440.51611312502263</v>
      </c>
      <c r="AO200" s="60">
        <f t="shared" si="205"/>
        <v>176.81257896138806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-1.9895196601282805E-13</v>
      </c>
      <c r="BE200" s="14">
        <f>BD200*VLOOKUP('Données projet'!$B$11,Paramètres!$A$1:$I$89,3,0)*VLOOKUP('Données projet'!$B$11,Paramètres!$A$1:$I$89,5,0)</f>
        <v>-1.6138983482960614E-13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236.22643401787644</v>
      </c>
      <c r="BJ200" s="60">
        <f t="shared" si="206"/>
        <v>188.80444043778022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-1.7053025658242404E-13</v>
      </c>
      <c r="BZ200" s="14">
        <f>BY200*VLOOKUP('Données projet'!$B$12,Paramètres!$A$1:$I$89,3,0)*VLOOKUP('Données projet'!$B$12,Paramètres!$A$1:$I$89,5,0)</f>
        <v>-1.4897523215040567E-13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202.86354781280403</v>
      </c>
      <c r="CE200" s="60">
        <f t="shared" si="207"/>
        <v>217.25323885665131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4.4337866711430253E-14</v>
      </c>
      <c r="CV200" s="14">
        <f t="shared" si="173"/>
        <v>7.3222115536967035E-13</v>
      </c>
      <c r="CW200" s="22">
        <f t="shared" si="174"/>
        <v>1.3525069634579169E-12</v>
      </c>
      <c r="CX200" s="60">
        <f t="shared" si="196"/>
        <v>293.33333333333468</v>
      </c>
      <c r="CY200" s="60">
        <f ca="1">AVERAGE(OFFSET($CX$3,0,0,'Données projet'!$E$13+1,1))-AVERAGE(OFFSET($H$3,0,0,'Données projet'!$E$13+1,1))</f>
        <v>288.82868507674738</v>
      </c>
      <c r="CZ200" s="60">
        <f t="shared" si="208"/>
        <v>283.48738729114024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-1.1368683772161603E-12</v>
      </c>
      <c r="O201" s="14">
        <f>N201*VLOOKUP('Données projet'!$B$9,Paramètres!$A$1:$I$89,3,0)*VLOOKUP('Données projet'!$B$9,Paramètres!$A$1:$I$89,5,0)</f>
        <v>-9.5769792096689358E-13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402.79698021419853</v>
      </c>
      <c r="T201" s="60">
        <f t="shared" si="204"/>
        <v>218.26721063098552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-1.4631496014771985E-13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440.51611312502263</v>
      </c>
      <c r="AO201" s="60">
        <f t="shared" si="205"/>
        <v>176.81257896138806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-1.9895196601282805E-13</v>
      </c>
      <c r="BE201" s="14">
        <f>BD201*VLOOKUP('Données projet'!$B$11,Paramètres!$A$1:$I$89,3,0)*VLOOKUP('Données projet'!$B$11,Paramètres!$A$1:$I$89,5,0)</f>
        <v>-1.6138983482960614E-13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236.22643401787644</v>
      </c>
      <c r="BJ201" s="60">
        <f t="shared" si="206"/>
        <v>188.80444043778022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-1.7053025658242404E-13</v>
      </c>
      <c r="BZ201" s="14">
        <f>BY201*VLOOKUP('Données projet'!$B$12,Paramètres!$A$1:$I$89,3,0)*VLOOKUP('Données projet'!$B$12,Paramètres!$A$1:$I$89,5,0)</f>
        <v>-1.4897523215040567E-13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202.86354781280403</v>
      </c>
      <c r="CE201" s="60">
        <f t="shared" si="207"/>
        <v>217.25323885665131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4.4337866711430253E-14</v>
      </c>
      <c r="CV201" s="14">
        <f t="shared" si="173"/>
        <v>7.3222115536967035E-13</v>
      </c>
      <c r="CW201" s="22">
        <f t="shared" si="174"/>
        <v>1.3525069634579169E-12</v>
      </c>
      <c r="CX201" s="60">
        <f t="shared" si="196"/>
        <v>293.33333333333468</v>
      </c>
      <c r="CY201" s="60">
        <f ca="1">AVERAGE(OFFSET($CX$3,0,0,'Données projet'!$E$13+1,1))-AVERAGE(OFFSET($H$3,0,0,'Données projet'!$E$13+1,1))</f>
        <v>288.82868507674738</v>
      </c>
      <c r="CZ201" s="60">
        <f t="shared" si="208"/>
        <v>283.48738729114024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-1.1368683772161603E-12</v>
      </c>
      <c r="O202" s="14">
        <f>N202*VLOOKUP('Données projet'!$B$9,Paramètres!$A$1:$I$89,3,0)*VLOOKUP('Données projet'!$B$9,Paramètres!$A$1:$I$89,5,0)</f>
        <v>-9.5769792096689358E-13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402.79698021419853</v>
      </c>
      <c r="T202" s="60">
        <f t="shared" si="204"/>
        <v>218.26721063098552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-1.4631496014771985E-13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440.51611312502263</v>
      </c>
      <c r="AO202" s="60">
        <f t="shared" si="205"/>
        <v>176.81257896138806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-1.9895196601282805E-13</v>
      </c>
      <c r="BE202" s="14">
        <f>BD202*VLOOKUP('Données projet'!$B$11,Paramètres!$A$1:$I$89,3,0)*VLOOKUP('Données projet'!$B$11,Paramètres!$A$1:$I$89,5,0)</f>
        <v>-1.6138983482960614E-13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236.22643401787644</v>
      </c>
      <c r="BJ202" s="60">
        <f t="shared" si="206"/>
        <v>188.80444043778022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-1.7053025658242404E-13</v>
      </c>
      <c r="BZ202" s="14">
        <f>BY202*VLOOKUP('Données projet'!$B$12,Paramètres!$A$1:$I$89,3,0)*VLOOKUP('Données projet'!$B$12,Paramètres!$A$1:$I$89,5,0)</f>
        <v>-1.4897523215040567E-13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202.86354781280403</v>
      </c>
      <c r="CE202" s="60">
        <f t="shared" si="207"/>
        <v>217.25323885665131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4.4337866711430253E-14</v>
      </c>
      <c r="CV202" s="14">
        <f t="shared" si="173"/>
        <v>7.3222115536967035E-13</v>
      </c>
      <c r="CW202" s="22">
        <f t="shared" si="174"/>
        <v>1.3525069634579169E-12</v>
      </c>
      <c r="CX202" s="60">
        <f t="shared" si="196"/>
        <v>293.33333333333468</v>
      </c>
      <c r="CY202" s="60">
        <f ca="1">AVERAGE(OFFSET($CX$3,0,0,'Données projet'!$E$13+1,1))-AVERAGE(OFFSET($H$3,0,0,'Données projet'!$E$13+1,1))</f>
        <v>288.82868507674738</v>
      </c>
      <c r="CZ202" s="60">
        <f t="shared" si="208"/>
        <v>283.48738729114024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-1.1368683772161603E-12</v>
      </c>
      <c r="O203" s="14">
        <f>N203*VLOOKUP('Données projet'!$B$9,Paramètres!$A$1:$I$89,3,0)*VLOOKUP('Données projet'!$B$9,Paramètres!$A$1:$I$89,5,0)</f>
        <v>-9.5769792096689358E-13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402.79698021419853</v>
      </c>
      <c r="T203" s="60">
        <f t="shared" si="204"/>
        <v>218.26721063098552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-1.4631496014771985E-13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440.51611312502263</v>
      </c>
      <c r="AO203" s="60">
        <f t="shared" si="205"/>
        <v>176.81257896138806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-1.9895196601282805E-13</v>
      </c>
      <c r="BE203" s="14">
        <f>BD203*VLOOKUP('Données projet'!$B$11,Paramètres!$A$1:$I$89,3,0)*VLOOKUP('Données projet'!$B$11,Paramètres!$A$1:$I$89,5,0)</f>
        <v>-1.6138983482960614E-13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236.22643401787644</v>
      </c>
      <c r="BJ203" s="60">
        <f t="shared" si="206"/>
        <v>188.80444043778022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-1.7053025658242404E-13</v>
      </c>
      <c r="BZ203" s="14">
        <f>BY203*VLOOKUP('Données projet'!$B$12,Paramètres!$A$1:$I$89,3,0)*VLOOKUP('Données projet'!$B$12,Paramètres!$A$1:$I$89,5,0)</f>
        <v>-1.4897523215040567E-13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202.86354781280403</v>
      </c>
      <c r="CE203" s="60">
        <f t="shared" si="207"/>
        <v>217.25323885665131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4.4337866711430253E-14</v>
      </c>
      <c r="CV203" s="14">
        <f t="shared" si="173"/>
        <v>7.3222115536967035E-13</v>
      </c>
      <c r="CW203" s="22">
        <f t="shared" si="174"/>
        <v>1.3525069634579169E-12</v>
      </c>
      <c r="CX203" s="60">
        <f t="shared" si="196"/>
        <v>293.33333333333468</v>
      </c>
      <c r="CY203" s="60">
        <f ca="1">AVERAGE(OFFSET($CX$3,0,0,'Données projet'!$E$13+1,1))-AVERAGE(OFFSET($H$3,0,0,'Données projet'!$E$13+1,1))</f>
        <v>288.82868507674738</v>
      </c>
      <c r="CZ203" s="60">
        <f t="shared" si="208"/>
        <v>283.48738729114024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1.2054868146447177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1.1589972344055464</v>
      </c>
      <c r="BA205" s="85">
        <f>EXP(LN('Données projet'!B88)/'Données projet'!A88)</f>
        <v>1.2599210498948732</v>
      </c>
      <c r="BV205" s="85">
        <f>EXP(LN('Données projet'!B114)/'Données projet'!A114)</f>
        <v>1.1554831727638066</v>
      </c>
      <c r="CQ205" s="85">
        <f>EXP(LN('Données projet'!B140)/'Données projet'!A140)</f>
        <v>1.2788040393997409</v>
      </c>
      <c r="DL205" s="85" t="e">
        <f>EXP(LN('Données projet'!B166)/'Données projet'!A166)</f>
        <v>#NUM!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3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5" t="s">
        <v>238</v>
      </c>
      <c r="P2" s="126">
        <v>0</v>
      </c>
    </row>
    <row r="3" spans="1:16" ht="15" thickBot="1" x14ac:dyDescent="0.3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6"/>
      <c r="P3" s="133">
        <v>0.2</v>
      </c>
    </row>
    <row r="4" spans="1:16" ht="15" thickBot="1" x14ac:dyDescent="0.3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3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5" t="s">
        <v>237</v>
      </c>
      <c r="P5" s="126">
        <v>0</v>
      </c>
    </row>
    <row r="6" spans="1:16" x14ac:dyDescent="0.3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7"/>
      <c r="P6" s="134">
        <v>0.05</v>
      </c>
    </row>
    <row r="7" spans="1:16" x14ac:dyDescent="0.3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7"/>
      <c r="P7" s="134">
        <v>0.1</v>
      </c>
    </row>
    <row r="8" spans="1:16" ht="15" thickBot="1" x14ac:dyDescent="0.3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6"/>
      <c r="P8" s="133">
        <v>0.15</v>
      </c>
    </row>
    <row r="9" spans="1:16" ht="15" thickBot="1" x14ac:dyDescent="0.3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3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5" t="s">
        <v>236</v>
      </c>
      <c r="P10" s="126">
        <v>0</v>
      </c>
    </row>
    <row r="11" spans="1:16" ht="15" thickBot="1" x14ac:dyDescent="0.3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6"/>
      <c r="P11" s="133">
        <v>0.1</v>
      </c>
    </row>
    <row r="12" spans="1:16" x14ac:dyDescent="0.3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3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3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3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3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3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3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3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3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3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3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3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3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3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3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3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3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3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3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3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3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3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3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3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3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3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3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3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3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3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3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3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3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3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3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3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3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3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3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3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3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3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3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3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3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3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3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3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3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3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3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3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3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3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3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3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3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3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3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3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3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3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3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3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3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3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3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3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3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3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3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3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3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3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3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3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3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" thickBot="1" x14ac:dyDescent="0.35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3">
      <c r="A93" s="127" t="s">
        <v>208</v>
      </c>
    </row>
    <row r="94" spans="1:14" x14ac:dyDescent="0.3">
      <c r="A94" s="127" t="s">
        <v>209</v>
      </c>
    </row>
    <row r="95" spans="1:14" x14ac:dyDescent="0.3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E12" zoomScale="70" zoomScaleNormal="70" workbookViewId="0">
      <selection activeCell="H16" sqref="H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0" t="str">
        <f>IF('Données projet'!$B$9="","",'Données projet'!$B$9)</f>
        <v>Chêne pédonculé</v>
      </c>
      <c r="B6" s="151">
        <f>'Données projet'!D9</f>
        <v>0.36899999999999999</v>
      </c>
      <c r="C6" s="152">
        <f ca="1">IF(OR('Données projet'!B9="",'Données projet'!C9="",'Données projet'!C9=0%),0,Calculateur!S3)</f>
        <v>402.79698021419853</v>
      </c>
      <c r="D6" s="152">
        <f>IF(OR('Données projet'!B9="",'Données projet'!C9="",'Données projet'!C9=0%),0,Calculateur!T3)</f>
        <v>218.26721063098552</v>
      </c>
      <c r="E6" s="152">
        <f ca="1">MIN(C6,D6)</f>
        <v>218.26721063098552</v>
      </c>
      <c r="F6" s="152">
        <f ca="1">E6*B6</f>
        <v>80.540600722833659</v>
      </c>
      <c r="G6" s="152">
        <f ca="1">F6*(100%-'Données projet'!$C$24)*(100%-'Données projet'!$C$25)*(100%-'Données projet'!$C$26)*(100%-'Données projet'!$C$27)</f>
        <v>68.862213618022778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0.73799999999999999</v>
      </c>
      <c r="K6" s="156">
        <f>J6*(100%-'Données projet'!$C$24)*(100%-'Données projet'!$C$25)*(100%-'Données projet'!$C$26)*(100%-'Données projet'!$C$27)</f>
        <v>0.63098999999999994</v>
      </c>
      <c r="L6" s="157">
        <f ca="1">G6+I6+K6</f>
        <v>69.493203618022775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8" t="str">
        <f>IF('Données projet'!$B$10="","",'Données projet'!$B$10)</f>
        <v>Hêtre</v>
      </c>
      <c r="B7" s="159">
        <f>'Données projet'!D10</f>
        <v>0.11700000000000001</v>
      </c>
      <c r="C7" s="152">
        <f ca="1">IF(OR('Données projet'!B10="",'Données projet'!C10="",'Données projet'!C10=0%),0,Calculateur!AN3)</f>
        <v>440.51611312502263</v>
      </c>
      <c r="D7" s="152">
        <f>IF(OR('Données projet'!B10="",'Données projet'!C10="",'Données projet'!C10=0%),0,Calculateur!AO3)</f>
        <v>176.81257896138806</v>
      </c>
      <c r="E7" s="152">
        <f t="shared" ref="E7:E15" ca="1" si="0">MIN(C7,D7)</f>
        <v>176.81257896138806</v>
      </c>
      <c r="F7" s="152">
        <f t="shared" ref="F7:F15" ca="1" si="1">E7*B7</f>
        <v>20.687071738482405</v>
      </c>
      <c r="G7" s="152">
        <f ca="1">F7*(100%-'Données projet'!$C$24)*(100%-'Données projet'!$C$25)*(100%-'Données projet'!$C$26)*(100%-'Données projet'!$C$27)</f>
        <v>17.687446336402459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0</v>
      </c>
      <c r="K7" s="156">
        <f>J7*(100%-'Données projet'!$C$24)*(100%-'Données projet'!$C$25)*(100%-'Données projet'!$C$26)*(100%-'Données projet'!$C$27)</f>
        <v>0</v>
      </c>
      <c r="L7" s="157">
        <f t="shared" ref="L7:L15" ca="1" si="2">G7+I7+K7</f>
        <v>17.687446336402459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8" t="str">
        <f>IF('Données projet'!$B$11="","",'Données projet'!$B$11)</f>
        <v>Bouleau verruqueux</v>
      </c>
      <c r="B8" s="159">
        <f>'Données projet'!D11</f>
        <v>0.108</v>
      </c>
      <c r="C8" s="152">
        <f ca="1">IF(OR('Données projet'!B11="",'Données projet'!C11="",'Données projet'!C11=0%),0,Calculateur!BI3)</f>
        <v>236.22643401787644</v>
      </c>
      <c r="D8" s="152">
        <f>IF(OR('Données projet'!B11="",'Données projet'!C11="",'Données projet'!C11=0%),0,Calculateur!BJ3)</f>
        <v>188.80444043778022</v>
      </c>
      <c r="E8" s="152">
        <f t="shared" ca="1" si="0"/>
        <v>188.80444043778022</v>
      </c>
      <c r="F8" s="152">
        <f t="shared" ca="1" si="1"/>
        <v>20.390879567280262</v>
      </c>
      <c r="G8" s="152">
        <f ca="1">F8*(100%-'Données projet'!$C$24)*(100%-'Données projet'!$C$25)*(100%-'Données projet'!$C$26)*(100%-'Données projet'!$C$27)</f>
        <v>17.434202030024625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0.35099999999999998</v>
      </c>
      <c r="K8" s="156">
        <f>J8*(100%-'Données projet'!$C$24)*(100%-'Données projet'!$C$25)*(100%-'Données projet'!$C$26)*(100%-'Données projet'!$C$27)</f>
        <v>0.30010500000000001</v>
      </c>
      <c r="L8" s="157">
        <f t="shared" ca="1" si="2"/>
        <v>17.734307030024624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8" t="str">
        <f>IF('Données projet'!$B$12="","",'Données projet'!$B$12)</f>
        <v>Erable champêtre</v>
      </c>
      <c r="B9" s="159">
        <f>'Données projet'!D12</f>
        <v>6.3000000000000014E-2</v>
      </c>
      <c r="C9" s="152">
        <f ca="1">IF(OR('Données projet'!B12="",'Données projet'!C12="",'Données projet'!C12=0%),0,Calculateur!CD3)</f>
        <v>202.86354781280403</v>
      </c>
      <c r="D9" s="152">
        <f>IF(OR('Données projet'!B12="",'Données projet'!C12="",'Données projet'!C12=0%),0,Calculateur!CE3)</f>
        <v>217.25323885665131</v>
      </c>
      <c r="E9" s="152">
        <f t="shared" ca="1" si="0"/>
        <v>202.86354781280403</v>
      </c>
      <c r="F9" s="152">
        <f t="shared" ca="1" si="1"/>
        <v>12.780403512206657</v>
      </c>
      <c r="G9" s="152">
        <f ca="1">F9*(100%-'Données projet'!$C$24)*(100%-'Données projet'!$C$25)*(100%-'Données projet'!$C$26)*(100%-'Données projet'!$C$27)</f>
        <v>10.927245002936692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0.48825000000000013</v>
      </c>
      <c r="K9" s="156">
        <f>J9*(100%-'Données projet'!$C$24)*(100%-'Données projet'!$C$25)*(100%-'Données projet'!$C$26)*(100%-'Données projet'!$C$27)</f>
        <v>0.41745375000000007</v>
      </c>
      <c r="L9" s="157">
        <f t="shared" ca="1" si="2"/>
        <v>11.344698752936692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8" t="str">
        <f>IF('Données projet'!$B$13="","",'Données projet'!$B$13)</f>
        <v>Merisier</v>
      </c>
      <c r="B10" s="159">
        <f>'Données projet'!D13</f>
        <v>5.3999999999999999E-2</v>
      </c>
      <c r="C10" s="152">
        <f ca="1">IF(OR('Données projet'!B13="",'Données projet'!C13="",'Données projet'!C13=0%),0,Calculateur!CY3)</f>
        <v>288.82868507674738</v>
      </c>
      <c r="D10" s="152">
        <f>IF(OR('Données projet'!B13="",'Données projet'!C13="",'Données projet'!C13=0%),0,Calculateur!CZ3)</f>
        <v>283.48738729114024</v>
      </c>
      <c r="E10" s="152">
        <f t="shared" ca="1" si="0"/>
        <v>283.48738729114024</v>
      </c>
      <c r="F10" s="152">
        <f t="shared" ca="1" si="1"/>
        <v>15.308318913721573</v>
      </c>
      <c r="G10" s="152">
        <f ca="1">F10*(100%-'Données projet'!$C$24)*(100%-'Données projet'!$C$25)*(100%-'Données projet'!$C$26)*(100%-'Données projet'!$C$27)</f>
        <v>13.088612671231944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0.74249999999999994</v>
      </c>
      <c r="K10" s="156">
        <f>J10*(100%-'Données projet'!$C$24)*(100%-'Données projet'!$C$25)*(100%-'Données projet'!$C$26)*(100%-'Données projet'!$C$27)</f>
        <v>0.63483749999999994</v>
      </c>
      <c r="L10" s="157">
        <f t="shared" ca="1" si="2"/>
        <v>13.723450171231944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8" t="str">
        <f>IF('Données projet'!$B$14="","",'Données projet'!$B$14)</f>
        <v/>
      </c>
      <c r="B11" s="159">
        <f>'Données projet'!D14</f>
        <v>0</v>
      </c>
      <c r="C11" s="152">
        <f>IF(OR('Données projet'!B14="",'Données projet'!C14="",'Données projet'!C14=0%),0,Calculateur!DT3)</f>
        <v>0</v>
      </c>
      <c r="D11" s="152">
        <f>IF(OR('Données projet'!B14="",'Données projet'!C14="",'Données projet'!C14=0%),0,Calculateur!DU3)</f>
        <v>0</v>
      </c>
      <c r="E11" s="152">
        <f t="shared" si="0"/>
        <v>0</v>
      </c>
      <c r="F11" s="152">
        <f t="shared" si="1"/>
        <v>0</v>
      </c>
      <c r="G11" s="152">
        <f>F11*(100%-'Données projet'!$C$24)*(100%-'Données projet'!$C$25)*(100%-'Données projet'!$C$26)*(100%-'Données projet'!$C$27)</f>
        <v>0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0</v>
      </c>
      <c r="K11" s="156">
        <f>J11*(100%-'Données projet'!$C$24)*(100%-'Données projet'!$C$25)*(100%-'Données projet'!$C$26)*(100%-'Données projet'!$C$27)</f>
        <v>0</v>
      </c>
      <c r="L11" s="157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8" t="str">
        <f>IF('Données projet'!$B$15="","",'Données projet'!$B$15)</f>
        <v/>
      </c>
      <c r="B12" s="159">
        <f>'Données projet'!D15</f>
        <v>0</v>
      </c>
      <c r="C12" s="152">
        <f>IF(OR('Données projet'!B15="",'Données projet'!C15="",'Données projet'!C15=0%),0,Calculateur!EO3)</f>
        <v>0</v>
      </c>
      <c r="D12" s="152">
        <f>IF(OR('Données projet'!B15="",'Données projet'!C15="",'Données projet'!C15=0%),0,Calculateur!EP3)</f>
        <v>0</v>
      </c>
      <c r="E12" s="152">
        <f t="shared" si="0"/>
        <v>0</v>
      </c>
      <c r="F12" s="152">
        <f t="shared" si="1"/>
        <v>0</v>
      </c>
      <c r="G12" s="152">
        <f>F12*(100%-'Données projet'!$C$24)*(100%-'Données projet'!$C$25)*(100%-'Données projet'!$C$26)*(100%-'Données projet'!$C$27)</f>
        <v>0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0</v>
      </c>
      <c r="K12" s="156">
        <f>J12*(100%-'Données projet'!$C$24)*(100%-'Données projet'!$C$25)*(100%-'Données projet'!$C$26)*(100%-'Données projet'!$C$27)</f>
        <v>0</v>
      </c>
      <c r="L12" s="157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2"/>
      <c r="B16" s="229"/>
      <c r="C16" s="230"/>
      <c r="D16" s="25"/>
      <c r="E16" s="25"/>
      <c r="F16" s="170">
        <f t="shared" ref="F16:L16" ca="1" si="3">SUM(F6:F15)</f>
        <v>149.70727445452454</v>
      </c>
      <c r="G16" s="171">
        <f t="shared" ca="1" si="3"/>
        <v>127.99971965861849</v>
      </c>
      <c r="H16" s="172">
        <f t="shared" si="3"/>
        <v>0</v>
      </c>
      <c r="I16" s="172">
        <f t="shared" si="3"/>
        <v>0</v>
      </c>
      <c r="J16" s="173">
        <f t="shared" si="3"/>
        <v>2.31975</v>
      </c>
      <c r="K16" s="173">
        <f t="shared" si="3"/>
        <v>1.9833862499999999</v>
      </c>
      <c r="L16" s="174">
        <f t="shared" ca="1" si="3"/>
        <v>129.98310590861848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2"/>
      <c r="B17" s="229"/>
      <c r="C17" s="230"/>
      <c r="D17" s="227"/>
      <c r="E17" s="227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2"/>
      <c r="B18" s="229"/>
      <c r="C18" s="230"/>
      <c r="D18" s="227"/>
      <c r="E18" s="227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5" t="str">
        <f>A6</f>
        <v>Chêne pédonculé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5" t="str">
        <f>A7</f>
        <v>Hêtre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5" t="str">
        <f>A8</f>
        <v>Bouleau verruqueux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5" t="str">
        <f>A9</f>
        <v>Erable champêtre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5" t="str">
        <f>A10</f>
        <v>Merisier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5" t="str">
        <f>A11</f>
        <v/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5" t="str">
        <f>A12</f>
        <v/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R16" zoomScale="70" zoomScaleNormal="70" workbookViewId="0">
      <selection activeCell="F152" sqref="F15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3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3">
      <c r="A4" s="95"/>
      <c r="B4" s="95"/>
      <c r="C4" s="95"/>
      <c r="D4" s="95"/>
      <c r="E4" s="95"/>
      <c r="G4" s="176"/>
      <c r="H4" s="324" t="s">
        <v>315</v>
      </c>
      <c r="I4" s="324"/>
      <c r="K4" s="321" t="s">
        <v>253</v>
      </c>
      <c r="L4" s="322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3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" thickBot="1" x14ac:dyDescent="0.35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55000000000000004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32" t="s">
        <v>310</v>
      </c>
      <c r="S7" s="333"/>
      <c r="T7" s="333"/>
      <c r="U7" s="333"/>
      <c r="V7" s="334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3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Chêne pédonculé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654.97185690137303</v>
      </c>
      <c r="U10" s="186">
        <f>'Données projet'!D9</f>
        <v>0.36899999999999999</v>
      </c>
      <c r="V10" s="185">
        <f>U10*T10</f>
        <v>241.68461519660664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Hêtre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665.39953073999095</v>
      </c>
      <c r="U11" s="186">
        <f>'Données projet'!D10</f>
        <v>0.11700000000000001</v>
      </c>
      <c r="V11" s="185">
        <f t="shared" ref="V11" si="0">U11*T11</f>
        <v>77.851745096578952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Bouleau verruqueux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348.5252940313934</v>
      </c>
      <c r="U12" s="186">
        <f>'Données projet'!D11</f>
        <v>0.108</v>
      </c>
      <c r="V12" s="185">
        <f t="shared" ref="V12:V19" si="1">U12*T12</f>
        <v>37.64073175539049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Erable champêtre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535.21943836939772</v>
      </c>
      <c r="U13" s="186">
        <f>'Données projet'!D12</f>
        <v>6.3000000000000014E-2</v>
      </c>
      <c r="V13" s="185">
        <f t="shared" si="1"/>
        <v>33.718824617272062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2" t="str">
        <f>IF('Données projet'!$B$9="","",'Données projet'!$B$9)</f>
        <v>Chêne pédonculé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Merisier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5152.1675252344385</v>
      </c>
      <c r="U14" s="186">
        <f>'Données projet'!D13</f>
        <v>5.3999999999999999E-2</v>
      </c>
      <c r="V14" s="185">
        <f t="shared" si="1"/>
        <v>278.21704636265969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7"/>
      <c r="G15" s="325" t="s">
        <v>318</v>
      </c>
      <c r="H15" s="199">
        <v>0</v>
      </c>
      <c r="I15" s="200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/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6">
        <f>'Données projet'!D14</f>
        <v>0</v>
      </c>
      <c r="V15" s="185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25"/>
      <c r="H16" s="199"/>
      <c r="I16" s="200"/>
      <c r="J16" s="212"/>
      <c r="K16" s="221"/>
      <c r="L16" s="321" t="s">
        <v>254</v>
      </c>
      <c r="M16" s="322"/>
      <c r="N16" s="2"/>
      <c r="O16" s="25"/>
      <c r="P16" s="25"/>
      <c r="Q16" s="261"/>
      <c r="R16" s="25"/>
      <c r="S16" s="181" t="str">
        <f>B200</f>
        <v/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25"/>
      <c r="J17" s="212"/>
      <c r="K17" s="221"/>
      <c r="L17" s="292" t="s">
        <v>289</v>
      </c>
      <c r="M17" s="294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/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25"/>
      <c r="J18" s="212"/>
      <c r="K18" s="221"/>
      <c r="L18" s="292" t="s">
        <v>255</v>
      </c>
      <c r="M18" s="294"/>
      <c r="N18" s="201"/>
      <c r="O18" s="25"/>
      <c r="P18" s="25"/>
      <c r="Q18" s="261"/>
      <c r="R18" s="25"/>
      <c r="S18" s="181" t="str">
        <f>B262</f>
        <v/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25"/>
      <c r="H19" s="228" t="s">
        <v>178</v>
      </c>
      <c r="I19" s="228" t="s">
        <v>287</v>
      </c>
      <c r="J19" s="256"/>
      <c r="K19" s="179"/>
      <c r="L19" s="321" t="s">
        <v>288</v>
      </c>
      <c r="M19" s="322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25"/>
      <c r="H20" s="199">
        <v>0</v>
      </c>
      <c r="I20" s="200">
        <v>7000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8">
        <f>'Données projet'!A36</f>
        <v>20</v>
      </c>
      <c r="B23" s="189">
        <f>'Données projet'!D36</f>
        <v>0</v>
      </c>
      <c r="C23" s="202">
        <v>0</v>
      </c>
      <c r="D23" s="190">
        <f>B23*C23</f>
        <v>0</v>
      </c>
      <c r="E23" s="202"/>
      <c r="F23" s="257"/>
      <c r="H23" s="199"/>
      <c r="I23" s="200"/>
      <c r="K23" s="221"/>
      <c r="L23" s="323" t="s">
        <v>260</v>
      </c>
      <c r="M23" s="323"/>
      <c r="N23" s="323"/>
      <c r="O23" s="25"/>
      <c r="P23" s="25"/>
      <c r="Q23" s="261"/>
      <c r="R23" s="25"/>
      <c r="S23" s="181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-5630.8870369714923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8">
        <f>'Données projet'!A37</f>
        <v>25</v>
      </c>
      <c r="B24" s="189">
        <f>'Données projet'!D37</f>
        <v>8</v>
      </c>
      <c r="C24" s="202">
        <v>10</v>
      </c>
      <c r="D24" s="190">
        <f t="shared" ref="D24:D42" si="2">B24*C24</f>
        <v>80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8">
        <f>'Données projet'!A38</f>
        <v>30</v>
      </c>
      <c r="B25" s="189">
        <f>'Données projet'!D38</f>
        <v>0</v>
      </c>
      <c r="C25" s="202">
        <v>0</v>
      </c>
      <c r="D25" s="190">
        <f t="shared" si="2"/>
        <v>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>
        <v>0</v>
      </c>
      <c r="Q25" s="261"/>
      <c r="R25" s="25"/>
      <c r="S25" s="194" t="s">
        <v>266</v>
      </c>
      <c r="T25" s="339">
        <f ca="1">T23-T24</f>
        <v>-5630.8870369714923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8">
        <f>'Données projet'!A39</f>
        <v>35</v>
      </c>
      <c r="B26" s="189">
        <f>'Données projet'!D39</f>
        <v>42</v>
      </c>
      <c r="C26" s="202">
        <v>10</v>
      </c>
      <c r="D26" s="190">
        <f t="shared" si="2"/>
        <v>420</v>
      </c>
      <c r="E26" s="202"/>
      <c r="F26" s="260"/>
      <c r="G26" s="255"/>
      <c r="H26" s="199"/>
      <c r="I26" s="200"/>
      <c r="K26" s="221"/>
      <c r="L26" s="326" t="s">
        <v>258</v>
      </c>
      <c r="M26" s="327"/>
      <c r="N26" s="327"/>
      <c r="O26" s="327"/>
      <c r="P26" s="328"/>
      <c r="Q26" s="261"/>
      <c r="R26" s="25"/>
      <c r="S26" s="194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8">
        <f>'Données projet'!A40</f>
        <v>40</v>
      </c>
      <c r="B27" s="189">
        <f>'Données projet'!D40</f>
        <v>0</v>
      </c>
      <c r="C27" s="202">
        <v>0</v>
      </c>
      <c r="D27" s="190">
        <f t="shared" si="2"/>
        <v>0</v>
      </c>
      <c r="E27" s="202"/>
      <c r="F27" s="260"/>
      <c r="G27" s="255"/>
      <c r="H27" s="199"/>
      <c r="I27" s="200"/>
      <c r="K27" s="221"/>
      <c r="L27" s="329"/>
      <c r="M27" s="330"/>
      <c r="N27" s="330"/>
      <c r="O27" s="330"/>
      <c r="P27" s="331"/>
      <c r="Q27" s="261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8">
        <f>'Données projet'!A41</f>
        <v>45</v>
      </c>
      <c r="B28" s="189">
        <f>'Données projet'!D41</f>
        <v>42</v>
      </c>
      <c r="C28" s="202">
        <v>10</v>
      </c>
      <c r="D28" s="190">
        <f t="shared" si="2"/>
        <v>420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8">
        <f>'Données projet'!A42</f>
        <v>50</v>
      </c>
      <c r="B29" s="189">
        <f>'Données projet'!D42</f>
        <v>0</v>
      </c>
      <c r="C29" s="202">
        <v>0</v>
      </c>
      <c r="D29" s="190">
        <f t="shared" si="2"/>
        <v>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8">
        <f>'Données projet'!A43</f>
        <v>55</v>
      </c>
      <c r="B30" s="189">
        <f>'Données projet'!D43</f>
        <v>42</v>
      </c>
      <c r="C30" s="202">
        <v>20</v>
      </c>
      <c r="D30" s="190">
        <f t="shared" si="2"/>
        <v>840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8">
        <f>'Données projet'!A44</f>
        <v>60</v>
      </c>
      <c r="B31" s="189">
        <f>'Données projet'!D44</f>
        <v>0</v>
      </c>
      <c r="C31" s="202">
        <v>0</v>
      </c>
      <c r="D31" s="190">
        <f t="shared" si="2"/>
        <v>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8">
        <f>'Données projet'!A45</f>
        <v>65</v>
      </c>
      <c r="B32" s="189">
        <f>'Données projet'!D45</f>
        <v>42</v>
      </c>
      <c r="C32" s="202">
        <v>30</v>
      </c>
      <c r="D32" s="190">
        <f t="shared" si="2"/>
        <v>1260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8">
        <f>'Données projet'!A46</f>
        <v>70</v>
      </c>
      <c r="B33" s="189">
        <f>'Données projet'!D46</f>
        <v>0</v>
      </c>
      <c r="C33" s="202">
        <v>0</v>
      </c>
      <c r="D33" s="190">
        <f t="shared" si="2"/>
        <v>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8">
        <f>'Données projet'!A47</f>
        <v>75</v>
      </c>
      <c r="B34" s="189">
        <f>'Données projet'!D47</f>
        <v>42</v>
      </c>
      <c r="C34" s="202">
        <v>40</v>
      </c>
      <c r="D34" s="190">
        <f t="shared" si="2"/>
        <v>1680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3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8">
        <f>'Données projet'!A48</f>
        <v>80</v>
      </c>
      <c r="B35" s="189">
        <f>'Données projet'!D48</f>
        <v>0</v>
      </c>
      <c r="C35" s="202">
        <v>0</v>
      </c>
      <c r="D35" s="190">
        <f t="shared" si="2"/>
        <v>0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3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8">
        <f>'Données projet'!A49</f>
        <v>90</v>
      </c>
      <c r="B36" s="189">
        <f>'Données projet'!D49</f>
        <v>42</v>
      </c>
      <c r="C36" s="202">
        <v>70</v>
      </c>
      <c r="D36" s="190">
        <f t="shared" si="2"/>
        <v>2940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8">
        <f>'Données projet'!A50</f>
        <v>100</v>
      </c>
      <c r="B37" s="189">
        <f>'Données projet'!D50</f>
        <v>42</v>
      </c>
      <c r="C37" s="202">
        <v>100</v>
      </c>
      <c r="D37" s="190">
        <f t="shared" si="2"/>
        <v>4200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8">
        <f>'Données projet'!A51</f>
        <v>110</v>
      </c>
      <c r="B38" s="189">
        <f>'Données projet'!D51</f>
        <v>39</v>
      </c>
      <c r="C38" s="202">
        <v>120</v>
      </c>
      <c r="D38" s="190">
        <f t="shared" si="2"/>
        <v>4680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8">
        <f>'Données projet'!A52</f>
        <v>120</v>
      </c>
      <c r="B39" s="189">
        <f>'Données projet'!D52</f>
        <v>35</v>
      </c>
      <c r="C39" s="202">
        <v>120</v>
      </c>
      <c r="D39" s="190">
        <f t="shared" si="2"/>
        <v>4200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8">
        <f>'Données projet'!A53</f>
        <v>130</v>
      </c>
      <c r="B40" s="189">
        <f>'Données projet'!D53</f>
        <v>31</v>
      </c>
      <c r="C40" s="202">
        <v>150</v>
      </c>
      <c r="D40" s="190">
        <f t="shared" si="2"/>
        <v>4650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8">
        <f>'Données projet'!A54</f>
        <v>140</v>
      </c>
      <c r="B41" s="189">
        <f>'Données projet'!D54</f>
        <v>27</v>
      </c>
      <c r="C41" s="202">
        <v>200</v>
      </c>
      <c r="D41" s="190">
        <f t="shared" si="2"/>
        <v>5400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8">
        <f>'Données projet'!A55</f>
        <v>150</v>
      </c>
      <c r="B42" s="189">
        <f>'Données projet'!D55</f>
        <v>293</v>
      </c>
      <c r="C42" s="202">
        <v>200</v>
      </c>
      <c r="D42" s="190">
        <f t="shared" si="2"/>
        <v>58600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2" t="str">
        <f>IF('Données projet'!$B$10="","",'Données projet'!$B$10)</f>
        <v>Hêtre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3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3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8">
        <f>'Données projet'!A62</f>
        <v>25</v>
      </c>
      <c r="B54" s="189">
        <f>'Données projet'!D62</f>
        <v>0</v>
      </c>
      <c r="C54" s="202">
        <v>0</v>
      </c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8">
        <f>'Données projet'!A63</f>
        <v>30</v>
      </c>
      <c r="B55" s="189">
        <f>'Données projet'!D63</f>
        <v>0</v>
      </c>
      <c r="C55" s="202">
        <v>0</v>
      </c>
      <c r="D55" s="187">
        <f t="shared" ref="D55:D73" si="4">B55*C55</f>
        <v>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8">
        <f>'Données projet'!A64</f>
        <v>35</v>
      </c>
      <c r="B56" s="189">
        <f>'Données projet'!D64</f>
        <v>33</v>
      </c>
      <c r="C56" s="202">
        <v>10</v>
      </c>
      <c r="D56" s="187">
        <f t="shared" si="4"/>
        <v>330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8">
        <f>'Données projet'!A65</f>
        <v>40</v>
      </c>
      <c r="B57" s="189">
        <f>'Données projet'!D65</f>
        <v>0</v>
      </c>
      <c r="C57" s="202">
        <v>0</v>
      </c>
      <c r="D57" s="187">
        <f t="shared" si="4"/>
        <v>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8">
        <f>'Données projet'!A66</f>
        <v>45</v>
      </c>
      <c r="B58" s="189">
        <f>'Données projet'!D66</f>
        <v>42</v>
      </c>
      <c r="C58" s="202">
        <v>10</v>
      </c>
      <c r="D58" s="187">
        <f t="shared" si="4"/>
        <v>420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8">
        <f>'Données projet'!A67</f>
        <v>50</v>
      </c>
      <c r="B59" s="189">
        <f>'Données projet'!D67</f>
        <v>0</v>
      </c>
      <c r="C59" s="202">
        <v>0</v>
      </c>
      <c r="D59" s="187">
        <f t="shared" si="4"/>
        <v>0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8">
        <f>'Données projet'!A68</f>
        <v>55</v>
      </c>
      <c r="B60" s="189">
        <f>'Données projet'!D68</f>
        <v>42</v>
      </c>
      <c r="C60" s="202">
        <v>20</v>
      </c>
      <c r="D60" s="187">
        <f t="shared" si="4"/>
        <v>840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8">
        <f>'Données projet'!A69</f>
        <v>60</v>
      </c>
      <c r="B61" s="189">
        <f>'Données projet'!D69</f>
        <v>0</v>
      </c>
      <c r="C61" s="202">
        <v>0</v>
      </c>
      <c r="D61" s="187">
        <f t="shared" si="4"/>
        <v>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8">
        <f>'Données projet'!A70</f>
        <v>65</v>
      </c>
      <c r="B62" s="189">
        <f>'Données projet'!D70</f>
        <v>42</v>
      </c>
      <c r="C62" s="202">
        <v>30</v>
      </c>
      <c r="D62" s="187">
        <f t="shared" si="4"/>
        <v>1260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8">
        <f>'Données projet'!A71</f>
        <v>70</v>
      </c>
      <c r="B63" s="189">
        <f>'Données projet'!D71</f>
        <v>0</v>
      </c>
      <c r="C63" s="202">
        <v>0</v>
      </c>
      <c r="D63" s="187">
        <f t="shared" si="4"/>
        <v>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8">
        <f>'Données projet'!A72</f>
        <v>75</v>
      </c>
      <c r="B64" s="189">
        <f>'Données projet'!D72</f>
        <v>42</v>
      </c>
      <c r="C64" s="202">
        <v>40</v>
      </c>
      <c r="D64" s="187">
        <f t="shared" si="4"/>
        <v>1680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8">
        <f>'Données projet'!A73</f>
        <v>80</v>
      </c>
      <c r="B65" s="189">
        <f>'Données projet'!D73</f>
        <v>0</v>
      </c>
      <c r="C65" s="202">
        <v>0</v>
      </c>
      <c r="D65" s="187">
        <f t="shared" si="4"/>
        <v>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8">
        <f>'Données projet'!A74</f>
        <v>85</v>
      </c>
      <c r="B66" s="189">
        <f>'Données projet'!D74</f>
        <v>42</v>
      </c>
      <c r="C66" s="202">
        <v>70</v>
      </c>
      <c r="D66" s="187">
        <f t="shared" si="4"/>
        <v>2940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8">
        <f>'Données projet'!A75</f>
        <v>90</v>
      </c>
      <c r="B67" s="189">
        <f>'Données projet'!D75</f>
        <v>0</v>
      </c>
      <c r="C67" s="202">
        <v>0</v>
      </c>
      <c r="D67" s="187">
        <f t="shared" si="4"/>
        <v>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8">
        <f>'Données projet'!A76</f>
        <v>100</v>
      </c>
      <c r="B68" s="189">
        <f>'Données projet'!D76</f>
        <v>60</v>
      </c>
      <c r="C68" s="202">
        <v>100</v>
      </c>
      <c r="D68" s="187">
        <f t="shared" si="4"/>
        <v>6000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8">
        <f>'Données projet'!A77</f>
        <v>110</v>
      </c>
      <c r="B69" s="189">
        <f>'Données projet'!D77</f>
        <v>36</v>
      </c>
      <c r="C69" s="202">
        <v>120</v>
      </c>
      <c r="D69" s="187">
        <f t="shared" si="4"/>
        <v>4320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8">
        <f>'Données projet'!A78</f>
        <v>120</v>
      </c>
      <c r="B70" s="189">
        <f>'Données projet'!D78</f>
        <v>33</v>
      </c>
      <c r="C70" s="202">
        <v>120</v>
      </c>
      <c r="D70" s="187">
        <f t="shared" si="4"/>
        <v>3960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8">
        <f>'Données projet'!A79</f>
        <v>130</v>
      </c>
      <c r="B71" s="189">
        <f>'Données projet'!D79</f>
        <v>32</v>
      </c>
      <c r="C71" s="202">
        <v>150</v>
      </c>
      <c r="D71" s="187">
        <f t="shared" si="4"/>
        <v>4800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8">
        <f>'Données projet'!A80</f>
        <v>140</v>
      </c>
      <c r="B72" s="189">
        <f>'Données projet'!D80</f>
        <v>30</v>
      </c>
      <c r="C72" s="202">
        <v>200</v>
      </c>
      <c r="D72" s="187">
        <f t="shared" si="4"/>
        <v>6000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8">
        <f>'Données projet'!A81</f>
        <v>150</v>
      </c>
      <c r="B73" s="189">
        <f>'Données projet'!D81</f>
        <v>377</v>
      </c>
      <c r="C73" s="202">
        <v>200</v>
      </c>
      <c r="D73" s="187">
        <f t="shared" si="4"/>
        <v>75400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2" t="str">
        <f>IF('Données projet'!B11="","",'Données projet'!B11)</f>
        <v>Bouleau verruqueux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0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5"/>
        <v>0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5"/>
        <v>0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5"/>
        <v>0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5"/>
        <v>0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5"/>
        <v>0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5"/>
        <v>0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8">
        <f>'Données projet'!A88</f>
        <v>15</v>
      </c>
      <c r="B85" s="189">
        <f>'Données projet'!D88</f>
        <v>0</v>
      </c>
      <c r="C85" s="200">
        <v>0</v>
      </c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5"/>
        <v>0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8">
        <f>'Données projet'!A89</f>
        <v>20</v>
      </c>
      <c r="B86" s="189">
        <f>'Données projet'!D89</f>
        <v>0</v>
      </c>
      <c r="C86" s="200">
        <v>0</v>
      </c>
      <c r="D86" s="187">
        <f t="shared" ref="D86:D104" si="6">B86*C86</f>
        <v>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5"/>
        <v>0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8">
        <f>'Données projet'!A90</f>
        <v>25</v>
      </c>
      <c r="B87" s="189">
        <f>'Données projet'!D90</f>
        <v>13</v>
      </c>
      <c r="C87" s="200">
        <v>10</v>
      </c>
      <c r="D87" s="187">
        <f t="shared" si="6"/>
        <v>130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5"/>
        <v>0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8">
        <f>'Données projet'!A91</f>
        <v>30</v>
      </c>
      <c r="B88" s="189">
        <f>'Données projet'!D91</f>
        <v>0</v>
      </c>
      <c r="C88" s="200">
        <v>0</v>
      </c>
      <c r="D88" s="187">
        <f t="shared" si="6"/>
        <v>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5"/>
        <v>0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8">
        <f>'Données projet'!A92</f>
        <v>35</v>
      </c>
      <c r="B89" s="189">
        <f>'Données projet'!D92</f>
        <v>19</v>
      </c>
      <c r="C89" s="200">
        <v>10</v>
      </c>
      <c r="D89" s="187">
        <f t="shared" si="6"/>
        <v>190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5"/>
        <v>0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8">
        <f>'Données projet'!A93</f>
        <v>40</v>
      </c>
      <c r="B90" s="189">
        <f>'Données projet'!D93</f>
        <v>0</v>
      </c>
      <c r="C90" s="200">
        <v>0</v>
      </c>
      <c r="D90" s="187">
        <f t="shared" si="6"/>
        <v>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5"/>
        <v>0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8">
        <f>'Données projet'!A94</f>
        <v>45</v>
      </c>
      <c r="B91" s="189">
        <f>'Données projet'!D94</f>
        <v>21</v>
      </c>
      <c r="C91" s="200">
        <v>15</v>
      </c>
      <c r="D91" s="187">
        <f t="shared" si="6"/>
        <v>315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5"/>
        <v>0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8">
        <f>'Données projet'!A95</f>
        <v>50</v>
      </c>
      <c r="B92" s="189">
        <f>'Données projet'!D95</f>
        <v>0</v>
      </c>
      <c r="C92" s="200">
        <v>0</v>
      </c>
      <c r="D92" s="187">
        <f t="shared" si="6"/>
        <v>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5"/>
        <v>0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8">
        <f>'Données projet'!A96</f>
        <v>55</v>
      </c>
      <c r="B93" s="189">
        <f>'Données projet'!D96</f>
        <v>22</v>
      </c>
      <c r="C93" s="200">
        <v>20</v>
      </c>
      <c r="D93" s="187">
        <f t="shared" si="6"/>
        <v>440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5"/>
        <v>0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8">
        <f>'Données projet'!A97</f>
        <v>60</v>
      </c>
      <c r="B94" s="189">
        <f>'Données projet'!D97</f>
        <v>0</v>
      </c>
      <c r="C94" s="200">
        <v>0</v>
      </c>
      <c r="D94" s="187">
        <f t="shared" si="6"/>
        <v>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>
        <f>IF(O93+1&lt;=MIN('Données projet'!$E$9:$E$18),O93+1,"STOP")</f>
        <v>61</v>
      </c>
      <c r="P94" s="193">
        <f t="shared" si="5"/>
        <v>0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8">
        <f>'Données projet'!A98</f>
        <v>65</v>
      </c>
      <c r="B95" s="189">
        <f>'Données projet'!D98</f>
        <v>22</v>
      </c>
      <c r="C95" s="200">
        <v>25</v>
      </c>
      <c r="D95" s="187">
        <f t="shared" si="6"/>
        <v>550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>
        <f>IF(O94+1&lt;=MIN('Données projet'!$E$9:$E$18),O94+1,"STOP")</f>
        <v>62</v>
      </c>
      <c r="P95" s="193">
        <f t="shared" si="5"/>
        <v>0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8">
        <f>'Données projet'!A99</f>
        <v>70</v>
      </c>
      <c r="B96" s="189">
        <f>'Données projet'!D99</f>
        <v>0</v>
      </c>
      <c r="C96" s="200">
        <v>0</v>
      </c>
      <c r="D96" s="187">
        <f t="shared" si="6"/>
        <v>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>
        <f>IF(O95+1&lt;=MIN('Données projet'!$E$9:$E$18),O95+1,"STOP")</f>
        <v>63</v>
      </c>
      <c r="P96" s="193">
        <f t="shared" si="5"/>
        <v>0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8">
        <f>'Données projet'!A100</f>
        <v>75</v>
      </c>
      <c r="B97" s="189">
        <f>'Données projet'!D100</f>
        <v>22</v>
      </c>
      <c r="C97" s="200">
        <v>25</v>
      </c>
      <c r="D97" s="187">
        <f t="shared" si="6"/>
        <v>550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>
        <f>IF(O96+1&lt;=MIN('Données projet'!$E$9:$E$18),O96+1,"STOP")</f>
        <v>64</v>
      </c>
      <c r="P97" s="193">
        <f t="shared" ref="P97:P128" si="7">$P$25/(1+$M$4)^O97</f>
        <v>0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8">
        <f>'Données projet'!A101</f>
        <v>80</v>
      </c>
      <c r="B98" s="189">
        <f>'Données projet'!D101</f>
        <v>0</v>
      </c>
      <c r="C98" s="200">
        <v>0</v>
      </c>
      <c r="D98" s="187">
        <f t="shared" si="6"/>
        <v>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>
        <f>IF(O97+1&lt;=MIN('Données projet'!$E$9:$E$18),O97+1,"STOP")</f>
        <v>65</v>
      </c>
      <c r="P98" s="193">
        <f t="shared" si="7"/>
        <v>0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8">
        <f>'Données projet'!A102</f>
        <v>85</v>
      </c>
      <c r="B99" s="189">
        <f>'Données projet'!D102</f>
        <v>21</v>
      </c>
      <c r="C99" s="200">
        <v>30</v>
      </c>
      <c r="D99" s="187">
        <f t="shared" si="6"/>
        <v>630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>
        <f>IF(O98+1&lt;=MIN('Données projet'!$E$9:$E$18),O98+1,"STOP")</f>
        <v>66</v>
      </c>
      <c r="P99" s="193">
        <f t="shared" si="7"/>
        <v>0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8">
        <f>'Données projet'!A103</f>
        <v>90</v>
      </c>
      <c r="B100" s="189">
        <f>'Données projet'!D103</f>
        <v>202</v>
      </c>
      <c r="C100" s="200">
        <v>30</v>
      </c>
      <c r="D100" s="187">
        <f t="shared" si="6"/>
        <v>6060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>
        <f>IF(O99+1&lt;=MIN('Données projet'!$E$9:$E$18),O99+1,"STOP")</f>
        <v>67</v>
      </c>
      <c r="P100" s="193">
        <f t="shared" si="7"/>
        <v>0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8">
        <f>'Données projet'!A104</f>
        <v>0</v>
      </c>
      <c r="B101" s="189">
        <f>'Données projet'!D104</f>
        <v>0</v>
      </c>
      <c r="C101" s="200">
        <v>0</v>
      </c>
      <c r="D101" s="187">
        <f t="shared" si="6"/>
        <v>0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>
        <f>IF(O100+1&lt;=MIN('Données projet'!$E$9:$E$18),O100+1,"STOP")</f>
        <v>68</v>
      </c>
      <c r="P101" s="193">
        <f t="shared" si="7"/>
        <v>0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8">
        <f>'Données projet'!A105</f>
        <v>0</v>
      </c>
      <c r="B102" s="189">
        <f>'Données projet'!D105</f>
        <v>0</v>
      </c>
      <c r="C102" s="200">
        <v>0</v>
      </c>
      <c r="D102" s="187">
        <f t="shared" si="6"/>
        <v>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>
        <f>IF(O101+1&lt;=MIN('Données projet'!$E$9:$E$18),O101+1,"STOP")</f>
        <v>69</v>
      </c>
      <c r="P102" s="193">
        <f t="shared" si="7"/>
        <v>0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8">
        <f>'Données projet'!A106</f>
        <v>0</v>
      </c>
      <c r="B103" s="189">
        <f>'Données projet'!D106</f>
        <v>0</v>
      </c>
      <c r="C103" s="200">
        <v>0</v>
      </c>
      <c r="D103" s="187">
        <f t="shared" si="6"/>
        <v>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 t="str">
        <f>IF(O102+1&lt;=MIN('Données projet'!$E$9:$E$18),O102+1,"STOP")</f>
        <v>STOP</v>
      </c>
      <c r="P103" s="193" t="e">
        <f t="shared" si="7"/>
        <v>#VALUE!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8">
        <f>'Données projet'!A107</f>
        <v>0</v>
      </c>
      <c r="B104" s="189">
        <f>'Données projet'!D107</f>
        <v>0</v>
      </c>
      <c r="C104" s="200">
        <v>0</v>
      </c>
      <c r="D104" s="187">
        <f t="shared" si="6"/>
        <v>0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2" t="str">
        <f>IF('Données projet'!B12="","",'Données projet'!B12)</f>
        <v>Erable champêtre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8">
        <f>'Données projet'!A114</f>
        <v>20</v>
      </c>
      <c r="B116" s="189">
        <f>'Données projet'!D114</f>
        <v>0</v>
      </c>
      <c r="C116" s="202">
        <v>0</v>
      </c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8">
        <f>'Données projet'!A115</f>
        <v>25</v>
      </c>
      <c r="B117" s="189">
        <f>'Données projet'!D115</f>
        <v>0</v>
      </c>
      <c r="C117" s="202">
        <v>0</v>
      </c>
      <c r="D117" s="187">
        <f t="shared" ref="D117:D135" si="8">B117*C117</f>
        <v>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8">
        <f>'Données projet'!A116</f>
        <v>30</v>
      </c>
      <c r="B118" s="189">
        <f>'Données projet'!D116</f>
        <v>31</v>
      </c>
      <c r="C118" s="202">
        <v>10</v>
      </c>
      <c r="D118" s="187">
        <f t="shared" si="8"/>
        <v>310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8">
        <f>'Données projet'!A117</f>
        <v>35</v>
      </c>
      <c r="B119" s="189">
        <f>'Données projet'!D117</f>
        <v>0</v>
      </c>
      <c r="C119" s="202">
        <v>0</v>
      </c>
      <c r="D119" s="187">
        <f t="shared" si="8"/>
        <v>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8">
        <f>'Données projet'!A118</f>
        <v>40</v>
      </c>
      <c r="B120" s="189">
        <f>'Données projet'!D118</f>
        <v>28</v>
      </c>
      <c r="C120" s="202">
        <v>10</v>
      </c>
      <c r="D120" s="187">
        <f t="shared" si="8"/>
        <v>280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8">
        <f>'Données projet'!A119</f>
        <v>45</v>
      </c>
      <c r="B121" s="189">
        <f>'Données projet'!D119</f>
        <v>0</v>
      </c>
      <c r="C121" s="202">
        <v>0</v>
      </c>
      <c r="D121" s="187">
        <f t="shared" si="8"/>
        <v>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8">
        <f>'Données projet'!A120</f>
        <v>50</v>
      </c>
      <c r="B122" s="189">
        <f>'Données projet'!D120</f>
        <v>25</v>
      </c>
      <c r="C122" s="202">
        <v>20</v>
      </c>
      <c r="D122" s="187">
        <f t="shared" si="8"/>
        <v>500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8">
        <f>'Données projet'!A121</f>
        <v>55</v>
      </c>
      <c r="B123" s="189">
        <f>'Données projet'!D121</f>
        <v>0</v>
      </c>
      <c r="C123" s="202">
        <v>0</v>
      </c>
      <c r="D123" s="187">
        <f t="shared" si="8"/>
        <v>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8">
        <f>'Données projet'!A122</f>
        <v>60</v>
      </c>
      <c r="B124" s="189">
        <f>'Données projet'!D122</f>
        <v>16</v>
      </c>
      <c r="C124" s="202">
        <v>30</v>
      </c>
      <c r="D124" s="187">
        <f t="shared" si="8"/>
        <v>480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8">
        <f>'Données projet'!A123</f>
        <v>65</v>
      </c>
      <c r="B125" s="189">
        <f>'Données projet'!D123</f>
        <v>0</v>
      </c>
      <c r="C125" s="202">
        <v>0</v>
      </c>
      <c r="D125" s="187">
        <f t="shared" si="8"/>
        <v>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8">
        <f>'Données projet'!A124</f>
        <v>70</v>
      </c>
      <c r="B126" s="189">
        <f>'Données projet'!D124</f>
        <v>13</v>
      </c>
      <c r="C126" s="202">
        <v>40</v>
      </c>
      <c r="D126" s="187">
        <f t="shared" si="8"/>
        <v>520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8">
        <f>'Données projet'!A125</f>
        <v>75</v>
      </c>
      <c r="B127" s="189">
        <f>'Données projet'!D125</f>
        <v>0</v>
      </c>
      <c r="C127" s="202">
        <v>0</v>
      </c>
      <c r="D127" s="187">
        <f t="shared" si="8"/>
        <v>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8">
        <f>'Données projet'!A126</f>
        <v>80</v>
      </c>
      <c r="B128" s="189">
        <f>'Données projet'!D126</f>
        <v>164</v>
      </c>
      <c r="C128" s="202">
        <v>60</v>
      </c>
      <c r="D128" s="187">
        <f t="shared" si="8"/>
        <v>9840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8">
        <f>'Données projet'!A127</f>
        <v>0</v>
      </c>
      <c r="B129" s="189">
        <f>'Données projet'!D127</f>
        <v>0</v>
      </c>
      <c r="C129" s="202">
        <v>0</v>
      </c>
      <c r="D129" s="187">
        <f t="shared" si="8"/>
        <v>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8">
        <f>'Données projet'!A128</f>
        <v>0</v>
      </c>
      <c r="B130" s="189">
        <f>'Données projet'!D128</f>
        <v>0</v>
      </c>
      <c r="C130" s="202">
        <v>0</v>
      </c>
      <c r="D130" s="187">
        <f t="shared" si="8"/>
        <v>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8">
        <f>'Données projet'!A129</f>
        <v>0</v>
      </c>
      <c r="B131" s="189">
        <f>'Données projet'!D129</f>
        <v>0</v>
      </c>
      <c r="C131" s="202">
        <v>0</v>
      </c>
      <c r="D131" s="187">
        <f t="shared" si="8"/>
        <v>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8">
        <f>'Données projet'!A130</f>
        <v>0</v>
      </c>
      <c r="B132" s="189">
        <f>'Données projet'!D130</f>
        <v>0</v>
      </c>
      <c r="C132" s="202">
        <v>0</v>
      </c>
      <c r="D132" s="187">
        <f t="shared" si="8"/>
        <v>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8">
        <f>'Données projet'!A131</f>
        <v>0</v>
      </c>
      <c r="B133" s="189">
        <f>'Données projet'!D131</f>
        <v>0</v>
      </c>
      <c r="C133" s="202">
        <v>0</v>
      </c>
      <c r="D133" s="187">
        <f t="shared" si="8"/>
        <v>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8">
        <f>'Données projet'!A132</f>
        <v>0</v>
      </c>
      <c r="B134" s="189">
        <f>'Données projet'!D132</f>
        <v>0</v>
      </c>
      <c r="C134" s="202">
        <v>0</v>
      </c>
      <c r="D134" s="187">
        <f t="shared" si="8"/>
        <v>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8">
        <f>'Données projet'!A133</f>
        <v>0</v>
      </c>
      <c r="B135" s="189">
        <f>'Données projet'!D133</f>
        <v>0</v>
      </c>
      <c r="C135" s="202">
        <v>0</v>
      </c>
      <c r="D135" s="187">
        <f t="shared" si="8"/>
        <v>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2" t="str">
        <f>IF('Données projet'!B13="","",'Données projet'!B13)</f>
        <v>Merisier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3">
        <f>'Données projet'!D140</f>
        <v>3</v>
      </c>
      <c r="C147" s="202">
        <v>20</v>
      </c>
      <c r="D147" s="190">
        <f>B147*C147</f>
        <v>60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3">
        <f>'Données projet'!D141</f>
        <v>25</v>
      </c>
      <c r="C148" s="202">
        <v>30</v>
      </c>
      <c r="D148" s="190">
        <f t="shared" ref="D148:D166" si="10">B148*C148</f>
        <v>750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3">
        <f>'Données projet'!D142</f>
        <v>27</v>
      </c>
      <c r="C149" s="202">
        <v>40</v>
      </c>
      <c r="D149" s="190">
        <f t="shared" si="10"/>
        <v>1080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31</v>
      </c>
      <c r="B150" s="183">
        <f>'Données projet'!D143</f>
        <v>36</v>
      </c>
      <c r="C150" s="202">
        <v>50</v>
      </c>
      <c r="D150" s="190">
        <f t="shared" si="10"/>
        <v>1800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37</v>
      </c>
      <c r="B151" s="183">
        <f>'Données projet'!D144</f>
        <v>36</v>
      </c>
      <c r="C151" s="202">
        <v>60</v>
      </c>
      <c r="D151" s="190">
        <f t="shared" si="10"/>
        <v>2160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44</v>
      </c>
      <c r="B152" s="183">
        <f>'Données projet'!D145</f>
        <v>43</v>
      </c>
      <c r="C152" s="202">
        <v>70</v>
      </c>
      <c r="D152" s="190">
        <f t="shared" si="10"/>
        <v>3010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52</v>
      </c>
      <c r="B153" s="183">
        <f>'Données projet'!D146</f>
        <v>48</v>
      </c>
      <c r="C153" s="202">
        <v>90</v>
      </c>
      <c r="D153" s="190">
        <f t="shared" si="10"/>
        <v>4320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3">
        <f>'Données projet'!D147</f>
        <v>47</v>
      </c>
      <c r="C154" s="202">
        <v>100</v>
      </c>
      <c r="D154" s="190">
        <f t="shared" si="10"/>
        <v>4700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69</v>
      </c>
      <c r="B155" s="183">
        <f>'Données projet'!D148</f>
        <v>328</v>
      </c>
      <c r="C155" s="202">
        <v>150</v>
      </c>
      <c r="D155" s="190">
        <f t="shared" si="10"/>
        <v>49200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3">
        <f>'Données projet'!D149</f>
        <v>0</v>
      </c>
      <c r="C156" s="202">
        <v>0</v>
      </c>
      <c r="D156" s="190">
        <f t="shared" si="10"/>
        <v>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3">
        <f>'Données projet'!D150</f>
        <v>0</v>
      </c>
      <c r="C157" s="202">
        <v>0</v>
      </c>
      <c r="D157" s="190">
        <f t="shared" si="10"/>
        <v>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3">
        <f>'Données projet'!D151</f>
        <v>0</v>
      </c>
      <c r="C158" s="202">
        <v>0</v>
      </c>
      <c r="D158" s="190">
        <f t="shared" si="10"/>
        <v>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3">
        <f>'Données projet'!D152</f>
        <v>0</v>
      </c>
      <c r="C159" s="202">
        <v>0</v>
      </c>
      <c r="D159" s="190">
        <f t="shared" si="10"/>
        <v>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3">
        <f>'Données projet'!D153</f>
        <v>0</v>
      </c>
      <c r="C160" s="202">
        <v>0</v>
      </c>
      <c r="D160" s="190">
        <f t="shared" si="10"/>
        <v>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3">
        <f>'Données projet'!D154</f>
        <v>0</v>
      </c>
      <c r="C161" s="202">
        <v>0</v>
      </c>
      <c r="D161" s="190">
        <f t="shared" si="10"/>
        <v>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3">
        <f>'Données projet'!D155</f>
        <v>0</v>
      </c>
      <c r="C162" s="202">
        <v>0</v>
      </c>
      <c r="D162" s="190">
        <f t="shared" si="10"/>
        <v>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3">
        <f>'Données projet'!D156</f>
        <v>0</v>
      </c>
      <c r="C163" s="202">
        <v>0</v>
      </c>
      <c r="D163" s="190">
        <f t="shared" si="10"/>
        <v>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3">
        <f>'Données projet'!D157</f>
        <v>0</v>
      </c>
      <c r="C164" s="202">
        <v>0</v>
      </c>
      <c r="D164" s="190">
        <f t="shared" si="10"/>
        <v>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3">
        <f>'Données projet'!D158</f>
        <v>0</v>
      </c>
      <c r="C165" s="202">
        <v>0</v>
      </c>
      <c r="D165" s="190">
        <f t="shared" si="10"/>
        <v>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3">
        <f>'Données projet'!D159</f>
        <v>0</v>
      </c>
      <c r="C166" s="202">
        <v>0</v>
      </c>
      <c r="D166" s="190">
        <f t="shared" si="10"/>
        <v>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2" t="str">
        <f>IF('Données projet'!B14="","",'Données projet'!B14)</f>
        <v/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8">
        <f>'Données projet'!A166</f>
        <v>0</v>
      </c>
      <c r="B178" s="189">
        <f>'Données projet'!D166</f>
        <v>0</v>
      </c>
      <c r="C178" s="202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8">
        <f>'Données projet'!A167</f>
        <v>0</v>
      </c>
      <c r="B179" s="189">
        <f>'Données projet'!D167</f>
        <v>0</v>
      </c>
      <c r="C179" s="202"/>
      <c r="D179" s="187">
        <f t="shared" ref="D179:D197" si="11">B179*C179</f>
        <v>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8">
        <f>'Données projet'!A168</f>
        <v>0</v>
      </c>
      <c r="B180" s="189">
        <f>'Données projet'!D168</f>
        <v>0</v>
      </c>
      <c r="C180" s="202"/>
      <c r="D180" s="187">
        <f t="shared" si="11"/>
        <v>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8">
        <f>'Données projet'!A169</f>
        <v>0</v>
      </c>
      <c r="B181" s="189">
        <f>'Données projet'!D169</f>
        <v>0</v>
      </c>
      <c r="C181" s="202"/>
      <c r="D181" s="187">
        <f t="shared" si="11"/>
        <v>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8">
        <f>'Données projet'!A170</f>
        <v>0</v>
      </c>
      <c r="B182" s="189">
        <f>'Données projet'!D170</f>
        <v>0</v>
      </c>
      <c r="C182" s="202"/>
      <c r="D182" s="187">
        <f t="shared" si="11"/>
        <v>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8">
        <f>'Données projet'!A171</f>
        <v>0</v>
      </c>
      <c r="B183" s="189">
        <f>'Données projet'!D171</f>
        <v>0</v>
      </c>
      <c r="C183" s="202"/>
      <c r="D183" s="187">
        <f t="shared" si="11"/>
        <v>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8">
        <f>'Données projet'!A172</f>
        <v>0</v>
      </c>
      <c r="B184" s="189">
        <f>'Données projet'!D172</f>
        <v>0</v>
      </c>
      <c r="C184" s="202"/>
      <c r="D184" s="187">
        <f t="shared" si="11"/>
        <v>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8">
        <f>'Données projet'!A173</f>
        <v>0</v>
      </c>
      <c r="B185" s="189">
        <f>'Données projet'!D173</f>
        <v>0</v>
      </c>
      <c r="C185" s="202"/>
      <c r="D185" s="187">
        <f t="shared" si="11"/>
        <v>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8">
        <f>'Données projet'!A174</f>
        <v>0</v>
      </c>
      <c r="B186" s="189">
        <f>'Données projet'!D174</f>
        <v>0</v>
      </c>
      <c r="C186" s="202"/>
      <c r="D186" s="187">
        <f t="shared" si="11"/>
        <v>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8">
        <f>'Données projet'!A175</f>
        <v>0</v>
      </c>
      <c r="B187" s="189">
        <f>'Données projet'!D175</f>
        <v>0</v>
      </c>
      <c r="C187" s="202"/>
      <c r="D187" s="187">
        <f t="shared" si="11"/>
        <v>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8">
        <f>'Données projet'!A176</f>
        <v>0</v>
      </c>
      <c r="B188" s="189">
        <f>'Données projet'!D176</f>
        <v>0</v>
      </c>
      <c r="C188" s="202"/>
      <c r="D188" s="187">
        <f t="shared" si="11"/>
        <v>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8">
        <f>'Données projet'!A177</f>
        <v>0</v>
      </c>
      <c r="B189" s="189">
        <f>'Données projet'!D177</f>
        <v>0</v>
      </c>
      <c r="C189" s="202"/>
      <c r="D189" s="187">
        <f t="shared" si="11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8">
        <f>'Données projet'!A178</f>
        <v>0</v>
      </c>
      <c r="B190" s="189">
        <f>'Données projet'!D178</f>
        <v>0</v>
      </c>
      <c r="C190" s="202"/>
      <c r="D190" s="187">
        <f t="shared" si="11"/>
        <v>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8">
        <f>'Données projet'!A179</f>
        <v>0</v>
      </c>
      <c r="B191" s="189">
        <f>'Données projet'!D179</f>
        <v>0</v>
      </c>
      <c r="C191" s="202"/>
      <c r="D191" s="187">
        <f t="shared" si="11"/>
        <v>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8">
        <f>'Données projet'!A180</f>
        <v>0</v>
      </c>
      <c r="B192" s="189">
        <f>'Données projet'!D180</f>
        <v>0</v>
      </c>
      <c r="C192" s="202"/>
      <c r="D192" s="187">
        <f t="shared" si="11"/>
        <v>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8">
        <f>'Données projet'!A181</f>
        <v>0</v>
      </c>
      <c r="B193" s="189">
        <f>'Données projet'!D181</f>
        <v>0</v>
      </c>
      <c r="C193" s="202"/>
      <c r="D193" s="187">
        <f t="shared" si="11"/>
        <v>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8">
        <f>'Données projet'!A182</f>
        <v>0</v>
      </c>
      <c r="B194" s="189">
        <f>'Données projet'!D182</f>
        <v>0</v>
      </c>
      <c r="C194" s="202"/>
      <c r="D194" s="187">
        <f t="shared" si="11"/>
        <v>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8">
        <f>'Données projet'!A183</f>
        <v>0</v>
      </c>
      <c r="B195" s="189">
        <f>'Données projet'!D183</f>
        <v>0</v>
      </c>
      <c r="C195" s="202"/>
      <c r="D195" s="187">
        <f t="shared" si="11"/>
        <v>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8">
        <f>'Données projet'!A184</f>
        <v>0</v>
      </c>
      <c r="B196" s="189">
        <f>'Données projet'!D184</f>
        <v>0</v>
      </c>
      <c r="C196" s="202"/>
      <c r="D196" s="187">
        <f t="shared" si="11"/>
        <v>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8">
        <f>'Données projet'!A185</f>
        <v>0</v>
      </c>
      <c r="B197" s="189">
        <f>'Données projet'!D185</f>
        <v>0</v>
      </c>
      <c r="C197" s="202"/>
      <c r="D197" s="187">
        <f t="shared" si="11"/>
        <v>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2" t="str">
        <f>IF('Données projet'!$B$15="","",'Données projet'!$B$15)</f>
        <v/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8">
        <f>'Données projet'!A192</f>
        <v>0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8">
        <f>'Données projet'!A193</f>
        <v>0</v>
      </c>
      <c r="B210" s="189">
        <f>'Données projet'!D193</f>
        <v>0</v>
      </c>
      <c r="C210" s="202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8">
        <f>'Données projet'!A194</f>
        <v>0</v>
      </c>
      <c r="B211" s="189">
        <f>'Données projet'!D194</f>
        <v>0</v>
      </c>
      <c r="C211" s="202"/>
      <c r="D211" s="187">
        <f t="shared" si="12"/>
        <v>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8">
        <f>'Données projet'!A195</f>
        <v>0</v>
      </c>
      <c r="B212" s="189">
        <f>'Données projet'!D195</f>
        <v>0</v>
      </c>
      <c r="C212" s="202"/>
      <c r="D212" s="187">
        <f t="shared" si="12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8">
        <f>'Données projet'!A196</f>
        <v>0</v>
      </c>
      <c r="B213" s="189">
        <f>'Données projet'!D196</f>
        <v>0</v>
      </c>
      <c r="C213" s="202"/>
      <c r="D213" s="187">
        <f t="shared" si="12"/>
        <v>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8">
        <f>'Données projet'!A197</f>
        <v>0</v>
      </c>
      <c r="B214" s="189">
        <f>'Données projet'!D197</f>
        <v>0</v>
      </c>
      <c r="C214" s="202"/>
      <c r="D214" s="187">
        <f t="shared" si="12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8">
        <f>'Données projet'!A198</f>
        <v>0</v>
      </c>
      <c r="B215" s="189">
        <f>'Données projet'!D198</f>
        <v>0</v>
      </c>
      <c r="C215" s="202"/>
      <c r="D215" s="187">
        <f t="shared" si="12"/>
        <v>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8">
        <f>'Données projet'!A199</f>
        <v>0</v>
      </c>
      <c r="B216" s="189">
        <f>'Données projet'!D199</f>
        <v>0</v>
      </c>
      <c r="C216" s="202"/>
      <c r="D216" s="187">
        <f t="shared" si="12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8">
        <f>'Données projet'!A200</f>
        <v>0</v>
      </c>
      <c r="B217" s="189">
        <f>'Données projet'!D200</f>
        <v>0</v>
      </c>
      <c r="C217" s="202"/>
      <c r="D217" s="187">
        <f t="shared" si="12"/>
        <v>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8">
        <f>'Données projet'!A201</f>
        <v>0</v>
      </c>
      <c r="B218" s="189">
        <f>'Données projet'!D201</f>
        <v>0</v>
      </c>
      <c r="C218" s="202"/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8">
        <f>'Données projet'!A202</f>
        <v>0</v>
      </c>
      <c r="B219" s="189">
        <f>'Données projet'!D202</f>
        <v>0</v>
      </c>
      <c r="C219" s="202"/>
      <c r="D219" s="187">
        <f t="shared" si="12"/>
        <v>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8">
        <f>'Données projet'!A203</f>
        <v>0</v>
      </c>
      <c r="B220" s="189">
        <f>'Données projet'!D203</f>
        <v>0</v>
      </c>
      <c r="C220" s="202"/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8">
        <f>'Données projet'!A204</f>
        <v>0</v>
      </c>
      <c r="B221" s="189">
        <f>'Données projet'!D204</f>
        <v>0</v>
      </c>
      <c r="C221" s="202"/>
      <c r="D221" s="187">
        <f t="shared" si="12"/>
        <v>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8">
        <f>'Données projet'!A205</f>
        <v>0</v>
      </c>
      <c r="B222" s="189">
        <f>'Données projet'!D205</f>
        <v>0</v>
      </c>
      <c r="C222" s="202"/>
      <c r="D222" s="187">
        <f t="shared" si="12"/>
        <v>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8">
        <f>'Données projet'!A206</f>
        <v>0</v>
      </c>
      <c r="B223" s="189">
        <f>'Données projet'!D206</f>
        <v>0</v>
      </c>
      <c r="C223" s="202"/>
      <c r="D223" s="187">
        <f t="shared" si="12"/>
        <v>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8">
        <f>'Données projet'!A207</f>
        <v>0</v>
      </c>
      <c r="B224" s="189">
        <f>'Données projet'!D207</f>
        <v>0</v>
      </c>
      <c r="C224" s="202"/>
      <c r="D224" s="187">
        <f t="shared" si="12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8">
        <f>'Données projet'!A208</f>
        <v>0</v>
      </c>
      <c r="B225" s="189">
        <f>'Données projet'!D208</f>
        <v>0</v>
      </c>
      <c r="C225" s="202"/>
      <c r="D225" s="187">
        <f t="shared" si="12"/>
        <v>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8">
        <f>'Données projet'!A209</f>
        <v>0</v>
      </c>
      <c r="B226" s="189">
        <f>'Données projet'!D209</f>
        <v>0</v>
      </c>
      <c r="C226" s="202"/>
      <c r="D226" s="187">
        <f t="shared" si="12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8">
        <f>'Données projet'!A210</f>
        <v>0</v>
      </c>
      <c r="B227" s="189">
        <f>'Données projet'!D210</f>
        <v>0</v>
      </c>
      <c r="C227" s="202"/>
      <c r="D227" s="187">
        <f t="shared" si="12"/>
        <v>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8">
        <f>'Données projet'!A211</f>
        <v>0</v>
      </c>
      <c r="B228" s="189">
        <f>'Données projet'!D211</f>
        <v>0</v>
      </c>
      <c r="C228" s="202"/>
      <c r="D228" s="187">
        <f t="shared" si="12"/>
        <v>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8">
        <f>'Données projet'!A218</f>
        <v>0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8">
        <f>'Données projet'!A219</f>
        <v>0</v>
      </c>
      <c r="B241" s="189">
        <f>'Données projet'!D219</f>
        <v>0</v>
      </c>
      <c r="C241" s="202"/>
      <c r="D241" s="187">
        <f t="shared" ref="D241:D259" si="13">B241*C241</f>
        <v>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8">
        <f>'Données projet'!A220</f>
        <v>0</v>
      </c>
      <c r="B242" s="189">
        <f>'Données projet'!D220</f>
        <v>0</v>
      </c>
      <c r="C242" s="202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8">
        <f>'Données projet'!A221</f>
        <v>0</v>
      </c>
      <c r="B243" s="189">
        <f>'Données projet'!D221</f>
        <v>0</v>
      </c>
      <c r="C243" s="202"/>
      <c r="D243" s="187">
        <f t="shared" si="13"/>
        <v>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8">
        <f>'Données projet'!A222</f>
        <v>0</v>
      </c>
      <c r="B244" s="189">
        <f>'Données projet'!D222</f>
        <v>0</v>
      </c>
      <c r="C244" s="202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8">
        <f>'Données projet'!A223</f>
        <v>0</v>
      </c>
      <c r="B245" s="189">
        <f>'Données projet'!D223</f>
        <v>0</v>
      </c>
      <c r="C245" s="202"/>
      <c r="D245" s="187">
        <f t="shared" si="13"/>
        <v>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8">
        <f>'Données projet'!A224</f>
        <v>0</v>
      </c>
      <c r="B246" s="189">
        <f>'Données projet'!D224</f>
        <v>0</v>
      </c>
      <c r="C246" s="202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8">
        <f>'Données projet'!A225</f>
        <v>0</v>
      </c>
      <c r="B247" s="189">
        <f>'Données projet'!D225</f>
        <v>0</v>
      </c>
      <c r="C247" s="202"/>
      <c r="D247" s="187">
        <f t="shared" si="13"/>
        <v>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8">
        <f>'Données projet'!A226</f>
        <v>0</v>
      </c>
      <c r="B248" s="189">
        <f>'Données projet'!D226</f>
        <v>0</v>
      </c>
      <c r="C248" s="202"/>
      <c r="D248" s="187">
        <f t="shared" si="13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8">
        <f>'Données projet'!A227</f>
        <v>0</v>
      </c>
      <c r="B249" s="189">
        <f>'Données projet'!D227</f>
        <v>0</v>
      </c>
      <c r="C249" s="202"/>
      <c r="D249" s="187">
        <f t="shared" si="13"/>
        <v>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8">
        <f>'Données projet'!A228</f>
        <v>0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8">
        <f>'Données projet'!A229</f>
        <v>0</v>
      </c>
      <c r="B251" s="189">
        <f>'Données projet'!D229</f>
        <v>0</v>
      </c>
      <c r="C251" s="202"/>
      <c r="D251" s="187">
        <f t="shared" si="13"/>
        <v>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8">
        <f>'Données projet'!A230</f>
        <v>0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8">
        <f>'Données projet'!A231</f>
        <v>0</v>
      </c>
      <c r="B253" s="189">
        <f>'Données projet'!D231</f>
        <v>0</v>
      </c>
      <c r="C253" s="202"/>
      <c r="D253" s="187">
        <f t="shared" si="13"/>
        <v>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8">
        <f>'Données projet'!A232</f>
        <v>0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8">
        <f>'Données projet'!A233</f>
        <v>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8">
        <f>'Données projet'!A244</f>
        <v>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8">
        <f>'Données projet'!A245</f>
        <v>0</v>
      </c>
      <c r="B272" s="189">
        <f>'Données projet'!D245</f>
        <v>0</v>
      </c>
      <c r="C272" s="202"/>
      <c r="D272" s="187">
        <f t="shared" ref="D272:D290" si="14">B272*C272</f>
        <v>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8">
        <f>'Données projet'!A246</f>
        <v>0</v>
      </c>
      <c r="B273" s="189">
        <f>'Données projet'!D246</f>
        <v>0</v>
      </c>
      <c r="C273" s="202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8">
        <f>'Données projet'!A247</f>
        <v>0</v>
      </c>
      <c r="B274" s="189">
        <f>'Données projet'!D247</f>
        <v>0</v>
      </c>
      <c r="C274" s="202"/>
      <c r="D274" s="187">
        <f t="shared" si="14"/>
        <v>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8">
        <f>'Données projet'!A248</f>
        <v>0</v>
      </c>
      <c r="B275" s="189">
        <f>'Données projet'!D248</f>
        <v>0</v>
      </c>
      <c r="C275" s="202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8">
        <f>'Données projet'!A249</f>
        <v>0</v>
      </c>
      <c r="B276" s="189">
        <f>'Données projet'!D249</f>
        <v>0</v>
      </c>
      <c r="C276" s="202"/>
      <c r="D276" s="187">
        <f t="shared" si="14"/>
        <v>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8">
        <f>'Données projet'!A250</f>
        <v>0</v>
      </c>
      <c r="B277" s="189">
        <f>'Données projet'!D250</f>
        <v>0</v>
      </c>
      <c r="C277" s="202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8">
        <f>'Données projet'!A251</f>
        <v>0</v>
      </c>
      <c r="B278" s="189">
        <f>'Données projet'!D251</f>
        <v>0</v>
      </c>
      <c r="C278" s="202"/>
      <c r="D278" s="187">
        <f t="shared" si="14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8">
        <f>'Données projet'!A252</f>
        <v>0</v>
      </c>
      <c r="B279" s="189">
        <f>'Données projet'!D252</f>
        <v>0</v>
      </c>
      <c r="C279" s="202"/>
      <c r="D279" s="187">
        <f t="shared" si="14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8">
        <f>'Données projet'!A253</f>
        <v>0</v>
      </c>
      <c r="B280" s="189">
        <f>'Données projet'!D253</f>
        <v>0</v>
      </c>
      <c r="C280" s="202"/>
      <c r="D280" s="187">
        <f t="shared" si="14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8">
        <f>'Données projet'!A254</f>
        <v>0</v>
      </c>
      <c r="B281" s="189">
        <f>'Données projet'!D254</f>
        <v>0</v>
      </c>
      <c r="C281" s="202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8">
        <f>'Données projet'!A255</f>
        <v>0</v>
      </c>
      <c r="B282" s="189">
        <f>'Données projet'!D255</f>
        <v>0</v>
      </c>
      <c r="C282" s="202"/>
      <c r="D282" s="187">
        <f t="shared" si="14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8">
        <f>'Données projet'!A256</f>
        <v>0</v>
      </c>
      <c r="B283" s="189">
        <f>'Données projet'!D256</f>
        <v>0</v>
      </c>
      <c r="C283" s="202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8">
        <f>'Données projet'!A257</f>
        <v>0</v>
      </c>
      <c r="B284" s="189">
        <f>'Données projet'!D257</f>
        <v>0</v>
      </c>
      <c r="C284" s="202"/>
      <c r="D284" s="187">
        <f t="shared" si="14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8">
        <f>'Données projet'!A258</f>
        <v>0</v>
      </c>
      <c r="B285" s="189">
        <f>'Données projet'!D258</f>
        <v>0</v>
      </c>
      <c r="C285" s="202"/>
      <c r="D285" s="187">
        <f t="shared" si="14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8">
        <f>'Données projet'!A259</f>
        <v>0</v>
      </c>
      <c r="B286" s="189">
        <f>'Données projet'!D259</f>
        <v>0</v>
      </c>
      <c r="C286" s="202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8">
        <f>'Données projet'!A260</f>
        <v>0</v>
      </c>
      <c r="B287" s="189">
        <f>'Données projet'!D260</f>
        <v>0</v>
      </c>
      <c r="C287" s="202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8">
        <f>'Données projet'!A261</f>
        <v>0</v>
      </c>
      <c r="B288" s="189">
        <f>'Données projet'!D261</f>
        <v>0</v>
      </c>
      <c r="C288" s="202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8">
        <f>'Données projet'!A262</f>
        <v>0</v>
      </c>
      <c r="B289" s="189">
        <f>'Données projet'!D262</f>
        <v>0</v>
      </c>
      <c r="C289" s="202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8">
        <f>'Données projet'!A263</f>
        <v>0</v>
      </c>
      <c r="B290" s="189">
        <f>'Données projet'!D263</f>
        <v>0</v>
      </c>
      <c r="C290" s="202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2026-02-24T13:57:50Z</dcterms:modified>
</cp:coreProperties>
</file>