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IRE" sheetId="1" r:id="rId4"/>
    <sheet state="visible" name="RECAPITULATIF" sheetId="2" r:id="rId5"/>
    <sheet state="visible" name="GES AVANT NOTIFICATION" sheetId="3" r:id="rId6"/>
    <sheet state="visible" name="GES APRES NOTIFICATION " sheetId="4" r:id="rId7"/>
    <sheet state="visible" name="CO-BENEFICES " sheetId="5" r:id="rId8"/>
    <sheet state="visible" name="SUIVI RABAIS PRODUCTION ET C " sheetId="6" r:id="rId9"/>
  </sheets>
  <definedNames/>
  <calcPr/>
  <extLst>
    <ext uri="GoogleSheetsCustomDataVersion2">
      <go:sheetsCustomData xmlns:go="http://customooxmlschemas.google.com/" r:id="rId10" roundtripDataChecksum="56q/MDF7YdUE/nWnzU81IzQX3i6MbV0LcmcirYRiT8k="/>
    </ext>
  </extLst>
</workbook>
</file>

<file path=xl/sharedStrings.xml><?xml version="1.0" encoding="utf-8"?>
<sst xmlns="http://schemas.openxmlformats.org/spreadsheetml/2006/main" count="1278" uniqueCount="294">
  <si>
    <t>Ce calculateur permet l'évaluation des réductions d'émissions de gaz à effets de serre, des rabais et bonus dans le cadre des projets utilisant la méthode SOBAC'ECO-TMM.</t>
  </si>
  <si>
    <t>Version 1.2</t>
  </si>
  <si>
    <t>L'onglet RECAPITULATIF permet la consultation des résultats.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</si>
  <si>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</si>
  <si>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</si>
  <si>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</si>
  <si>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</si>
  <si>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</si>
  <si>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</si>
  <si>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</si>
  <si>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</si>
  <si>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</si>
  <si>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</si>
  <si>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 xml:space="preserve">Promoteur de la méthode et concepteur du calculateur </t>
  </si>
  <si>
    <t>Les cellules des autres couleurs sont pré-saisies ou se remplissent par calcul</t>
  </si>
  <si>
    <t>Réductions d'émissions</t>
  </si>
  <si>
    <t>GES avant notification</t>
  </si>
  <si>
    <t>t eqCO2 sur 5 ans, soit</t>
  </si>
  <si>
    <t>t eqCO2/ha/an</t>
  </si>
  <si>
    <t>GES selon scénario de référence</t>
  </si>
  <si>
    <t>GES après notification</t>
  </si>
  <si>
    <t>Réduction des émissions du projet :</t>
  </si>
  <si>
    <t>absolues, avant vérification des cobénéfices et rabais/bonus potentiels</t>
  </si>
  <si>
    <t>t eqCO2 sur 5 ans</t>
  </si>
  <si>
    <t>relatives, avant vérification des cobénéfices et rabais/bonus potentiels</t>
  </si>
  <si>
    <t>Réduction/suppression vérifiée (O/N)</t>
  </si>
  <si>
    <t>Réduction des engrais azotés minéraux</t>
  </si>
  <si>
    <t>Suppression des engrais phospho-potassiques minéraux</t>
  </si>
  <si>
    <t xml:space="preserve">Suppression des amendements calco-magnésiens </t>
  </si>
  <si>
    <t>Vérification des cobénéfices nécessaires à la validation des réductions d'émissions</t>
  </si>
  <si>
    <t>cobénéfice vérifié (O/N)</t>
  </si>
  <si>
    <t>points de bonus</t>
  </si>
  <si>
    <t>atteinte des objectifs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</si>
  <si>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</si>
  <si>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</si>
  <si>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</si>
  <si>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</si>
  <si>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Valeur globale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</si>
  <si>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</si>
  <si>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</si>
  <si>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</si>
  <si>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</si>
  <si>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</si>
  <si>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</si>
  <si>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</si>
  <si>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</si>
  <si>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</si>
  <si>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</si>
  <si>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</si>
  <si>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</si>
  <si>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</si>
  <si>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</si>
  <si>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</si>
  <si>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</si>
  <si>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</si>
  <si>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</si>
  <si>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</si>
  <si>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</si>
  <si>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</si>
  <si>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</si>
  <si>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</si>
  <si>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</si>
  <si>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</si>
  <si>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</si>
  <si>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</si>
  <si>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</si>
  <si>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</si>
  <si>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 xml:space="preserve">Diammonium phosphate </t>
  </si>
  <si>
    <t>engrais NPK-1</t>
  </si>
  <si>
    <t>engrais NPK- 2</t>
  </si>
  <si>
    <t>génériques</t>
  </si>
  <si>
    <t>chaux vive</t>
  </si>
  <si>
    <t>carbonate de calcium</t>
  </si>
  <si>
    <t>dolomie</t>
  </si>
  <si>
    <t>écumes de sucrerie</t>
  </si>
  <si>
    <t>Digestats de méthanisation liquide</t>
  </si>
  <si>
    <t>Digestats de méthanisation solide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</si>
  <si>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</si>
  <si>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</si>
  <si>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</si>
  <si>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</si>
  <si>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</si>
  <si>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</si>
  <si>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</si>
  <si>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</si>
  <si>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</si>
  <si>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</si>
  <si>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</si>
  <si>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</si>
  <si>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</si>
  <si>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</si>
  <si>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</si>
  <si>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</si>
  <si>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</si>
  <si>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</si>
  <si>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</si>
  <si>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</si>
  <si>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</si>
  <si>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2. QUANTITES CONSOMMEES D'INTRANTS ET CONVERSION EN UNITES N, P et K POUR LES ENGRAIS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</si>
  <si>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</si>
  <si>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</si>
  <si>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</si>
  <si>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</si>
  <si>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</si>
  <si>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</si>
  <si>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</si>
  <si>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</si>
  <si>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</si>
  <si>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</si>
  <si>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</si>
  <si>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</si>
  <si>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</si>
  <si>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</si>
  <si>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</si>
  <si>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</si>
  <si>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</si>
  <si>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</si>
  <si>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</si>
  <si>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</si>
  <si>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</si>
  <si>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</si>
  <si>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</si>
  <si>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</si>
  <si>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</si>
  <si>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</si>
  <si>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</si>
  <si>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</si>
  <si>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</si>
  <si>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</si>
  <si>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</si>
  <si>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</si>
  <si>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</si>
  <si>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</si>
  <si>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</si>
  <si>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</si>
  <si>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</si>
  <si>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</si>
  <si>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</si>
  <si>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</si>
  <si>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</si>
  <si>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</si>
  <si>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</si>
  <si>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</si>
  <si>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</si>
  <si>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</si>
  <si>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</si>
  <si>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</si>
  <si>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</si>
  <si>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</si>
  <si>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</si>
  <si>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</si>
  <si>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</si>
  <si>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</si>
  <si>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</si>
  <si>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</si>
  <si>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Génériques</t>
  </si>
  <si>
    <t>Ecumes de sucrerie</t>
  </si>
  <si>
    <t>Amendement 4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</si>
  <si>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</si>
  <si>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</si>
  <si>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</si>
  <si>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</si>
  <si>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</si>
  <si>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</si>
  <si>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</si>
  <si>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</si>
  <si>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</si>
  <si>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</si>
  <si>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</si>
  <si>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</si>
  <si>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</si>
  <si>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</si>
  <si>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</si>
  <si>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</si>
  <si>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</si>
  <si>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</si>
  <si>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</si>
  <si>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</si>
  <si>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</si>
  <si>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</si>
  <si>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</si>
  <si>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</si>
  <si>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</si>
  <si>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</si>
  <si>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</si>
  <si>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</si>
  <si>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</si>
  <si>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</si>
  <si>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</si>
  <si>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</si>
  <si>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</si>
  <si>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</si>
  <si>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</si>
  <si>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</si>
  <si>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</si>
  <si>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</si>
  <si>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</si>
  <si>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</si>
  <si>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</si>
  <si>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</si>
  <si>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</si>
  <si>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</si>
  <si>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</si>
  <si>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</si>
  <si>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achats (L)</t>
  </si>
  <si>
    <t>stock initial (L)</t>
  </si>
  <si>
    <t>stock final (L)</t>
  </si>
  <si>
    <t>N</t>
  </si>
  <si>
    <t>N+1</t>
  </si>
  <si>
    <t>N+2</t>
  </si>
  <si>
    <t>N+3</t>
  </si>
  <si>
    <t>N+4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</si>
  <si>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</si>
  <si>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</si>
  <si>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</si>
  <si>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</si>
  <si>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</si>
  <si>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</si>
  <si>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</si>
  <si>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>Indicateurs de co-bénéfices</t>
  </si>
  <si>
    <t>IFT</t>
  </si>
  <si>
    <t>NOTE : En cas de non utilisation de phytosanitaires, renseigner la valeur 0 (zéro).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</si>
  <si>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</si>
  <si>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</si>
  <si>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</si>
  <si>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</si>
  <si>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</si>
  <si>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>année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</si>
  <si>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</si>
  <si>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</si>
  <si>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</si>
  <si>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</si>
  <si>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</si>
  <si>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</si>
  <si>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</si>
  <si>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</si>
  <si>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NOTE : En cas de non irrigation, renseigner la valeur 0 (zéro).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</si>
  <si>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</si>
  <si>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</si>
  <si>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</si>
  <si>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</si>
  <si>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</si>
  <si>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</si>
  <si>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</si>
  <si>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 xml:space="preserve">Suivi de la production </t>
  </si>
  <si>
    <t>Déclaration des surfaces  (laisser vide en cas d'absence de données)</t>
  </si>
  <si>
    <t>Avant la notification du Projet</t>
  </si>
  <si>
    <t>Après la notification du Projet</t>
  </si>
  <si>
    <t>SAU (ha)</t>
  </si>
  <si>
    <t>SFP (ha)</t>
  </si>
  <si>
    <t>Production animale (laisser vide en cas d'absence de données)</t>
  </si>
  <si>
    <t>UGB</t>
  </si>
  <si>
    <t>Quantité de lait vendu (hL)</t>
  </si>
  <si>
    <t>Quantité de viande vendue en vif (t)</t>
  </si>
  <si>
    <t>rdt moyen référence par ha</t>
  </si>
  <si>
    <t>rdt moyen projet (t/ha)</t>
  </si>
  <si>
    <t>écart relatif -20%</t>
  </si>
  <si>
    <t>valeur du rabais ou bonus</t>
  </si>
  <si>
    <t>rendement moyen annuel lait (hL/ha)</t>
  </si>
  <si>
    <t>Elevage</t>
  </si>
  <si>
    <t>Global - Elevage &amp; Cultures</t>
  </si>
  <si>
    <t>rendement moyen annuel animal (UGB/haSFP)</t>
  </si>
  <si>
    <t>RABAIS ou BONUS ?</t>
  </si>
  <si>
    <t>Valeur du rabais ou du bonus</t>
  </si>
  <si>
    <t>rendement moyen annuel viande (tviande/haSAU)</t>
  </si>
  <si>
    <t>Production végétale  (laisser vide en cas d'absence de données)</t>
  </si>
  <si>
    <t>Année</t>
  </si>
  <si>
    <t>rdt moyen référence (t/ha)</t>
  </si>
  <si>
    <t>quantité vendue</t>
  </si>
  <si>
    <t>rdt moyen (t/ha)</t>
  </si>
  <si>
    <t>culture</t>
  </si>
  <si>
    <t>Blé</t>
  </si>
  <si>
    <t>Colza</t>
  </si>
  <si>
    <t>Luzerne</t>
  </si>
  <si>
    <t>Maïs ensilage</t>
  </si>
  <si>
    <t>Orge d'hiver</t>
  </si>
  <si>
    <t>Orge de printemps</t>
  </si>
  <si>
    <t>Seigle d'hiver</t>
  </si>
  <si>
    <t xml:space="preserve">Tournesol </t>
  </si>
  <si>
    <t>Maïs grain</t>
  </si>
  <si>
    <t>Méteil fourrage</t>
  </si>
  <si>
    <t>Cultures</t>
  </si>
  <si>
    <t>Suivi des surfaces : évolution du carbone du sol</t>
  </si>
  <si>
    <t>Avant la Notification du Projet  (laisser vide en cas d'absence de données)</t>
  </si>
  <si>
    <t>Surface en prairies permanentes (ha)</t>
  </si>
  <si>
    <t>Surface en cultures pérennes (ha)</t>
  </si>
  <si>
    <t>surface en haies (ha)</t>
  </si>
  <si>
    <t>A la dernière année du Projet  (laisser vide en cas d'absence de données)</t>
  </si>
  <si>
    <t>Suivi des contractualisations MAEC et conversion à l'agriculture biologique</t>
  </si>
  <si>
    <t xml:space="preserve">saisir O/N </t>
  </si>
  <si>
    <r>
      <rPr>
        <rFont val="Calibri"/>
        <color theme="1"/>
        <sz val="11.0"/>
      </rPr>
      <t xml:space="preserve">• </t>
    </r>
    <r>
      <rPr>
        <rFont val="Calibri"/>
        <color theme="1"/>
        <sz val="11.0"/>
      </rPr>
      <t>Une MAEC « systèmes » ou bien correspondant à des enjeux agro-environnementaux localisés sur une zone du territoire a été contractualisée durant les 5 années du projet</t>
    </r>
  </si>
  <si>
    <r>
      <rPr>
        <rFont val="Calibri"/>
        <color theme="1"/>
        <sz val="11.0"/>
      </rPr>
      <t xml:space="preserve">• </t>
    </r>
    <r>
      <rPr>
        <rFont val="Calibri"/>
        <color theme="1"/>
        <sz val="11.0"/>
      </rPr>
      <t>L'exloitation agricole a débuté sa conversion à l'agriculture biologique durant les 5 années du projet</t>
    </r>
  </si>
  <si>
    <t>Bonus et rabais : Valeur globale</t>
  </si>
  <si>
    <t>RABAIS ou BONUS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</si>
</sst>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-* #,##0.00\ _€_-;\-* #,##0.00\ _€_-;_-* &quot;-&quot;??\ _€_-;_-@"/>
    <numFmt numFmtId="165" formatCode="_-* #,##0.00_-;\-* #,##0.00_-;_-* &quot;-&quot;??_-;_-@"/>
    <numFmt numFmtId="166" formatCode="0.000"/>
    <numFmt numFmtId="167" formatCode="0.0000"/>
    <numFmt numFmtId="168" formatCode="0.0%"/>
    <numFmt numFmtId="169" formatCode="0.0"/>
    <numFmt numFmtId="170" formatCode="0.00000"/>
    <numFmt numFmtId="171" formatCode="0.0000000000000"/>
  </numFmts>
  <fonts count="20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FF0000"/>
      <name val="Calibri"/>
    </font>
    <font>
      <b/>
      <u/>
      <sz val="11.0"/>
      <color theme="1"/>
      <name val="Calibri"/>
    </font>
    <font>
      <color theme="1"/>
      <name val="Calibri"/>
    </font>
    <font>
      <b/>
      <sz val="11.0"/>
      <color theme="0"/>
      <name val="Calibri"/>
    </font>
    <font>
      <b/>
      <sz val="10.0"/>
      <color theme="0"/>
      <name val="Calibri"/>
    </font>
    <font>
      <b/>
      <sz val="11.0"/>
      <color theme="1"/>
      <name val="Calibri"/>
    </font>
    <font>
      <b/>
      <sz val="26.0"/>
      <color theme="1"/>
      <name val="Calibri"/>
    </font>
    <font>
      <sz val="11.0"/>
      <color theme="0"/>
      <name val="Calibri"/>
    </font>
    <font/>
    <font>
      <sz val="10.0"/>
      <color theme="1"/>
      <name val="Calibri"/>
    </font>
    <font>
      <sz val="9.0"/>
      <color theme="1"/>
      <name val="Calibri"/>
    </font>
    <font>
      <sz val="7.0"/>
      <color theme="1"/>
      <name val="Calibri"/>
    </font>
    <font>
      <b/>
      <sz val="10.0"/>
      <color theme="1"/>
      <name val="Calibri"/>
    </font>
    <font>
      <b/>
      <sz val="18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b/>
      <sz val="14.0"/>
      <color theme="0"/>
      <name val="Calibri"/>
    </font>
    <font>
      <b/>
      <sz val="9.0"/>
      <color theme="1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44546A"/>
        <bgColor rgb="FF44546A"/>
      </patternFill>
    </fill>
    <fill>
      <patternFill patternType="solid">
        <fgColor rgb="FFDEEAF6"/>
        <bgColor rgb="FFDEEAF6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BFBFBF"/>
        <bgColor rgb="FFBFBFBF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0CECE"/>
        <bgColor rgb="FFD0CECE"/>
      </patternFill>
    </fill>
    <fill>
      <patternFill patternType="solid">
        <fgColor rgb="FFECECEC"/>
        <bgColor rgb="FFECECEC"/>
      </patternFill>
    </fill>
    <fill>
      <patternFill patternType="solid">
        <fgColor rgb="FF99FF66"/>
        <bgColor rgb="FF99FF66"/>
      </patternFill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rgb="FFFF5050"/>
        <bgColor rgb="FFFF5050"/>
      </patternFill>
    </fill>
    <fill>
      <patternFill patternType="solid">
        <fgColor rgb="FF92D050"/>
        <bgColor rgb="FF92D050"/>
      </patternFill>
    </fill>
    <fill>
      <patternFill patternType="solid">
        <fgColor rgb="FFF7CAAC"/>
        <bgColor rgb="FFF7CAAC"/>
      </patternFill>
    </fill>
  </fills>
  <borders count="111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right style="medium">
        <color rgb="FF000000"/>
      </right>
      <bottom style="medium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/>
      <right style="thin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theme="0"/>
      </left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left style="thick">
        <color theme="0"/>
      </left>
      <top style="thick">
        <color theme="0"/>
      </top>
      <bottom style="thick">
        <color theme="0"/>
      </bottom>
    </border>
    <border>
      <right style="thick">
        <color theme="0"/>
      </right>
      <top style="thick">
        <color theme="0"/>
      </top>
      <bottom style="thick">
        <color theme="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theme="0"/>
      </left>
      <top style="thin">
        <color theme="0"/>
      </top>
      <bottom/>
    </border>
    <border>
      <right style="thin">
        <color theme="0"/>
      </right>
      <top style="thin">
        <color theme="0"/>
      </top>
      <bottom/>
    </border>
    <border>
      <left/>
      <right/>
      <top/>
    </border>
    <border>
      <left/>
      <right/>
    </border>
    <border>
      <left/>
      <right/>
      <bottom style="medium">
        <color rgb="FF000000"/>
      </bottom>
    </border>
  </borders>
  <cellStyleXfs count="1">
    <xf borderId="0" fillId="0" fontId="0" numFmtId="0" applyAlignment="1" applyFont="1"/>
  </cellStyleXfs>
  <cellXfs count="4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1" fillId="2" fontId="1" numFmtId="0" xfId="0" applyAlignment="1" applyBorder="1" applyFill="1" applyFont="1">
      <alignment horizontal="left" vertical="top"/>
    </xf>
    <xf borderId="0" fillId="0" fontId="2" numFmtId="0" xfId="0" applyAlignment="1" applyFont="1">
      <alignment horizontal="left" vertical="top"/>
    </xf>
    <xf borderId="1" fillId="3" fontId="1" numFmtId="0" xfId="0" applyAlignment="1" applyBorder="1" applyFill="1" applyFont="1">
      <alignment horizontal="left" vertical="top"/>
    </xf>
    <xf borderId="1" fillId="4" fontId="1" numFmtId="0" xfId="0" applyAlignment="1" applyBorder="1" applyFill="1" applyFont="1">
      <alignment horizontal="left" vertical="top"/>
    </xf>
    <xf borderId="0" fillId="0" fontId="1" numFmtId="164" xfId="0" applyFont="1" applyNumberFormat="1"/>
    <xf borderId="0" fillId="0" fontId="3" numFmtId="0" xfId="0" applyFont="1"/>
    <xf borderId="0" fillId="0" fontId="4" numFmtId="0" xfId="0" applyFont="1"/>
    <xf borderId="2" fillId="3" fontId="5" numFmtId="165" xfId="0" applyAlignment="1" applyBorder="1" applyFont="1" applyNumberFormat="1">
      <alignment horizontal="right" vertical="center"/>
    </xf>
    <xf borderId="2" fillId="3" fontId="5" numFmtId="164" xfId="0" applyBorder="1" applyFont="1" applyNumberFormat="1"/>
    <xf borderId="0" fillId="0" fontId="1" numFmtId="0" xfId="0" applyAlignment="1" applyFont="1">
      <alignment vertical="top"/>
    </xf>
    <xf borderId="0" fillId="0" fontId="1" numFmtId="0" xfId="0" applyAlignment="1" applyFont="1">
      <alignment shrinkToFit="0" wrapText="1"/>
    </xf>
    <xf borderId="2" fillId="3" fontId="5" numFmtId="165" xfId="0" applyBorder="1" applyFont="1" applyNumberFormat="1"/>
    <xf borderId="0" fillId="0" fontId="1" numFmtId="0" xfId="0" applyAlignment="1" applyFont="1">
      <alignment horizontal="left" shrinkToFit="0" wrapText="1"/>
    </xf>
    <xf borderId="2" fillId="3" fontId="5" numFmtId="9" xfId="0" applyBorder="1" applyFont="1" applyNumberFormat="1"/>
    <xf borderId="0" fillId="0" fontId="1" numFmtId="0" xfId="0" applyAlignment="1" applyFont="1">
      <alignment horizontal="right" shrinkToFit="0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2" fillId="3" fontId="5" numFmtId="0" xfId="0" applyAlignment="1" applyBorder="1" applyFont="1">
      <alignment horizontal="center"/>
    </xf>
    <xf borderId="2" fillId="3" fontId="5" numFmtId="9" xfId="0" applyAlignment="1" applyBorder="1" applyFont="1" applyNumberFormat="1">
      <alignment horizontal="center"/>
    </xf>
    <xf borderId="0" fillId="0" fontId="1" numFmtId="165" xfId="0" applyFont="1" applyNumberFormat="1"/>
    <xf borderId="2" fillId="3" fontId="5" numFmtId="1" xfId="0" applyAlignment="1" applyBorder="1" applyFont="1" applyNumberFormat="1">
      <alignment horizontal="center"/>
    </xf>
    <xf borderId="3" fillId="3" fontId="5" numFmtId="0" xfId="0" applyAlignment="1" applyBorder="1" applyFont="1">
      <alignment horizontal="center"/>
    </xf>
    <xf borderId="0" fillId="0" fontId="2" numFmtId="0" xfId="0" applyAlignment="1" applyFont="1">
      <alignment shrinkToFit="0" wrapText="1"/>
    </xf>
    <xf borderId="0" fillId="0" fontId="1" numFmtId="9" xfId="0" applyFont="1" applyNumberFormat="1"/>
    <xf borderId="0" fillId="0" fontId="1" numFmtId="166" xfId="0" applyAlignment="1" applyFont="1" applyNumberFormat="1">
      <alignment horizontal="right"/>
    </xf>
    <xf borderId="2" fillId="3" fontId="6" numFmtId="165" xfId="0" applyAlignment="1" applyBorder="1" applyFont="1" applyNumberFormat="1">
      <alignment horizontal="center"/>
    </xf>
    <xf borderId="0" fillId="0" fontId="1" numFmtId="167" xfId="0" applyFont="1" applyNumberFormat="1"/>
    <xf borderId="0" fillId="0" fontId="7" numFmtId="0" xfId="0" applyFont="1"/>
    <xf borderId="0" fillId="0" fontId="8" numFmtId="0" xfId="0" applyAlignment="1" applyFont="1">
      <alignment horizontal="left"/>
    </xf>
    <xf borderId="1" fillId="5" fontId="9" numFmtId="0" xfId="0" applyAlignment="1" applyBorder="1" applyFill="1" applyFont="1">
      <alignment horizontal="left" vertical="center"/>
    </xf>
    <xf borderId="1" fillId="5" fontId="8" numFmtId="0" xfId="0" applyAlignment="1" applyBorder="1" applyFont="1">
      <alignment horizontal="left"/>
    </xf>
    <xf borderId="4" fillId="5" fontId="8" numFmtId="0" xfId="0" applyAlignment="1" applyBorder="1" applyFont="1">
      <alignment horizontal="center"/>
    </xf>
    <xf borderId="5" fillId="0" fontId="10" numFmtId="0" xfId="0" applyBorder="1" applyFont="1"/>
    <xf borderId="1" fillId="5" fontId="8" numFmtId="0" xfId="0" applyAlignment="1" applyBorder="1" applyFont="1">
      <alignment horizontal="center"/>
    </xf>
    <xf borderId="1" fillId="5" fontId="8" numFmtId="0" xfId="0" applyBorder="1" applyFont="1"/>
    <xf borderId="6" fillId="6" fontId="1" numFmtId="0" xfId="0" applyAlignment="1" applyBorder="1" applyFill="1" applyFont="1">
      <alignment horizontal="center" vertical="center"/>
    </xf>
    <xf borderId="7" fillId="0" fontId="10" numFmtId="0" xfId="0" applyBorder="1" applyFont="1"/>
    <xf borderId="8" fillId="0" fontId="10" numFmtId="0" xfId="0" applyBorder="1" applyFont="1"/>
    <xf borderId="9" fillId="0" fontId="10" numFmtId="0" xfId="0" applyBorder="1" applyFont="1"/>
    <xf borderId="10" fillId="6" fontId="1" numFmtId="0" xfId="0" applyAlignment="1" applyBorder="1" applyFont="1">
      <alignment horizontal="center" vertical="center"/>
    </xf>
    <xf borderId="6" fillId="7" fontId="1" numFmtId="0" xfId="0" applyAlignment="1" applyBorder="1" applyFill="1" applyFont="1">
      <alignment horizontal="center" vertical="center"/>
    </xf>
    <xf borderId="6" fillId="8" fontId="1" numFmtId="0" xfId="0" applyAlignment="1" applyBorder="1" applyFill="1" applyFont="1">
      <alignment horizontal="center" vertical="center"/>
    </xf>
    <xf borderId="6" fillId="9" fontId="1" numFmtId="0" xfId="0" applyAlignment="1" applyBorder="1" applyFill="1" applyFont="1">
      <alignment horizontal="center" vertical="center"/>
    </xf>
    <xf borderId="10" fillId="9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11" fillId="0" fontId="1" numFmtId="0" xfId="0" applyAlignment="1" applyBorder="1" applyFont="1">
      <alignment horizontal="center" vertical="center"/>
    </xf>
    <xf borderId="12" fillId="0" fontId="10" numFmtId="0" xfId="0" applyBorder="1" applyFont="1"/>
    <xf borderId="13" fillId="0" fontId="10" numFmtId="0" xfId="0" applyBorder="1" applyFont="1"/>
    <xf borderId="14" fillId="0" fontId="1" numFmtId="0" xfId="0" applyAlignment="1" applyBorder="1" applyFont="1">
      <alignment horizontal="center" vertical="center"/>
    </xf>
    <xf borderId="15" fillId="0" fontId="10" numFmtId="0" xfId="0" applyBorder="1" applyFont="1"/>
    <xf borderId="16" fillId="0" fontId="1" numFmtId="0" xfId="0" applyAlignment="1" applyBorder="1" applyFont="1">
      <alignment horizontal="center" vertical="center"/>
    </xf>
    <xf borderId="11" fillId="10" fontId="1" numFmtId="0" xfId="0" applyAlignment="1" applyBorder="1" applyFill="1" applyFont="1">
      <alignment horizontal="center" vertical="center"/>
    </xf>
    <xf borderId="11" fillId="11" fontId="1" numFmtId="0" xfId="0" applyAlignment="1" applyBorder="1" applyFill="1" applyFont="1">
      <alignment horizontal="center" vertical="center"/>
    </xf>
    <xf borderId="14" fillId="11" fontId="1" numFmtId="0" xfId="0" applyAlignment="1" applyBorder="1" applyFont="1">
      <alignment horizontal="center" vertical="center"/>
    </xf>
    <xf borderId="11" fillId="2" fontId="1" numFmtId="0" xfId="0" applyAlignment="1" applyBorder="1" applyFont="1">
      <alignment horizontal="center" readingOrder="0" vertical="center"/>
    </xf>
    <xf borderId="14" fillId="2" fontId="1" numFmtId="0" xfId="0" applyAlignment="1" applyBorder="1" applyFont="1">
      <alignment horizontal="center" readingOrder="0" vertical="center"/>
    </xf>
    <xf borderId="14" fillId="2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17" fillId="0" fontId="1" numFmtId="0" xfId="0" applyAlignment="1" applyBorder="1" applyFont="1">
      <alignment horizontal="left" shrinkToFit="0" vertical="center" wrapText="1"/>
    </xf>
    <xf borderId="16" fillId="0" fontId="1" numFmtId="0" xfId="0" applyAlignment="1" applyBorder="1" applyFont="1">
      <alignment horizontal="left" shrinkToFit="0" vertical="center" wrapText="1"/>
    </xf>
    <xf borderId="18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  <xf borderId="17" fillId="2" fontId="1" numFmtId="0" xfId="0" applyAlignment="1" applyBorder="1" applyFont="1">
      <alignment horizontal="left"/>
    </xf>
    <xf borderId="16" fillId="2" fontId="1" numFmtId="0" xfId="0" applyAlignment="1" applyBorder="1" applyFont="1">
      <alignment horizontal="left"/>
    </xf>
    <xf borderId="16" fillId="2" fontId="1" numFmtId="0" xfId="0" applyAlignment="1" applyBorder="1" applyFont="1">
      <alignment horizontal="left" readingOrder="0"/>
    </xf>
    <xf borderId="18" fillId="2" fontId="1" numFmtId="0" xfId="0" applyAlignment="1" applyBorder="1" applyFont="1">
      <alignment horizontal="left"/>
    </xf>
    <xf borderId="16" fillId="2" fontId="1" numFmtId="0" xfId="0" applyAlignment="1" applyBorder="1" applyFont="1">
      <alignment horizontal="right"/>
    </xf>
    <xf borderId="17" fillId="2" fontId="1" numFmtId="0" xfId="0" applyAlignment="1" applyBorder="1" applyFont="1">
      <alignment horizontal="left" readingOrder="0"/>
    </xf>
    <xf borderId="16" fillId="2" fontId="1" numFmtId="0" xfId="0" applyAlignment="1" applyBorder="1" applyFont="1">
      <alignment horizontal="left" readingOrder="0" shrinkToFit="0" wrapText="1"/>
    </xf>
    <xf borderId="16" fillId="2" fontId="1" numFmtId="0" xfId="0" applyAlignment="1" applyBorder="1" applyFont="1">
      <alignment horizontal="right" readingOrder="0"/>
    </xf>
    <xf borderId="19" fillId="2" fontId="1" numFmtId="0" xfId="0" applyAlignment="1" applyBorder="1" applyFont="1">
      <alignment horizontal="left"/>
    </xf>
    <xf borderId="20" fillId="2" fontId="1" numFmtId="0" xfId="0" applyAlignment="1" applyBorder="1" applyFont="1">
      <alignment horizontal="left"/>
    </xf>
    <xf borderId="20" fillId="2" fontId="1" numFmtId="0" xfId="0" applyAlignment="1" applyBorder="1" applyFont="1">
      <alignment horizontal="left" readingOrder="0"/>
    </xf>
    <xf borderId="21" fillId="2" fontId="1" numFmtId="0" xfId="0" applyAlignment="1" applyBorder="1" applyFont="1">
      <alignment horizontal="left"/>
    </xf>
    <xf borderId="21" fillId="2" fontId="1" numFmtId="0" xfId="0" applyAlignment="1" applyBorder="1" applyFont="1">
      <alignment horizontal="left" readingOrder="0"/>
    </xf>
    <xf borderId="20" fillId="2" fontId="1" numFmtId="0" xfId="0" applyAlignment="1" applyBorder="1" applyFont="1">
      <alignment horizontal="right"/>
    </xf>
    <xf borderId="22" fillId="5" fontId="9" numFmtId="0" xfId="0" applyAlignment="1" applyBorder="1" applyFont="1">
      <alignment horizontal="left"/>
    </xf>
    <xf borderId="23" fillId="5" fontId="9" numFmtId="0" xfId="0" applyBorder="1" applyFont="1"/>
    <xf borderId="1" fillId="5" fontId="9" numFmtId="0" xfId="0" applyBorder="1" applyFont="1"/>
    <xf borderId="1" fillId="5" fontId="1" numFmtId="0" xfId="0" applyBorder="1" applyFont="1"/>
    <xf borderId="24" fillId="0" fontId="1" numFmtId="0" xfId="0" applyAlignment="1" applyBorder="1" applyFont="1">
      <alignment horizontal="center" vertical="center"/>
    </xf>
    <xf borderId="25" fillId="12" fontId="1" numFmtId="0" xfId="0" applyAlignment="1" applyBorder="1" applyFill="1" applyFont="1">
      <alignment horizontal="center" vertical="center"/>
    </xf>
    <xf borderId="26" fillId="0" fontId="10" numFmtId="0" xfId="0" applyBorder="1" applyFont="1"/>
    <xf borderId="27" fillId="0" fontId="10" numFmtId="0" xfId="0" applyBorder="1" applyFont="1"/>
    <xf borderId="1" fillId="12" fontId="1" numFmtId="0" xfId="0" applyAlignment="1" applyBorder="1" applyFont="1">
      <alignment horizontal="center" vertical="center"/>
    </xf>
    <xf borderId="22" fillId="7" fontId="1" numFmtId="0" xfId="0" applyAlignment="1" applyBorder="1" applyFont="1">
      <alignment horizontal="center" shrinkToFit="0" vertical="center" wrapText="1"/>
    </xf>
    <xf borderId="28" fillId="0" fontId="10" numFmtId="0" xfId="0" applyBorder="1" applyFont="1"/>
    <xf borderId="22" fillId="8" fontId="1" numFmtId="0" xfId="0" applyAlignment="1" applyBorder="1" applyFont="1">
      <alignment horizontal="center" vertical="center"/>
    </xf>
    <xf borderId="22" fillId="13" fontId="1" numFmtId="0" xfId="0" applyAlignment="1" applyBorder="1" applyFill="1" applyFont="1">
      <alignment horizontal="center" shrinkToFit="1" vertical="center" wrapText="0"/>
    </xf>
    <xf borderId="25" fillId="13" fontId="1" numFmtId="0" xfId="0" applyAlignment="1" applyBorder="1" applyFont="1">
      <alignment horizontal="center" vertical="center"/>
    </xf>
    <xf borderId="29" fillId="0" fontId="10" numFmtId="0" xfId="0" applyBorder="1" applyFont="1"/>
    <xf borderId="6" fillId="6" fontId="1" numFmtId="0" xfId="0" applyAlignment="1" applyBorder="1" applyFont="1">
      <alignment horizontal="center" shrinkToFit="1" vertical="center" wrapText="0"/>
    </xf>
    <xf borderId="30" fillId="10" fontId="1" numFmtId="0" xfId="0" applyAlignment="1" applyBorder="1" applyFont="1">
      <alignment horizontal="center" shrinkToFit="1" vertical="center" wrapText="0"/>
    </xf>
    <xf borderId="31" fillId="0" fontId="10" numFmtId="0" xfId="0" applyBorder="1" applyFont="1"/>
    <xf borderId="30" fillId="11" fontId="1" numFmtId="0" xfId="0" applyAlignment="1" applyBorder="1" applyFont="1">
      <alignment horizontal="center" shrinkToFit="1" vertical="center" wrapText="0"/>
    </xf>
    <xf borderId="32" fillId="0" fontId="10" numFmtId="0" xfId="0" applyBorder="1" applyFont="1"/>
    <xf borderId="33" fillId="0" fontId="10" numFmtId="0" xfId="0" applyBorder="1" applyFont="1"/>
    <xf borderId="34" fillId="11" fontId="1" numFmtId="0" xfId="0" applyAlignment="1" applyBorder="1" applyFont="1">
      <alignment horizontal="center" shrinkToFit="1" vertical="center" wrapText="0"/>
    </xf>
    <xf borderId="30" fillId="14" fontId="1" numFmtId="0" xfId="0" applyAlignment="1" applyBorder="1" applyFill="1" applyFont="1">
      <alignment horizontal="center" shrinkToFit="1" vertical="center" wrapText="0"/>
    </xf>
    <xf borderId="34" fillId="14" fontId="1" numFmtId="0" xfId="0" applyAlignment="1" applyBorder="1" applyFont="1">
      <alignment horizontal="center" shrinkToFit="1" vertical="center" wrapText="0"/>
    </xf>
    <xf borderId="34" fillId="0" fontId="1" numFmtId="0" xfId="0" applyAlignment="1" applyBorder="1" applyFont="1">
      <alignment horizontal="center" shrinkToFit="0" vertical="center" wrapText="1"/>
    </xf>
    <xf borderId="34" fillId="0" fontId="11" numFmtId="0" xfId="0" applyAlignment="1" applyBorder="1" applyFont="1">
      <alignment horizontal="center" shrinkToFit="0" vertical="center" wrapText="1"/>
    </xf>
    <xf borderId="34" fillId="0" fontId="12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1" vertical="center" wrapText="0"/>
    </xf>
    <xf borderId="14" fillId="0" fontId="1" numFmtId="0" xfId="0" applyAlignment="1" applyBorder="1" applyFont="1">
      <alignment horizontal="center" shrinkToFit="1" vertical="center" wrapText="0"/>
    </xf>
    <xf borderId="14" fillId="0" fontId="1" numFmtId="0" xfId="0" applyAlignment="1" applyBorder="1" applyFont="1">
      <alignment horizontal="center"/>
    </xf>
    <xf borderId="35" fillId="0" fontId="10" numFmtId="0" xfId="0" applyBorder="1" applyFont="1"/>
    <xf borderId="36" fillId="0" fontId="10" numFmtId="0" xfId="0" applyBorder="1" applyFont="1"/>
    <xf borderId="37" fillId="0" fontId="10" numFmtId="0" xfId="0" applyBorder="1" applyFont="1"/>
    <xf borderId="38" fillId="0" fontId="10" numFmtId="0" xfId="0" applyBorder="1" applyFont="1"/>
    <xf borderId="39" fillId="0" fontId="1" numFmtId="0" xfId="0" applyAlignment="1" applyBorder="1" applyFont="1">
      <alignment horizontal="center" shrinkToFit="1" vertical="center" wrapText="0"/>
    </xf>
    <xf borderId="24" fillId="0" fontId="1" numFmtId="0" xfId="0" applyAlignment="1" applyBorder="1" applyFont="1">
      <alignment horizontal="center" shrinkToFit="1" vertical="center" wrapText="0"/>
    </xf>
    <xf borderId="40" fillId="0" fontId="10" numFmtId="0" xfId="0" applyBorder="1" applyFont="1"/>
    <xf borderId="41" fillId="0" fontId="10" numFmtId="0" xfId="0" applyBorder="1" applyFont="1"/>
    <xf borderId="42" fillId="0" fontId="10" numFmtId="0" xfId="0" applyBorder="1" applyFont="1"/>
    <xf borderId="43" fillId="0" fontId="10" numFmtId="0" xfId="0" applyBorder="1" applyFont="1"/>
    <xf borderId="44" fillId="0" fontId="10" numFmtId="0" xfId="0" applyBorder="1" applyFont="1"/>
    <xf borderId="45" fillId="0" fontId="10" numFmtId="0" xfId="0" applyBorder="1" applyFont="1"/>
    <xf borderId="17" fillId="0" fontId="1" numFmtId="0" xfId="0" applyAlignment="1" applyBorder="1" applyFont="1">
      <alignment horizontal="center" shrinkToFit="1" vertical="center" wrapText="0"/>
    </xf>
    <xf borderId="16" fillId="0" fontId="1" numFmtId="0" xfId="0" applyAlignment="1" applyBorder="1" applyFont="1">
      <alignment horizontal="center" shrinkToFit="1" vertical="center" wrapText="0"/>
    </xf>
    <xf borderId="18" fillId="0" fontId="1" numFmtId="0" xfId="0" applyAlignment="1" applyBorder="1" applyFont="1">
      <alignment horizontal="center" shrinkToFit="1" vertical="center" wrapText="0"/>
    </xf>
    <xf borderId="46" fillId="0" fontId="10" numFmtId="0" xfId="0" applyBorder="1" applyFont="1"/>
    <xf borderId="17" fillId="0" fontId="1" numFmtId="0" xfId="0" applyAlignment="1" applyBorder="1" applyFont="1">
      <alignment shrinkToFit="1" vertical="center" wrapText="0"/>
    </xf>
    <xf borderId="18" fillId="0" fontId="1" numFmtId="0" xfId="0" applyAlignment="1" applyBorder="1" applyFont="1">
      <alignment shrinkToFit="1" vertical="center" wrapText="0"/>
    </xf>
    <xf borderId="16" fillId="0" fontId="1" numFmtId="0" xfId="0" applyAlignment="1" applyBorder="1" applyFont="1">
      <alignment shrinkToFit="1" vertical="center" wrapText="0"/>
    </xf>
    <xf borderId="17" fillId="0" fontId="1" numFmtId="0" xfId="0" applyAlignment="1" applyBorder="1" applyFont="1">
      <alignment horizontal="center" vertical="center"/>
    </xf>
    <xf borderId="16" fillId="0" fontId="1" numFmtId="9" xfId="0" applyAlignment="1" applyBorder="1" applyFont="1" applyNumberFormat="1">
      <alignment horizontal="center" vertical="center"/>
    </xf>
    <xf borderId="24" fillId="15" fontId="1" numFmtId="0" xfId="0" applyAlignment="1" applyBorder="1" applyFill="1" applyFont="1">
      <alignment horizontal="center" vertical="center"/>
    </xf>
    <xf borderId="16" fillId="0" fontId="1" numFmtId="10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/>
    </xf>
    <xf borderId="16" fillId="2" fontId="1" numFmtId="168" xfId="0" applyAlignment="1" applyBorder="1" applyFont="1" applyNumberFormat="1">
      <alignment horizontal="center" readingOrder="0"/>
    </xf>
    <xf borderId="16" fillId="15" fontId="1" numFmtId="9" xfId="0" applyAlignment="1" applyBorder="1" applyFont="1" applyNumberFormat="1">
      <alignment horizontal="center"/>
    </xf>
    <xf borderId="16" fillId="2" fontId="1" numFmtId="9" xfId="0" applyBorder="1" applyFont="1" applyNumberFormat="1"/>
    <xf borderId="16" fillId="0" fontId="1" numFmtId="9" xfId="0" applyAlignment="1" applyBorder="1" applyFont="1" applyNumberFormat="1">
      <alignment horizontal="center"/>
    </xf>
    <xf borderId="47" fillId="15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/>
    </xf>
    <xf borderId="16" fillId="2" fontId="1" numFmtId="168" xfId="0" applyBorder="1" applyFont="1" applyNumberFormat="1"/>
    <xf borderId="16" fillId="0" fontId="1" numFmtId="9" xfId="0" applyBorder="1" applyFont="1" applyNumberFormat="1"/>
    <xf borderId="16" fillId="2" fontId="1" numFmtId="9" xfId="0" applyAlignment="1" applyBorder="1" applyFont="1" applyNumberFormat="1">
      <alignment horizontal="center" vertical="center"/>
    </xf>
    <xf borderId="16" fillId="2" fontId="1" numFmtId="9" xfId="0" applyAlignment="1" applyBorder="1" applyFont="1" applyNumberFormat="1">
      <alignment horizontal="center"/>
    </xf>
    <xf borderId="39" fillId="0" fontId="1" numFmtId="0" xfId="0" applyAlignment="1" applyBorder="1" applyFont="1">
      <alignment horizontal="center" vertical="center"/>
    </xf>
    <xf borderId="24" fillId="2" fontId="1" numFmtId="166" xfId="0" applyAlignment="1" applyBorder="1" applyFont="1" applyNumberFormat="1">
      <alignment horizontal="center" readingOrder="0" vertical="center"/>
    </xf>
    <xf borderId="24" fillId="2" fontId="1" numFmtId="166" xfId="0" applyAlignment="1" applyBorder="1" applyFont="1" applyNumberFormat="1">
      <alignment horizontal="center" vertical="center"/>
    </xf>
    <xf borderId="16" fillId="0" fontId="1" numFmtId="0" xfId="0" applyBorder="1" applyFont="1"/>
    <xf borderId="48" fillId="0" fontId="10" numFmtId="0" xfId="0" applyBorder="1" applyFont="1"/>
    <xf borderId="16" fillId="2" fontId="1" numFmtId="168" xfId="0" applyAlignment="1" applyBorder="1" applyFont="1" applyNumberFormat="1">
      <alignment horizontal="center"/>
    </xf>
    <xf borderId="16" fillId="2" fontId="1" numFmtId="9" xfId="0" applyAlignment="1" applyBorder="1" applyFont="1" applyNumberFormat="1">
      <alignment horizontal="center" readingOrder="0" vertical="center"/>
    </xf>
    <xf borderId="16" fillId="2" fontId="1" numFmtId="9" xfId="0" applyAlignment="1" applyBorder="1" applyFont="1" applyNumberFormat="1">
      <alignment horizontal="center" readingOrder="0"/>
    </xf>
    <xf borderId="19" fillId="0" fontId="1" numFmtId="0" xfId="0" applyAlignment="1" applyBorder="1" applyFont="1">
      <alignment horizontal="center" vertical="center"/>
    </xf>
    <xf borderId="20" fillId="0" fontId="1" numFmtId="9" xfId="0" applyAlignment="1" applyBorder="1" applyFont="1" applyNumberFormat="1">
      <alignment horizontal="center" vertical="center"/>
    </xf>
    <xf borderId="20" fillId="0" fontId="1" numFmtId="0" xfId="0" applyAlignment="1" applyBorder="1" applyFont="1">
      <alignment horizontal="center" vertical="center"/>
    </xf>
    <xf borderId="49" fillId="0" fontId="10" numFmtId="0" xfId="0" applyBorder="1" applyFont="1"/>
    <xf borderId="20" fillId="0" fontId="1" numFmtId="10" xfId="0" applyAlignment="1" applyBorder="1" applyFont="1" applyNumberFormat="1">
      <alignment horizontal="center" vertical="center"/>
    </xf>
    <xf borderId="20" fillId="0" fontId="1" numFmtId="0" xfId="0" applyAlignment="1" applyBorder="1" applyFont="1">
      <alignment horizontal="center"/>
    </xf>
    <xf borderId="20" fillId="2" fontId="1" numFmtId="168" xfId="0" applyAlignment="1" applyBorder="1" applyFont="1" applyNumberFormat="1">
      <alignment horizontal="center" readingOrder="0"/>
    </xf>
    <xf borderId="20" fillId="0" fontId="1" numFmtId="169" xfId="0" applyAlignment="1" applyBorder="1" applyFont="1" applyNumberFormat="1">
      <alignment horizontal="center"/>
    </xf>
    <xf borderId="20" fillId="15" fontId="1" numFmtId="9" xfId="0" applyAlignment="1" applyBorder="1" applyFont="1" applyNumberFormat="1">
      <alignment horizontal="center"/>
    </xf>
    <xf borderId="20" fillId="2" fontId="1" numFmtId="9" xfId="0" applyBorder="1" applyFont="1" applyNumberFormat="1"/>
    <xf borderId="20" fillId="0" fontId="1" numFmtId="9" xfId="0" applyAlignment="1" applyBorder="1" applyFont="1" applyNumberFormat="1">
      <alignment horizontal="center"/>
    </xf>
    <xf borderId="50" fillId="0" fontId="10" numFmtId="0" xfId="0" applyBorder="1" applyFont="1"/>
    <xf borderId="19" fillId="0" fontId="1" numFmtId="0" xfId="0" applyAlignment="1" applyBorder="1" applyFont="1">
      <alignment horizontal="center"/>
    </xf>
    <xf borderId="20" fillId="2" fontId="1" numFmtId="168" xfId="0" applyBorder="1" applyFont="1" applyNumberFormat="1"/>
    <xf borderId="20" fillId="0" fontId="1" numFmtId="9" xfId="0" applyBorder="1" applyFont="1" applyNumberFormat="1"/>
    <xf borderId="20" fillId="2" fontId="1" numFmtId="9" xfId="0" applyAlignment="1" applyBorder="1" applyFont="1" applyNumberFormat="1">
      <alignment horizontal="center" vertical="center"/>
    </xf>
    <xf borderId="20" fillId="2" fontId="1" numFmtId="9" xfId="0" applyAlignment="1" applyBorder="1" applyFont="1" applyNumberFormat="1">
      <alignment horizontal="center"/>
    </xf>
    <xf borderId="20" fillId="0" fontId="1" numFmtId="0" xfId="0" applyBorder="1" applyFont="1"/>
    <xf borderId="16" fillId="5" fontId="9" numFmtId="0" xfId="0" applyAlignment="1" applyBorder="1" applyFont="1">
      <alignment horizontal="center" vertical="center"/>
    </xf>
    <xf borderId="51" fillId="5" fontId="9" numFmtId="0" xfId="0" applyAlignment="1" applyBorder="1" applyFont="1">
      <alignment horizontal="center" vertical="center"/>
    </xf>
    <xf borderId="51" fillId="5" fontId="9" numFmtId="0" xfId="0" applyAlignment="1" applyBorder="1" applyFont="1">
      <alignment horizontal="center"/>
    </xf>
    <xf borderId="52" fillId="5" fontId="9" numFmtId="0" xfId="0" applyAlignment="1" applyBorder="1" applyFont="1">
      <alignment horizontal="center" vertical="center"/>
    </xf>
    <xf borderId="0" fillId="0" fontId="9" numFmtId="0" xfId="0" applyAlignment="1" applyFont="1">
      <alignment horizontal="center" vertical="center"/>
    </xf>
    <xf borderId="53" fillId="5" fontId="9" numFmtId="0" xfId="0" applyAlignment="1" applyBorder="1" applyFont="1">
      <alignment horizontal="center" vertical="center"/>
    </xf>
    <xf borderId="0" fillId="0" fontId="9" numFmtId="0" xfId="0" applyAlignment="1" applyFont="1">
      <alignment horizontal="center"/>
    </xf>
    <xf borderId="1" fillId="5" fontId="9" numFmtId="0" xfId="0" applyAlignment="1" applyBorder="1" applyFont="1">
      <alignment horizontal="center"/>
    </xf>
    <xf borderId="29" fillId="0" fontId="1" numFmtId="0" xfId="0" applyAlignment="1" applyBorder="1" applyFont="1">
      <alignment horizontal="center" vertical="center"/>
    </xf>
    <xf borderId="54" fillId="5" fontId="9" numFmtId="0" xfId="0" applyAlignment="1" applyBorder="1" applyFont="1">
      <alignment vertical="center"/>
    </xf>
    <xf borderId="0" fillId="0" fontId="9" numFmtId="0" xfId="0" applyFont="1"/>
    <xf borderId="55" fillId="6" fontId="1" numFmtId="0" xfId="0" applyAlignment="1" applyBorder="1" applyFont="1">
      <alignment vertical="center"/>
    </xf>
    <xf borderId="56" fillId="6" fontId="1" numFmtId="0" xfId="0" applyAlignment="1" applyBorder="1" applyFont="1">
      <alignment vertical="center"/>
    </xf>
    <xf borderId="57" fillId="6" fontId="1" numFmtId="0" xfId="0" applyAlignment="1" applyBorder="1" applyFont="1">
      <alignment vertical="center"/>
    </xf>
    <xf borderId="55" fillId="10" fontId="1" numFmtId="0" xfId="0" applyAlignment="1" applyBorder="1" applyFont="1">
      <alignment shrinkToFit="1" vertical="center" wrapText="0"/>
    </xf>
    <xf borderId="14" fillId="13" fontId="1" numFmtId="0" xfId="0" applyAlignment="1" applyBorder="1" applyFont="1">
      <alignment horizontal="center" shrinkToFit="1" vertical="center" wrapText="0"/>
    </xf>
    <xf borderId="24" fillId="16" fontId="7" numFmtId="0" xfId="0" applyAlignment="1" applyBorder="1" applyFill="1" applyFont="1">
      <alignment horizontal="center" shrinkToFit="1" vertical="center" wrapText="0"/>
    </xf>
    <xf borderId="0" fillId="0" fontId="1" numFmtId="0" xfId="0" applyAlignment="1" applyFont="1">
      <alignment horizontal="center" vertical="center"/>
    </xf>
    <xf borderId="58" fillId="0" fontId="13" numFmtId="0" xfId="0" applyAlignment="1" applyBorder="1" applyFont="1">
      <alignment horizontal="center" shrinkToFit="1" vertical="center" wrapText="0"/>
    </xf>
    <xf borderId="24" fillId="0" fontId="13" numFmtId="0" xfId="0" applyAlignment="1" applyBorder="1" applyFont="1">
      <alignment horizontal="center" shrinkToFit="1" vertical="center" wrapText="0"/>
    </xf>
    <xf borderId="16" fillId="0" fontId="7" numFmtId="0" xfId="0" applyBorder="1" applyFont="1"/>
    <xf borderId="16" fillId="0" fontId="7" numFmtId="165" xfId="0" applyBorder="1" applyFont="1" applyNumberFormat="1"/>
    <xf borderId="0" fillId="0" fontId="1" numFmtId="20" xfId="0" applyFont="1" applyNumberFormat="1"/>
    <xf borderId="16" fillId="4" fontId="9" numFmtId="0" xfId="0" applyAlignment="1" applyBorder="1" applyFont="1">
      <alignment horizontal="center" vertical="center"/>
    </xf>
    <xf borderId="1" fillId="5" fontId="9" numFmtId="0" xfId="0" applyAlignment="1" applyBorder="1" applyFont="1">
      <alignment vertical="center"/>
    </xf>
    <xf borderId="14" fillId="6" fontId="1" numFmtId="0" xfId="0" applyAlignment="1" applyBorder="1" applyFont="1">
      <alignment horizontal="center" vertical="center"/>
    </xf>
    <xf borderId="14" fillId="11" fontId="1" numFmtId="0" xfId="0" applyAlignment="1" applyBorder="1" applyFont="1">
      <alignment horizontal="center" shrinkToFit="1" vertical="center" wrapText="0"/>
    </xf>
    <xf borderId="14" fillId="13" fontId="1" numFmtId="0" xfId="0" applyAlignment="1" applyBorder="1" applyFont="1">
      <alignment horizontal="center" shrinkToFit="1" wrapText="0"/>
    </xf>
    <xf borderId="24" fillId="16" fontId="14" numFmtId="0" xfId="0" applyAlignment="1" applyBorder="1" applyFont="1">
      <alignment horizontal="center" shrinkToFit="1" vertical="center" wrapText="0"/>
    </xf>
    <xf borderId="58" fillId="0" fontId="13" numFmtId="0" xfId="0" applyAlignment="1" applyBorder="1" applyFont="1">
      <alignment shrinkToFit="1" vertical="center" wrapText="0"/>
    </xf>
    <xf borderId="59" fillId="17" fontId="13" numFmtId="0" xfId="0" applyAlignment="1" applyBorder="1" applyFill="1" applyFont="1">
      <alignment shrinkToFit="1" vertical="center" wrapText="0"/>
    </xf>
    <xf borderId="13" fillId="0" fontId="1" numFmtId="0" xfId="0" applyAlignment="1" applyBorder="1" applyFont="1">
      <alignment horizontal="center" vertical="center"/>
    </xf>
    <xf borderId="16" fillId="0" fontId="7" numFmtId="0" xfId="0" applyAlignment="1" applyBorder="1" applyFont="1">
      <alignment horizontal="center" vertical="center"/>
    </xf>
    <xf borderId="16" fillId="2" fontId="7" numFmtId="0" xfId="0" applyAlignment="1" applyBorder="1" applyFont="1">
      <alignment horizontal="center" vertical="center"/>
    </xf>
    <xf borderId="14" fillId="0" fontId="7" numFmtId="0" xfId="0" applyAlignment="1" applyBorder="1" applyFont="1">
      <alignment horizontal="center" vertical="center"/>
    </xf>
    <xf borderId="14" fillId="0" fontId="7" numFmtId="0" xfId="0" applyAlignment="1" applyBorder="1" applyFont="1">
      <alignment horizontal="center"/>
    </xf>
    <xf borderId="16" fillId="0" fontId="7" numFmtId="0" xfId="0" applyAlignment="1" applyBorder="1" applyFont="1">
      <alignment horizontal="center" shrinkToFit="1" vertical="center" wrapText="0"/>
    </xf>
    <xf borderId="16" fillId="0" fontId="7" numFmtId="165" xfId="0" applyAlignment="1" applyBorder="1" applyFont="1" applyNumberFormat="1">
      <alignment horizontal="center" vertical="center"/>
    </xf>
    <xf borderId="30" fillId="0" fontId="7" numFmtId="0" xfId="0" applyAlignment="1" applyBorder="1" applyFont="1">
      <alignment horizontal="center" shrinkToFit="0" wrapText="1"/>
    </xf>
    <xf borderId="60" fillId="3" fontId="5" numFmtId="0" xfId="0" applyAlignment="1" applyBorder="1" applyFont="1">
      <alignment horizontal="center" vertical="center"/>
    </xf>
    <xf borderId="61" fillId="0" fontId="1" numFmtId="0" xfId="0" applyBorder="1" applyFont="1"/>
    <xf borderId="16" fillId="0" fontId="1" numFmtId="169" xfId="0" applyAlignment="1" applyBorder="1" applyFont="1" applyNumberFormat="1">
      <alignment horizontal="center" vertical="center"/>
    </xf>
    <xf borderId="55" fillId="18" fontId="9" numFmtId="0" xfId="0" applyAlignment="1" applyBorder="1" applyFill="1" applyFont="1">
      <alignment horizontal="center" vertical="center"/>
    </xf>
    <xf borderId="13" fillId="0" fontId="1" numFmtId="0" xfId="0" applyBorder="1" applyFont="1"/>
    <xf borderId="16" fillId="5" fontId="5" numFmtId="0" xfId="0" applyAlignment="1" applyBorder="1" applyFont="1">
      <alignment horizontal="center" vertical="center"/>
    </xf>
    <xf borderId="16" fillId="4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59" fillId="8" fontId="1" numFmtId="0" xfId="0" applyAlignment="1" applyBorder="1" applyFont="1">
      <alignment horizontal="left"/>
    </xf>
    <xf borderId="62" fillId="8" fontId="1" numFmtId="0" xfId="0" applyBorder="1" applyFont="1"/>
    <xf borderId="62" fillId="8" fontId="1" numFmtId="0" xfId="0" applyAlignment="1" applyBorder="1" applyFont="1">
      <alignment horizontal="right"/>
    </xf>
    <xf borderId="63" fillId="8" fontId="1" numFmtId="0" xfId="0" applyBorder="1" applyFont="1"/>
    <xf borderId="57" fillId="19" fontId="1" numFmtId="170" xfId="0" applyBorder="1" applyFill="1" applyFont="1" applyNumberFormat="1"/>
    <xf borderId="23" fillId="8" fontId="1" numFmtId="0" xfId="0" applyAlignment="1" applyBorder="1" applyFont="1">
      <alignment horizontal="left"/>
    </xf>
    <xf borderId="1" fillId="8" fontId="1" numFmtId="0" xfId="0" applyBorder="1" applyFont="1"/>
    <xf borderId="1" fillId="8" fontId="1" numFmtId="0" xfId="0" applyAlignment="1" applyBorder="1" applyFont="1">
      <alignment horizontal="right"/>
    </xf>
    <xf borderId="64" fillId="8" fontId="1" numFmtId="0" xfId="0" applyBorder="1" applyFont="1"/>
    <xf borderId="52" fillId="8" fontId="1" numFmtId="0" xfId="0" applyAlignment="1" applyBorder="1" applyFont="1">
      <alignment horizontal="left"/>
    </xf>
    <xf borderId="54" fillId="8" fontId="1" numFmtId="0" xfId="0" applyBorder="1" applyFont="1"/>
    <xf borderId="54" fillId="8" fontId="1" numFmtId="0" xfId="0" applyAlignment="1" applyBorder="1" applyFont="1">
      <alignment horizontal="right"/>
    </xf>
    <xf borderId="53" fillId="8" fontId="1" numFmtId="0" xfId="0" applyBorder="1" applyFont="1"/>
    <xf borderId="55" fillId="20" fontId="1" numFmtId="0" xfId="0" applyAlignment="1" applyBorder="1" applyFill="1" applyFont="1">
      <alignment horizontal="left"/>
    </xf>
    <xf borderId="56" fillId="20" fontId="1" numFmtId="0" xfId="0" applyBorder="1" applyFont="1"/>
    <xf borderId="16" fillId="20" fontId="1" numFmtId="0" xfId="0" applyBorder="1" applyFont="1"/>
    <xf borderId="16" fillId="0" fontId="1" numFmtId="0" xfId="0" applyAlignment="1" applyBorder="1" applyFont="1">
      <alignment shrinkToFit="1" wrapText="0"/>
    </xf>
    <xf borderId="16" fillId="17" fontId="1" numFmtId="0" xfId="0" applyAlignment="1" applyBorder="1" applyFont="1">
      <alignment shrinkToFit="1" wrapText="0"/>
    </xf>
    <xf borderId="16" fillId="0" fontId="1" numFmtId="2" xfId="0" applyBorder="1" applyFont="1" applyNumberFormat="1"/>
    <xf borderId="0" fillId="0" fontId="1" numFmtId="166" xfId="0" applyFont="1" applyNumberFormat="1"/>
    <xf borderId="11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left" readingOrder="0" shrinkToFit="0" vertical="center" wrapText="1"/>
    </xf>
    <xf borderId="16" fillId="0" fontId="1" numFmtId="0" xfId="0" applyAlignment="1" applyBorder="1" applyFont="1">
      <alignment horizontal="left" readingOrder="0" shrinkToFit="0" vertical="center" wrapText="1"/>
    </xf>
    <xf borderId="18" fillId="0" fontId="1" numFmtId="0" xfId="0" applyAlignment="1" applyBorder="1" applyFont="1">
      <alignment horizontal="left" readingOrder="0" shrinkToFit="0" vertical="center" wrapText="1"/>
    </xf>
    <xf borderId="17" fillId="2" fontId="1" numFmtId="2" xfId="0" applyAlignment="1" applyBorder="1" applyFont="1" applyNumberFormat="1">
      <alignment horizontal="left"/>
    </xf>
    <xf borderId="16" fillId="2" fontId="1" numFmtId="2" xfId="0" applyAlignment="1" applyBorder="1" applyFont="1" applyNumberFormat="1">
      <alignment horizontal="left"/>
    </xf>
    <xf borderId="16" fillId="2" fontId="1" numFmtId="2" xfId="0" applyAlignment="1" applyBorder="1" applyFont="1" applyNumberFormat="1">
      <alignment horizontal="left" readingOrder="0"/>
    </xf>
    <xf borderId="20" fillId="2" fontId="1" numFmtId="0" xfId="0" applyAlignment="1" applyBorder="1" applyFont="1">
      <alignment vertical="bottom"/>
    </xf>
    <xf borderId="19" fillId="2" fontId="1" numFmtId="2" xfId="0" applyAlignment="1" applyBorder="1" applyFont="1" applyNumberFormat="1">
      <alignment horizontal="left"/>
    </xf>
    <xf borderId="20" fillId="2" fontId="1" numFmtId="2" xfId="0" applyAlignment="1" applyBorder="1" applyFont="1" applyNumberFormat="1">
      <alignment horizontal="left"/>
    </xf>
    <xf borderId="0" fillId="0" fontId="1" numFmtId="0" xfId="0" applyFont="1"/>
    <xf borderId="44" fillId="0" fontId="1" numFmtId="0" xfId="0" applyAlignment="1" applyBorder="1" applyFont="1">
      <alignment horizontal="left"/>
    </xf>
    <xf borderId="42" fillId="0" fontId="1" numFmtId="0" xfId="0" applyAlignment="1" applyBorder="1" applyFont="1">
      <alignment horizontal="left"/>
    </xf>
    <xf borderId="30" fillId="0" fontId="1" numFmtId="0" xfId="0" applyAlignment="1" applyBorder="1" applyFont="1">
      <alignment horizontal="center" shrinkToFit="0" vertical="center" wrapText="1"/>
    </xf>
    <xf borderId="17" fillId="0" fontId="1" numFmtId="2" xfId="0" applyAlignment="1" applyBorder="1" applyFont="1" applyNumberFormat="1">
      <alignment horizontal="center" vertical="center"/>
    </xf>
    <xf borderId="16" fillId="0" fontId="1" numFmtId="2" xfId="0" applyAlignment="1" applyBorder="1" applyFont="1" applyNumberFormat="1">
      <alignment horizontal="center" vertical="center"/>
    </xf>
    <xf borderId="16" fillId="0" fontId="1" numFmtId="2" xfId="0" applyAlignment="1" applyBorder="1" applyFont="1" applyNumberFormat="1">
      <alignment horizontal="center"/>
    </xf>
    <xf borderId="17" fillId="0" fontId="1" numFmtId="2" xfId="0" applyAlignment="1" applyBorder="1" applyFont="1" applyNumberFormat="1">
      <alignment horizontal="center"/>
    </xf>
    <xf borderId="39" fillId="0" fontId="1" numFmtId="2" xfId="0" applyAlignment="1" applyBorder="1" applyFont="1" applyNumberFormat="1">
      <alignment horizontal="center" vertical="center"/>
    </xf>
    <xf borderId="47" fillId="2" fontId="1" numFmtId="166" xfId="0" applyAlignment="1" applyBorder="1" applyFont="1" applyNumberFormat="1">
      <alignment horizontal="center" vertical="center"/>
    </xf>
    <xf borderId="17" fillId="0" fontId="1" numFmtId="0" xfId="0" applyBorder="1" applyFont="1"/>
    <xf borderId="19" fillId="0" fontId="1" numFmtId="2" xfId="0" applyAlignment="1" applyBorder="1" applyFont="1" applyNumberForma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0" fillId="0" fontId="1" numFmtId="2" xfId="0" applyAlignment="1" applyBorder="1" applyFont="1" applyNumberFormat="1">
      <alignment horizontal="center"/>
    </xf>
    <xf borderId="19" fillId="0" fontId="1" numFmtId="2" xfId="0" applyAlignment="1" applyBorder="1" applyFont="1" applyNumberFormat="1">
      <alignment horizontal="center"/>
    </xf>
    <xf borderId="19" fillId="0" fontId="1" numFmtId="0" xfId="0" applyBorder="1" applyFont="1"/>
    <xf borderId="20" fillId="0" fontId="1" numFmtId="2" xfId="0" applyBorder="1" applyFont="1" applyNumberFormat="1"/>
    <xf borderId="51" fillId="5" fontId="9" numFmtId="2" xfId="0" applyAlignment="1" applyBorder="1" applyFont="1" applyNumberFormat="1">
      <alignment horizontal="center" vertical="center"/>
    </xf>
    <xf borderId="51" fillId="5" fontId="9" numFmtId="2" xfId="0" applyAlignment="1" applyBorder="1" applyFont="1" applyNumberFormat="1">
      <alignment horizontal="center"/>
    </xf>
    <xf borderId="58" fillId="0" fontId="1" numFmtId="0" xfId="0" applyAlignment="1" applyBorder="1" applyFont="1">
      <alignment horizontal="center" vertical="center"/>
    </xf>
    <xf borderId="65" fillId="6" fontId="1" numFmtId="0" xfId="0" applyAlignment="1" applyBorder="1" applyFont="1">
      <alignment vertical="center"/>
    </xf>
    <xf borderId="66" fillId="6" fontId="1" numFmtId="0" xfId="0" applyAlignment="1" applyBorder="1" applyFont="1">
      <alignment vertical="center"/>
    </xf>
    <xf borderId="67" fillId="6" fontId="1" numFmtId="0" xfId="0" applyAlignment="1" applyBorder="1" applyFont="1">
      <alignment vertical="center"/>
    </xf>
    <xf borderId="68" fillId="10" fontId="1" numFmtId="0" xfId="0" applyAlignment="1" applyBorder="1" applyFont="1">
      <alignment shrinkToFit="1" vertical="center" wrapText="0"/>
    </xf>
    <xf borderId="6" fillId="11" fontId="1" numFmtId="0" xfId="0" applyAlignment="1" applyBorder="1" applyFont="1">
      <alignment horizontal="center" vertical="center"/>
    </xf>
    <xf borderId="6" fillId="13" fontId="1" numFmtId="0" xfId="0" applyAlignment="1" applyBorder="1" applyFont="1">
      <alignment horizontal="center" shrinkToFit="1" vertical="center" wrapText="0"/>
    </xf>
    <xf borderId="69" fillId="16" fontId="7" numFmtId="0" xfId="0" applyAlignment="1" applyBorder="1" applyFont="1">
      <alignment horizontal="center" shrinkToFit="1" vertical="center" wrapText="0"/>
    </xf>
    <xf borderId="70" fillId="0" fontId="1" numFmtId="0" xfId="0" applyAlignment="1" applyBorder="1" applyFont="1">
      <alignment horizontal="center" shrinkToFit="1" vertical="center" wrapText="0"/>
    </xf>
    <xf borderId="47" fillId="0" fontId="1" numFmtId="0" xfId="0" applyAlignment="1" applyBorder="1" applyFont="1">
      <alignment horizontal="center" shrinkToFit="1" vertical="center" wrapText="0"/>
    </xf>
    <xf borderId="71" fillId="0" fontId="13" numFmtId="0" xfId="0" applyAlignment="1" applyBorder="1" applyFont="1">
      <alignment horizontal="center" shrinkToFit="1" vertical="center" wrapText="0"/>
    </xf>
    <xf borderId="47" fillId="0" fontId="13" numFmtId="0" xfId="0" applyAlignment="1" applyBorder="1" applyFont="1">
      <alignment horizontal="center" shrinkToFit="1" vertical="center" wrapText="0"/>
    </xf>
    <xf borderId="72" fillId="0" fontId="10" numFmtId="0" xfId="0" applyBorder="1" applyFont="1"/>
    <xf borderId="73" fillId="0" fontId="10" numFmtId="0" xfId="0" applyBorder="1" applyFont="1"/>
    <xf borderId="74" fillId="0" fontId="10" numFmtId="0" xfId="0" applyBorder="1" applyFont="1"/>
    <xf borderId="75" fillId="0" fontId="10" numFmtId="0" xfId="0" applyBorder="1" applyFont="1"/>
    <xf borderId="76" fillId="0" fontId="10" numFmtId="0" xfId="0" applyBorder="1" applyFont="1"/>
    <xf borderId="77" fillId="0" fontId="10" numFmtId="0" xfId="0" applyBorder="1" applyFont="1"/>
    <xf borderId="18" fillId="0" fontId="1" numFmtId="0" xfId="0" applyAlignment="1" applyBorder="1" applyFont="1">
      <alignment horizontal="center" vertical="center"/>
    </xf>
    <xf borderId="78" fillId="0" fontId="1" numFmtId="0" xfId="0" applyAlignment="1" applyBorder="1" applyFont="1">
      <alignment horizontal="center" vertical="center"/>
    </xf>
    <xf borderId="13" fillId="0" fontId="7" numFmtId="169" xfId="0" applyBorder="1" applyFont="1" applyNumberFormat="1"/>
    <xf borderId="16" fillId="0" fontId="7" numFmtId="169" xfId="0" applyBorder="1" applyFont="1" applyNumberFormat="1"/>
    <xf borderId="55" fillId="5" fontId="9" numFmtId="0" xfId="0" applyAlignment="1" applyBorder="1" applyFont="1">
      <alignment horizontal="center" vertical="center"/>
    </xf>
    <xf borderId="19" fillId="5" fontId="9" numFmtId="0" xfId="0" applyAlignment="1" applyBorder="1" applyFont="1">
      <alignment horizontal="center" vertical="center"/>
    </xf>
    <xf borderId="20" fillId="5" fontId="9" numFmtId="0" xfId="0" applyAlignment="1" applyBorder="1" applyFont="1">
      <alignment horizontal="center" vertical="center"/>
    </xf>
    <xf borderId="21" fillId="5" fontId="9" numFmtId="0" xfId="0" applyAlignment="1" applyBorder="1" applyFont="1">
      <alignment horizontal="center" vertical="center"/>
    </xf>
    <xf borderId="79" fillId="5" fontId="9" numFmtId="0" xfId="0" applyAlignment="1" applyBorder="1" applyFont="1">
      <alignment horizontal="center" vertical="center"/>
    </xf>
    <xf borderId="57" fillId="4" fontId="9" numFmtId="169" xfId="0" applyAlignment="1" applyBorder="1" applyFont="1" applyNumberFormat="1">
      <alignment horizontal="center" vertical="center"/>
    </xf>
    <xf borderId="16" fillId="0" fontId="7" numFmtId="169" xfId="0" applyAlignment="1" applyBorder="1" applyFont="1" applyNumberFormat="1">
      <alignment horizontal="center" shrinkToFit="1" vertical="center" wrapText="0"/>
    </xf>
    <xf borderId="16" fillId="0" fontId="7" numFmtId="169" xfId="0" applyAlignment="1" applyBorder="1" applyFont="1" applyNumberFormat="1">
      <alignment horizontal="center" vertical="center"/>
    </xf>
    <xf borderId="0" fillId="0" fontId="1" numFmtId="169" xfId="0" applyFont="1" applyNumberFormat="1"/>
    <xf borderId="30" fillId="0" fontId="7" numFmtId="0" xfId="0" applyAlignment="1" applyBorder="1" applyFont="1">
      <alignment horizontal="center" shrinkToFit="0" vertical="center" wrapText="1"/>
    </xf>
    <xf borderId="60" fillId="3" fontId="5" numFmtId="165" xfId="0" applyAlignment="1" applyBorder="1" applyFont="1" applyNumberFormat="1">
      <alignment horizontal="center" vertical="center"/>
    </xf>
    <xf borderId="60" fillId="3" fontId="5" numFmtId="165" xfId="0" applyBorder="1" applyFont="1" applyNumberFormat="1"/>
    <xf borderId="55" fillId="18" fontId="9" numFmtId="165" xfId="0" applyBorder="1" applyFont="1" applyNumberFormat="1"/>
    <xf borderId="16" fillId="4" fontId="5" numFmtId="169" xfId="0" applyAlignment="1" applyBorder="1" applyFont="1" applyNumberFormat="1">
      <alignment horizontal="center" vertical="center"/>
    </xf>
    <xf borderId="80" fillId="5" fontId="9" numFmtId="0" xfId="0" applyAlignment="1" applyBorder="1" applyFont="1">
      <alignment horizontal="center" vertical="center"/>
    </xf>
    <xf borderId="0" fillId="0" fontId="1" numFmtId="171" xfId="0" applyFont="1" applyNumberFormat="1"/>
    <xf borderId="60" fillId="3" fontId="5" numFmtId="165" xfId="0" applyAlignment="1" applyBorder="1" applyFont="1" applyNumberFormat="1">
      <alignment horizontal="center"/>
    </xf>
    <xf borderId="0" fillId="0" fontId="1" numFmtId="1" xfId="0" applyFont="1" applyNumberFormat="1"/>
    <xf borderId="0" fillId="0" fontId="15" numFmtId="0" xfId="0" applyAlignment="1" applyFont="1">
      <alignment horizontal="left" vertical="center"/>
    </xf>
    <xf borderId="0" fillId="0" fontId="16" numFmtId="0" xfId="0" applyAlignment="1" applyFont="1">
      <alignment horizontal="center"/>
    </xf>
    <xf borderId="81" fillId="0" fontId="7" numFmtId="0" xfId="0" applyBorder="1" applyFont="1"/>
    <xf borderId="82" fillId="0" fontId="17" numFmtId="0" xfId="0" applyAlignment="1" applyBorder="1" applyFont="1">
      <alignment horizontal="center"/>
    </xf>
    <xf borderId="2" fillId="2" fontId="1" numFmtId="0" xfId="0" applyAlignment="1" applyBorder="1" applyFont="1">
      <alignment readingOrder="0"/>
    </xf>
    <xf borderId="83" fillId="0" fontId="1" numFmtId="0" xfId="0" applyAlignment="1" applyBorder="1" applyFont="1">
      <alignment horizontal="left"/>
    </xf>
    <xf borderId="16" fillId="0" fontId="7" numFmtId="0" xfId="0" applyAlignment="1" applyBorder="1" applyFont="1">
      <alignment horizontal="center" shrinkToFit="0" vertical="center" wrapText="1"/>
    </xf>
    <xf borderId="51" fillId="2" fontId="1" numFmtId="0" xfId="0" applyAlignment="1" applyBorder="1" applyFont="1">
      <alignment horizontal="center" readingOrder="0" vertical="center"/>
    </xf>
    <xf borderId="81" fillId="3" fontId="5" numFmtId="0" xfId="0" applyAlignment="1" applyBorder="1" applyFont="1">
      <alignment horizontal="right"/>
    </xf>
    <xf borderId="82" fillId="0" fontId="10" numFmtId="0" xfId="0" applyBorder="1" applyFont="1"/>
    <xf borderId="84" fillId="3" fontId="5" numFmtId="9" xfId="0" applyBorder="1" applyFont="1" applyNumberFormat="1"/>
    <xf borderId="85" fillId="3" fontId="5" numFmtId="0" xfId="0" applyBorder="1" applyFont="1"/>
    <xf borderId="86" fillId="3" fontId="5" numFmtId="0" xfId="0" applyAlignment="1" applyBorder="1" applyFont="1">
      <alignment vertical="center"/>
    </xf>
    <xf borderId="84" fillId="3" fontId="5" numFmtId="0" xfId="0" applyAlignment="1" applyBorder="1" applyFont="1">
      <alignment vertical="center"/>
    </xf>
    <xf borderId="85" fillId="3" fontId="5" numFmtId="0" xfId="0" applyAlignment="1" applyBorder="1" applyFont="1">
      <alignment vertical="center"/>
    </xf>
    <xf borderId="87" fillId="3" fontId="5" numFmtId="0" xfId="0" applyAlignment="1" applyBorder="1" applyFont="1">
      <alignment horizontal="right"/>
    </xf>
    <xf borderId="88" fillId="0" fontId="10" numFmtId="0" xfId="0" applyBorder="1" applyFont="1"/>
    <xf borderId="89" fillId="3" fontId="5" numFmtId="9" xfId="0" applyBorder="1" applyFont="1" applyNumberFormat="1"/>
    <xf borderId="90" fillId="3" fontId="5" numFmtId="0" xfId="0" applyBorder="1" applyFont="1"/>
    <xf borderId="86" fillId="3" fontId="5" numFmtId="0" xfId="0" applyAlignment="1" applyBorder="1" applyFont="1">
      <alignment horizontal="left"/>
    </xf>
    <xf borderId="84" fillId="3" fontId="5" numFmtId="0" xfId="0" applyBorder="1" applyFont="1"/>
    <xf borderId="16" fillId="4" fontId="9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86" fillId="3" fontId="1" numFmtId="0" xfId="0" applyBorder="1" applyFont="1"/>
    <xf borderId="84" fillId="3" fontId="1" numFmtId="0" xfId="0" applyBorder="1" applyFont="1"/>
    <xf borderId="2" fillId="3" fontId="7" numFmtId="0" xfId="0" applyAlignment="1" applyBorder="1" applyFont="1">
      <alignment horizontal="center" vertical="center"/>
    </xf>
    <xf borderId="91" fillId="3" fontId="1" numFmtId="0" xfId="0" applyBorder="1" applyFont="1"/>
    <xf borderId="92" fillId="3" fontId="1" numFmtId="0" xfId="0" applyBorder="1" applyFont="1"/>
    <xf borderId="16" fillId="0" fontId="7" numFmtId="0" xfId="0" applyAlignment="1" applyBorder="1" applyFont="1">
      <alignment horizontal="center" shrinkToFit="1" wrapText="0"/>
    </xf>
    <xf borderId="0" fillId="0" fontId="7" numFmtId="0" xfId="0" applyAlignment="1" applyFont="1">
      <alignment horizontal="center" shrinkToFit="1" wrapText="0"/>
    </xf>
    <xf borderId="81" fillId="3" fontId="9" numFmtId="0" xfId="0" applyAlignment="1" applyBorder="1" applyFont="1">
      <alignment horizontal="center"/>
    </xf>
    <xf borderId="83" fillId="0" fontId="10" numFmtId="0" xfId="0" applyBorder="1" applyFont="1"/>
    <xf borderId="86" fillId="3" fontId="9" numFmtId="9" xfId="0" applyBorder="1" applyFont="1" applyNumberFormat="1"/>
    <xf borderId="85" fillId="3" fontId="9" numFmtId="0" xfId="0" applyBorder="1" applyFont="1"/>
    <xf borderId="0" fillId="0" fontId="5" numFmtId="0" xfId="0" applyAlignment="1" applyFont="1">
      <alignment vertical="center"/>
    </xf>
    <xf borderId="16" fillId="4" fontId="5" numFmtId="0" xfId="0" applyAlignment="1" applyBorder="1" applyFont="1">
      <alignment horizontal="center" shrinkToFit="0" vertical="center" wrapText="1"/>
    </xf>
    <xf borderId="81" fillId="3" fontId="1" numFmtId="0" xfId="0" applyAlignment="1" applyBorder="1" applyFont="1">
      <alignment horizontal="right" shrinkToFit="0" wrapText="1"/>
    </xf>
    <xf borderId="2" fillId="3" fontId="7" numFmtId="1" xfId="0" applyAlignment="1" applyBorder="1" applyFont="1" applyNumberFormat="1">
      <alignment horizontal="right" vertical="center"/>
    </xf>
    <xf borderId="4" fillId="2" fontId="7" numFmtId="0" xfId="0" applyAlignment="1" applyBorder="1" applyFont="1">
      <alignment horizontal="center"/>
    </xf>
    <xf borderId="0" fillId="0" fontId="1" numFmtId="2" xfId="0" applyFont="1" applyNumberFormat="1"/>
    <xf borderId="22" fillId="5" fontId="18" numFmtId="0" xfId="0" applyAlignment="1" applyBorder="1" applyFont="1">
      <alignment horizontal="left" vertical="center"/>
    </xf>
    <xf borderId="52" fillId="5" fontId="9" numFmtId="0" xfId="0" applyBorder="1" applyFont="1"/>
    <xf borderId="54" fillId="5" fontId="9" numFmtId="0" xfId="0" applyBorder="1" applyFont="1"/>
    <xf borderId="52" fillId="5" fontId="9" numFmtId="0" xfId="0" applyAlignment="1" applyBorder="1" applyFont="1">
      <alignment horizontal="left"/>
    </xf>
    <xf borderId="54" fillId="5" fontId="9" numFmtId="0" xfId="0" applyAlignment="1" applyBorder="1" applyFont="1">
      <alignment horizontal="left"/>
    </xf>
    <xf borderId="16" fillId="0" fontId="1" numFmtId="0" xfId="0" applyAlignment="1" applyBorder="1" applyFont="1">
      <alignment horizontal="center" shrinkToFit="0" vertical="center" wrapText="1"/>
    </xf>
    <xf borderId="16" fillId="0" fontId="11" numFmtId="0" xfId="0" applyAlignment="1" applyBorder="1" applyFont="1">
      <alignment horizontal="center" shrinkToFit="1" vertical="center" wrapText="0"/>
    </xf>
    <xf borderId="16" fillId="2" fontId="1" numFmtId="0" xfId="0" applyAlignment="1" applyBorder="1" applyFont="1">
      <alignment horizontal="center" readingOrder="0" vertical="center"/>
    </xf>
    <xf borderId="16" fillId="2" fontId="1" numFmtId="165" xfId="0" applyAlignment="1" applyBorder="1" applyFont="1" applyNumberFormat="1">
      <alignment horizontal="center" readingOrder="0" vertical="center"/>
    </xf>
    <xf borderId="2" fillId="0" fontId="7" numFmtId="0" xfId="0" applyAlignment="1" applyBorder="1" applyFont="1">
      <alignment horizontal="center" shrinkToFit="0" vertical="center" wrapText="1"/>
    </xf>
    <xf borderId="93" fillId="0" fontId="7" numFmtId="0" xfId="0" applyAlignment="1" applyBorder="1" applyFont="1">
      <alignment horizontal="center" shrinkToFit="1" vertical="center" wrapText="0"/>
    </xf>
    <xf borderId="16" fillId="0" fontId="1" numFmtId="0" xfId="0" applyAlignment="1" applyBorder="1" applyFont="1">
      <alignment horizontal="right"/>
    </xf>
    <xf borderId="60" fillId="4" fontId="5" numFmtId="165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right" readingOrder="0"/>
    </xf>
    <xf borderId="60" fillId="4" fontId="5" numFmtId="165" xfId="0" applyAlignment="1" applyBorder="1" applyFont="1" applyNumberFormat="1">
      <alignment horizontal="center" shrinkToFit="0" vertical="center" wrapText="1"/>
    </xf>
    <xf borderId="94" fillId="4" fontId="9" numFmtId="165" xfId="0" applyAlignment="1" applyBorder="1" applyFont="1" applyNumberFormat="1">
      <alignment horizontal="center" shrinkToFit="0" vertical="center" wrapText="1"/>
    </xf>
    <xf borderId="2" fillId="4" fontId="9" numFmtId="165" xfId="0" applyAlignment="1" applyBorder="1" applyFont="1" applyNumberFormat="1">
      <alignment horizontal="center" shrinkToFit="0" vertical="center" wrapText="1"/>
    </xf>
    <xf borderId="95" fillId="4" fontId="18" numFmtId="0" xfId="0" applyAlignment="1" applyBorder="1" applyFont="1">
      <alignment horizontal="center" shrinkToFit="0" vertical="center" wrapText="1"/>
    </xf>
    <xf borderId="96" fillId="0" fontId="10" numFmtId="0" xfId="0" applyBorder="1" applyFont="1"/>
    <xf borderId="97" fillId="4" fontId="18" numFmtId="0" xfId="0" applyAlignment="1" applyBorder="1" applyFont="1">
      <alignment horizontal="center" shrinkToFit="0" vertical="center" wrapText="1"/>
    </xf>
    <xf borderId="98" fillId="0" fontId="10" numFmtId="0" xfId="0" applyBorder="1" applyFont="1"/>
    <xf borderId="99" fillId="4" fontId="5" numFmtId="0" xfId="0" applyAlignment="1" applyBorder="1" applyFont="1">
      <alignment horizontal="center" shrinkToFit="0" vertical="center" wrapText="1"/>
    </xf>
    <xf borderId="100" fillId="4" fontId="5" numFmtId="0" xfId="0" applyAlignment="1" applyBorder="1" applyFont="1">
      <alignment horizontal="center" shrinkToFit="0" vertical="center" wrapText="1"/>
    </xf>
    <xf borderId="99" fillId="4" fontId="9" numFmtId="0" xfId="0" applyAlignment="1" applyBorder="1" applyFont="1">
      <alignment horizontal="center" shrinkToFit="0" vertical="center" wrapText="1"/>
    </xf>
    <xf borderId="99" fillId="4" fontId="9" numFmtId="9" xfId="0" applyAlignment="1" applyBorder="1" applyFont="1" applyNumberFormat="1">
      <alignment horizontal="center" vertical="center"/>
    </xf>
    <xf borderId="100" fillId="4" fontId="9" numFmtId="0" xfId="0" applyAlignment="1" applyBorder="1" applyFont="1">
      <alignment horizontal="center" shrinkToFit="0" vertical="center" wrapText="1"/>
    </xf>
    <xf borderId="100" fillId="4" fontId="9" numFmtId="9" xfId="0" applyAlignment="1" applyBorder="1" applyFont="1" applyNumberFormat="1">
      <alignment horizontal="center" vertical="center"/>
    </xf>
    <xf borderId="68" fillId="0" fontId="1" numFmtId="0" xfId="0" applyAlignment="1" applyBorder="1" applyFont="1">
      <alignment horizontal="center" vertical="center"/>
    </xf>
    <xf borderId="101" fillId="0" fontId="1" numFmtId="0" xfId="0" applyAlignment="1" applyBorder="1" applyFont="1">
      <alignment horizontal="center" vertical="center"/>
    </xf>
    <xf borderId="102" fillId="0" fontId="1" numFmtId="0" xfId="0" applyAlignment="1" applyBorder="1" applyFont="1">
      <alignment horizontal="center" vertical="center"/>
    </xf>
    <xf borderId="103" fillId="0" fontId="1" numFmtId="0" xfId="0" applyAlignment="1" applyBorder="1" applyFont="1">
      <alignment horizontal="center" vertical="center"/>
    </xf>
    <xf borderId="93" fillId="0" fontId="19" numFmtId="0" xfId="0" applyAlignment="1" applyBorder="1" applyFont="1">
      <alignment horizontal="center" shrinkToFit="0" wrapText="1"/>
    </xf>
    <xf borderId="30" fillId="0" fontId="19" numFmtId="0" xfId="0" applyAlignment="1" applyBorder="1" applyFont="1">
      <alignment horizontal="center" shrinkToFit="0" wrapText="1"/>
    </xf>
    <xf borderId="30" fillId="0" fontId="19" numFmtId="0" xfId="0" applyAlignment="1" applyBorder="1" applyFont="1">
      <alignment horizontal="center" shrinkToFit="0" vertical="center" wrapText="1"/>
    </xf>
    <xf borderId="93" fillId="0" fontId="19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1" vertical="center" wrapText="0"/>
    </xf>
    <xf borderId="78" fillId="0" fontId="1" numFmtId="0" xfId="0" applyBorder="1" applyFont="1"/>
    <xf borderId="17" fillId="0" fontId="1" numFmtId="0" xfId="0" applyAlignment="1" applyBorder="1" applyFont="1">
      <alignment shrinkToFit="1" wrapText="0"/>
    </xf>
    <xf borderId="18" fillId="0" fontId="1" numFmtId="0" xfId="0" applyAlignment="1" applyBorder="1" applyFont="1">
      <alignment shrinkToFit="1" wrapText="0"/>
    </xf>
    <xf borderId="0" fillId="0" fontId="1" numFmtId="0" xfId="0" applyAlignment="1" applyFont="1">
      <alignment shrinkToFit="1" wrapText="0"/>
    </xf>
    <xf borderId="46" fillId="0" fontId="1" numFmtId="0" xfId="0" applyBorder="1" applyFont="1"/>
    <xf borderId="45" fillId="0" fontId="1" numFmtId="0" xfId="0" applyBorder="1" applyFont="1"/>
    <xf borderId="75" fillId="0" fontId="1" numFmtId="0" xfId="0" applyBorder="1" applyFont="1"/>
    <xf borderId="46" fillId="0" fontId="1" numFmtId="0" xfId="0" applyAlignment="1" applyBorder="1" applyFont="1">
      <alignment horizontal="left" vertical="center"/>
    </xf>
    <xf borderId="18" fillId="0" fontId="1" numFmtId="0" xfId="0" applyBorder="1" applyFont="1"/>
    <xf borderId="104" fillId="0" fontId="10" numFmtId="0" xfId="0" applyBorder="1" applyFont="1"/>
    <xf borderId="105" fillId="0" fontId="10" numFmtId="0" xfId="0" applyBorder="1" applyFont="1"/>
    <xf borderId="55" fillId="2" fontId="1" numFmtId="0" xfId="0" applyAlignment="1" applyBorder="1" applyFont="1">
      <alignment horizontal="center" readingOrder="0" vertical="center"/>
    </xf>
    <xf borderId="17" fillId="2" fontId="1" numFmtId="4" xfId="0" applyAlignment="1" applyBorder="1" applyFont="1" applyNumberFormat="1">
      <alignment readingOrder="0"/>
    </xf>
    <xf borderId="16" fillId="2" fontId="1" numFmtId="4" xfId="0" applyAlignment="1" applyBorder="1" applyFont="1" applyNumberFormat="1">
      <alignment readingOrder="0"/>
    </xf>
    <xf borderId="18" fillId="2" fontId="1" numFmtId="4" xfId="0" applyAlignment="1" applyBorder="1" applyFont="1" applyNumberFormat="1">
      <alignment readingOrder="0"/>
    </xf>
    <xf borderId="17" fillId="2" fontId="1" numFmtId="4" xfId="0" applyAlignment="1" applyBorder="1" applyFont="1" applyNumberFormat="1">
      <alignment horizontal="right" readingOrder="0" vertical="center"/>
    </xf>
    <xf borderId="16" fillId="2" fontId="1" numFmtId="4" xfId="0" applyAlignment="1" applyBorder="1" applyFont="1" applyNumberFormat="1">
      <alignment horizontal="right" readingOrder="0"/>
    </xf>
    <xf borderId="17" fillId="2" fontId="1" numFmtId="4" xfId="0" applyAlignment="1" applyBorder="1" applyFont="1" applyNumberFormat="1">
      <alignment horizontal="right" readingOrder="0"/>
    </xf>
    <xf borderId="60" fillId="4" fontId="5" numFmtId="166" xfId="0" applyAlignment="1" applyBorder="1" applyFont="1" applyNumberFormat="1">
      <alignment horizontal="right"/>
    </xf>
    <xf borderId="55" fillId="2" fontId="1" numFmtId="166" xfId="0" applyAlignment="1" applyBorder="1" applyFont="1" applyNumberFormat="1">
      <alignment horizontal="center" vertical="bottom"/>
    </xf>
    <xf borderId="11" fillId="0" fontId="1" numFmtId="2" xfId="0" applyAlignment="1" applyBorder="1" applyFont="1" applyNumberFormat="1">
      <alignment horizontal="right"/>
    </xf>
    <xf borderId="78" fillId="0" fontId="1" numFmtId="2" xfId="0" applyBorder="1" applyFont="1" applyNumberFormat="1"/>
    <xf borderId="18" fillId="2" fontId="1" numFmtId="4" xfId="0" applyAlignment="1" applyBorder="1" applyFont="1" applyNumberFormat="1">
      <alignment horizontal="right" readingOrder="0"/>
    </xf>
    <xf borderId="78" fillId="2" fontId="1" numFmtId="0" xfId="0" applyAlignment="1" applyBorder="1" applyFont="1">
      <alignment horizontal="center" readingOrder="0" vertical="center"/>
    </xf>
    <xf borderId="78" fillId="2" fontId="1" numFmtId="0" xfId="0" applyAlignment="1" applyBorder="1" applyFont="1">
      <alignment horizontal="center" vertical="bottom"/>
    </xf>
    <xf borderId="78" fillId="2" fontId="1" numFmtId="0" xfId="0" applyAlignment="1" applyBorder="1" applyFont="1">
      <alignment horizontal="center" readingOrder="0"/>
    </xf>
    <xf borderId="78" fillId="2" fontId="1" numFmtId="0" xfId="0" applyAlignment="1" applyBorder="1" applyFont="1">
      <alignment readingOrder="0"/>
    </xf>
    <xf borderId="78" fillId="2" fontId="1" numFmtId="0" xfId="0" applyAlignment="1" applyBorder="1" applyFont="1">
      <alignment vertical="bottom"/>
    </xf>
    <xf borderId="78" fillId="2" fontId="1" numFmtId="0" xfId="0" applyBorder="1" applyFont="1"/>
    <xf borderId="17" fillId="2" fontId="1" numFmtId="0" xfId="0" applyBorder="1" applyFont="1"/>
    <xf borderId="16" fillId="2" fontId="1" numFmtId="0" xfId="0" applyBorder="1" applyFont="1"/>
    <xf borderId="18" fillId="2" fontId="1" numFmtId="0" xfId="0" applyBorder="1" applyFont="1"/>
    <xf borderId="17" fillId="2" fontId="1" numFmtId="0" xfId="0" applyAlignment="1" applyBorder="1" applyFont="1">
      <alignment horizontal="right"/>
    </xf>
    <xf borderId="18" fillId="2" fontId="1" numFmtId="0" xfId="0" applyAlignment="1" applyBorder="1" applyFont="1">
      <alignment horizontal="right"/>
    </xf>
    <xf borderId="55" fillId="2" fontId="1" numFmtId="0" xfId="0" applyAlignment="1" applyBorder="1" applyFont="1">
      <alignment horizontal="right"/>
    </xf>
    <xf borderId="106" fillId="4" fontId="18" numFmtId="0" xfId="0" applyAlignment="1" applyBorder="1" applyFont="1">
      <alignment horizontal="center" shrinkToFit="0" vertical="center" wrapText="1"/>
    </xf>
    <xf borderId="107" fillId="0" fontId="10" numFmtId="0" xfId="0" applyBorder="1" applyFont="1"/>
    <xf borderId="99" fillId="4" fontId="5" numFmtId="0" xfId="0" applyAlignment="1" applyBorder="1" applyFont="1">
      <alignment shrinkToFit="0" vertical="center" wrapText="1"/>
    </xf>
    <xf borderId="79" fillId="2" fontId="1" numFmtId="0" xfId="0" applyBorder="1" applyFont="1"/>
    <xf borderId="19" fillId="2" fontId="1" numFmtId="0" xfId="0" applyBorder="1" applyFont="1"/>
    <xf borderId="20" fillId="2" fontId="1" numFmtId="0" xfId="0" applyBorder="1" applyFont="1"/>
    <xf borderId="21" fillId="2" fontId="1" numFmtId="0" xfId="0" applyBorder="1" applyFont="1"/>
    <xf borderId="19" fillId="2" fontId="1" numFmtId="0" xfId="0" applyAlignment="1" applyBorder="1" applyFont="1">
      <alignment horizontal="right"/>
    </xf>
    <xf borderId="21" fillId="2" fontId="1" numFmtId="0" xfId="0" applyAlignment="1" applyBorder="1" applyFont="1">
      <alignment horizontal="right"/>
    </xf>
    <xf borderId="86" fillId="4" fontId="5" numFmtId="0" xfId="0" applyAlignment="1" applyBorder="1" applyFont="1">
      <alignment horizontal="center" shrinkToFit="0" vertical="center" wrapText="1"/>
    </xf>
    <xf borderId="2" fillId="4" fontId="5" numFmtId="0" xfId="0" applyAlignment="1" applyBorder="1" applyFont="1">
      <alignment horizontal="center" shrinkToFit="0" vertical="center" wrapText="1"/>
    </xf>
    <xf borderId="51" fillId="2" fontId="1" numFmtId="0" xfId="0" applyAlignment="1" applyBorder="1" applyFont="1">
      <alignment horizontal="right"/>
    </xf>
    <xf borderId="16" fillId="2" fontId="1" numFmtId="0" xfId="0" applyAlignment="1" applyBorder="1" applyFont="1">
      <alignment horizontal="right" vertical="bottom"/>
    </xf>
    <xf borderId="86" fillId="4" fontId="9" numFmtId="0" xfId="0" applyBorder="1" applyFont="1"/>
    <xf borderId="2" fillId="4" fontId="9" numFmtId="9" xfId="0" applyAlignment="1" applyBorder="1" applyFont="1" applyNumberFormat="1">
      <alignment horizontal="center"/>
    </xf>
    <xf borderId="108" fillId="4" fontId="5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109" fillId="0" fontId="10" numFmtId="0" xfId="0" applyBorder="1" applyFont="1"/>
    <xf borderId="110" fillId="0" fontId="10" numFmtId="0" xfId="0" applyBorder="1" applyFont="1"/>
    <xf borderId="2" fillId="2" fontId="1" numFmtId="0" xfId="0" applyAlignment="1" applyBorder="1" applyFont="1">
      <alignment horizontal="center" readingOrder="0"/>
    </xf>
    <xf borderId="0" fillId="0" fontId="8" numFmtId="0" xfId="0" applyAlignment="1" applyFont="1">
      <alignment horizontal="left" vertical="center"/>
    </xf>
    <xf borderId="2" fillId="3" fontId="5" numFmtId="0" xfId="0" applyAlignment="1" applyBorder="1" applyFont="1">
      <alignment shrinkToFit="0" vertical="center" wrapText="1"/>
    </xf>
    <xf borderId="2" fillId="3" fontId="9" numFmtId="0" xfId="0" applyBorder="1" applyFont="1"/>
    <xf borderId="2" fillId="3" fontId="9" numFmtId="9" xfId="0" applyBorder="1" applyFont="1" applyNumberFormat="1"/>
  </cellXfs>
  <cellStyles count="1">
    <cellStyle xfId="0" name="Normal" builtinId="0"/>
  </cellStyles>
  <dxfs count="1">
    <dxf>
      <font/>
      <fill>
        <patternFill patternType="solid">
          <fgColor rgb="FF548135"/>
          <bgColor rgb="FF54813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22</xdr:row>
      <xdr:rowOff>114300</xdr:rowOff>
    </xdr:from>
    <xdr:ext cx="1209675" cy="1323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5305425" cy="178117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alim.agriculture.gouv.fr/ift/bilan-ift/2018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5" width="11.57"/>
    <col customWidth="1" min="6" max="6" width="11.43"/>
    <col customWidth="1" min="7" max="8" width="11.57"/>
    <col customWidth="1" min="9" max="9" width="4.57"/>
    <col customWidth="1" min="10" max="26" width="11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1" t="s">
        <v>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1"/>
      <c r="C7" s="1"/>
      <c r="D7" s="1"/>
      <c r="E7" s="1"/>
      <c r="F7" s="1"/>
      <c r="G7" s="1"/>
      <c r="H7" s="1"/>
      <c r="I7" s="1"/>
      <c r="J7" s="1" t="s">
        <v>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 t="s">
        <v>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 t="s">
        <v>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 t="s">
        <v>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 t="s">
        <v>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 t="s">
        <v>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3"/>
      <c r="K16" s="1" t="s">
        <v>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4" t="s">
        <v>10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5"/>
      <c r="K19" s="1" t="s">
        <v>11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6"/>
      <c r="K21" s="1" t="s">
        <v>12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 t="s">
        <v>14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23.71"/>
    <col customWidth="1" min="4" max="4" width="16.29"/>
    <col customWidth="1" min="5" max="5" width="17.29"/>
    <col customWidth="1" min="6" max="6" width="15.14"/>
    <col customWidth="1" min="7" max="7" width="12.57"/>
    <col customWidth="1" min="8" max="8" width="11.57"/>
    <col customWidth="1" min="9" max="9" width="16.43"/>
    <col customWidth="1" min="10" max="10" width="11.57"/>
    <col customWidth="1" min="11" max="11" width="12.57"/>
    <col customWidth="1" min="12" max="12" width="13.71"/>
    <col customWidth="1" min="13" max="13" width="16.71"/>
    <col customWidth="1" min="14" max="14" width="15.14"/>
    <col customWidth="1" min="15" max="15" width="14.71"/>
    <col customWidth="1" min="16" max="26" width="11.57"/>
  </cols>
  <sheetData>
    <row r="1">
      <c r="K1" s="7"/>
    </row>
    <row r="2">
      <c r="B2" s="8" t="s">
        <v>15</v>
      </c>
      <c r="K2" s="7"/>
    </row>
    <row r="3">
      <c r="B3" s="9" t="s">
        <v>16</v>
      </c>
      <c r="D3" s="10">
        <f>'GES AVANT NOTIFICATION'!AX45</f>
        <v>2702.965767</v>
      </c>
      <c r="E3" s="9" t="s">
        <v>17</v>
      </c>
      <c r="G3" s="11">
        <f>IFERROR(D3/SUM('SUIVI RABAIS PRODUCTION ET C '!D9:H9),"-")</f>
        <v>1.454669892</v>
      </c>
      <c r="H3" s="9" t="s">
        <v>18</v>
      </c>
      <c r="K3" s="7"/>
    </row>
    <row r="4">
      <c r="B4" s="9" t="s">
        <v>19</v>
      </c>
      <c r="D4" s="10">
        <f t="array" ref="D4">IFERROR(SUM(AVERAGE('GES AVANT NOTIFICATION'!AP31:AP35+'GES AVANT NOTIFICATION'!AV41:AV45)/1000*'SUIVI RABAIS PRODUCTION ET C '!O9:S9),"-")</f>
        <v>2808.443418</v>
      </c>
      <c r="E4" s="9" t="s">
        <v>17</v>
      </c>
      <c r="G4" s="11">
        <f>IFERROR(D4/SUM('SUIVI RABAIS PRODUCTION ET C '!O9:S9),"-")</f>
        <v>1.470543208</v>
      </c>
      <c r="H4" s="9" t="s">
        <v>18</v>
      </c>
      <c r="I4" s="7"/>
      <c r="K4" s="7"/>
    </row>
    <row r="5">
      <c r="B5" s="9" t="s">
        <v>20</v>
      </c>
      <c r="D5" s="10">
        <f>'GES APRES NOTIFICATION '!AX45</f>
        <v>598.631594</v>
      </c>
      <c r="E5" s="9" t="s">
        <v>17</v>
      </c>
      <c r="G5" s="11">
        <f>IFERROR(D5/SUM('SUIVI RABAIS PRODUCTION ET C '!O9:S9),"-")</f>
        <v>0.313452505</v>
      </c>
      <c r="H5" s="9" t="s">
        <v>18</v>
      </c>
      <c r="I5" s="7"/>
      <c r="K5" s="7"/>
    </row>
    <row r="6">
      <c r="K6" s="7"/>
    </row>
    <row r="7" ht="15.75" customHeight="1">
      <c r="B7" s="12" t="s">
        <v>21</v>
      </c>
      <c r="C7" s="13"/>
      <c r="D7" s="13"/>
      <c r="E7" s="13"/>
      <c r="F7" s="13"/>
      <c r="K7" s="7"/>
    </row>
    <row r="8">
      <c r="B8" s="13"/>
      <c r="C8" s="9" t="s">
        <v>22</v>
      </c>
      <c r="D8" s="13"/>
      <c r="E8" s="13"/>
      <c r="F8" s="13"/>
      <c r="G8" s="14">
        <f>IFERROR(D4-D5,"-")</f>
        <v>2209.811824</v>
      </c>
      <c r="H8" s="9" t="s">
        <v>23</v>
      </c>
      <c r="K8" s="7"/>
    </row>
    <row r="9">
      <c r="B9" s="15"/>
      <c r="C9" s="9" t="s">
        <v>24</v>
      </c>
      <c r="D9" s="15"/>
      <c r="E9" s="15"/>
      <c r="F9" s="15"/>
      <c r="G9" s="16">
        <f>IFERROR((D4-D5)/D4,"-")</f>
        <v>0.7868457701</v>
      </c>
      <c r="K9" s="7"/>
    </row>
    <row r="10">
      <c r="B10" s="17"/>
      <c r="C10" s="17"/>
      <c r="D10" s="17"/>
      <c r="E10" s="17"/>
      <c r="F10" s="17"/>
    </row>
    <row r="11">
      <c r="E11" s="18" t="s">
        <v>25</v>
      </c>
      <c r="F11" s="19"/>
    </row>
    <row r="12">
      <c r="B12" s="9" t="s">
        <v>26</v>
      </c>
      <c r="E12" s="20" t="str">
        <f>IF(G12="-","-",IF(G12&gt;=0.3,"O","N"))</f>
        <v>O</v>
      </c>
      <c r="G12" s="21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0.8081364894</v>
      </c>
    </row>
    <row r="13">
      <c r="B13" s="9" t="s">
        <v>27</v>
      </c>
      <c r="E13" s="20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>
      <c r="B14" s="9" t="s">
        <v>28</v>
      </c>
      <c r="E14" s="20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22"/>
    </row>
    <row r="15">
      <c r="B15" s="8"/>
    </row>
    <row r="16">
      <c r="B16" s="8" t="s">
        <v>29</v>
      </c>
    </row>
    <row r="18">
      <c r="B18" s="8"/>
      <c r="E18" s="18" t="s">
        <v>30</v>
      </c>
      <c r="F18" s="18" t="s">
        <v>31</v>
      </c>
      <c r="G18" s="9" t="s">
        <v>32</v>
      </c>
    </row>
    <row r="19">
      <c r="B19" s="9" t="s">
        <v>33</v>
      </c>
      <c r="E19" s="20" t="str">
        <f>IF('CO-BENEFICES '!L22="Ni rabais ni bonus","O",IF('CO-BENEFICES '!L22="le co-bénéfice préservation de la ressource en eau n'est pas effectif", "N", "O"))</f>
        <v>O</v>
      </c>
      <c r="F19" s="23" t="str">
        <f>IF('CO-BENEFICES '!L22="Ni rabais ni bonus","-",'CO-BENEFICES '!P26)</f>
        <v>-</v>
      </c>
      <c r="G19" s="21" t="str">
        <f>IF('CO-BENEFICES '!L22="Ni rabais ni bonus","-",'CO-BENEFICES '!P21*-1)</f>
        <v>-</v>
      </c>
    </row>
    <row r="20">
      <c r="B20" s="9" t="s">
        <v>34</v>
      </c>
      <c r="E20" s="20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20">
        <f>IF(AND('CO-BENEFICES '!M13="Ni rabais ni bonus",'CO-BENEFICES '!M16="Ni rabais ni bonus"),"-",IF(E20="N", "/", 'CO-BENEFICES '!R18+'CO-BENEFICES '!R19))</f>
        <v>6</v>
      </c>
      <c r="G20" s="21">
        <f>IF(AND('CO-BENEFICES '!M13="Ni rabais ni bonus",'CO-BENEFICES '!M16="Ni rabais ni bonus"),"-",F20/32)</f>
        <v>0.1875</v>
      </c>
    </row>
    <row r="21" ht="15.75" customHeight="1">
      <c r="B21" s="9" t="s">
        <v>35</v>
      </c>
      <c r="E21" s="20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24">
        <f>IF(AND('CO-BENEFICES '!M13="Ni rabais ni bonus",'CO-BENEFICES '!M16="Ni rabais ni bonus"),"-",IF(E21="N", "/", 'CO-BENEFICES '!R18+'CO-BENEFICES '!R19))</f>
        <v>6</v>
      </c>
      <c r="G21" s="21">
        <f>IF(AND('CO-BENEFICES '!M13="Ni rabais ni bonus",'CO-BENEFICES '!M16="Ni rabais ni bonus"),"-",F21/32)</f>
        <v>0.1875</v>
      </c>
    </row>
    <row r="22" ht="15.75" customHeight="1"/>
    <row r="23" ht="15.75" customHeight="1">
      <c r="B23" s="8" t="s">
        <v>36</v>
      </c>
    </row>
    <row r="24" ht="15.75" customHeight="1">
      <c r="B24" s="8"/>
    </row>
    <row r="25" ht="15.0" customHeight="1">
      <c r="B25" s="9" t="s">
        <v>37</v>
      </c>
      <c r="E25" s="20" t="str">
        <f>'SUIVI RABAIS PRODUCTION ET C '!C74</f>
        <v>Ni rabais ni bonus</v>
      </c>
      <c r="G25" s="21">
        <f>'SUIVI RABAIS PRODUCTION ET C '!D74</f>
        <v>0</v>
      </c>
    </row>
    <row r="26" ht="15.75" customHeight="1">
      <c r="B26" s="8"/>
    </row>
    <row r="27" ht="15.75" customHeight="1">
      <c r="E27" s="18" t="s">
        <v>38</v>
      </c>
      <c r="F27" s="18"/>
      <c r="G27" s="18" t="s">
        <v>39</v>
      </c>
      <c r="O27" s="13"/>
      <c r="P27" s="25"/>
      <c r="Q27" s="13"/>
      <c r="R27" s="13"/>
      <c r="S27" s="13"/>
    </row>
    <row r="28" ht="15.75" customHeight="1">
      <c r="B28" s="9" t="s">
        <v>40</v>
      </c>
      <c r="E28" s="20" t="str">
        <f>IF(ISBLANK('SUIVI RABAIS PRODUCTION ET C '!M63),"-",IF('SUIVI RABAIS PRODUCTION ET C '!M63="O","Rabais","/"))</f>
        <v>/</v>
      </c>
      <c r="G28" s="21">
        <f>'SUIVI RABAIS PRODUCTION ET C '!O63</f>
        <v>0</v>
      </c>
      <c r="H28" s="26"/>
      <c r="L28" s="26"/>
      <c r="P28" s="27"/>
    </row>
    <row r="29" ht="15.75" customHeight="1">
      <c r="B29" s="9" t="s">
        <v>41</v>
      </c>
      <c r="E29" s="20" t="str">
        <f>IF(ISBLANK('SUIVI RABAIS PRODUCTION ET C '!M65),"-",IF('SUIVI RABAIS PRODUCTION ET C '!M65="O","Rabais","/"))</f>
        <v>/</v>
      </c>
      <c r="G29" s="21">
        <f>'SUIVI RABAIS PRODUCTION ET C '!O65</f>
        <v>0</v>
      </c>
      <c r="H29" s="26"/>
      <c r="L29" s="26"/>
      <c r="P29" s="27"/>
    </row>
    <row r="30" ht="15.75" customHeight="1">
      <c r="B30" s="9" t="s">
        <v>42</v>
      </c>
      <c r="E30" s="24" t="str">
        <f>'SUIVI RABAIS PRODUCTION ET C '!AN21</f>
        <v>Ni rabais ni bonus</v>
      </c>
      <c r="G30" s="21">
        <f>'SUIVI RABAIS PRODUCTION ET C '!AO21</f>
        <v>0</v>
      </c>
      <c r="H30" s="26"/>
      <c r="L30" s="26"/>
      <c r="P30" s="27"/>
    </row>
    <row r="31" ht="15.75" customHeight="1">
      <c r="B31" s="9" t="s">
        <v>43</v>
      </c>
      <c r="E31" s="20" t="str">
        <f>'SUIVI RABAIS PRODUCTION ET C '!I53</f>
        <v>Ni rabais ni bonus</v>
      </c>
      <c r="G31" s="21">
        <f>'SUIVI RABAIS PRODUCTION ET C '!J53</f>
        <v>0</v>
      </c>
      <c r="H31" s="26"/>
      <c r="L31" s="26"/>
      <c r="P31" s="27"/>
    </row>
    <row r="32" ht="15.75" customHeight="1">
      <c r="R32" s="26"/>
    </row>
    <row r="33" ht="15.75" customHeight="1">
      <c r="B33" s="8" t="s">
        <v>44</v>
      </c>
      <c r="R33" s="26"/>
    </row>
    <row r="34" ht="15.75" customHeight="1">
      <c r="B34" s="9" t="str">
        <f>IF(AND(E12="-",E19="-",E20="-",E21="-"),"Les réductions d'émissions ne sont pas encore calculées",IF(AND(E12="O",E19="O",E20="O",E21="O"),"Les réductions d'émissions sont valides et atteignent","Les réductions d'émissions ne sont pas valides"))</f>
        <v>Les réductions d'émissions sont valides et atteignent</v>
      </c>
      <c r="G34" s="28">
        <f>IF(B34="Les réductions d'émissions ne sont pas encore calculées","-",IF(B34="Les réductions d'émissions ne sont pas validables","/",G8*(1+G28)*(1+G29)*(1+G30)*(1+G31)))</f>
        <v>2209.811824</v>
      </c>
      <c r="Q34" s="26"/>
    </row>
    <row r="35" ht="15.75" customHeight="1">
      <c r="G35" s="29"/>
      <c r="K35" s="7"/>
      <c r="L35" s="7"/>
      <c r="M35" s="22"/>
      <c r="N35" s="22"/>
      <c r="O35" s="7"/>
    </row>
    <row r="36" ht="15.75" customHeight="1">
      <c r="F36" s="22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8" width="11.57"/>
    <col customWidth="1" min="9" max="9" width="12.57"/>
    <col customWidth="1" min="10" max="21" width="11.57"/>
    <col customWidth="1" min="22" max="22" width="13.0"/>
    <col customWidth="1" min="23" max="23" width="11.57"/>
    <col customWidth="1" min="24" max="24" width="13.86"/>
    <col customWidth="1" min="25" max="40" width="11.57"/>
    <col customWidth="1" min="41" max="41" width="13.14"/>
    <col customWidth="1" min="42" max="46" width="11.57"/>
    <col customWidth="1" min="47" max="47" width="13.14"/>
    <col customWidth="1" min="48" max="48" width="11.71"/>
    <col customWidth="1" min="49" max="49" width="11.57"/>
    <col customWidth="1" min="50" max="50" width="14.14"/>
    <col customWidth="1" min="51" max="139" width="11.57"/>
  </cols>
  <sheetData>
    <row r="1" ht="15.0" customHeight="1">
      <c r="A1" s="30"/>
      <c r="B1" s="31" t="s">
        <v>45</v>
      </c>
    </row>
    <row r="2" ht="15.0" customHeight="1"/>
    <row r="3" ht="15.0" customHeight="1">
      <c r="B3" s="32" t="s">
        <v>46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4"/>
      <c r="BQ3" s="35"/>
      <c r="BR3" s="35"/>
      <c r="BS3" s="35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4"/>
      <c r="CK3" s="35"/>
      <c r="CL3" s="35"/>
      <c r="CM3" s="35"/>
      <c r="CN3" s="36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</row>
    <row r="4" ht="15.0" customHeight="1">
      <c r="B4" s="31"/>
      <c r="C4" s="38" t="s">
        <v>47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38" t="s">
        <v>48</v>
      </c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40"/>
      <c r="AV4" s="38" t="s">
        <v>49</v>
      </c>
      <c r="AW4" s="39"/>
      <c r="AX4" s="41"/>
      <c r="AY4" s="42" t="s">
        <v>49</v>
      </c>
      <c r="AZ4" s="39"/>
      <c r="BA4" s="40"/>
      <c r="BB4" s="43" t="s">
        <v>50</v>
      </c>
      <c r="BC4" s="39"/>
      <c r="BD4" s="40"/>
      <c r="BE4" s="44" t="s">
        <v>51</v>
      </c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40"/>
      <c r="BQ4" s="45" t="s">
        <v>52</v>
      </c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41"/>
      <c r="CI4" s="46" t="s">
        <v>52</v>
      </c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40"/>
    </row>
    <row r="5" ht="36.75" customHeight="1">
      <c r="A5" s="47"/>
      <c r="B5" s="48"/>
      <c r="C5" s="49" t="s">
        <v>53</v>
      </c>
      <c r="D5" s="50"/>
      <c r="E5" s="51"/>
      <c r="F5" s="52" t="s">
        <v>54</v>
      </c>
      <c r="G5" s="50"/>
      <c r="H5" s="51"/>
      <c r="I5" s="52" t="s">
        <v>55</v>
      </c>
      <c r="J5" s="50"/>
      <c r="K5" s="51"/>
      <c r="L5" s="52" t="s">
        <v>56</v>
      </c>
      <c r="M5" s="50"/>
      <c r="N5" s="51"/>
      <c r="O5" s="52" t="s">
        <v>57</v>
      </c>
      <c r="P5" s="50"/>
      <c r="Q5" s="51"/>
      <c r="R5" s="52" t="s">
        <v>58</v>
      </c>
      <c r="S5" s="50"/>
      <c r="T5" s="51"/>
      <c r="U5" s="52" t="s">
        <v>59</v>
      </c>
      <c r="V5" s="50"/>
      <c r="W5" s="51"/>
      <c r="X5" s="52" t="s">
        <v>60</v>
      </c>
      <c r="Y5" s="50"/>
      <c r="Z5" s="51"/>
      <c r="AA5" s="52" t="s">
        <v>61</v>
      </c>
      <c r="AB5" s="50"/>
      <c r="AC5" s="51"/>
      <c r="AD5" s="52" t="s">
        <v>62</v>
      </c>
      <c r="AE5" s="50"/>
      <c r="AF5" s="53"/>
      <c r="AG5" s="49" t="s">
        <v>63</v>
      </c>
      <c r="AH5" s="50"/>
      <c r="AI5" s="51"/>
      <c r="AJ5" s="54"/>
      <c r="AK5" s="54" t="s">
        <v>64</v>
      </c>
      <c r="AL5" s="54"/>
      <c r="AM5" s="52" t="s">
        <v>65</v>
      </c>
      <c r="AN5" s="50"/>
      <c r="AO5" s="51"/>
      <c r="AP5" s="52" t="s">
        <v>66</v>
      </c>
      <c r="AQ5" s="50"/>
      <c r="AR5" s="51"/>
      <c r="AS5" s="52" t="s">
        <v>67</v>
      </c>
      <c r="AT5" s="50"/>
      <c r="AU5" s="53"/>
      <c r="AV5" s="49" t="s">
        <v>68</v>
      </c>
      <c r="AW5" s="50"/>
      <c r="AX5" s="51"/>
      <c r="AY5" s="52" t="s">
        <v>69</v>
      </c>
      <c r="AZ5" s="50"/>
      <c r="BA5" s="53"/>
      <c r="BB5" s="55" t="s">
        <v>70</v>
      </c>
      <c r="BC5" s="50"/>
      <c r="BD5" s="53"/>
      <c r="BE5" s="56" t="s">
        <v>71</v>
      </c>
      <c r="BF5" s="50"/>
      <c r="BG5" s="51"/>
      <c r="BH5" s="57" t="s">
        <v>72</v>
      </c>
      <c r="BI5" s="50"/>
      <c r="BJ5" s="51"/>
      <c r="BK5" s="57" t="s">
        <v>73</v>
      </c>
      <c r="BL5" s="50"/>
      <c r="BM5" s="51"/>
      <c r="BN5" s="57" t="s">
        <v>74</v>
      </c>
      <c r="BO5" s="50"/>
      <c r="BP5" s="53"/>
      <c r="BQ5" s="58" t="s">
        <v>75</v>
      </c>
      <c r="BR5" s="50"/>
      <c r="BS5" s="51"/>
      <c r="BT5" s="59" t="s">
        <v>76</v>
      </c>
      <c r="BU5" s="50"/>
      <c r="BV5" s="51"/>
      <c r="BW5" s="60"/>
      <c r="BX5" s="50"/>
      <c r="BY5" s="51"/>
      <c r="BZ5" s="60"/>
      <c r="CA5" s="50"/>
      <c r="CB5" s="51"/>
      <c r="CC5" s="60"/>
      <c r="CD5" s="50"/>
      <c r="CE5" s="51"/>
      <c r="CF5" s="60"/>
      <c r="CG5" s="50"/>
      <c r="CH5" s="51"/>
      <c r="CI5" s="61" t="s">
        <v>77</v>
      </c>
      <c r="CJ5" s="50"/>
      <c r="CK5" s="51"/>
      <c r="CL5" s="61" t="s">
        <v>78</v>
      </c>
      <c r="CM5" s="50"/>
      <c r="CN5" s="51"/>
      <c r="CO5" s="61" t="s">
        <v>79</v>
      </c>
      <c r="CP5" s="50"/>
      <c r="CQ5" s="51"/>
      <c r="CR5" s="61" t="s">
        <v>80</v>
      </c>
      <c r="CS5" s="50"/>
      <c r="CT5" s="51"/>
      <c r="CU5" s="61" t="s">
        <v>81</v>
      </c>
      <c r="CV5" s="50"/>
      <c r="CW5" s="51"/>
      <c r="CX5" s="62" t="s">
        <v>82</v>
      </c>
      <c r="CY5" s="50"/>
      <c r="CZ5" s="51"/>
      <c r="DA5" s="61" t="s">
        <v>83</v>
      </c>
      <c r="DB5" s="50"/>
      <c r="DC5" s="51"/>
      <c r="DD5" s="61" t="s">
        <v>84</v>
      </c>
      <c r="DE5" s="50"/>
      <c r="DF5" s="51"/>
      <c r="DG5" s="62" t="s">
        <v>85</v>
      </c>
      <c r="DH5" s="50"/>
      <c r="DI5" s="51"/>
      <c r="DJ5" s="61" t="s">
        <v>86</v>
      </c>
      <c r="DK5" s="50"/>
      <c r="DL5" s="53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</row>
    <row r="6" ht="33.75" customHeight="1">
      <c r="B6" s="63"/>
      <c r="C6" s="64" t="s">
        <v>87</v>
      </c>
      <c r="D6" s="65" t="s">
        <v>88</v>
      </c>
      <c r="E6" s="65" t="s">
        <v>89</v>
      </c>
      <c r="F6" s="65" t="s">
        <v>87</v>
      </c>
      <c r="G6" s="65" t="s">
        <v>88</v>
      </c>
      <c r="H6" s="65" t="s">
        <v>89</v>
      </c>
      <c r="I6" s="65" t="s">
        <v>87</v>
      </c>
      <c r="J6" s="65" t="s">
        <v>88</v>
      </c>
      <c r="K6" s="65" t="s">
        <v>89</v>
      </c>
      <c r="L6" s="65" t="s">
        <v>87</v>
      </c>
      <c r="M6" s="65" t="s">
        <v>88</v>
      </c>
      <c r="N6" s="65" t="s">
        <v>89</v>
      </c>
      <c r="O6" s="65" t="s">
        <v>87</v>
      </c>
      <c r="P6" s="65" t="s">
        <v>88</v>
      </c>
      <c r="Q6" s="65" t="s">
        <v>89</v>
      </c>
      <c r="R6" s="65" t="s">
        <v>87</v>
      </c>
      <c r="S6" s="65" t="s">
        <v>88</v>
      </c>
      <c r="T6" s="65" t="s">
        <v>89</v>
      </c>
      <c r="U6" s="65" t="s">
        <v>87</v>
      </c>
      <c r="V6" s="65" t="s">
        <v>88</v>
      </c>
      <c r="W6" s="65" t="s">
        <v>89</v>
      </c>
      <c r="X6" s="65" t="s">
        <v>87</v>
      </c>
      <c r="Y6" s="65" t="s">
        <v>88</v>
      </c>
      <c r="Z6" s="65" t="s">
        <v>89</v>
      </c>
      <c r="AA6" s="65" t="s">
        <v>87</v>
      </c>
      <c r="AB6" s="65" t="s">
        <v>88</v>
      </c>
      <c r="AC6" s="65" t="s">
        <v>89</v>
      </c>
      <c r="AD6" s="65" t="s">
        <v>87</v>
      </c>
      <c r="AE6" s="65" t="s">
        <v>88</v>
      </c>
      <c r="AF6" s="66" t="s">
        <v>89</v>
      </c>
      <c r="AG6" s="64" t="s">
        <v>87</v>
      </c>
      <c r="AH6" s="65" t="s">
        <v>88</v>
      </c>
      <c r="AI6" s="65" t="s">
        <v>89</v>
      </c>
      <c r="AJ6" s="65" t="s">
        <v>87</v>
      </c>
      <c r="AK6" s="65" t="s">
        <v>88</v>
      </c>
      <c r="AL6" s="65" t="s">
        <v>89</v>
      </c>
      <c r="AM6" s="65" t="s">
        <v>87</v>
      </c>
      <c r="AN6" s="65" t="s">
        <v>88</v>
      </c>
      <c r="AO6" s="65" t="s">
        <v>89</v>
      </c>
      <c r="AP6" s="65" t="s">
        <v>87</v>
      </c>
      <c r="AQ6" s="65" t="s">
        <v>88</v>
      </c>
      <c r="AR6" s="65" t="s">
        <v>89</v>
      </c>
      <c r="AS6" s="65" t="s">
        <v>87</v>
      </c>
      <c r="AT6" s="65" t="s">
        <v>88</v>
      </c>
      <c r="AU6" s="66" t="s">
        <v>89</v>
      </c>
      <c r="AV6" s="64" t="s">
        <v>87</v>
      </c>
      <c r="AW6" s="65" t="s">
        <v>88</v>
      </c>
      <c r="AX6" s="65" t="s">
        <v>89</v>
      </c>
      <c r="AY6" s="65" t="s">
        <v>87</v>
      </c>
      <c r="AZ6" s="65" t="s">
        <v>88</v>
      </c>
      <c r="BA6" s="66" t="s">
        <v>89</v>
      </c>
      <c r="BB6" s="64" t="s">
        <v>87</v>
      </c>
      <c r="BC6" s="65" t="s">
        <v>88</v>
      </c>
      <c r="BD6" s="66" t="s">
        <v>89</v>
      </c>
      <c r="BE6" s="64" t="s">
        <v>87</v>
      </c>
      <c r="BF6" s="65" t="s">
        <v>88</v>
      </c>
      <c r="BG6" s="65" t="s">
        <v>89</v>
      </c>
      <c r="BH6" s="65" t="s">
        <v>87</v>
      </c>
      <c r="BI6" s="65" t="s">
        <v>88</v>
      </c>
      <c r="BJ6" s="65" t="s">
        <v>89</v>
      </c>
      <c r="BK6" s="65" t="s">
        <v>87</v>
      </c>
      <c r="BL6" s="65" t="s">
        <v>88</v>
      </c>
      <c r="BM6" s="65" t="s">
        <v>89</v>
      </c>
      <c r="BN6" s="65" t="s">
        <v>87</v>
      </c>
      <c r="BO6" s="65" t="s">
        <v>88</v>
      </c>
      <c r="BP6" s="66" t="s">
        <v>89</v>
      </c>
      <c r="BQ6" s="64" t="s">
        <v>87</v>
      </c>
      <c r="BR6" s="65" t="s">
        <v>88</v>
      </c>
      <c r="BS6" s="65" t="s">
        <v>89</v>
      </c>
      <c r="BT6" s="65" t="s">
        <v>87</v>
      </c>
      <c r="BU6" s="65" t="s">
        <v>88</v>
      </c>
      <c r="BV6" s="65" t="s">
        <v>89</v>
      </c>
      <c r="BW6" s="65" t="s">
        <v>87</v>
      </c>
      <c r="BX6" s="65" t="s">
        <v>88</v>
      </c>
      <c r="BY6" s="65" t="s">
        <v>89</v>
      </c>
      <c r="BZ6" s="65" t="s">
        <v>87</v>
      </c>
      <c r="CA6" s="65" t="s">
        <v>88</v>
      </c>
      <c r="CB6" s="65" t="s">
        <v>89</v>
      </c>
      <c r="CC6" s="65" t="s">
        <v>87</v>
      </c>
      <c r="CD6" s="65" t="s">
        <v>88</v>
      </c>
      <c r="CE6" s="65" t="s">
        <v>89</v>
      </c>
      <c r="CF6" s="65" t="s">
        <v>87</v>
      </c>
      <c r="CG6" s="65" t="s">
        <v>88</v>
      </c>
      <c r="CH6" s="65" t="s">
        <v>89</v>
      </c>
      <c r="CI6" s="65" t="s">
        <v>90</v>
      </c>
      <c r="CJ6" s="65" t="s">
        <v>91</v>
      </c>
      <c r="CK6" s="65" t="s">
        <v>92</v>
      </c>
      <c r="CL6" s="65" t="s">
        <v>90</v>
      </c>
      <c r="CM6" s="65" t="s">
        <v>91</v>
      </c>
      <c r="CN6" s="65" t="s">
        <v>92</v>
      </c>
      <c r="CO6" s="65" t="s">
        <v>90</v>
      </c>
      <c r="CP6" s="65" t="s">
        <v>91</v>
      </c>
      <c r="CQ6" s="65" t="s">
        <v>92</v>
      </c>
      <c r="CR6" s="65" t="s">
        <v>90</v>
      </c>
      <c r="CS6" s="65" t="s">
        <v>91</v>
      </c>
      <c r="CT6" s="65" t="s">
        <v>92</v>
      </c>
      <c r="CU6" s="65" t="s">
        <v>90</v>
      </c>
      <c r="CV6" s="65" t="s">
        <v>91</v>
      </c>
      <c r="CW6" s="65" t="s">
        <v>92</v>
      </c>
      <c r="CX6" s="65" t="s">
        <v>90</v>
      </c>
      <c r="CY6" s="65" t="s">
        <v>91</v>
      </c>
      <c r="CZ6" s="65" t="s">
        <v>92</v>
      </c>
      <c r="DA6" s="65" t="s">
        <v>90</v>
      </c>
      <c r="DB6" s="65" t="s">
        <v>91</v>
      </c>
      <c r="DC6" s="65" t="s">
        <v>92</v>
      </c>
      <c r="DD6" s="65" t="s">
        <v>90</v>
      </c>
      <c r="DE6" s="65" t="s">
        <v>91</v>
      </c>
      <c r="DF6" s="65" t="s">
        <v>92</v>
      </c>
      <c r="DG6" s="65" t="s">
        <v>90</v>
      </c>
      <c r="DH6" s="65" t="s">
        <v>91</v>
      </c>
      <c r="DI6" s="65" t="s">
        <v>92</v>
      </c>
      <c r="DJ6" s="65" t="s">
        <v>90</v>
      </c>
      <c r="DK6" s="65" t="s">
        <v>91</v>
      </c>
      <c r="DL6" s="66" t="s">
        <v>92</v>
      </c>
      <c r="EI6" s="67"/>
    </row>
    <row r="7">
      <c r="B7" s="52" t="s">
        <v>93</v>
      </c>
      <c r="C7" s="68"/>
      <c r="D7" s="69"/>
      <c r="E7" s="69"/>
      <c r="F7" s="70">
        <v>50100.0</v>
      </c>
      <c r="G7" s="70">
        <v>600.0</v>
      </c>
      <c r="H7" s="70">
        <v>0.0</v>
      </c>
      <c r="I7" s="69"/>
      <c r="J7" s="69"/>
      <c r="K7" s="69"/>
      <c r="L7" s="70">
        <v>0.0</v>
      </c>
      <c r="M7" s="70">
        <v>120280.0</v>
      </c>
      <c r="N7" s="70">
        <v>44980.0</v>
      </c>
      <c r="O7" s="70">
        <v>6600.0</v>
      </c>
      <c r="P7" s="70">
        <v>3600.0</v>
      </c>
      <c r="Q7" s="70">
        <v>600.0</v>
      </c>
      <c r="R7" s="70"/>
      <c r="S7" s="69"/>
      <c r="T7" s="69"/>
      <c r="U7" s="70">
        <v>3300.0</v>
      </c>
      <c r="V7" s="70">
        <v>0.0</v>
      </c>
      <c r="W7" s="70">
        <v>0.0</v>
      </c>
      <c r="X7" s="69"/>
      <c r="Y7" s="69"/>
      <c r="Z7" s="69"/>
      <c r="AA7" s="70">
        <v>3600.0</v>
      </c>
      <c r="AB7" s="70">
        <v>0.0</v>
      </c>
      <c r="AC7" s="70">
        <v>3600.0</v>
      </c>
      <c r="AD7" s="69"/>
      <c r="AE7" s="69"/>
      <c r="AF7" s="71"/>
      <c r="AG7" s="68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70">
        <v>3000.0</v>
      </c>
      <c r="AT7" s="70">
        <v>0.0</v>
      </c>
      <c r="AU7" s="70">
        <v>0.0</v>
      </c>
      <c r="AV7" s="68"/>
      <c r="AW7" s="69"/>
      <c r="AX7" s="72"/>
      <c r="AY7" s="69"/>
      <c r="AZ7" s="69"/>
      <c r="BA7" s="71"/>
      <c r="BB7" s="68"/>
      <c r="BC7" s="69"/>
      <c r="BD7" s="71"/>
      <c r="BE7" s="73">
        <v>4200.0</v>
      </c>
      <c r="BF7" s="70">
        <v>0.0</v>
      </c>
      <c r="BG7" s="70">
        <v>0.0</v>
      </c>
      <c r="BH7" s="69"/>
      <c r="BI7" s="69"/>
      <c r="BJ7" s="69"/>
      <c r="BK7" s="69"/>
      <c r="BL7" s="69"/>
      <c r="BM7" s="69"/>
      <c r="BN7" s="69"/>
      <c r="BO7" s="69"/>
      <c r="BP7" s="71"/>
      <c r="BQ7" s="68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71"/>
      <c r="EI7" s="67"/>
    </row>
    <row r="8">
      <c r="B8" s="52" t="s">
        <v>94</v>
      </c>
      <c r="C8" s="68"/>
      <c r="D8" s="69"/>
      <c r="E8" s="69"/>
      <c r="F8" s="70">
        <v>25800.0</v>
      </c>
      <c r="G8" s="70">
        <v>0.0</v>
      </c>
      <c r="H8" s="70">
        <v>1200.0</v>
      </c>
      <c r="I8" s="69"/>
      <c r="J8" s="69"/>
      <c r="K8" s="69"/>
      <c r="L8" s="70">
        <v>84740.0</v>
      </c>
      <c r="M8" s="70">
        <v>44980.0</v>
      </c>
      <c r="N8" s="70">
        <v>6500.0</v>
      </c>
      <c r="O8" s="70">
        <v>30000.0</v>
      </c>
      <c r="P8" s="70">
        <v>600.0</v>
      </c>
      <c r="Q8" s="70">
        <v>0.0</v>
      </c>
      <c r="R8" s="70">
        <v>26400.0</v>
      </c>
      <c r="S8" s="70">
        <v>0.0</v>
      </c>
      <c r="T8" s="70">
        <v>8976.0</v>
      </c>
      <c r="U8" s="70">
        <v>24600.0</v>
      </c>
      <c r="V8" s="70">
        <v>0.0</v>
      </c>
      <c r="W8" s="70">
        <v>0.0</v>
      </c>
      <c r="X8" s="69"/>
      <c r="Y8" s="69"/>
      <c r="Z8" s="69"/>
      <c r="AA8" s="70">
        <v>3600.0</v>
      </c>
      <c r="AB8" s="70">
        <v>7200.0</v>
      </c>
      <c r="AC8" s="70">
        <v>2400.0</v>
      </c>
      <c r="AD8" s="69"/>
      <c r="AE8" s="69"/>
      <c r="AF8" s="71"/>
      <c r="AG8" s="68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70">
        <v>600.0</v>
      </c>
      <c r="AT8" s="70">
        <v>0.0</v>
      </c>
      <c r="AU8" s="70">
        <v>0.0</v>
      </c>
      <c r="AV8" s="68"/>
      <c r="AW8" s="69"/>
      <c r="AX8" s="72"/>
      <c r="AY8" s="69"/>
      <c r="AZ8" s="69"/>
      <c r="BA8" s="71"/>
      <c r="BB8" s="68"/>
      <c r="BC8" s="69"/>
      <c r="BD8" s="71"/>
      <c r="BE8" s="73">
        <v>3600.0</v>
      </c>
      <c r="BF8" s="70">
        <v>0.0</v>
      </c>
      <c r="BG8" s="70">
        <v>0.0</v>
      </c>
      <c r="BH8" s="69"/>
      <c r="BI8" s="69"/>
      <c r="BJ8" s="69"/>
      <c r="BK8" s="69"/>
      <c r="BL8" s="69"/>
      <c r="BM8" s="69"/>
      <c r="BN8" s="69"/>
      <c r="BO8" s="69"/>
      <c r="BP8" s="71"/>
      <c r="BQ8" s="68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71"/>
      <c r="EI8" s="67"/>
    </row>
    <row r="9" ht="15.0" customHeight="1">
      <c r="B9" s="52" t="s">
        <v>95</v>
      </c>
      <c r="C9" s="68"/>
      <c r="D9" s="69"/>
      <c r="E9" s="69"/>
      <c r="F9" s="70">
        <v>19800.0</v>
      </c>
      <c r="G9" s="70">
        <v>1200.0</v>
      </c>
      <c r="H9" s="70">
        <v>0.0</v>
      </c>
      <c r="I9" s="69"/>
      <c r="J9" s="69"/>
      <c r="K9" s="69"/>
      <c r="L9" s="70">
        <v>102840.0</v>
      </c>
      <c r="M9" s="70">
        <v>6500.0</v>
      </c>
      <c r="N9" s="70">
        <v>0.0</v>
      </c>
      <c r="O9" s="70">
        <v>30000.0</v>
      </c>
      <c r="P9" s="70">
        <v>0.0</v>
      </c>
      <c r="Q9" s="70">
        <v>0.0</v>
      </c>
      <c r="R9" s="74">
        <v>0.0</v>
      </c>
      <c r="S9" s="70">
        <v>8976.0</v>
      </c>
      <c r="T9" s="70">
        <v>8976.0</v>
      </c>
      <c r="U9" s="69"/>
      <c r="V9" s="69"/>
      <c r="W9" s="69"/>
      <c r="X9" s="69"/>
      <c r="Y9" s="69"/>
      <c r="Z9" s="69"/>
      <c r="AA9" s="70">
        <v>0.0</v>
      </c>
      <c r="AB9" s="70">
        <v>2400.0</v>
      </c>
      <c r="AC9" s="70">
        <v>2400.0</v>
      </c>
      <c r="AD9" s="69"/>
      <c r="AE9" s="69"/>
      <c r="AF9" s="71"/>
      <c r="AG9" s="68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71"/>
      <c r="AV9" s="73">
        <v>9600.0</v>
      </c>
      <c r="AW9" s="70">
        <v>0.0</v>
      </c>
      <c r="AX9" s="75">
        <v>0.0</v>
      </c>
      <c r="AY9" s="69"/>
      <c r="AZ9" s="69"/>
      <c r="BA9" s="71"/>
      <c r="BB9" s="68"/>
      <c r="BC9" s="69"/>
      <c r="BD9" s="71"/>
      <c r="BE9" s="68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71"/>
      <c r="BQ9" s="68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71"/>
      <c r="EI9" s="67"/>
    </row>
    <row r="10">
      <c r="B10" s="52" t="s">
        <v>96</v>
      </c>
      <c r="C10" s="68"/>
      <c r="D10" s="69"/>
      <c r="E10" s="69"/>
      <c r="F10" s="69"/>
      <c r="G10" s="69"/>
      <c r="H10" s="69"/>
      <c r="I10" s="69"/>
      <c r="J10" s="69"/>
      <c r="K10" s="69"/>
      <c r="L10" s="70">
        <v>158020.0</v>
      </c>
      <c r="M10" s="70">
        <v>0.0</v>
      </c>
      <c r="N10" s="70">
        <v>0.0</v>
      </c>
      <c r="O10" s="70">
        <v>1020.0</v>
      </c>
      <c r="P10" s="70">
        <v>0.0</v>
      </c>
      <c r="Q10" s="70">
        <v>600.0</v>
      </c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71"/>
      <c r="AG10" s="68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71"/>
      <c r="AV10" s="73">
        <v>11400.0</v>
      </c>
      <c r="AW10" s="70">
        <v>0.0</v>
      </c>
      <c r="AX10" s="75">
        <v>0.0</v>
      </c>
      <c r="AY10" s="69"/>
      <c r="AZ10" s="69"/>
      <c r="BA10" s="71"/>
      <c r="BB10" s="68"/>
      <c r="BC10" s="69"/>
      <c r="BD10" s="71"/>
      <c r="BE10" s="68"/>
      <c r="BF10" s="69"/>
      <c r="BG10" s="69"/>
      <c r="BH10" s="70">
        <v>2400.0</v>
      </c>
      <c r="BI10" s="70">
        <v>0.0</v>
      </c>
      <c r="BJ10" s="70">
        <v>0.0</v>
      </c>
      <c r="BK10" s="69"/>
      <c r="BL10" s="69"/>
      <c r="BM10" s="69"/>
      <c r="BN10" s="69"/>
      <c r="BO10" s="69"/>
      <c r="BP10" s="71"/>
      <c r="BQ10" s="68"/>
      <c r="BR10" s="70">
        <v>2775.0</v>
      </c>
      <c r="BS10" s="70">
        <v>0.0</v>
      </c>
      <c r="BT10" s="70"/>
      <c r="BU10" s="70">
        <v>460.0</v>
      </c>
      <c r="BV10" s="70">
        <v>0.0</v>
      </c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71"/>
      <c r="EI10" s="67"/>
    </row>
    <row r="11" ht="15.0" customHeight="1">
      <c r="B11" s="52" t="s">
        <v>97</v>
      </c>
      <c r="C11" s="76"/>
      <c r="D11" s="77"/>
      <c r="E11" s="77"/>
      <c r="F11" s="77"/>
      <c r="G11" s="77"/>
      <c r="H11" s="77"/>
      <c r="I11" s="77"/>
      <c r="J11" s="77"/>
      <c r="K11" s="77"/>
      <c r="L11" s="78">
        <v>12026.0</v>
      </c>
      <c r="M11" s="78">
        <v>0.0</v>
      </c>
      <c r="N11" s="78">
        <v>0.0</v>
      </c>
      <c r="O11" s="78">
        <v>0.0</v>
      </c>
      <c r="P11" s="78">
        <v>600.0</v>
      </c>
      <c r="Q11" s="78">
        <v>0.0</v>
      </c>
      <c r="R11" s="78">
        <v>500.0</v>
      </c>
      <c r="S11" s="78">
        <v>0.0</v>
      </c>
      <c r="T11" s="78">
        <v>0.0</v>
      </c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9"/>
      <c r="AG11" s="76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8">
        <v>4600.0</v>
      </c>
      <c r="AT11" s="78">
        <v>0.0</v>
      </c>
      <c r="AU11" s="80">
        <v>0.0</v>
      </c>
      <c r="AV11" s="76"/>
      <c r="AW11" s="77"/>
      <c r="AX11" s="81"/>
      <c r="AY11" s="77"/>
      <c r="AZ11" s="77"/>
      <c r="BA11" s="79"/>
      <c r="BB11" s="76"/>
      <c r="BC11" s="77"/>
      <c r="BD11" s="79"/>
      <c r="BE11" s="76"/>
      <c r="BF11" s="77"/>
      <c r="BG11" s="77"/>
      <c r="BH11" s="78">
        <v>26140.0</v>
      </c>
      <c r="BI11" s="70">
        <v>0.0</v>
      </c>
      <c r="BJ11" s="70">
        <v>0.0</v>
      </c>
      <c r="BK11" s="77"/>
      <c r="BL11" s="77"/>
      <c r="BM11" s="77"/>
      <c r="BN11" s="77"/>
      <c r="BO11" s="77"/>
      <c r="BP11" s="79"/>
      <c r="BQ11" s="76"/>
      <c r="BR11" s="70">
        <v>2775.0</v>
      </c>
      <c r="BS11" s="78">
        <v>0.0</v>
      </c>
      <c r="BT11" s="77"/>
      <c r="BU11" s="70">
        <v>460.0</v>
      </c>
      <c r="BV11" s="70">
        <v>0.0</v>
      </c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69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9"/>
      <c r="EI11" s="67"/>
    </row>
    <row r="12">
      <c r="EI12" s="67"/>
    </row>
    <row r="13" ht="14.25" customHeight="1">
      <c r="B13" s="82" t="s">
        <v>98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83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67"/>
    </row>
    <row r="14" ht="15.0" customHeight="1">
      <c r="B14" s="86"/>
      <c r="C14" s="87" t="s">
        <v>99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9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1" t="s">
        <v>50</v>
      </c>
      <c r="CL14" s="92"/>
      <c r="CM14" s="93" t="s">
        <v>100</v>
      </c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92"/>
      <c r="DC14" s="94" t="s">
        <v>52</v>
      </c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92"/>
      <c r="DO14" s="95" t="s">
        <v>52</v>
      </c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9"/>
      <c r="EI14" s="67"/>
    </row>
    <row r="15" ht="15.0" customHeight="1">
      <c r="B15" s="96"/>
      <c r="C15" s="38" t="s">
        <v>47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40"/>
      <c r="AQ15" s="97" t="s">
        <v>48</v>
      </c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40"/>
      <c r="BQ15" s="97" t="s">
        <v>49</v>
      </c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40"/>
      <c r="CK15" s="98" t="s">
        <v>101</v>
      </c>
      <c r="CL15" s="99"/>
      <c r="CM15" s="100" t="s">
        <v>102</v>
      </c>
      <c r="CN15" s="101"/>
      <c r="CO15" s="101"/>
      <c r="CP15" s="102"/>
      <c r="CQ15" s="103" t="s">
        <v>103</v>
      </c>
      <c r="CR15" s="101"/>
      <c r="CS15" s="101"/>
      <c r="CT15" s="102"/>
      <c r="CU15" s="103" t="s">
        <v>104</v>
      </c>
      <c r="CV15" s="101"/>
      <c r="CW15" s="101"/>
      <c r="CX15" s="102"/>
      <c r="CY15" s="103" t="s">
        <v>105</v>
      </c>
      <c r="CZ15" s="101"/>
      <c r="DA15" s="101"/>
      <c r="DB15" s="99"/>
      <c r="DC15" s="104" t="str">
        <f>BQ5</f>
        <v>Digestats de méthanisation liquide</v>
      </c>
      <c r="DD15" s="102"/>
      <c r="DE15" s="105" t="str">
        <f>BT5</f>
        <v>Digestats de méthanisation solide</v>
      </c>
      <c r="DF15" s="102"/>
      <c r="DG15" s="105" t="str">
        <f>BW5</f>
        <v/>
      </c>
      <c r="DH15" s="102"/>
      <c r="DI15" s="105" t="str">
        <f>BZ5</f>
        <v/>
      </c>
      <c r="DJ15" s="102"/>
      <c r="DK15" s="105" t="str">
        <f>CC5</f>
        <v/>
      </c>
      <c r="DL15" s="102"/>
      <c r="DM15" s="105" t="str">
        <f>CF5</f>
        <v/>
      </c>
      <c r="DN15" s="102"/>
      <c r="DO15" s="106" t="s">
        <v>77</v>
      </c>
      <c r="DP15" s="102"/>
      <c r="DQ15" s="106" t="s">
        <v>78</v>
      </c>
      <c r="DR15" s="102"/>
      <c r="DS15" s="106" t="s">
        <v>79</v>
      </c>
      <c r="DT15" s="102"/>
      <c r="DU15" s="106" t="s">
        <v>80</v>
      </c>
      <c r="DV15" s="102"/>
      <c r="DW15" s="107" t="s">
        <v>81</v>
      </c>
      <c r="DX15" s="102"/>
      <c r="DY15" s="107" t="s">
        <v>82</v>
      </c>
      <c r="DZ15" s="102"/>
      <c r="EA15" s="106" t="s">
        <v>83</v>
      </c>
      <c r="EB15" s="102"/>
      <c r="EC15" s="106" t="s">
        <v>84</v>
      </c>
      <c r="ED15" s="102"/>
      <c r="EE15" s="108" t="s">
        <v>85</v>
      </c>
      <c r="EF15" s="101"/>
      <c r="EG15" s="106" t="s">
        <v>86</v>
      </c>
      <c r="EH15" s="99"/>
      <c r="EI15" s="67"/>
    </row>
    <row r="16">
      <c r="B16" s="96"/>
      <c r="C16" s="109" t="s">
        <v>106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1"/>
      <c r="AA16" s="110" t="s">
        <v>107</v>
      </c>
      <c r="AB16" s="50"/>
      <c r="AC16" s="50"/>
      <c r="AD16" s="50"/>
      <c r="AE16" s="50"/>
      <c r="AF16" s="50"/>
      <c r="AG16" s="50"/>
      <c r="AH16" s="51"/>
      <c r="AI16" s="111" t="s">
        <v>108</v>
      </c>
      <c r="AJ16" s="50"/>
      <c r="AK16" s="50"/>
      <c r="AL16" s="50"/>
      <c r="AM16" s="50"/>
      <c r="AN16" s="50"/>
      <c r="AO16" s="50"/>
      <c r="AP16" s="53"/>
      <c r="AQ16" s="109" t="s">
        <v>109</v>
      </c>
      <c r="AR16" s="50"/>
      <c r="AS16" s="50"/>
      <c r="AT16" s="50"/>
      <c r="AU16" s="50"/>
      <c r="AV16" s="50"/>
      <c r="AW16" s="51"/>
      <c r="AX16" s="110" t="s">
        <v>110</v>
      </c>
      <c r="AY16" s="50"/>
      <c r="AZ16" s="50"/>
      <c r="BA16" s="51"/>
      <c r="BB16" s="110" t="s">
        <v>111</v>
      </c>
      <c r="BC16" s="50"/>
      <c r="BD16" s="50"/>
      <c r="BE16" s="50"/>
      <c r="BF16" s="50"/>
      <c r="BG16" s="50"/>
      <c r="BH16" s="51"/>
      <c r="BI16" s="110" t="s">
        <v>112</v>
      </c>
      <c r="BJ16" s="50"/>
      <c r="BK16" s="50"/>
      <c r="BL16" s="51"/>
      <c r="BM16" s="110" t="s">
        <v>113</v>
      </c>
      <c r="BN16" s="50"/>
      <c r="BO16" s="50"/>
      <c r="BP16" s="53"/>
      <c r="BQ16" s="109" t="s">
        <v>114</v>
      </c>
      <c r="BR16" s="50"/>
      <c r="BS16" s="50"/>
      <c r="BT16" s="50"/>
      <c r="BU16" s="50"/>
      <c r="BV16" s="50"/>
      <c r="BW16" s="50"/>
      <c r="BX16" s="50"/>
      <c r="BY16" s="50"/>
      <c r="BZ16" s="51"/>
      <c r="CA16" s="110" t="s">
        <v>115</v>
      </c>
      <c r="CB16" s="50"/>
      <c r="CC16" s="50"/>
      <c r="CD16" s="50"/>
      <c r="CE16" s="50"/>
      <c r="CF16" s="50"/>
      <c r="CG16" s="50"/>
      <c r="CH16" s="50"/>
      <c r="CI16" s="50"/>
      <c r="CJ16" s="53"/>
      <c r="CK16" s="112"/>
      <c r="CL16" s="113"/>
      <c r="CM16" s="112"/>
      <c r="CP16" s="114"/>
      <c r="CQ16" s="115"/>
      <c r="CT16" s="114"/>
      <c r="CU16" s="115"/>
      <c r="CX16" s="114"/>
      <c r="CY16" s="115"/>
      <c r="DB16" s="113"/>
      <c r="DC16" s="112"/>
      <c r="DD16" s="114"/>
      <c r="DE16" s="115"/>
      <c r="DF16" s="114"/>
      <c r="DG16" s="115"/>
      <c r="DH16" s="114"/>
      <c r="DI16" s="115"/>
      <c r="DJ16" s="114"/>
      <c r="DK16" s="115"/>
      <c r="DL16" s="114"/>
      <c r="DM16" s="115"/>
      <c r="DN16" s="114"/>
      <c r="DO16" s="115"/>
      <c r="DP16" s="114"/>
      <c r="DQ16" s="115"/>
      <c r="DR16" s="114"/>
      <c r="DS16" s="115"/>
      <c r="DT16" s="114"/>
      <c r="DU16" s="115"/>
      <c r="DV16" s="114"/>
      <c r="DW16" s="115"/>
      <c r="DX16" s="114"/>
      <c r="DY16" s="115"/>
      <c r="DZ16" s="114"/>
      <c r="EA16" s="115"/>
      <c r="EB16" s="114"/>
      <c r="EC16" s="115"/>
      <c r="ED16" s="114"/>
      <c r="EE16" s="115"/>
      <c r="EG16" s="115"/>
      <c r="EH16" s="113"/>
    </row>
    <row r="17">
      <c r="B17" s="96"/>
      <c r="C17" s="109" t="s">
        <v>53</v>
      </c>
      <c r="D17" s="50"/>
      <c r="E17" s="50"/>
      <c r="F17" s="51"/>
      <c r="G17" s="110" t="s">
        <v>54</v>
      </c>
      <c r="H17" s="50"/>
      <c r="I17" s="50"/>
      <c r="J17" s="51"/>
      <c r="K17" s="110" t="s">
        <v>55</v>
      </c>
      <c r="L17" s="50"/>
      <c r="M17" s="50"/>
      <c r="N17" s="51"/>
      <c r="O17" s="110" t="s">
        <v>56</v>
      </c>
      <c r="P17" s="50"/>
      <c r="Q17" s="50"/>
      <c r="R17" s="51"/>
      <c r="S17" s="110" t="s">
        <v>57</v>
      </c>
      <c r="T17" s="50"/>
      <c r="U17" s="50"/>
      <c r="V17" s="51"/>
      <c r="W17" s="111" t="s">
        <v>58</v>
      </c>
      <c r="X17" s="50"/>
      <c r="Y17" s="50"/>
      <c r="Z17" s="51"/>
      <c r="AA17" s="110" t="s">
        <v>59</v>
      </c>
      <c r="AB17" s="50"/>
      <c r="AC17" s="50"/>
      <c r="AD17" s="51"/>
      <c r="AE17" s="111" t="s">
        <v>60</v>
      </c>
      <c r="AF17" s="50"/>
      <c r="AG17" s="50"/>
      <c r="AH17" s="51"/>
      <c r="AI17" s="111" t="s">
        <v>61</v>
      </c>
      <c r="AJ17" s="50"/>
      <c r="AK17" s="50"/>
      <c r="AL17" s="51"/>
      <c r="AM17" s="111" t="s">
        <v>62</v>
      </c>
      <c r="AN17" s="50"/>
      <c r="AO17" s="50"/>
      <c r="AP17" s="53"/>
      <c r="AQ17" s="116" t="s">
        <v>116</v>
      </c>
      <c r="AR17" s="111" t="s">
        <v>117</v>
      </c>
      <c r="AS17" s="50"/>
      <c r="AT17" s="51"/>
      <c r="AU17" s="111" t="s">
        <v>118</v>
      </c>
      <c r="AV17" s="50"/>
      <c r="AW17" s="51"/>
      <c r="AX17" s="117" t="s">
        <v>116</v>
      </c>
      <c r="AY17" s="111" t="s">
        <v>118</v>
      </c>
      <c r="AZ17" s="50"/>
      <c r="BA17" s="51"/>
      <c r="BB17" s="117" t="s">
        <v>116</v>
      </c>
      <c r="BC17" s="111" t="s">
        <v>119</v>
      </c>
      <c r="BD17" s="50"/>
      <c r="BE17" s="51"/>
      <c r="BF17" s="111" t="s">
        <v>118</v>
      </c>
      <c r="BG17" s="50"/>
      <c r="BH17" s="51"/>
      <c r="BI17" s="117" t="s">
        <v>116</v>
      </c>
      <c r="BJ17" s="111" t="s">
        <v>118</v>
      </c>
      <c r="BK17" s="50"/>
      <c r="BL17" s="51"/>
      <c r="BM17" s="117" t="s">
        <v>116</v>
      </c>
      <c r="BN17" s="111" t="s">
        <v>118</v>
      </c>
      <c r="BO17" s="50"/>
      <c r="BP17" s="53"/>
      <c r="BQ17" s="116" t="s">
        <v>116</v>
      </c>
      <c r="BR17" s="111" t="s">
        <v>119</v>
      </c>
      <c r="BS17" s="50"/>
      <c r="BT17" s="51"/>
      <c r="BU17" s="111" t="s">
        <v>117</v>
      </c>
      <c r="BV17" s="50"/>
      <c r="BW17" s="51"/>
      <c r="BX17" s="111" t="s">
        <v>118</v>
      </c>
      <c r="BY17" s="50"/>
      <c r="BZ17" s="51"/>
      <c r="CA17" s="117" t="s">
        <v>116</v>
      </c>
      <c r="CB17" s="111" t="s">
        <v>119</v>
      </c>
      <c r="CC17" s="50"/>
      <c r="CD17" s="51"/>
      <c r="CE17" s="111" t="s">
        <v>117</v>
      </c>
      <c r="CF17" s="50"/>
      <c r="CG17" s="51"/>
      <c r="CH17" s="111" t="s">
        <v>118</v>
      </c>
      <c r="CI17" s="50"/>
      <c r="CJ17" s="53"/>
      <c r="CK17" s="118"/>
      <c r="CL17" s="119"/>
      <c r="CM17" s="118"/>
      <c r="CN17" s="120"/>
      <c r="CO17" s="120"/>
      <c r="CP17" s="121"/>
      <c r="CQ17" s="122"/>
      <c r="CR17" s="120"/>
      <c r="CS17" s="120"/>
      <c r="CT17" s="121"/>
      <c r="CU17" s="122"/>
      <c r="CV17" s="120"/>
      <c r="CW17" s="120"/>
      <c r="CX17" s="121"/>
      <c r="CY17" s="122"/>
      <c r="CZ17" s="120"/>
      <c r="DA17" s="120"/>
      <c r="DB17" s="119"/>
      <c r="DC17" s="118"/>
      <c r="DD17" s="121"/>
      <c r="DE17" s="122"/>
      <c r="DF17" s="121"/>
      <c r="DG17" s="122"/>
      <c r="DH17" s="121"/>
      <c r="DI17" s="122"/>
      <c r="DJ17" s="121"/>
      <c r="DK17" s="122"/>
      <c r="DL17" s="121"/>
      <c r="DM17" s="122"/>
      <c r="DN17" s="121"/>
      <c r="DO17" s="122"/>
      <c r="DP17" s="121"/>
      <c r="DQ17" s="122"/>
      <c r="DR17" s="121"/>
      <c r="DS17" s="122"/>
      <c r="DT17" s="121"/>
      <c r="DU17" s="122"/>
      <c r="DV17" s="121"/>
      <c r="DW17" s="122"/>
      <c r="DX17" s="121"/>
      <c r="DY17" s="122"/>
      <c r="DZ17" s="121"/>
      <c r="EA17" s="122"/>
      <c r="EB17" s="121"/>
      <c r="EC17" s="122"/>
      <c r="ED17" s="121"/>
      <c r="EE17" s="122"/>
      <c r="EF17" s="120"/>
      <c r="EG17" s="122"/>
      <c r="EH17" s="119"/>
    </row>
    <row r="18">
      <c r="B18" s="123"/>
      <c r="C18" s="124" t="s">
        <v>116</v>
      </c>
      <c r="D18" s="125" t="s">
        <v>120</v>
      </c>
      <c r="E18" s="125" t="s">
        <v>121</v>
      </c>
      <c r="F18" s="125" t="s">
        <v>122</v>
      </c>
      <c r="G18" s="125" t="s">
        <v>116</v>
      </c>
      <c r="H18" s="125" t="s">
        <v>120</v>
      </c>
      <c r="I18" s="125" t="s">
        <v>121</v>
      </c>
      <c r="J18" s="125" t="s">
        <v>122</v>
      </c>
      <c r="K18" s="125" t="s">
        <v>116</v>
      </c>
      <c r="L18" s="125" t="s">
        <v>120</v>
      </c>
      <c r="M18" s="125" t="s">
        <v>121</v>
      </c>
      <c r="N18" s="125" t="s">
        <v>122</v>
      </c>
      <c r="O18" s="125" t="s">
        <v>116</v>
      </c>
      <c r="P18" s="125" t="s">
        <v>120</v>
      </c>
      <c r="Q18" s="125" t="s">
        <v>121</v>
      </c>
      <c r="R18" s="125" t="s">
        <v>122</v>
      </c>
      <c r="S18" s="125" t="s">
        <v>116</v>
      </c>
      <c r="T18" s="125" t="s">
        <v>120</v>
      </c>
      <c r="U18" s="125" t="s">
        <v>121</v>
      </c>
      <c r="V18" s="125" t="s">
        <v>122</v>
      </c>
      <c r="W18" s="125" t="s">
        <v>116</v>
      </c>
      <c r="X18" s="125" t="s">
        <v>120</v>
      </c>
      <c r="Y18" s="125" t="s">
        <v>121</v>
      </c>
      <c r="Z18" s="110" t="s">
        <v>122</v>
      </c>
      <c r="AA18" s="125" t="s">
        <v>116</v>
      </c>
      <c r="AB18" s="125" t="s">
        <v>123</v>
      </c>
      <c r="AC18" s="125" t="s">
        <v>124</v>
      </c>
      <c r="AD18" s="125" t="s">
        <v>125</v>
      </c>
      <c r="AE18" s="125" t="s">
        <v>116</v>
      </c>
      <c r="AF18" s="125" t="s">
        <v>123</v>
      </c>
      <c r="AG18" s="125" t="s">
        <v>124</v>
      </c>
      <c r="AH18" s="125" t="s">
        <v>125</v>
      </c>
      <c r="AI18" s="125" t="s">
        <v>116</v>
      </c>
      <c r="AJ18" s="125" t="s">
        <v>126</v>
      </c>
      <c r="AK18" s="125" t="s">
        <v>127</v>
      </c>
      <c r="AL18" s="125" t="s">
        <v>128</v>
      </c>
      <c r="AM18" s="125" t="s">
        <v>116</v>
      </c>
      <c r="AN18" s="125" t="s">
        <v>129</v>
      </c>
      <c r="AO18" s="125" t="s">
        <v>127</v>
      </c>
      <c r="AP18" s="126" t="s">
        <v>128</v>
      </c>
      <c r="AQ18" s="127"/>
      <c r="AR18" s="125" t="s">
        <v>123</v>
      </c>
      <c r="AS18" s="125" t="s">
        <v>124</v>
      </c>
      <c r="AT18" s="125" t="s">
        <v>125</v>
      </c>
      <c r="AU18" s="125" t="s">
        <v>129</v>
      </c>
      <c r="AV18" s="125" t="s">
        <v>127</v>
      </c>
      <c r="AW18" s="110" t="s">
        <v>128</v>
      </c>
      <c r="AX18" s="123"/>
      <c r="AY18" s="125" t="s">
        <v>129</v>
      </c>
      <c r="AZ18" s="125" t="s">
        <v>127</v>
      </c>
      <c r="BA18" s="110" t="s">
        <v>128</v>
      </c>
      <c r="BB18" s="123"/>
      <c r="BC18" s="125" t="s">
        <v>120</v>
      </c>
      <c r="BD18" s="125" t="s">
        <v>121</v>
      </c>
      <c r="BE18" s="125" t="s">
        <v>122</v>
      </c>
      <c r="BF18" s="125" t="s">
        <v>126</v>
      </c>
      <c r="BG18" s="125" t="s">
        <v>127</v>
      </c>
      <c r="BH18" s="125" t="s">
        <v>128</v>
      </c>
      <c r="BI18" s="123"/>
      <c r="BJ18" s="125" t="s">
        <v>130</v>
      </c>
      <c r="BK18" s="125" t="s">
        <v>131</v>
      </c>
      <c r="BL18" s="110" t="s">
        <v>132</v>
      </c>
      <c r="BM18" s="123"/>
      <c r="BN18" s="125" t="s">
        <v>130</v>
      </c>
      <c r="BO18" s="125" t="s">
        <v>131</v>
      </c>
      <c r="BP18" s="126" t="s">
        <v>132</v>
      </c>
      <c r="BQ18" s="127"/>
      <c r="BR18" s="125" t="s">
        <v>120</v>
      </c>
      <c r="BS18" s="125" t="s">
        <v>121</v>
      </c>
      <c r="BT18" s="125" t="s">
        <v>122</v>
      </c>
      <c r="BU18" s="125" t="s">
        <v>123</v>
      </c>
      <c r="BV18" s="125" t="s">
        <v>124</v>
      </c>
      <c r="BW18" s="125" t="s">
        <v>125</v>
      </c>
      <c r="BX18" s="125" t="s">
        <v>126</v>
      </c>
      <c r="BY18" s="125" t="s">
        <v>127</v>
      </c>
      <c r="BZ18" s="125" t="s">
        <v>128</v>
      </c>
      <c r="CA18" s="123"/>
      <c r="CB18" s="125" t="s">
        <v>120</v>
      </c>
      <c r="CC18" s="125" t="s">
        <v>121</v>
      </c>
      <c r="CD18" s="125" t="s">
        <v>122</v>
      </c>
      <c r="CE18" s="125" t="s">
        <v>123</v>
      </c>
      <c r="CF18" s="125" t="s">
        <v>124</v>
      </c>
      <c r="CG18" s="125" t="s">
        <v>125</v>
      </c>
      <c r="CH18" s="125" t="s">
        <v>126</v>
      </c>
      <c r="CI18" s="125" t="s">
        <v>127</v>
      </c>
      <c r="CJ18" s="126" t="s">
        <v>128</v>
      </c>
      <c r="CK18" s="128" t="s">
        <v>116</v>
      </c>
      <c r="CL18" s="129" t="s">
        <v>133</v>
      </c>
      <c r="CM18" s="128" t="s">
        <v>116</v>
      </c>
      <c r="CN18" s="54" t="s">
        <v>134</v>
      </c>
      <c r="CO18" s="130" t="s">
        <v>135</v>
      </c>
      <c r="CP18" s="54" t="s">
        <v>136</v>
      </c>
      <c r="CQ18" s="130" t="s">
        <v>116</v>
      </c>
      <c r="CR18" s="54" t="s">
        <v>137</v>
      </c>
      <c r="CS18" s="130" t="s">
        <v>135</v>
      </c>
      <c r="CT18" s="130" t="s">
        <v>138</v>
      </c>
      <c r="CU18" s="130" t="s">
        <v>116</v>
      </c>
      <c r="CV18" s="54" t="s">
        <v>137</v>
      </c>
      <c r="CW18" s="130" t="s">
        <v>135</v>
      </c>
      <c r="CX18" s="130" t="s">
        <v>139</v>
      </c>
      <c r="CY18" s="130" t="s">
        <v>116</v>
      </c>
      <c r="CZ18" s="54" t="s">
        <v>137</v>
      </c>
      <c r="DA18" s="130" t="s">
        <v>135</v>
      </c>
      <c r="DB18" s="129" t="s">
        <v>140</v>
      </c>
      <c r="DC18" s="128" t="s">
        <v>116</v>
      </c>
      <c r="DD18" s="130" t="s">
        <v>141</v>
      </c>
      <c r="DE18" s="130" t="s">
        <v>116</v>
      </c>
      <c r="DF18" s="130" t="s">
        <v>142</v>
      </c>
      <c r="DG18" s="130" t="s">
        <v>116</v>
      </c>
      <c r="DH18" s="130" t="s">
        <v>143</v>
      </c>
      <c r="DI18" s="130" t="s">
        <v>116</v>
      </c>
      <c r="DJ18" s="130" t="s">
        <v>144</v>
      </c>
      <c r="DK18" s="130" t="s">
        <v>116</v>
      </c>
      <c r="DL18" s="130" t="s">
        <v>145</v>
      </c>
      <c r="DM18" s="130" t="s">
        <v>116</v>
      </c>
      <c r="DN18" s="130" t="s">
        <v>146</v>
      </c>
      <c r="DO18" s="130" t="s">
        <v>147</v>
      </c>
      <c r="DP18" s="130" t="s">
        <v>148</v>
      </c>
      <c r="DQ18" s="130" t="s">
        <v>147</v>
      </c>
      <c r="DR18" s="130" t="s">
        <v>148</v>
      </c>
      <c r="DS18" s="130" t="s">
        <v>147</v>
      </c>
      <c r="DT18" s="130" t="s">
        <v>148</v>
      </c>
      <c r="DU18" s="130" t="s">
        <v>147</v>
      </c>
      <c r="DV18" s="130" t="s">
        <v>148</v>
      </c>
      <c r="DW18" s="130" t="s">
        <v>147</v>
      </c>
      <c r="DX18" s="130" t="s">
        <v>148</v>
      </c>
      <c r="DY18" s="130" t="s">
        <v>147</v>
      </c>
      <c r="DZ18" s="130" t="s">
        <v>148</v>
      </c>
      <c r="EA18" s="130" t="s">
        <v>147</v>
      </c>
      <c r="EB18" s="130" t="s">
        <v>148</v>
      </c>
      <c r="EC18" s="130" t="s">
        <v>147</v>
      </c>
      <c r="ED18" s="130" t="s">
        <v>148</v>
      </c>
      <c r="EE18" s="130" t="s">
        <v>147</v>
      </c>
      <c r="EF18" s="130" t="s">
        <v>148</v>
      </c>
      <c r="EG18" s="130" t="s">
        <v>147</v>
      </c>
      <c r="EH18" s="129" t="s">
        <v>148</v>
      </c>
    </row>
    <row r="19">
      <c r="B19" s="52" t="s">
        <v>93</v>
      </c>
      <c r="C19" s="131">
        <f t="shared" ref="C19:C23" si="1">C7+D7-E7</f>
        <v>0</v>
      </c>
      <c r="D19" s="132">
        <v>0.82</v>
      </c>
      <c r="E19" s="54">
        <f t="shared" ref="E19:E23" si="2">C19*D19</f>
        <v>0</v>
      </c>
      <c r="F19" s="133">
        <v>2.926</v>
      </c>
      <c r="G19" s="54">
        <v>0.0</v>
      </c>
      <c r="H19" s="134">
        <v>0.335</v>
      </c>
      <c r="I19" s="54">
        <f t="shared" ref="I19:I23" si="3">G19*H19</f>
        <v>0</v>
      </c>
      <c r="J19" s="133">
        <v>3.97</v>
      </c>
      <c r="K19" s="54">
        <f t="shared" ref="K19:K23" si="4">I7+J7-K7</f>
        <v>0</v>
      </c>
      <c r="L19" s="132">
        <v>0.27</v>
      </c>
      <c r="M19" s="54">
        <f t="shared" ref="M19:M23" si="5">K19*L19</f>
        <v>0</v>
      </c>
      <c r="N19" s="133">
        <v>4.18</v>
      </c>
      <c r="O19" s="54">
        <f t="shared" ref="O19:O23" si="6">L7+M7-N7</f>
        <v>75300</v>
      </c>
      <c r="P19" s="132">
        <v>0.39</v>
      </c>
      <c r="Q19" s="54">
        <f>O19*P19/(1.3)</f>
        <v>22590</v>
      </c>
      <c r="R19" s="133">
        <v>4.99</v>
      </c>
      <c r="S19" s="135">
        <f t="shared" ref="S19:S23" si="7">O7+P7-Q7</f>
        <v>9600</v>
      </c>
      <c r="T19" s="132">
        <v>0.46</v>
      </c>
      <c r="U19" s="54">
        <f t="shared" ref="U19:U23" si="8">S19*T19</f>
        <v>4416</v>
      </c>
      <c r="V19" s="133">
        <v>4.54</v>
      </c>
      <c r="W19" s="135">
        <f t="shared" ref="W19:W23" si="9">R7+S7-T7</f>
        <v>0</v>
      </c>
      <c r="X19" s="136"/>
      <c r="Y19" s="135">
        <f t="shared" ref="Y19:Y23" si="10">W19*X19</f>
        <v>0</v>
      </c>
      <c r="Z19" s="133">
        <v>4.99</v>
      </c>
      <c r="AA19" s="135">
        <f t="shared" ref="AA19:AA23" si="11">U7+V7-W7</f>
        <v>3300</v>
      </c>
      <c r="AB19" s="137">
        <v>0.45</v>
      </c>
      <c r="AC19" s="54">
        <f t="shared" ref="AC19:AC23" si="12">AA19*AB19</f>
        <v>1485</v>
      </c>
      <c r="AD19" s="133">
        <v>1.45</v>
      </c>
      <c r="AE19" s="135">
        <f t="shared" ref="AE19:AE23" si="13">X7+Y7-Z7</f>
        <v>0</v>
      </c>
      <c r="AF19" s="138"/>
      <c r="AG19" s="54">
        <f t="shared" ref="AG19:AG23" si="14">AE19*AF19</f>
        <v>0</v>
      </c>
      <c r="AH19" s="133">
        <v>1.45</v>
      </c>
      <c r="AI19" s="135">
        <f t="shared" ref="AI19:AI23" si="15">AA7+AB7-AC7</f>
        <v>0</v>
      </c>
      <c r="AJ19" s="139">
        <v>0.6</v>
      </c>
      <c r="AK19" s="54">
        <f t="shared" ref="AK19:AK23" si="16">AI19*AJ19</f>
        <v>0</v>
      </c>
      <c r="AL19" s="133">
        <v>0.71</v>
      </c>
      <c r="AM19" s="135">
        <f t="shared" ref="AM19:AM23" si="17">AD7+AE7-AF7</f>
        <v>0</v>
      </c>
      <c r="AN19" s="138"/>
      <c r="AO19" s="54">
        <f t="shared" ref="AO19:AO23" si="18">AM19*AN19</f>
        <v>0</v>
      </c>
      <c r="AP19" s="140">
        <v>0.71</v>
      </c>
      <c r="AQ19" s="141">
        <f t="shared" ref="AQ19:AQ23" si="19">AG7+AH7-AI7</f>
        <v>0</v>
      </c>
      <c r="AR19" s="142"/>
      <c r="AS19" s="54">
        <f t="shared" ref="AS19:AS23" si="20">AQ19*AR19</f>
        <v>0</v>
      </c>
      <c r="AT19" s="133">
        <v>1.45</v>
      </c>
      <c r="AU19" s="142"/>
      <c r="AV19" s="54">
        <f t="shared" ref="AV19:AV23" si="21">AQ19*AU19</f>
        <v>0</v>
      </c>
      <c r="AW19" s="133">
        <v>0.71</v>
      </c>
      <c r="AX19" s="54">
        <f t="shared" ref="AX19:AX23" si="22">AJ7+AK7-AL7</f>
        <v>0</v>
      </c>
      <c r="AY19" s="143">
        <v>0.44</v>
      </c>
      <c r="AZ19" s="54">
        <f t="shared" ref="AZ19:AZ23" si="23">AX19*AY19</f>
        <v>0</v>
      </c>
      <c r="BA19" s="133">
        <v>2.74</v>
      </c>
      <c r="BB19" s="135">
        <f t="shared" ref="BB19:BB23" si="24">AM7+AN7-AO7</f>
        <v>0</v>
      </c>
      <c r="BC19" s="144"/>
      <c r="BD19" s="54">
        <f t="shared" ref="BD19:BD23" si="25">BB19*BC19</f>
        <v>0</v>
      </c>
      <c r="BE19" s="133">
        <v>2.74</v>
      </c>
      <c r="BF19" s="145"/>
      <c r="BG19" s="135">
        <f t="shared" ref="BG19:BG23" si="26">BB19*BF19</f>
        <v>0</v>
      </c>
      <c r="BH19" s="133">
        <v>0.71</v>
      </c>
      <c r="BI19" s="54">
        <f t="shared" ref="BI19:BI23" si="27">AP7+AQ7-AR7</f>
        <v>0</v>
      </c>
      <c r="BJ19" s="132">
        <v>0.54</v>
      </c>
      <c r="BK19" s="54">
        <f t="shared" ref="BK19:BK23" si="28">BI19*BJ19</f>
        <v>0</v>
      </c>
      <c r="BL19" s="133">
        <v>1.82</v>
      </c>
      <c r="BM19" s="54">
        <f t="shared" ref="BM19:BM23" si="29">AS7+AT7-AU7</f>
        <v>3000</v>
      </c>
      <c r="BN19" s="143">
        <v>0.46</v>
      </c>
      <c r="BO19" s="54">
        <f t="shared" ref="BO19:BO23" si="30">BM19*BN19</f>
        <v>1380</v>
      </c>
      <c r="BP19" s="140">
        <v>3.02</v>
      </c>
      <c r="BQ19" s="146">
        <f t="shared" ref="BQ19:BQ23" si="31">AV7-AW7-AX7</f>
        <v>0</v>
      </c>
      <c r="BR19" s="144"/>
      <c r="BS19" s="54">
        <f t="shared" ref="BS19:BS23" si="32">BQ19*BR19</f>
        <v>0</v>
      </c>
      <c r="BT19" s="133">
        <v>3.97</v>
      </c>
      <c r="BU19" s="144"/>
      <c r="BV19" s="54">
        <f t="shared" ref="BV19:BV23" si="33">BQ19*BU19</f>
        <v>0</v>
      </c>
      <c r="BW19" s="133">
        <v>1.83</v>
      </c>
      <c r="BX19" s="144"/>
      <c r="BY19" s="54">
        <f t="shared" ref="BY19:BY23" si="34">BQ19*BX19</f>
        <v>0</v>
      </c>
      <c r="BZ19" s="133">
        <v>0.71</v>
      </c>
      <c r="CA19" s="135">
        <f t="shared" ref="CA19:CA23" si="35">AY7+AZ7-BA7</f>
        <v>0</v>
      </c>
      <c r="CB19" s="144"/>
      <c r="CC19" s="54">
        <f t="shared" ref="CC19:CC23" si="36">CA19*CB19</f>
        <v>0</v>
      </c>
      <c r="CD19" s="133">
        <v>3.97</v>
      </c>
      <c r="CE19" s="144"/>
      <c r="CF19" s="54">
        <f t="shared" ref="CF19:CF23" si="37">CA19*CE19</f>
        <v>0</v>
      </c>
      <c r="CG19" s="133">
        <v>1.83</v>
      </c>
      <c r="CH19" s="144"/>
      <c r="CI19" s="54">
        <f t="shared" ref="CI19:CI23" si="38">CA19*CH19</f>
        <v>0</v>
      </c>
      <c r="CJ19" s="140">
        <v>0.71</v>
      </c>
      <c r="CK19" s="131">
        <f t="shared" ref="CK19:CK23" si="39">BB7+BC7-BD7</f>
        <v>0</v>
      </c>
      <c r="CL19" s="140">
        <v>9.861</v>
      </c>
      <c r="CM19" s="131">
        <f t="shared" ref="CM19:CM23" si="40">BE7+BF7-BG7</f>
        <v>4200</v>
      </c>
      <c r="CN19" s="132">
        <v>0.94</v>
      </c>
      <c r="CO19" s="86">
        <f t="shared" ref="CO19:CO23" si="41">CM19*CN19</f>
        <v>3948</v>
      </c>
      <c r="CP19" s="133">
        <v>0.311</v>
      </c>
      <c r="CQ19" s="135">
        <f t="shared" ref="CQ19:CQ23" si="42">BH7+BI7-BJ7</f>
        <v>0</v>
      </c>
      <c r="CR19" s="139">
        <v>0.55</v>
      </c>
      <c r="CS19" s="135">
        <f t="shared" ref="CS19:CS23" si="43">CQ19*CR19</f>
        <v>0</v>
      </c>
      <c r="CT19" s="133">
        <v>1.257</v>
      </c>
      <c r="CU19" s="135">
        <f t="shared" ref="CU19:CU23" si="44">BK7+BL7-BM7</f>
        <v>0</v>
      </c>
      <c r="CV19" s="139">
        <v>0.55</v>
      </c>
      <c r="CW19" s="135">
        <f t="shared" ref="CW19:CW23" si="45">CU19*CV19</f>
        <v>0</v>
      </c>
      <c r="CX19" s="133">
        <v>1.257</v>
      </c>
      <c r="CY19" s="135">
        <f t="shared" ref="CY19:CY23" si="46">BN7+BO7-BP7</f>
        <v>0</v>
      </c>
      <c r="CZ19" s="139">
        <v>0.35</v>
      </c>
      <c r="DA19" s="135">
        <f t="shared" ref="DA19:DA23" si="47">CY19*CZ19</f>
        <v>0</v>
      </c>
      <c r="DB19" s="140">
        <v>0.1</v>
      </c>
      <c r="DC19" s="141">
        <f t="shared" ref="DC19:DC23" si="48">BQ7+BR7-BS7</f>
        <v>0</v>
      </c>
      <c r="DD19" s="147">
        <v>4.4</v>
      </c>
      <c r="DE19" s="135">
        <f t="shared" ref="DE19:DE23" si="49">BT7+BU7-BV7</f>
        <v>0</v>
      </c>
      <c r="DF19" s="147">
        <v>5.55</v>
      </c>
      <c r="DG19" s="135">
        <f t="shared" ref="DG19:DG23" si="50">BW7+BX7-BY7</f>
        <v>0</v>
      </c>
      <c r="DH19" s="148"/>
      <c r="DI19" s="135">
        <f t="shared" ref="DI19:DI23" si="51">BZ7+CA7-CB7</f>
        <v>0</v>
      </c>
      <c r="DJ19" s="148"/>
      <c r="DK19" s="135">
        <f t="shared" ref="DK19:DK23" si="52">CC7+CD7-CE7</f>
        <v>0</v>
      </c>
      <c r="DL19" s="148"/>
      <c r="DM19" s="54">
        <f t="shared" ref="DM19:DM23" si="53">CF7+CG7-CH7</f>
        <v>0</v>
      </c>
      <c r="DN19" s="148"/>
      <c r="DO19" s="149">
        <f t="shared" ref="DO19:DO23" si="54">CI7+CJ7-CK7</f>
        <v>0</v>
      </c>
      <c r="DP19" s="133">
        <v>625.0</v>
      </c>
      <c r="DQ19" s="149">
        <f t="shared" ref="DQ19:DQ23" si="55">CL7+CM7-CN7</f>
        <v>0</v>
      </c>
      <c r="DR19" s="133">
        <v>517.0</v>
      </c>
      <c r="DS19" s="149">
        <f t="shared" ref="DS19:DS23" si="56">CO7+CP7-CQ7</f>
        <v>0</v>
      </c>
      <c r="DT19" s="133">
        <v>14.6</v>
      </c>
      <c r="DU19" s="149">
        <f t="shared" ref="DU19:DU23" si="57">CR7+CS7-CT7</f>
        <v>0</v>
      </c>
      <c r="DV19" s="133">
        <v>234.0</v>
      </c>
      <c r="DW19" s="149">
        <f t="shared" ref="DW19:DW23" si="58">CU7+CV7-CW7</f>
        <v>0</v>
      </c>
      <c r="DX19" s="133">
        <v>701.0</v>
      </c>
      <c r="DY19" s="149">
        <f t="shared" ref="DY19:DY23" si="59">CX7+CY7-CZ7</f>
        <v>0</v>
      </c>
      <c r="DZ19" s="133">
        <v>1190.0</v>
      </c>
      <c r="EA19" s="149">
        <f t="shared" ref="EA19:EA23" si="60">DA7+DB7-DC7</f>
        <v>0</v>
      </c>
      <c r="EB19" s="133">
        <v>1486.0</v>
      </c>
      <c r="EC19" s="149">
        <f t="shared" ref="EC19:EC23" si="61">DD7+DE7-DF7</f>
        <v>0</v>
      </c>
      <c r="ED19" s="133">
        <v>3084.0</v>
      </c>
      <c r="EE19" s="149">
        <f t="shared" ref="EE19:EE23" si="62">DG7+DH7-DI7</f>
        <v>0</v>
      </c>
      <c r="EF19" s="133">
        <v>193.0</v>
      </c>
      <c r="EG19" s="149">
        <f t="shared" ref="EG19:EG23" si="63">DJ7+DK7-DL7</f>
        <v>0</v>
      </c>
      <c r="EH19" s="140">
        <v>320.0</v>
      </c>
    </row>
    <row r="20">
      <c r="B20" s="52" t="s">
        <v>94</v>
      </c>
      <c r="C20" s="131">
        <f t="shared" si="1"/>
        <v>0</v>
      </c>
      <c r="D20" s="132">
        <v>0.82</v>
      </c>
      <c r="E20" s="54">
        <f t="shared" si="2"/>
        <v>0</v>
      </c>
      <c r="F20" s="96"/>
      <c r="G20" s="54">
        <f t="shared" ref="G20:G23" si="64">F8+G8-H8</f>
        <v>24600</v>
      </c>
      <c r="H20" s="134">
        <v>0.335</v>
      </c>
      <c r="I20" s="54">
        <f t="shared" si="3"/>
        <v>8241</v>
      </c>
      <c r="J20" s="96"/>
      <c r="K20" s="54">
        <f t="shared" si="4"/>
        <v>0</v>
      </c>
      <c r="L20" s="132">
        <v>0.27</v>
      </c>
      <c r="M20" s="54">
        <f t="shared" si="5"/>
        <v>0</v>
      </c>
      <c r="N20" s="96"/>
      <c r="O20" s="54">
        <f t="shared" si="6"/>
        <v>123220</v>
      </c>
      <c r="P20" s="132">
        <v>0.39</v>
      </c>
      <c r="Q20" s="54">
        <f t="shared" ref="Q20:Q23" si="65">O20*P20/(1.3*100)*100</f>
        <v>36966</v>
      </c>
      <c r="R20" s="96"/>
      <c r="S20" s="135">
        <f t="shared" si="7"/>
        <v>30600</v>
      </c>
      <c r="T20" s="132">
        <v>0.46</v>
      </c>
      <c r="U20" s="54">
        <f t="shared" si="8"/>
        <v>14076</v>
      </c>
      <c r="V20" s="96"/>
      <c r="W20" s="135">
        <f t="shared" si="9"/>
        <v>17424</v>
      </c>
      <c r="X20" s="136">
        <v>0.26</v>
      </c>
      <c r="Y20" s="135">
        <f t="shared" si="10"/>
        <v>4530.24</v>
      </c>
      <c r="Z20" s="96"/>
      <c r="AA20" s="135">
        <f t="shared" si="11"/>
        <v>24600</v>
      </c>
      <c r="AB20" s="137">
        <f t="shared" ref="AB20:AB23" si="66">AB19</f>
        <v>0.45</v>
      </c>
      <c r="AC20" s="54">
        <f t="shared" si="12"/>
        <v>11070</v>
      </c>
      <c r="AD20" s="96"/>
      <c r="AE20" s="135">
        <f t="shared" si="13"/>
        <v>0</v>
      </c>
      <c r="AF20" s="138"/>
      <c r="AG20" s="54">
        <f t="shared" si="14"/>
        <v>0</v>
      </c>
      <c r="AH20" s="96"/>
      <c r="AI20" s="135">
        <f t="shared" si="15"/>
        <v>8400</v>
      </c>
      <c r="AJ20" s="139">
        <v>0.6</v>
      </c>
      <c r="AK20" s="54">
        <f t="shared" si="16"/>
        <v>5040</v>
      </c>
      <c r="AL20" s="96"/>
      <c r="AM20" s="135">
        <f t="shared" si="17"/>
        <v>0</v>
      </c>
      <c r="AN20" s="138"/>
      <c r="AO20" s="54">
        <f t="shared" si="18"/>
        <v>0</v>
      </c>
      <c r="AP20" s="150"/>
      <c r="AQ20" s="141">
        <f t="shared" si="19"/>
        <v>0</v>
      </c>
      <c r="AR20" s="142"/>
      <c r="AS20" s="54">
        <f t="shared" si="20"/>
        <v>0</v>
      </c>
      <c r="AT20" s="96"/>
      <c r="AU20" s="142"/>
      <c r="AV20" s="54">
        <f t="shared" si="21"/>
        <v>0</v>
      </c>
      <c r="AW20" s="96"/>
      <c r="AX20" s="54">
        <f t="shared" si="22"/>
        <v>0</v>
      </c>
      <c r="AY20" s="143">
        <v>0.44</v>
      </c>
      <c r="AZ20" s="54">
        <f t="shared" si="23"/>
        <v>0</v>
      </c>
      <c r="BA20" s="96"/>
      <c r="BB20" s="135">
        <f t="shared" si="24"/>
        <v>0</v>
      </c>
      <c r="BC20" s="144"/>
      <c r="BD20" s="54">
        <f t="shared" si="25"/>
        <v>0</v>
      </c>
      <c r="BE20" s="96"/>
      <c r="BF20" s="145"/>
      <c r="BG20" s="135">
        <f t="shared" si="26"/>
        <v>0</v>
      </c>
      <c r="BH20" s="96"/>
      <c r="BI20" s="54">
        <f t="shared" si="27"/>
        <v>0</v>
      </c>
      <c r="BJ20" s="132">
        <v>0.54</v>
      </c>
      <c r="BK20" s="54">
        <f t="shared" si="28"/>
        <v>0</v>
      </c>
      <c r="BL20" s="96"/>
      <c r="BM20" s="54">
        <f t="shared" si="29"/>
        <v>600</v>
      </c>
      <c r="BN20" s="143">
        <v>0.46</v>
      </c>
      <c r="BO20" s="54">
        <f t="shared" si="30"/>
        <v>276</v>
      </c>
      <c r="BP20" s="150"/>
      <c r="BQ20" s="146">
        <f t="shared" si="31"/>
        <v>0</v>
      </c>
      <c r="BR20" s="144"/>
      <c r="BS20" s="54">
        <f t="shared" si="32"/>
        <v>0</v>
      </c>
      <c r="BT20" s="96"/>
      <c r="BU20" s="144"/>
      <c r="BV20" s="54">
        <f t="shared" si="33"/>
        <v>0</v>
      </c>
      <c r="BW20" s="96"/>
      <c r="BX20" s="144"/>
      <c r="BY20" s="54">
        <f t="shared" si="34"/>
        <v>0</v>
      </c>
      <c r="BZ20" s="96"/>
      <c r="CA20" s="135">
        <f t="shared" si="35"/>
        <v>0</v>
      </c>
      <c r="CB20" s="144"/>
      <c r="CC20" s="54">
        <f t="shared" si="36"/>
        <v>0</v>
      </c>
      <c r="CD20" s="96"/>
      <c r="CE20" s="144"/>
      <c r="CF20" s="54">
        <f t="shared" si="37"/>
        <v>0</v>
      </c>
      <c r="CG20" s="96"/>
      <c r="CH20" s="144"/>
      <c r="CI20" s="54">
        <f t="shared" si="38"/>
        <v>0</v>
      </c>
      <c r="CJ20" s="150"/>
      <c r="CK20" s="131">
        <f t="shared" si="39"/>
        <v>0</v>
      </c>
      <c r="CL20" s="150"/>
      <c r="CM20" s="131">
        <f t="shared" si="40"/>
        <v>3600</v>
      </c>
      <c r="CN20" s="132">
        <v>0.94</v>
      </c>
      <c r="CO20" s="86">
        <f t="shared" si="41"/>
        <v>3384</v>
      </c>
      <c r="CP20" s="96"/>
      <c r="CQ20" s="135">
        <f t="shared" si="42"/>
        <v>0</v>
      </c>
      <c r="CR20" s="139">
        <v>0.55</v>
      </c>
      <c r="CS20" s="135">
        <f t="shared" si="43"/>
        <v>0</v>
      </c>
      <c r="CT20" s="96"/>
      <c r="CU20" s="135">
        <f t="shared" si="44"/>
        <v>0</v>
      </c>
      <c r="CV20" s="139">
        <v>0.55</v>
      </c>
      <c r="CW20" s="135">
        <f t="shared" si="45"/>
        <v>0</v>
      </c>
      <c r="CX20" s="96"/>
      <c r="CY20" s="135">
        <f t="shared" si="46"/>
        <v>0</v>
      </c>
      <c r="CZ20" s="139">
        <v>0.35</v>
      </c>
      <c r="DA20" s="135">
        <f t="shared" si="47"/>
        <v>0</v>
      </c>
      <c r="DB20" s="150"/>
      <c r="DC20" s="141">
        <f t="shared" si="48"/>
        <v>0</v>
      </c>
      <c r="DD20" s="96"/>
      <c r="DE20" s="135">
        <f t="shared" si="49"/>
        <v>0</v>
      </c>
      <c r="DF20" s="96"/>
      <c r="DG20" s="135">
        <f t="shared" si="50"/>
        <v>0</v>
      </c>
      <c r="DH20" s="96"/>
      <c r="DI20" s="135">
        <f t="shared" si="51"/>
        <v>0</v>
      </c>
      <c r="DJ20" s="96"/>
      <c r="DK20" s="135">
        <f t="shared" si="52"/>
        <v>0</v>
      </c>
      <c r="DL20" s="96"/>
      <c r="DM20" s="54">
        <f t="shared" si="53"/>
        <v>0</v>
      </c>
      <c r="DN20" s="96"/>
      <c r="DO20" s="149">
        <f t="shared" si="54"/>
        <v>0</v>
      </c>
      <c r="DP20" s="96"/>
      <c r="DQ20" s="149">
        <f t="shared" si="55"/>
        <v>0</v>
      </c>
      <c r="DR20" s="96"/>
      <c r="DS20" s="149">
        <f t="shared" si="56"/>
        <v>0</v>
      </c>
      <c r="DT20" s="96"/>
      <c r="DU20" s="149">
        <f t="shared" si="57"/>
        <v>0</v>
      </c>
      <c r="DV20" s="96"/>
      <c r="DW20" s="149">
        <f t="shared" si="58"/>
        <v>0</v>
      </c>
      <c r="DX20" s="96"/>
      <c r="DY20" s="149">
        <f t="shared" si="59"/>
        <v>0</v>
      </c>
      <c r="DZ20" s="96"/>
      <c r="EA20" s="149">
        <f t="shared" si="60"/>
        <v>0</v>
      </c>
      <c r="EB20" s="96"/>
      <c r="EC20" s="149">
        <f t="shared" si="61"/>
        <v>0</v>
      </c>
      <c r="ED20" s="96"/>
      <c r="EE20" s="149">
        <f t="shared" si="62"/>
        <v>0</v>
      </c>
      <c r="EF20" s="96"/>
      <c r="EG20" s="149">
        <f t="shared" si="63"/>
        <v>0</v>
      </c>
      <c r="EH20" s="150"/>
    </row>
    <row r="21" ht="15.75" customHeight="1">
      <c r="B21" s="52" t="s">
        <v>95</v>
      </c>
      <c r="C21" s="131">
        <f t="shared" si="1"/>
        <v>0</v>
      </c>
      <c r="D21" s="132">
        <v>0.82</v>
      </c>
      <c r="E21" s="54">
        <f t="shared" si="2"/>
        <v>0</v>
      </c>
      <c r="F21" s="96"/>
      <c r="G21" s="54">
        <f t="shared" si="64"/>
        <v>21000</v>
      </c>
      <c r="H21" s="134">
        <v>0.335</v>
      </c>
      <c r="I21" s="54">
        <f t="shared" si="3"/>
        <v>7035</v>
      </c>
      <c r="J21" s="96"/>
      <c r="K21" s="54">
        <f t="shared" si="4"/>
        <v>0</v>
      </c>
      <c r="L21" s="132">
        <v>0.27</v>
      </c>
      <c r="M21" s="54">
        <f t="shared" si="5"/>
        <v>0</v>
      </c>
      <c r="N21" s="96"/>
      <c r="O21" s="54">
        <f t="shared" si="6"/>
        <v>109340</v>
      </c>
      <c r="P21" s="132">
        <v>0.39</v>
      </c>
      <c r="Q21" s="54">
        <f t="shared" si="65"/>
        <v>32802</v>
      </c>
      <c r="R21" s="96"/>
      <c r="S21" s="135">
        <f t="shared" si="7"/>
        <v>30000</v>
      </c>
      <c r="T21" s="132">
        <v>0.46</v>
      </c>
      <c r="U21" s="54">
        <f t="shared" si="8"/>
        <v>13800</v>
      </c>
      <c r="V21" s="96"/>
      <c r="W21" s="135">
        <f t="shared" si="9"/>
        <v>0</v>
      </c>
      <c r="X21" s="151"/>
      <c r="Y21" s="135">
        <f t="shared" si="10"/>
        <v>0</v>
      </c>
      <c r="Z21" s="96"/>
      <c r="AA21" s="135">
        <f t="shared" si="11"/>
        <v>0</v>
      </c>
      <c r="AB21" s="137">
        <f t="shared" si="66"/>
        <v>0.45</v>
      </c>
      <c r="AC21" s="54">
        <f t="shared" si="12"/>
        <v>0</v>
      </c>
      <c r="AD21" s="96"/>
      <c r="AE21" s="135">
        <f t="shared" si="13"/>
        <v>0</v>
      </c>
      <c r="AF21" s="138"/>
      <c r="AG21" s="54">
        <f t="shared" si="14"/>
        <v>0</v>
      </c>
      <c r="AH21" s="96"/>
      <c r="AI21" s="135">
        <f t="shared" si="15"/>
        <v>0</v>
      </c>
      <c r="AJ21" s="139">
        <v>0.6</v>
      </c>
      <c r="AK21" s="54">
        <f t="shared" si="16"/>
        <v>0</v>
      </c>
      <c r="AL21" s="96"/>
      <c r="AM21" s="135">
        <f t="shared" si="17"/>
        <v>0</v>
      </c>
      <c r="AN21" s="138"/>
      <c r="AO21" s="54">
        <f t="shared" si="18"/>
        <v>0</v>
      </c>
      <c r="AP21" s="150"/>
      <c r="AQ21" s="141">
        <f t="shared" si="19"/>
        <v>0</v>
      </c>
      <c r="AR21" s="142"/>
      <c r="AS21" s="54">
        <f t="shared" si="20"/>
        <v>0</v>
      </c>
      <c r="AT21" s="96"/>
      <c r="AU21" s="142"/>
      <c r="AV21" s="54">
        <f t="shared" si="21"/>
        <v>0</v>
      </c>
      <c r="AW21" s="96"/>
      <c r="AX21" s="54">
        <f t="shared" si="22"/>
        <v>0</v>
      </c>
      <c r="AY21" s="143">
        <v>0.44</v>
      </c>
      <c r="AZ21" s="54">
        <f t="shared" si="23"/>
        <v>0</v>
      </c>
      <c r="BA21" s="96"/>
      <c r="BB21" s="135">
        <f t="shared" si="24"/>
        <v>0</v>
      </c>
      <c r="BC21" s="152"/>
      <c r="BD21" s="54">
        <f t="shared" si="25"/>
        <v>0</v>
      </c>
      <c r="BE21" s="96"/>
      <c r="BF21" s="153"/>
      <c r="BG21" s="135">
        <f t="shared" si="26"/>
        <v>0</v>
      </c>
      <c r="BH21" s="96"/>
      <c r="BI21" s="54">
        <f t="shared" si="27"/>
        <v>0</v>
      </c>
      <c r="BJ21" s="132">
        <v>0.54</v>
      </c>
      <c r="BK21" s="54">
        <f t="shared" si="28"/>
        <v>0</v>
      </c>
      <c r="BL21" s="96"/>
      <c r="BM21" s="54">
        <f t="shared" si="29"/>
        <v>0</v>
      </c>
      <c r="BN21" s="143">
        <v>0.46</v>
      </c>
      <c r="BO21" s="54">
        <f t="shared" si="30"/>
        <v>0</v>
      </c>
      <c r="BP21" s="150"/>
      <c r="BQ21" s="146">
        <f t="shared" si="31"/>
        <v>9600</v>
      </c>
      <c r="BR21" s="152">
        <v>0.12</v>
      </c>
      <c r="BS21" s="54">
        <f t="shared" si="32"/>
        <v>1152</v>
      </c>
      <c r="BT21" s="96"/>
      <c r="BU21" s="152">
        <v>0.4</v>
      </c>
      <c r="BV21" s="54">
        <f t="shared" si="33"/>
        <v>3840</v>
      </c>
      <c r="BW21" s="96"/>
      <c r="BX21" s="152">
        <v>0.0</v>
      </c>
      <c r="BY21" s="54">
        <f t="shared" si="34"/>
        <v>0</v>
      </c>
      <c r="BZ21" s="96"/>
      <c r="CA21" s="135">
        <f t="shared" si="35"/>
        <v>0</v>
      </c>
      <c r="CB21" s="144"/>
      <c r="CC21" s="54">
        <f t="shared" si="36"/>
        <v>0</v>
      </c>
      <c r="CD21" s="96"/>
      <c r="CE21" s="144"/>
      <c r="CF21" s="54">
        <f t="shared" si="37"/>
        <v>0</v>
      </c>
      <c r="CG21" s="96"/>
      <c r="CH21" s="144"/>
      <c r="CI21" s="54">
        <f t="shared" si="38"/>
        <v>0</v>
      </c>
      <c r="CJ21" s="150"/>
      <c r="CK21" s="131">
        <f t="shared" si="39"/>
        <v>0</v>
      </c>
      <c r="CL21" s="150"/>
      <c r="CM21" s="131">
        <f t="shared" si="40"/>
        <v>0</v>
      </c>
      <c r="CN21" s="132">
        <v>0.94</v>
      </c>
      <c r="CO21" s="86">
        <f t="shared" si="41"/>
        <v>0</v>
      </c>
      <c r="CP21" s="96"/>
      <c r="CQ21" s="135">
        <f t="shared" si="42"/>
        <v>0</v>
      </c>
      <c r="CR21" s="139">
        <v>0.55</v>
      </c>
      <c r="CS21" s="135">
        <f t="shared" si="43"/>
        <v>0</v>
      </c>
      <c r="CT21" s="96"/>
      <c r="CU21" s="135">
        <f t="shared" si="44"/>
        <v>0</v>
      </c>
      <c r="CV21" s="139">
        <v>0.55</v>
      </c>
      <c r="CW21" s="135">
        <f t="shared" si="45"/>
        <v>0</v>
      </c>
      <c r="CX21" s="96"/>
      <c r="CY21" s="135">
        <f t="shared" si="46"/>
        <v>0</v>
      </c>
      <c r="CZ21" s="139">
        <v>0.35</v>
      </c>
      <c r="DA21" s="135">
        <f t="shared" si="47"/>
        <v>0</v>
      </c>
      <c r="DB21" s="150"/>
      <c r="DC21" s="141">
        <f t="shared" si="48"/>
        <v>0</v>
      </c>
      <c r="DD21" s="96"/>
      <c r="DE21" s="135">
        <f t="shared" si="49"/>
        <v>0</v>
      </c>
      <c r="DF21" s="96"/>
      <c r="DG21" s="135">
        <f t="shared" si="50"/>
        <v>0</v>
      </c>
      <c r="DH21" s="96"/>
      <c r="DI21" s="135">
        <f t="shared" si="51"/>
        <v>0</v>
      </c>
      <c r="DJ21" s="96"/>
      <c r="DK21" s="135">
        <f t="shared" si="52"/>
        <v>0</v>
      </c>
      <c r="DL21" s="96"/>
      <c r="DM21" s="54">
        <f t="shared" si="53"/>
        <v>0</v>
      </c>
      <c r="DN21" s="96"/>
      <c r="DO21" s="149">
        <f t="shared" si="54"/>
        <v>0</v>
      </c>
      <c r="DP21" s="96"/>
      <c r="DQ21" s="149">
        <f t="shared" si="55"/>
        <v>0</v>
      </c>
      <c r="DR21" s="96"/>
      <c r="DS21" s="149">
        <f t="shared" si="56"/>
        <v>0</v>
      </c>
      <c r="DT21" s="96"/>
      <c r="DU21" s="149">
        <f t="shared" si="57"/>
        <v>0</v>
      </c>
      <c r="DV21" s="96"/>
      <c r="DW21" s="149">
        <f t="shared" si="58"/>
        <v>0</v>
      </c>
      <c r="DX21" s="96"/>
      <c r="DY21" s="149">
        <f t="shared" si="59"/>
        <v>0</v>
      </c>
      <c r="DZ21" s="96"/>
      <c r="EA21" s="149">
        <f t="shared" si="60"/>
        <v>0</v>
      </c>
      <c r="EB21" s="96"/>
      <c r="EC21" s="149">
        <f t="shared" si="61"/>
        <v>0</v>
      </c>
      <c r="ED21" s="96"/>
      <c r="EE21" s="149">
        <f t="shared" si="62"/>
        <v>0</v>
      </c>
      <c r="EF21" s="96"/>
      <c r="EG21" s="149">
        <f t="shared" si="63"/>
        <v>0</v>
      </c>
      <c r="EH21" s="150"/>
    </row>
    <row r="22" ht="15.75" customHeight="1">
      <c r="B22" s="52" t="s">
        <v>96</v>
      </c>
      <c r="C22" s="131">
        <f t="shared" si="1"/>
        <v>0</v>
      </c>
      <c r="D22" s="132">
        <v>0.82</v>
      </c>
      <c r="E22" s="54">
        <f t="shared" si="2"/>
        <v>0</v>
      </c>
      <c r="F22" s="96"/>
      <c r="G22" s="54">
        <f t="shared" si="64"/>
        <v>0</v>
      </c>
      <c r="H22" s="134">
        <v>0.335</v>
      </c>
      <c r="I22" s="54">
        <f t="shared" si="3"/>
        <v>0</v>
      </c>
      <c r="J22" s="96"/>
      <c r="K22" s="54">
        <f t="shared" si="4"/>
        <v>0</v>
      </c>
      <c r="L22" s="132">
        <v>0.27</v>
      </c>
      <c r="M22" s="54">
        <f t="shared" si="5"/>
        <v>0</v>
      </c>
      <c r="N22" s="96"/>
      <c r="O22" s="54">
        <f t="shared" si="6"/>
        <v>158020</v>
      </c>
      <c r="P22" s="132">
        <v>0.39</v>
      </c>
      <c r="Q22" s="54">
        <f t="shared" si="65"/>
        <v>47406</v>
      </c>
      <c r="R22" s="96"/>
      <c r="S22" s="135">
        <f t="shared" si="7"/>
        <v>420</v>
      </c>
      <c r="T22" s="132">
        <v>0.46</v>
      </c>
      <c r="U22" s="54">
        <f t="shared" si="8"/>
        <v>193.2</v>
      </c>
      <c r="V22" s="96"/>
      <c r="W22" s="135">
        <f t="shared" si="9"/>
        <v>0</v>
      </c>
      <c r="X22" s="151"/>
      <c r="Y22" s="135">
        <f t="shared" si="10"/>
        <v>0</v>
      </c>
      <c r="Z22" s="96"/>
      <c r="AA22" s="135">
        <f t="shared" si="11"/>
        <v>0</v>
      </c>
      <c r="AB22" s="137">
        <f t="shared" si="66"/>
        <v>0.45</v>
      </c>
      <c r="AC22" s="54">
        <f t="shared" si="12"/>
        <v>0</v>
      </c>
      <c r="AD22" s="96"/>
      <c r="AE22" s="135">
        <f t="shared" si="13"/>
        <v>0</v>
      </c>
      <c r="AF22" s="138"/>
      <c r="AG22" s="54">
        <f t="shared" si="14"/>
        <v>0</v>
      </c>
      <c r="AH22" s="96"/>
      <c r="AI22" s="135">
        <f t="shared" si="15"/>
        <v>0</v>
      </c>
      <c r="AJ22" s="139">
        <v>0.6</v>
      </c>
      <c r="AK22" s="54">
        <f t="shared" si="16"/>
        <v>0</v>
      </c>
      <c r="AL22" s="96"/>
      <c r="AM22" s="135">
        <f t="shared" si="17"/>
        <v>0</v>
      </c>
      <c r="AN22" s="138"/>
      <c r="AO22" s="54">
        <f t="shared" si="18"/>
        <v>0</v>
      </c>
      <c r="AP22" s="150"/>
      <c r="AQ22" s="141">
        <f t="shared" si="19"/>
        <v>0</v>
      </c>
      <c r="AR22" s="142"/>
      <c r="AS22" s="54">
        <f t="shared" si="20"/>
        <v>0</v>
      </c>
      <c r="AT22" s="96"/>
      <c r="AU22" s="142"/>
      <c r="AV22" s="54">
        <f t="shared" si="21"/>
        <v>0</v>
      </c>
      <c r="AW22" s="96"/>
      <c r="AX22" s="54">
        <f t="shared" si="22"/>
        <v>0</v>
      </c>
      <c r="AY22" s="143">
        <v>0.44</v>
      </c>
      <c r="AZ22" s="54">
        <f t="shared" si="23"/>
        <v>0</v>
      </c>
      <c r="BA22" s="96"/>
      <c r="BB22" s="135">
        <f t="shared" si="24"/>
        <v>0</v>
      </c>
      <c r="BC22" s="144"/>
      <c r="BD22" s="54">
        <f t="shared" si="25"/>
        <v>0</v>
      </c>
      <c r="BE22" s="96"/>
      <c r="BF22" s="145"/>
      <c r="BG22" s="135">
        <f t="shared" si="26"/>
        <v>0</v>
      </c>
      <c r="BH22" s="96"/>
      <c r="BI22" s="54">
        <f t="shared" si="27"/>
        <v>0</v>
      </c>
      <c r="BJ22" s="132">
        <v>0.54</v>
      </c>
      <c r="BK22" s="54">
        <f t="shared" si="28"/>
        <v>0</v>
      </c>
      <c r="BL22" s="96"/>
      <c r="BM22" s="54">
        <f t="shared" si="29"/>
        <v>0</v>
      </c>
      <c r="BN22" s="143">
        <v>0.46</v>
      </c>
      <c r="BO22" s="54">
        <f t="shared" si="30"/>
        <v>0</v>
      </c>
      <c r="BP22" s="150"/>
      <c r="BQ22" s="146">
        <f t="shared" si="31"/>
        <v>11400</v>
      </c>
      <c r="BR22" s="152">
        <v>0.12</v>
      </c>
      <c r="BS22" s="54">
        <f t="shared" si="32"/>
        <v>1368</v>
      </c>
      <c r="BT22" s="96"/>
      <c r="BU22" s="152">
        <v>0.27</v>
      </c>
      <c r="BV22" s="54">
        <f t="shared" si="33"/>
        <v>3078</v>
      </c>
      <c r="BW22" s="96"/>
      <c r="BX22" s="152">
        <v>0.0</v>
      </c>
      <c r="BY22" s="54">
        <f t="shared" si="34"/>
        <v>0</v>
      </c>
      <c r="BZ22" s="96"/>
      <c r="CA22" s="135">
        <f t="shared" si="35"/>
        <v>0</v>
      </c>
      <c r="CB22" s="144"/>
      <c r="CC22" s="54">
        <f t="shared" si="36"/>
        <v>0</v>
      </c>
      <c r="CD22" s="96"/>
      <c r="CE22" s="144"/>
      <c r="CF22" s="54">
        <f t="shared" si="37"/>
        <v>0</v>
      </c>
      <c r="CG22" s="96"/>
      <c r="CH22" s="144"/>
      <c r="CI22" s="54">
        <f t="shared" si="38"/>
        <v>0</v>
      </c>
      <c r="CJ22" s="150"/>
      <c r="CK22" s="131">
        <f t="shared" si="39"/>
        <v>0</v>
      </c>
      <c r="CL22" s="150"/>
      <c r="CM22" s="131">
        <f t="shared" si="40"/>
        <v>0</v>
      </c>
      <c r="CN22" s="132">
        <v>0.94</v>
      </c>
      <c r="CO22" s="86">
        <f t="shared" si="41"/>
        <v>0</v>
      </c>
      <c r="CP22" s="96"/>
      <c r="CQ22" s="135">
        <f t="shared" si="42"/>
        <v>2400</v>
      </c>
      <c r="CR22" s="139">
        <v>0.55</v>
      </c>
      <c r="CS22" s="135">
        <f t="shared" si="43"/>
        <v>1320</v>
      </c>
      <c r="CT22" s="96"/>
      <c r="CU22" s="135">
        <f t="shared" si="44"/>
        <v>0</v>
      </c>
      <c r="CV22" s="139">
        <v>0.55</v>
      </c>
      <c r="CW22" s="135">
        <f t="shared" si="45"/>
        <v>0</v>
      </c>
      <c r="CX22" s="96"/>
      <c r="CY22" s="135">
        <f t="shared" si="46"/>
        <v>0</v>
      </c>
      <c r="CZ22" s="139">
        <v>0.35</v>
      </c>
      <c r="DA22" s="135">
        <f t="shared" si="47"/>
        <v>0</v>
      </c>
      <c r="DB22" s="150"/>
      <c r="DC22" s="141">
        <f t="shared" si="48"/>
        <v>2775</v>
      </c>
      <c r="DD22" s="96"/>
      <c r="DE22" s="135">
        <f t="shared" si="49"/>
        <v>460</v>
      </c>
      <c r="DF22" s="96"/>
      <c r="DG22" s="135">
        <f t="shared" si="50"/>
        <v>0</v>
      </c>
      <c r="DH22" s="96"/>
      <c r="DI22" s="135">
        <f t="shared" si="51"/>
        <v>0</v>
      </c>
      <c r="DJ22" s="96"/>
      <c r="DK22" s="135">
        <f t="shared" si="52"/>
        <v>0</v>
      </c>
      <c r="DL22" s="96"/>
      <c r="DM22" s="54">
        <f t="shared" si="53"/>
        <v>0</v>
      </c>
      <c r="DN22" s="96"/>
      <c r="DO22" s="149">
        <f t="shared" si="54"/>
        <v>0</v>
      </c>
      <c r="DP22" s="96"/>
      <c r="DQ22" s="149">
        <f t="shared" si="55"/>
        <v>0</v>
      </c>
      <c r="DR22" s="96"/>
      <c r="DS22" s="149">
        <f t="shared" si="56"/>
        <v>0</v>
      </c>
      <c r="DT22" s="96"/>
      <c r="DU22" s="149">
        <f t="shared" si="57"/>
        <v>0</v>
      </c>
      <c r="DV22" s="96"/>
      <c r="DW22" s="149">
        <f t="shared" si="58"/>
        <v>0</v>
      </c>
      <c r="DX22" s="96"/>
      <c r="DY22" s="149">
        <f t="shared" si="59"/>
        <v>0</v>
      </c>
      <c r="DZ22" s="96"/>
      <c r="EA22" s="149">
        <f t="shared" si="60"/>
        <v>0</v>
      </c>
      <c r="EB22" s="96"/>
      <c r="EC22" s="149">
        <f t="shared" si="61"/>
        <v>0</v>
      </c>
      <c r="ED22" s="96"/>
      <c r="EE22" s="149">
        <f t="shared" si="62"/>
        <v>0</v>
      </c>
      <c r="EF22" s="96"/>
      <c r="EG22" s="149">
        <f t="shared" si="63"/>
        <v>0</v>
      </c>
      <c r="EH22" s="150"/>
    </row>
    <row r="23" ht="15.75" customHeight="1">
      <c r="B23" s="52" t="s">
        <v>97</v>
      </c>
      <c r="C23" s="154">
        <f t="shared" si="1"/>
        <v>0</v>
      </c>
      <c r="D23" s="155">
        <v>0.82</v>
      </c>
      <c r="E23" s="156">
        <f t="shared" si="2"/>
        <v>0</v>
      </c>
      <c r="F23" s="157"/>
      <c r="G23" s="156">
        <f t="shared" si="64"/>
        <v>0</v>
      </c>
      <c r="H23" s="158">
        <v>0.335</v>
      </c>
      <c r="I23" s="156">
        <f t="shared" si="3"/>
        <v>0</v>
      </c>
      <c r="J23" s="157"/>
      <c r="K23" s="156">
        <f t="shared" si="4"/>
        <v>0</v>
      </c>
      <c r="L23" s="155">
        <v>0.27</v>
      </c>
      <c r="M23" s="156">
        <f t="shared" si="5"/>
        <v>0</v>
      </c>
      <c r="N23" s="157"/>
      <c r="O23" s="156">
        <f t="shared" si="6"/>
        <v>12026</v>
      </c>
      <c r="P23" s="155">
        <v>0.39</v>
      </c>
      <c r="Q23" s="54">
        <f t="shared" si="65"/>
        <v>3607.8</v>
      </c>
      <c r="R23" s="157"/>
      <c r="S23" s="159">
        <f t="shared" si="7"/>
        <v>600</v>
      </c>
      <c r="T23" s="155">
        <v>0.46</v>
      </c>
      <c r="U23" s="156">
        <f t="shared" si="8"/>
        <v>276</v>
      </c>
      <c r="V23" s="157"/>
      <c r="W23" s="159">
        <f t="shared" si="9"/>
        <v>500</v>
      </c>
      <c r="X23" s="160">
        <v>0.12</v>
      </c>
      <c r="Y23" s="161">
        <f t="shared" si="10"/>
        <v>60</v>
      </c>
      <c r="Z23" s="157"/>
      <c r="AA23" s="159">
        <f t="shared" si="11"/>
        <v>0</v>
      </c>
      <c r="AB23" s="162">
        <f t="shared" si="66"/>
        <v>0.45</v>
      </c>
      <c r="AC23" s="156">
        <f t="shared" si="12"/>
        <v>0</v>
      </c>
      <c r="AD23" s="157"/>
      <c r="AE23" s="159">
        <f t="shared" si="13"/>
        <v>0</v>
      </c>
      <c r="AF23" s="163"/>
      <c r="AG23" s="156">
        <f t="shared" si="14"/>
        <v>0</v>
      </c>
      <c r="AH23" s="157"/>
      <c r="AI23" s="159">
        <f t="shared" si="15"/>
        <v>0</v>
      </c>
      <c r="AJ23" s="164">
        <v>0.6</v>
      </c>
      <c r="AK23" s="156">
        <f t="shared" si="16"/>
        <v>0</v>
      </c>
      <c r="AL23" s="157"/>
      <c r="AM23" s="159">
        <f t="shared" si="17"/>
        <v>0</v>
      </c>
      <c r="AN23" s="163"/>
      <c r="AO23" s="156">
        <f t="shared" si="18"/>
        <v>0</v>
      </c>
      <c r="AP23" s="165"/>
      <c r="AQ23" s="166">
        <f t="shared" si="19"/>
        <v>0</v>
      </c>
      <c r="AR23" s="167"/>
      <c r="AS23" s="156">
        <f t="shared" si="20"/>
        <v>0</v>
      </c>
      <c r="AT23" s="157"/>
      <c r="AU23" s="167"/>
      <c r="AV23" s="156">
        <f t="shared" si="21"/>
        <v>0</v>
      </c>
      <c r="AW23" s="157"/>
      <c r="AX23" s="156">
        <f t="shared" si="22"/>
        <v>0</v>
      </c>
      <c r="AY23" s="168">
        <v>0.44</v>
      </c>
      <c r="AZ23" s="156">
        <f t="shared" si="23"/>
        <v>0</v>
      </c>
      <c r="BA23" s="157"/>
      <c r="BB23" s="159">
        <f t="shared" si="24"/>
        <v>0</v>
      </c>
      <c r="BC23" s="169"/>
      <c r="BD23" s="156">
        <f t="shared" si="25"/>
        <v>0</v>
      </c>
      <c r="BE23" s="157"/>
      <c r="BF23" s="170"/>
      <c r="BG23" s="159">
        <f t="shared" si="26"/>
        <v>0</v>
      </c>
      <c r="BH23" s="157"/>
      <c r="BI23" s="156">
        <f t="shared" si="27"/>
        <v>0</v>
      </c>
      <c r="BJ23" s="155">
        <v>0.54</v>
      </c>
      <c r="BK23" s="156">
        <f t="shared" si="28"/>
        <v>0</v>
      </c>
      <c r="BL23" s="157"/>
      <c r="BM23" s="156">
        <f t="shared" si="29"/>
        <v>4600</v>
      </c>
      <c r="BN23" s="168">
        <v>0.46</v>
      </c>
      <c r="BO23" s="156">
        <f t="shared" si="30"/>
        <v>2116</v>
      </c>
      <c r="BP23" s="165"/>
      <c r="BQ23" s="154">
        <f t="shared" si="31"/>
        <v>0</v>
      </c>
      <c r="BR23" s="169"/>
      <c r="BS23" s="156">
        <f t="shared" si="32"/>
        <v>0</v>
      </c>
      <c r="BT23" s="157"/>
      <c r="BU23" s="169"/>
      <c r="BV23" s="156">
        <f t="shared" si="33"/>
        <v>0</v>
      </c>
      <c r="BW23" s="157"/>
      <c r="BX23" s="169"/>
      <c r="BY23" s="156">
        <f t="shared" si="34"/>
        <v>0</v>
      </c>
      <c r="BZ23" s="157"/>
      <c r="CA23" s="159">
        <f t="shared" si="35"/>
        <v>0</v>
      </c>
      <c r="CB23" s="169"/>
      <c r="CC23" s="156">
        <f t="shared" si="36"/>
        <v>0</v>
      </c>
      <c r="CD23" s="157"/>
      <c r="CE23" s="169"/>
      <c r="CF23" s="156">
        <f t="shared" si="37"/>
        <v>0</v>
      </c>
      <c r="CG23" s="157"/>
      <c r="CH23" s="169"/>
      <c r="CI23" s="156">
        <f t="shared" si="38"/>
        <v>0</v>
      </c>
      <c r="CJ23" s="165"/>
      <c r="CK23" s="154">
        <f t="shared" si="39"/>
        <v>0</v>
      </c>
      <c r="CL23" s="165"/>
      <c r="CM23" s="154">
        <f t="shared" si="40"/>
        <v>0</v>
      </c>
      <c r="CN23" s="155">
        <v>0.94</v>
      </c>
      <c r="CO23" s="156">
        <f t="shared" si="41"/>
        <v>0</v>
      </c>
      <c r="CP23" s="157"/>
      <c r="CQ23" s="159">
        <f t="shared" si="42"/>
        <v>26140</v>
      </c>
      <c r="CR23" s="164">
        <v>0.55</v>
      </c>
      <c r="CS23" s="159">
        <f t="shared" si="43"/>
        <v>14377</v>
      </c>
      <c r="CT23" s="157"/>
      <c r="CU23" s="159">
        <f t="shared" si="44"/>
        <v>0</v>
      </c>
      <c r="CV23" s="164">
        <v>0.55</v>
      </c>
      <c r="CW23" s="159">
        <f t="shared" si="45"/>
        <v>0</v>
      </c>
      <c r="CX23" s="157"/>
      <c r="CY23" s="159">
        <f t="shared" si="46"/>
        <v>0</v>
      </c>
      <c r="CZ23" s="164">
        <v>0.35</v>
      </c>
      <c r="DA23" s="159">
        <f t="shared" si="47"/>
        <v>0</v>
      </c>
      <c r="DB23" s="165"/>
      <c r="DC23" s="166">
        <f t="shared" si="48"/>
        <v>2775</v>
      </c>
      <c r="DD23" s="157"/>
      <c r="DE23" s="159">
        <f t="shared" si="49"/>
        <v>460</v>
      </c>
      <c r="DF23" s="157"/>
      <c r="DG23" s="159">
        <f t="shared" si="50"/>
        <v>0</v>
      </c>
      <c r="DH23" s="157"/>
      <c r="DI23" s="159">
        <f t="shared" si="51"/>
        <v>0</v>
      </c>
      <c r="DJ23" s="157"/>
      <c r="DK23" s="159">
        <f t="shared" si="52"/>
        <v>0</v>
      </c>
      <c r="DL23" s="157"/>
      <c r="DM23" s="156">
        <f t="shared" si="53"/>
        <v>0</v>
      </c>
      <c r="DN23" s="157"/>
      <c r="DO23" s="171">
        <f t="shared" si="54"/>
        <v>0</v>
      </c>
      <c r="DP23" s="157"/>
      <c r="DQ23" s="171">
        <f t="shared" si="55"/>
        <v>0</v>
      </c>
      <c r="DR23" s="157"/>
      <c r="DS23" s="171">
        <f t="shared" si="56"/>
        <v>0</v>
      </c>
      <c r="DT23" s="157"/>
      <c r="DU23" s="171">
        <f t="shared" si="57"/>
        <v>0</v>
      </c>
      <c r="DV23" s="157"/>
      <c r="DW23" s="171">
        <f t="shared" si="58"/>
        <v>0</v>
      </c>
      <c r="DX23" s="157"/>
      <c r="DY23" s="171">
        <f t="shared" si="59"/>
        <v>0</v>
      </c>
      <c r="DZ23" s="157"/>
      <c r="EA23" s="171">
        <f t="shared" si="60"/>
        <v>0</v>
      </c>
      <c r="EB23" s="157"/>
      <c r="EC23" s="171">
        <f t="shared" si="61"/>
        <v>0</v>
      </c>
      <c r="ED23" s="157"/>
      <c r="EE23" s="171">
        <f t="shared" si="62"/>
        <v>0</v>
      </c>
      <c r="EF23" s="157"/>
      <c r="EG23" s="171">
        <f t="shared" si="63"/>
        <v>0</v>
      </c>
      <c r="EH23" s="165"/>
    </row>
    <row r="24" ht="15.75" customHeight="1">
      <c r="B24" s="172" t="s">
        <v>149</v>
      </c>
      <c r="C24" s="173">
        <f>SUM(C19:C23)</f>
        <v>0</v>
      </c>
      <c r="E24" s="173">
        <f>SUM(E19:E23)</f>
        <v>0</v>
      </c>
      <c r="G24" s="173">
        <f>SUM(G19:G23)</f>
        <v>45600</v>
      </c>
      <c r="I24" s="173">
        <f>SUM(I19:I23)</f>
        <v>15276</v>
      </c>
      <c r="K24" s="173">
        <f>SUM(K19:K23)</f>
        <v>0</v>
      </c>
      <c r="M24" s="173">
        <f>SUM(M19:M23)</f>
        <v>0</v>
      </c>
      <c r="O24" s="173">
        <f>SUM(O19:O23)</f>
        <v>477906</v>
      </c>
      <c r="Q24" s="174">
        <f>SUM(Q19:Q23)</f>
        <v>143371.8</v>
      </c>
      <c r="S24" s="173">
        <f>SUM(S19:S23)</f>
        <v>71220</v>
      </c>
      <c r="U24" s="173">
        <f>SUM(U19:U23)</f>
        <v>32761.2</v>
      </c>
      <c r="W24" s="173">
        <f>SUM(W19:W23)</f>
        <v>17924</v>
      </c>
      <c r="Y24" s="173">
        <f>SUM(Y19:Y23)</f>
        <v>4590.24</v>
      </c>
      <c r="AA24" s="173">
        <f>SUM(AA19:AA23)</f>
        <v>27900</v>
      </c>
      <c r="AC24" s="174">
        <f>SUM(AC19:AC23)</f>
        <v>12555</v>
      </c>
      <c r="AE24" s="174">
        <f>SUM(AE19:AE23)</f>
        <v>0</v>
      </c>
      <c r="AG24" s="173">
        <f>SUM(AG19:AG23)</f>
        <v>0</v>
      </c>
      <c r="AI24" s="173">
        <f>SUM(AI19:AI23)</f>
        <v>8400</v>
      </c>
      <c r="AK24" s="173">
        <f>SUM(AK19:AK23)</f>
        <v>5040</v>
      </c>
      <c r="AM24" s="174">
        <f>SUM(AM19:AM23)</f>
        <v>0</v>
      </c>
      <c r="AO24" s="174">
        <f>SUM(AO19:AO23)</f>
        <v>0</v>
      </c>
      <c r="AQ24" s="173">
        <f>SUM(AQ19:AQ23)</f>
        <v>0</v>
      </c>
      <c r="AS24" s="173">
        <f>SUM(AS19:AS23)</f>
        <v>0</v>
      </c>
      <c r="AV24" s="174">
        <f>SUM(AV19:AV23)</f>
        <v>0</v>
      </c>
      <c r="AZ24" s="174">
        <f>SUM(AZ19:AZ23)</f>
        <v>0</v>
      </c>
      <c r="BB24" s="174">
        <f>SUM(BB19:BB23)</f>
        <v>0</v>
      </c>
      <c r="BD24" s="174">
        <f>SUM(BD19:BD23)</f>
        <v>0</v>
      </c>
      <c r="BG24" s="174">
        <f>SUM(BG19:BG23)</f>
        <v>0</v>
      </c>
      <c r="BK24" s="174">
        <f>SUM(BK19:BK23)</f>
        <v>0</v>
      </c>
      <c r="BO24" s="174">
        <f>SUM(BO19:BO23)</f>
        <v>3772</v>
      </c>
      <c r="BQ24" s="174">
        <f>SUM(BQ19:BQ23)</f>
        <v>21000</v>
      </c>
      <c r="BS24" s="174">
        <f>SUM(BS19:BS23)</f>
        <v>2520</v>
      </c>
      <c r="BV24" s="174">
        <f>SUM(BV19:BV23)</f>
        <v>6918</v>
      </c>
      <c r="BY24" s="174">
        <f>SUM(BY19:BY23)</f>
        <v>0</v>
      </c>
      <c r="CA24" s="173">
        <f>SUM(CA19:CA23)</f>
        <v>0</v>
      </c>
      <c r="CC24" s="173">
        <f>SUM(CC19:CC23)</f>
        <v>0</v>
      </c>
      <c r="CF24" s="173">
        <f>SUM(CF19:CF23)</f>
        <v>0</v>
      </c>
      <c r="CI24" s="173">
        <f>SUM(CI19:CI23)</f>
        <v>0</v>
      </c>
      <c r="CK24" s="173">
        <f>SUM(CK19:CK23)</f>
        <v>0</v>
      </c>
      <c r="CM24" s="175">
        <f>SUM(CM19:CM23)</f>
        <v>7800</v>
      </c>
      <c r="CN24" s="176"/>
      <c r="CO24" s="177">
        <f>SUM(CO19:CO23)</f>
        <v>7332</v>
      </c>
      <c r="CQ24" s="174">
        <f>SUM(CQ19:CQ23)</f>
        <v>28540</v>
      </c>
      <c r="CR24" s="178"/>
      <c r="CS24" s="179">
        <f> SUM(CS19:CS23)</f>
        <v>15697</v>
      </c>
      <c r="CT24" s="178"/>
      <c r="CU24" s="174">
        <f>SUM(CU19:CU23)</f>
        <v>0</v>
      </c>
      <c r="CV24" s="178"/>
      <c r="CW24" s="179">
        <f> SUM(CW19:CW23)</f>
        <v>0</v>
      </c>
      <c r="CX24" s="178"/>
      <c r="CY24" s="174">
        <f>SUM(CY19:CY23)</f>
        <v>0</v>
      </c>
      <c r="CZ24" s="178"/>
      <c r="DA24" s="179">
        <f> SUM(DA19:DA23)</f>
        <v>0</v>
      </c>
      <c r="DB24" s="178"/>
      <c r="DC24" s="174">
        <f>SUM(DC19:DC23)</f>
        <v>5550</v>
      </c>
      <c r="DE24" s="174">
        <f>SUM(DE19:DE23)</f>
        <v>920</v>
      </c>
      <c r="DG24" s="174">
        <f>SUM(DG19:DG23)</f>
        <v>0</v>
      </c>
      <c r="DI24" s="174">
        <f>SUM(DI19:DI23)</f>
        <v>0</v>
      </c>
      <c r="DK24" s="174">
        <f>SUM(DK19:DK23)</f>
        <v>0</v>
      </c>
      <c r="DM24" s="174">
        <f>SUM(DM19:DM23)</f>
        <v>0</v>
      </c>
      <c r="DO24" s="174">
        <f>SUM(DO19:DO23)</f>
        <v>0</v>
      </c>
      <c r="DQ24" s="174">
        <f>SUM(DQ19:DQ23)</f>
        <v>0</v>
      </c>
      <c r="DS24" s="174">
        <f>SUM(DS19:DS23)</f>
        <v>0</v>
      </c>
      <c r="DU24" s="174">
        <f>SUM(DU19:DU23)</f>
        <v>0</v>
      </c>
      <c r="DW24" s="174">
        <f>SUM(DW19:DW23)</f>
        <v>0</v>
      </c>
      <c r="DY24" s="174">
        <f>SUM(DY19:DY23)</f>
        <v>0</v>
      </c>
      <c r="EA24" s="174">
        <f>SUM(EA19:EA23)</f>
        <v>0</v>
      </c>
      <c r="EC24" s="174">
        <f>SUM(EC19:EC23)</f>
        <v>0</v>
      </c>
      <c r="EE24" s="174">
        <f>SUM(EE19:EE23)</f>
        <v>0</v>
      </c>
      <c r="EG24" s="174">
        <f>SUM(EG19:EG23)</f>
        <v>0</v>
      </c>
    </row>
    <row r="25" ht="15.75" customHeight="1">
      <c r="H25" s="180"/>
      <c r="I25" s="180"/>
      <c r="J25" s="180"/>
      <c r="K25" s="180"/>
      <c r="U25" s="180"/>
    </row>
    <row r="26" ht="14.25" customHeight="1">
      <c r="B26" s="181" t="s">
        <v>150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84"/>
      <c r="AQ26" s="182"/>
      <c r="AR26" s="182"/>
      <c r="AS26" s="182"/>
    </row>
    <row r="27" ht="30.0" customHeight="1">
      <c r="B27" s="86"/>
      <c r="C27" s="183" t="s">
        <v>99</v>
      </c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5"/>
      <c r="T27" s="186" t="s">
        <v>151</v>
      </c>
      <c r="U27" s="57" t="s">
        <v>51</v>
      </c>
      <c r="V27" s="50"/>
      <c r="W27" s="50"/>
      <c r="X27" s="51"/>
      <c r="Y27" s="187" t="s">
        <v>52</v>
      </c>
      <c r="Z27" s="50"/>
      <c r="AA27" s="50"/>
      <c r="AB27" s="50"/>
      <c r="AC27" s="50"/>
      <c r="AD27" s="51"/>
      <c r="AE27" s="187" t="s">
        <v>152</v>
      </c>
      <c r="AF27" s="50"/>
      <c r="AG27" s="50"/>
      <c r="AH27" s="50"/>
      <c r="AI27" s="50"/>
      <c r="AJ27" s="50"/>
      <c r="AK27" s="50"/>
      <c r="AL27" s="50"/>
      <c r="AM27" s="50"/>
      <c r="AN27" s="51"/>
      <c r="AO27" s="188" t="s">
        <v>153</v>
      </c>
      <c r="AP27" s="188" t="s">
        <v>154</v>
      </c>
      <c r="AR27" s="189"/>
    </row>
    <row r="28" ht="15.0" customHeight="1">
      <c r="B28" s="96"/>
      <c r="C28" s="52" t="s">
        <v>47</v>
      </c>
      <c r="D28" s="50"/>
      <c r="E28" s="50"/>
      <c r="F28" s="50"/>
      <c r="G28" s="50"/>
      <c r="H28" s="50"/>
      <c r="I28" s="50"/>
      <c r="J28" s="50"/>
      <c r="K28" s="50"/>
      <c r="L28" s="51"/>
      <c r="M28" s="52" t="s">
        <v>48</v>
      </c>
      <c r="N28" s="50"/>
      <c r="O28" s="50"/>
      <c r="P28" s="50"/>
      <c r="Q28" s="51"/>
      <c r="R28" s="52" t="s">
        <v>49</v>
      </c>
      <c r="S28" s="51"/>
      <c r="T28" s="117" t="s">
        <v>155</v>
      </c>
      <c r="U28" s="117" t="s">
        <v>71</v>
      </c>
      <c r="V28" s="117" t="s">
        <v>72</v>
      </c>
      <c r="W28" s="86" t="s">
        <v>73</v>
      </c>
      <c r="X28" s="117" t="s">
        <v>156</v>
      </c>
      <c r="Y28" s="117" t="str">
        <f>DC15</f>
        <v>Digestats de méthanisation liquide</v>
      </c>
      <c r="Z28" s="117" t="str">
        <f>DE15</f>
        <v>Digestats de méthanisation solide</v>
      </c>
      <c r="AA28" s="117" t="str">
        <f>DG15</f>
        <v/>
      </c>
      <c r="AB28" s="117" t="s">
        <v>157</v>
      </c>
      <c r="AC28" s="117" t="str">
        <f>DK15</f>
        <v/>
      </c>
      <c r="AD28" s="117" t="str">
        <f>DM15</f>
        <v/>
      </c>
      <c r="AE28" s="190" t="s">
        <v>77</v>
      </c>
      <c r="AF28" s="190" t="s">
        <v>78</v>
      </c>
      <c r="AG28" s="190" t="s">
        <v>79</v>
      </c>
      <c r="AH28" s="191" t="s">
        <v>80</v>
      </c>
      <c r="AI28" s="191" t="s">
        <v>81</v>
      </c>
      <c r="AJ28" s="191" t="s">
        <v>82</v>
      </c>
      <c r="AK28" s="191" t="s">
        <v>83</v>
      </c>
      <c r="AL28" s="191" t="s">
        <v>84</v>
      </c>
      <c r="AM28" s="191" t="s">
        <v>85</v>
      </c>
      <c r="AN28" s="191" t="s">
        <v>86</v>
      </c>
      <c r="AO28" s="96"/>
      <c r="AP28" s="96"/>
    </row>
    <row r="29" ht="15.0" customHeight="1">
      <c r="B29" s="96"/>
      <c r="C29" s="110" t="s">
        <v>106</v>
      </c>
      <c r="D29" s="50"/>
      <c r="E29" s="50"/>
      <c r="F29" s="50"/>
      <c r="G29" s="50"/>
      <c r="H29" s="51"/>
      <c r="I29" s="110" t="s">
        <v>107</v>
      </c>
      <c r="J29" s="51"/>
      <c r="K29" s="110" t="s">
        <v>108</v>
      </c>
      <c r="L29" s="51"/>
      <c r="M29" s="117" t="s">
        <v>109</v>
      </c>
      <c r="N29" s="117" t="s">
        <v>64</v>
      </c>
      <c r="O29" s="117" t="s">
        <v>111</v>
      </c>
      <c r="P29" s="117" t="s">
        <v>112</v>
      </c>
      <c r="Q29" s="117" t="s">
        <v>113</v>
      </c>
      <c r="R29" s="117" t="s">
        <v>114</v>
      </c>
      <c r="S29" s="117" t="s">
        <v>115</v>
      </c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115"/>
      <c r="AF29" s="115"/>
      <c r="AG29" s="115"/>
      <c r="AH29" s="96"/>
      <c r="AI29" s="96"/>
      <c r="AJ29" s="96"/>
      <c r="AK29" s="96"/>
      <c r="AL29" s="96"/>
      <c r="AM29" s="96"/>
      <c r="AN29" s="96"/>
      <c r="AO29" s="96"/>
      <c r="AP29" s="96"/>
    </row>
    <row r="30" ht="15.75" customHeight="1">
      <c r="B30" s="123"/>
      <c r="C30" s="125" t="s">
        <v>53</v>
      </c>
      <c r="D30" s="125" t="s">
        <v>54</v>
      </c>
      <c r="E30" s="125" t="s">
        <v>55</v>
      </c>
      <c r="F30" s="125" t="s">
        <v>56</v>
      </c>
      <c r="G30" s="125" t="s">
        <v>57</v>
      </c>
      <c r="H30" s="125" t="s">
        <v>58</v>
      </c>
      <c r="I30" s="125" t="s">
        <v>59</v>
      </c>
      <c r="J30" s="125" t="s">
        <v>58</v>
      </c>
      <c r="K30" s="125" t="s">
        <v>61</v>
      </c>
      <c r="L30" s="125" t="s">
        <v>58</v>
      </c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2"/>
      <c r="AF30" s="122"/>
      <c r="AG30" s="122"/>
      <c r="AH30" s="123"/>
      <c r="AI30" s="123"/>
      <c r="AJ30" s="123"/>
      <c r="AK30" s="123"/>
      <c r="AL30" s="123"/>
      <c r="AM30" s="123"/>
      <c r="AN30" s="123"/>
      <c r="AO30" s="123"/>
      <c r="AP30" s="123"/>
    </row>
    <row r="31" ht="15.75" customHeight="1">
      <c r="B31" s="54" t="s">
        <v>93</v>
      </c>
      <c r="C31" s="54">
        <f t="shared" ref="C31:C35" si="67">E19*$F$19</f>
        <v>0</v>
      </c>
      <c r="D31" s="54">
        <f t="shared" ref="D31:D35" si="68">I19*$J$19</f>
        <v>0</v>
      </c>
      <c r="E31" s="54">
        <f t="shared" ref="E31:E35" si="69">M19*$N$19</f>
        <v>0</v>
      </c>
      <c r="F31" s="54">
        <f t="shared" ref="F31:F35" si="70">Q19*$R$19</f>
        <v>112724.1</v>
      </c>
      <c r="G31" s="54">
        <f t="shared" ref="G31:G35" si="71">U19*$V$19</f>
        <v>20048.64</v>
      </c>
      <c r="H31" s="54">
        <f t="shared" ref="H31:H35" si="72">Y19*$Z$19</f>
        <v>0</v>
      </c>
      <c r="I31" s="54">
        <f t="shared" ref="I31:I35" si="73">AC19*$AD$19</f>
        <v>2153.25</v>
      </c>
      <c r="J31" s="54">
        <f t="shared" ref="J31:J35" si="74">AG19*$AH$19</f>
        <v>0</v>
      </c>
      <c r="K31" s="54">
        <f t="shared" ref="K31:K35" si="75">AK19*$AL$19</f>
        <v>0</v>
      </c>
      <c r="L31" s="54">
        <f t="shared" ref="L31:L35" si="76">AO19*$AP$19</f>
        <v>0</v>
      </c>
      <c r="M31" s="54">
        <f t="shared" ref="M31:M35" si="77">AS19*$AT$19+AV19*$AW$19</f>
        <v>0</v>
      </c>
      <c r="N31" s="54">
        <f t="shared" ref="N31:N35" si="78">AZ19*$BA$19</f>
        <v>0</v>
      </c>
      <c r="O31" s="54">
        <f t="shared" ref="O31:O35" si="79">BD19*$BE$19+BG19*$BH$19</f>
        <v>0</v>
      </c>
      <c r="P31" s="54">
        <f t="shared" ref="P31:P35" si="80">BK19*$BL$19</f>
        <v>0</v>
      </c>
      <c r="Q31" s="54">
        <f t="shared" ref="Q31:Q35" si="81">BO19*$BP$19</f>
        <v>4167.6</v>
      </c>
      <c r="R31" s="54">
        <f t="shared" ref="R31:R35" si="82">BS19*$BT$19+BV19*$BW$19+BY19*$BZ$19</f>
        <v>0</v>
      </c>
      <c r="S31" s="54">
        <f t="shared" ref="S31:S35" si="83">CC19*$CD$19+CF19*$CG$19+CI19*$CJ$19</f>
        <v>0</v>
      </c>
      <c r="T31" s="54">
        <f t="shared" ref="T31:T35" si="84">CK19*$CL$19</f>
        <v>0</v>
      </c>
      <c r="U31" s="54">
        <f t="shared" ref="U31:U35" si="85">CO19*$CP$19</f>
        <v>1227.828</v>
      </c>
      <c r="V31" s="54">
        <f t="shared" ref="V31:V35" si="86">CS19*$CT$19</f>
        <v>0</v>
      </c>
      <c r="W31" s="54">
        <f t="shared" ref="W31:W35" si="87">CW19*$CX$19</f>
        <v>0</v>
      </c>
      <c r="X31" s="52">
        <f t="shared" ref="X31:X35" si="88">DA19*$DB$19</f>
        <v>0</v>
      </c>
      <c r="Y31" s="54">
        <f t="shared" ref="Y31:Y35" si="89">DC19*$DD$19</f>
        <v>0</v>
      </c>
      <c r="Z31" s="52">
        <f t="shared" ref="Z31:Z35" si="90">DE19*$DF$19</f>
        <v>0</v>
      </c>
      <c r="AA31" s="52">
        <f t="shared" ref="AA31:AA35" si="91">DG19*$DH$19</f>
        <v>0</v>
      </c>
      <c r="AB31" s="52">
        <f t="shared" ref="AB31:AB35" si="92">DI19*$DJ$19</f>
        <v>0</v>
      </c>
      <c r="AC31" s="52">
        <f t="shared" ref="AC31:AC35" si="93">DK19*$DL$19</f>
        <v>0</v>
      </c>
      <c r="AD31" s="52">
        <f t="shared" ref="AD31:AD35" si="94">DM19*$DN$19</f>
        <v>0</v>
      </c>
      <c r="AE31" s="52">
        <f t="shared" ref="AE31:AE35" si="95">DO19*$DP$19</f>
        <v>0</v>
      </c>
      <c r="AF31" s="52">
        <f t="shared" ref="AF31:AF35" si="96">DQ19*$DR$19</f>
        <v>0</v>
      </c>
      <c r="AG31" s="52">
        <f t="shared" ref="AG31:AG35" si="97">DS19*$DT$19</f>
        <v>0</v>
      </c>
      <c r="AH31" s="52">
        <f t="shared" ref="AH31:AH35" si="98">DU19*$DV$19</f>
        <v>0</v>
      </c>
      <c r="AI31" s="52">
        <f t="shared" ref="AI31:AI35" si="99">DW19*$DX$19</f>
        <v>0</v>
      </c>
      <c r="AJ31" s="52">
        <f t="shared" ref="AJ31:AJ35" si="100">DY19*$DZ$19</f>
        <v>0</v>
      </c>
      <c r="AK31" s="52">
        <f t="shared" ref="AK31:AK35" si="101">EA19*$EB$19</f>
        <v>0</v>
      </c>
      <c r="AL31" s="52">
        <f t="shared" ref="AL31:AL35" si="102">EC19*$ED$19</f>
        <v>0</v>
      </c>
      <c r="AM31" s="52">
        <f t="shared" ref="AM31:AM35" si="103">EE19*$EF$19</f>
        <v>0</v>
      </c>
      <c r="AN31" s="52">
        <f t="shared" ref="AN31:AN35" si="104">EG19*$EH$19</f>
        <v>0</v>
      </c>
      <c r="AO31" s="192">
        <f t="shared" ref="AO31:AO35" si="105">SUM(C31:AN31)</f>
        <v>140321.418</v>
      </c>
      <c r="AP31" s="193">
        <f>AO31/'SUIVI RABAIS PRODUCTION ET C '!D9</f>
        <v>367.525977</v>
      </c>
    </row>
    <row r="32" ht="15.75" customHeight="1">
      <c r="B32" s="54" t="s">
        <v>94</v>
      </c>
      <c r="C32" s="54">
        <f t="shared" si="67"/>
        <v>0</v>
      </c>
      <c r="D32" s="54">
        <f t="shared" si="68"/>
        <v>32716.77</v>
      </c>
      <c r="E32" s="54">
        <f t="shared" si="69"/>
        <v>0</v>
      </c>
      <c r="F32" s="54">
        <f t="shared" si="70"/>
        <v>184460.34</v>
      </c>
      <c r="G32" s="54">
        <f t="shared" si="71"/>
        <v>63905.04</v>
      </c>
      <c r="H32" s="54">
        <f t="shared" si="72"/>
        <v>22605.8976</v>
      </c>
      <c r="I32" s="54">
        <f t="shared" si="73"/>
        <v>16051.5</v>
      </c>
      <c r="J32" s="54">
        <f t="shared" si="74"/>
        <v>0</v>
      </c>
      <c r="K32" s="54">
        <f t="shared" si="75"/>
        <v>3578.4</v>
      </c>
      <c r="L32" s="54">
        <f t="shared" si="76"/>
        <v>0</v>
      </c>
      <c r="M32" s="54">
        <f t="shared" si="77"/>
        <v>0</v>
      </c>
      <c r="N32" s="54">
        <f t="shared" si="78"/>
        <v>0</v>
      </c>
      <c r="O32" s="54">
        <f t="shared" si="79"/>
        <v>0</v>
      </c>
      <c r="P32" s="54">
        <f t="shared" si="80"/>
        <v>0</v>
      </c>
      <c r="Q32" s="54">
        <f t="shared" si="81"/>
        <v>833.52</v>
      </c>
      <c r="R32" s="54">
        <f t="shared" si="82"/>
        <v>0</v>
      </c>
      <c r="S32" s="54">
        <f t="shared" si="83"/>
        <v>0</v>
      </c>
      <c r="T32" s="54">
        <f t="shared" si="84"/>
        <v>0</v>
      </c>
      <c r="U32" s="54">
        <f t="shared" si="85"/>
        <v>1052.424</v>
      </c>
      <c r="V32" s="54">
        <f t="shared" si="86"/>
        <v>0</v>
      </c>
      <c r="W32" s="54">
        <f t="shared" si="87"/>
        <v>0</v>
      </c>
      <c r="X32" s="52">
        <f t="shared" si="88"/>
        <v>0</v>
      </c>
      <c r="Y32" s="54">
        <f t="shared" si="89"/>
        <v>0</v>
      </c>
      <c r="Z32" s="52">
        <f t="shared" si="90"/>
        <v>0</v>
      </c>
      <c r="AA32" s="52">
        <f t="shared" si="91"/>
        <v>0</v>
      </c>
      <c r="AB32" s="52">
        <f t="shared" si="92"/>
        <v>0</v>
      </c>
      <c r="AC32" s="52">
        <f t="shared" si="93"/>
        <v>0</v>
      </c>
      <c r="AD32" s="52">
        <f t="shared" si="94"/>
        <v>0</v>
      </c>
      <c r="AE32" s="52">
        <f t="shared" si="95"/>
        <v>0</v>
      </c>
      <c r="AF32" s="52">
        <f t="shared" si="96"/>
        <v>0</v>
      </c>
      <c r="AG32" s="52">
        <f t="shared" si="97"/>
        <v>0</v>
      </c>
      <c r="AH32" s="52">
        <f t="shared" si="98"/>
        <v>0</v>
      </c>
      <c r="AI32" s="52">
        <f t="shared" si="99"/>
        <v>0</v>
      </c>
      <c r="AJ32" s="52">
        <f t="shared" si="100"/>
        <v>0</v>
      </c>
      <c r="AK32" s="52">
        <f t="shared" si="101"/>
        <v>0</v>
      </c>
      <c r="AL32" s="52">
        <f t="shared" si="102"/>
        <v>0</v>
      </c>
      <c r="AM32" s="52">
        <f t="shared" si="103"/>
        <v>0</v>
      </c>
      <c r="AN32" s="52">
        <f t="shared" si="104"/>
        <v>0</v>
      </c>
      <c r="AO32" s="192">
        <f t="shared" si="105"/>
        <v>325203.8916</v>
      </c>
      <c r="AP32" s="193">
        <f>AO32/'SUIVI RABAIS PRODUCTION ET C '!E9</f>
        <v>891.5802374</v>
      </c>
    </row>
    <row r="33" ht="15.75" customHeight="1">
      <c r="B33" s="54" t="s">
        <v>95</v>
      </c>
      <c r="C33" s="54">
        <f t="shared" si="67"/>
        <v>0</v>
      </c>
      <c r="D33" s="54">
        <f t="shared" si="68"/>
        <v>27928.95</v>
      </c>
      <c r="E33" s="54">
        <f t="shared" si="69"/>
        <v>0</v>
      </c>
      <c r="F33" s="54">
        <f t="shared" si="70"/>
        <v>163681.98</v>
      </c>
      <c r="G33" s="54">
        <f t="shared" si="71"/>
        <v>62652</v>
      </c>
      <c r="H33" s="54">
        <f t="shared" si="72"/>
        <v>0</v>
      </c>
      <c r="I33" s="54">
        <f t="shared" si="73"/>
        <v>0</v>
      </c>
      <c r="J33" s="54">
        <f t="shared" si="74"/>
        <v>0</v>
      </c>
      <c r="K33" s="54">
        <f t="shared" si="75"/>
        <v>0</v>
      </c>
      <c r="L33" s="54">
        <f t="shared" si="76"/>
        <v>0</v>
      </c>
      <c r="M33" s="54">
        <f t="shared" si="77"/>
        <v>0</v>
      </c>
      <c r="N33" s="54">
        <f t="shared" si="78"/>
        <v>0</v>
      </c>
      <c r="O33" s="54">
        <f t="shared" si="79"/>
        <v>0</v>
      </c>
      <c r="P33" s="54">
        <f t="shared" si="80"/>
        <v>0</v>
      </c>
      <c r="Q33" s="54">
        <f t="shared" si="81"/>
        <v>0</v>
      </c>
      <c r="R33" s="54">
        <f t="shared" si="82"/>
        <v>11600.64</v>
      </c>
      <c r="S33" s="54">
        <f t="shared" si="83"/>
        <v>0</v>
      </c>
      <c r="T33" s="54">
        <f t="shared" si="84"/>
        <v>0</v>
      </c>
      <c r="U33" s="54">
        <f t="shared" si="85"/>
        <v>0</v>
      </c>
      <c r="V33" s="54">
        <f t="shared" si="86"/>
        <v>0</v>
      </c>
      <c r="W33" s="54">
        <f t="shared" si="87"/>
        <v>0</v>
      </c>
      <c r="X33" s="52">
        <f t="shared" si="88"/>
        <v>0</v>
      </c>
      <c r="Y33" s="54">
        <f t="shared" si="89"/>
        <v>0</v>
      </c>
      <c r="Z33" s="52">
        <f t="shared" si="90"/>
        <v>0</v>
      </c>
      <c r="AA33" s="52">
        <f t="shared" si="91"/>
        <v>0</v>
      </c>
      <c r="AB33" s="52">
        <f t="shared" si="92"/>
        <v>0</v>
      </c>
      <c r="AC33" s="52">
        <f t="shared" si="93"/>
        <v>0</v>
      </c>
      <c r="AD33" s="52">
        <f t="shared" si="94"/>
        <v>0</v>
      </c>
      <c r="AE33" s="52">
        <f t="shared" si="95"/>
        <v>0</v>
      </c>
      <c r="AF33" s="52">
        <f t="shared" si="96"/>
        <v>0</v>
      </c>
      <c r="AG33" s="52">
        <f t="shared" si="97"/>
        <v>0</v>
      </c>
      <c r="AH33" s="52">
        <f t="shared" si="98"/>
        <v>0</v>
      </c>
      <c r="AI33" s="52">
        <f t="shared" si="99"/>
        <v>0</v>
      </c>
      <c r="AJ33" s="52">
        <f t="shared" si="100"/>
        <v>0</v>
      </c>
      <c r="AK33" s="52">
        <f t="shared" si="101"/>
        <v>0</v>
      </c>
      <c r="AL33" s="52">
        <f t="shared" si="102"/>
        <v>0</v>
      </c>
      <c r="AM33" s="52">
        <f t="shared" si="103"/>
        <v>0</v>
      </c>
      <c r="AN33" s="52">
        <f t="shared" si="104"/>
        <v>0</v>
      </c>
      <c r="AO33" s="192">
        <f t="shared" si="105"/>
        <v>265863.57</v>
      </c>
      <c r="AP33" s="193">
        <f>AO33/'SUIVI RABAIS PRODUCTION ET C '!F9</f>
        <v>728.892584</v>
      </c>
    </row>
    <row r="34" ht="15.75" customHeight="1">
      <c r="B34" s="54" t="s">
        <v>96</v>
      </c>
      <c r="C34" s="54">
        <f t="shared" si="67"/>
        <v>0</v>
      </c>
      <c r="D34" s="54">
        <f t="shared" si="68"/>
        <v>0</v>
      </c>
      <c r="E34" s="54">
        <f t="shared" si="69"/>
        <v>0</v>
      </c>
      <c r="F34" s="54">
        <f t="shared" si="70"/>
        <v>236555.94</v>
      </c>
      <c r="G34" s="54">
        <f t="shared" si="71"/>
        <v>877.128</v>
      </c>
      <c r="H34" s="54">
        <f t="shared" si="72"/>
        <v>0</v>
      </c>
      <c r="I34" s="54">
        <f t="shared" si="73"/>
        <v>0</v>
      </c>
      <c r="J34" s="54">
        <f t="shared" si="74"/>
        <v>0</v>
      </c>
      <c r="K34" s="54">
        <f t="shared" si="75"/>
        <v>0</v>
      </c>
      <c r="L34" s="54">
        <f t="shared" si="76"/>
        <v>0</v>
      </c>
      <c r="M34" s="54">
        <f t="shared" si="77"/>
        <v>0</v>
      </c>
      <c r="N34" s="54">
        <f t="shared" si="78"/>
        <v>0</v>
      </c>
      <c r="O34" s="54">
        <f t="shared" si="79"/>
        <v>0</v>
      </c>
      <c r="P34" s="54">
        <f t="shared" si="80"/>
        <v>0</v>
      </c>
      <c r="Q34" s="54">
        <f t="shared" si="81"/>
        <v>0</v>
      </c>
      <c r="R34" s="54">
        <f t="shared" si="82"/>
        <v>11063.7</v>
      </c>
      <c r="S34" s="54">
        <f t="shared" si="83"/>
        <v>0</v>
      </c>
      <c r="T34" s="54">
        <f t="shared" si="84"/>
        <v>0</v>
      </c>
      <c r="U34" s="54">
        <f t="shared" si="85"/>
        <v>0</v>
      </c>
      <c r="V34" s="54">
        <f t="shared" si="86"/>
        <v>1659.24</v>
      </c>
      <c r="W34" s="54">
        <f t="shared" si="87"/>
        <v>0</v>
      </c>
      <c r="X34" s="52">
        <f t="shared" si="88"/>
        <v>0</v>
      </c>
      <c r="Y34" s="54">
        <f t="shared" si="89"/>
        <v>12210</v>
      </c>
      <c r="Z34" s="52">
        <f t="shared" si="90"/>
        <v>2553</v>
      </c>
      <c r="AA34" s="52">
        <f t="shared" si="91"/>
        <v>0</v>
      </c>
      <c r="AB34" s="52">
        <f t="shared" si="92"/>
        <v>0</v>
      </c>
      <c r="AC34" s="52">
        <f t="shared" si="93"/>
        <v>0</v>
      </c>
      <c r="AD34" s="52">
        <f t="shared" si="94"/>
        <v>0</v>
      </c>
      <c r="AE34" s="52">
        <f t="shared" si="95"/>
        <v>0</v>
      </c>
      <c r="AF34" s="52">
        <f t="shared" si="96"/>
        <v>0</v>
      </c>
      <c r="AG34" s="52">
        <f t="shared" si="97"/>
        <v>0</v>
      </c>
      <c r="AH34" s="52">
        <f t="shared" si="98"/>
        <v>0</v>
      </c>
      <c r="AI34" s="52">
        <f t="shared" si="99"/>
        <v>0</v>
      </c>
      <c r="AJ34" s="52">
        <f t="shared" si="100"/>
        <v>0</v>
      </c>
      <c r="AK34" s="52">
        <f t="shared" si="101"/>
        <v>0</v>
      </c>
      <c r="AL34" s="52">
        <f t="shared" si="102"/>
        <v>0</v>
      </c>
      <c r="AM34" s="52">
        <f t="shared" si="103"/>
        <v>0</v>
      </c>
      <c r="AN34" s="52">
        <f t="shared" si="104"/>
        <v>0</v>
      </c>
      <c r="AO34" s="192">
        <f t="shared" si="105"/>
        <v>264919.008</v>
      </c>
      <c r="AP34" s="193">
        <f>AO34/'SUIVI RABAIS PRODUCTION ET C '!G9</f>
        <v>726.1238022</v>
      </c>
    </row>
    <row r="35" ht="15.75" customHeight="1">
      <c r="B35" s="54" t="s">
        <v>97</v>
      </c>
      <c r="C35" s="54">
        <f t="shared" si="67"/>
        <v>0</v>
      </c>
      <c r="D35" s="54">
        <f t="shared" si="68"/>
        <v>0</v>
      </c>
      <c r="E35" s="54">
        <f t="shared" si="69"/>
        <v>0</v>
      </c>
      <c r="F35" s="54">
        <f t="shared" si="70"/>
        <v>18002.922</v>
      </c>
      <c r="G35" s="54">
        <f t="shared" si="71"/>
        <v>1253.04</v>
      </c>
      <c r="H35" s="54">
        <f t="shared" si="72"/>
        <v>299.4</v>
      </c>
      <c r="I35" s="54">
        <f t="shared" si="73"/>
        <v>0</v>
      </c>
      <c r="J35" s="54">
        <f t="shared" si="74"/>
        <v>0</v>
      </c>
      <c r="K35" s="54">
        <f t="shared" si="75"/>
        <v>0</v>
      </c>
      <c r="L35" s="54">
        <f t="shared" si="76"/>
        <v>0</v>
      </c>
      <c r="M35" s="54">
        <f t="shared" si="77"/>
        <v>0</v>
      </c>
      <c r="N35" s="54">
        <f t="shared" si="78"/>
        <v>0</v>
      </c>
      <c r="O35" s="54">
        <f t="shared" si="79"/>
        <v>0</v>
      </c>
      <c r="P35" s="54">
        <f t="shared" si="80"/>
        <v>0</v>
      </c>
      <c r="Q35" s="54">
        <f t="shared" si="81"/>
        <v>6390.32</v>
      </c>
      <c r="R35" s="54">
        <f t="shared" si="82"/>
        <v>0</v>
      </c>
      <c r="S35" s="54">
        <f t="shared" si="83"/>
        <v>0</v>
      </c>
      <c r="T35" s="54">
        <f t="shared" si="84"/>
        <v>0</v>
      </c>
      <c r="U35" s="54">
        <f t="shared" si="85"/>
        <v>0</v>
      </c>
      <c r="V35" s="54">
        <f t="shared" si="86"/>
        <v>18071.889</v>
      </c>
      <c r="W35" s="54">
        <f t="shared" si="87"/>
        <v>0</v>
      </c>
      <c r="X35" s="52">
        <f t="shared" si="88"/>
        <v>0</v>
      </c>
      <c r="Y35" s="54">
        <f t="shared" si="89"/>
        <v>12210</v>
      </c>
      <c r="Z35" s="52">
        <f t="shared" si="90"/>
        <v>2553</v>
      </c>
      <c r="AA35" s="52">
        <f t="shared" si="91"/>
        <v>0</v>
      </c>
      <c r="AB35" s="52">
        <f t="shared" si="92"/>
        <v>0</v>
      </c>
      <c r="AC35" s="52">
        <f t="shared" si="93"/>
        <v>0</v>
      </c>
      <c r="AD35" s="52">
        <f t="shared" si="94"/>
        <v>0</v>
      </c>
      <c r="AE35" s="52">
        <f t="shared" si="95"/>
        <v>0</v>
      </c>
      <c r="AF35" s="52">
        <f t="shared" si="96"/>
        <v>0</v>
      </c>
      <c r="AG35" s="52">
        <f t="shared" si="97"/>
        <v>0</v>
      </c>
      <c r="AH35" s="52">
        <f t="shared" si="98"/>
        <v>0</v>
      </c>
      <c r="AI35" s="52">
        <f t="shared" si="99"/>
        <v>0</v>
      </c>
      <c r="AJ35" s="52">
        <f t="shared" si="100"/>
        <v>0</v>
      </c>
      <c r="AK35" s="52">
        <f t="shared" si="101"/>
        <v>0</v>
      </c>
      <c r="AL35" s="52">
        <f t="shared" si="102"/>
        <v>0</v>
      </c>
      <c r="AM35" s="52">
        <f t="shared" si="103"/>
        <v>0</v>
      </c>
      <c r="AN35" s="52">
        <f t="shared" si="104"/>
        <v>0</v>
      </c>
      <c r="AO35" s="192">
        <f t="shared" si="105"/>
        <v>58780.571</v>
      </c>
      <c r="AP35" s="193">
        <f>AO35/'SUIVI RABAIS PRODUCTION ET C '!H9</f>
        <v>153.8798686</v>
      </c>
      <c r="DE35" s="194"/>
    </row>
    <row r="36" ht="15.75" customHeight="1">
      <c r="B36" s="172" t="s">
        <v>149</v>
      </c>
      <c r="C36" s="172">
        <f t="shared" ref="C36:AO36" si="106">SUM(C31:C35)</f>
        <v>0</v>
      </c>
      <c r="D36" s="172">
        <f t="shared" si="106"/>
        <v>60645.72</v>
      </c>
      <c r="E36" s="172">
        <f t="shared" si="106"/>
        <v>0</v>
      </c>
      <c r="F36" s="172">
        <f t="shared" si="106"/>
        <v>715425.282</v>
      </c>
      <c r="G36" s="172">
        <f t="shared" si="106"/>
        <v>148735.848</v>
      </c>
      <c r="H36" s="172">
        <f t="shared" si="106"/>
        <v>22905.2976</v>
      </c>
      <c r="I36" s="172">
        <f t="shared" si="106"/>
        <v>18204.75</v>
      </c>
      <c r="J36" s="172">
        <f t="shared" si="106"/>
        <v>0</v>
      </c>
      <c r="K36" s="172">
        <f t="shared" si="106"/>
        <v>3578.4</v>
      </c>
      <c r="L36" s="172">
        <f t="shared" si="106"/>
        <v>0</v>
      </c>
      <c r="M36" s="172">
        <f t="shared" si="106"/>
        <v>0</v>
      </c>
      <c r="N36" s="172">
        <f t="shared" si="106"/>
        <v>0</v>
      </c>
      <c r="O36" s="172">
        <f t="shared" si="106"/>
        <v>0</v>
      </c>
      <c r="P36" s="172">
        <f t="shared" si="106"/>
        <v>0</v>
      </c>
      <c r="Q36" s="172">
        <f t="shared" si="106"/>
        <v>11391.44</v>
      </c>
      <c r="R36" s="172">
        <f t="shared" si="106"/>
        <v>22664.34</v>
      </c>
      <c r="S36" s="172">
        <f t="shared" si="106"/>
        <v>0</v>
      </c>
      <c r="T36" s="172">
        <f t="shared" si="106"/>
        <v>0</v>
      </c>
      <c r="U36" s="172">
        <f t="shared" si="106"/>
        <v>2280.252</v>
      </c>
      <c r="V36" s="172">
        <f t="shared" si="106"/>
        <v>19731.129</v>
      </c>
      <c r="W36" s="172">
        <f t="shared" si="106"/>
        <v>0</v>
      </c>
      <c r="X36" s="172">
        <f t="shared" si="106"/>
        <v>0</v>
      </c>
      <c r="Y36" s="172">
        <f t="shared" si="106"/>
        <v>24420</v>
      </c>
      <c r="Z36" s="172">
        <f t="shared" si="106"/>
        <v>5106</v>
      </c>
      <c r="AA36" s="172">
        <f t="shared" si="106"/>
        <v>0</v>
      </c>
      <c r="AB36" s="172">
        <f t="shared" si="106"/>
        <v>0</v>
      </c>
      <c r="AC36" s="172">
        <f t="shared" si="106"/>
        <v>0</v>
      </c>
      <c r="AD36" s="172">
        <f t="shared" si="106"/>
        <v>0</v>
      </c>
      <c r="AE36" s="172">
        <f t="shared" si="106"/>
        <v>0</v>
      </c>
      <c r="AF36" s="172">
        <f t="shared" si="106"/>
        <v>0</v>
      </c>
      <c r="AG36" s="172">
        <f t="shared" si="106"/>
        <v>0</v>
      </c>
      <c r="AH36" s="172">
        <f t="shared" si="106"/>
        <v>0</v>
      </c>
      <c r="AI36" s="172">
        <f t="shared" si="106"/>
        <v>0</v>
      </c>
      <c r="AJ36" s="172">
        <f t="shared" si="106"/>
        <v>0</v>
      </c>
      <c r="AK36" s="172">
        <f t="shared" si="106"/>
        <v>0</v>
      </c>
      <c r="AL36" s="172">
        <f t="shared" si="106"/>
        <v>0</v>
      </c>
      <c r="AM36" s="172">
        <f t="shared" si="106"/>
        <v>0</v>
      </c>
      <c r="AN36" s="172">
        <f t="shared" si="106"/>
        <v>0</v>
      </c>
      <c r="AO36" s="195">
        <f t="shared" si="106"/>
        <v>1055088.459</v>
      </c>
    </row>
    <row r="37" ht="15.75" customHeight="1">
      <c r="G37" s="9">
        <f>SUM(E19,I19,M19,Q19,U19,Y19,BD19,BS19,CC19)</f>
        <v>27006</v>
      </c>
    </row>
    <row r="38" ht="15.75" customHeight="1">
      <c r="B38" s="196" t="s">
        <v>158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</row>
    <row r="39" ht="15.0" customHeight="1">
      <c r="B39" s="86"/>
      <c r="C39" s="197" t="s">
        <v>159</v>
      </c>
      <c r="D39" s="50"/>
      <c r="E39" s="50"/>
      <c r="F39" s="51"/>
      <c r="G39" s="197" t="s">
        <v>160</v>
      </c>
      <c r="H39" s="50"/>
      <c r="I39" s="50"/>
      <c r="J39" s="51"/>
      <c r="K39" s="198" t="s">
        <v>161</v>
      </c>
      <c r="L39" s="50"/>
      <c r="M39" s="50"/>
      <c r="N39" s="51"/>
      <c r="O39" s="199" t="s">
        <v>52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1"/>
      <c r="AA39" s="199" t="s">
        <v>152</v>
      </c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1"/>
      <c r="AU39" s="200" t="s">
        <v>153</v>
      </c>
      <c r="AV39" s="188" t="s">
        <v>162</v>
      </c>
    </row>
    <row r="40" ht="45.0" customHeight="1">
      <c r="B40" s="96"/>
      <c r="C40" s="201" t="s">
        <v>163</v>
      </c>
      <c r="D40" s="201" t="s">
        <v>164</v>
      </c>
      <c r="E40" s="201" t="s">
        <v>165</v>
      </c>
      <c r="F40" s="201" t="s">
        <v>166</v>
      </c>
      <c r="G40" s="201" t="s">
        <v>167</v>
      </c>
      <c r="H40" s="201" t="s">
        <v>164</v>
      </c>
      <c r="I40" s="201" t="s">
        <v>165</v>
      </c>
      <c r="J40" s="201" t="s">
        <v>166</v>
      </c>
      <c r="K40" s="201" t="s">
        <v>168</v>
      </c>
      <c r="L40" s="201" t="s">
        <v>169</v>
      </c>
      <c r="M40" s="201" t="s">
        <v>170</v>
      </c>
      <c r="N40" s="201" t="s">
        <v>169</v>
      </c>
      <c r="O40" s="202" t="s">
        <v>171</v>
      </c>
      <c r="P40" s="202" t="s">
        <v>172</v>
      </c>
      <c r="Q40" s="202" t="s">
        <v>173</v>
      </c>
      <c r="R40" s="202" t="s">
        <v>172</v>
      </c>
      <c r="S40" s="202" t="s">
        <v>174</v>
      </c>
      <c r="T40" s="202" t="s">
        <v>172</v>
      </c>
      <c r="U40" s="202" t="s">
        <v>175</v>
      </c>
      <c r="V40" s="202" t="s">
        <v>172</v>
      </c>
      <c r="W40" s="202" t="s">
        <v>176</v>
      </c>
      <c r="X40" s="202" t="s">
        <v>172</v>
      </c>
      <c r="Y40" s="202" t="s">
        <v>177</v>
      </c>
      <c r="Z40" s="202" t="s">
        <v>172</v>
      </c>
      <c r="AA40" s="201" t="s">
        <v>178</v>
      </c>
      <c r="AB40" s="201" t="s">
        <v>172</v>
      </c>
      <c r="AC40" s="201" t="s">
        <v>179</v>
      </c>
      <c r="AD40" s="201" t="s">
        <v>172</v>
      </c>
      <c r="AE40" s="201" t="s">
        <v>180</v>
      </c>
      <c r="AF40" s="201" t="s">
        <v>172</v>
      </c>
      <c r="AG40" s="201" t="s">
        <v>181</v>
      </c>
      <c r="AH40" s="201" t="s">
        <v>172</v>
      </c>
      <c r="AI40" s="201" t="s">
        <v>182</v>
      </c>
      <c r="AJ40" s="201" t="s">
        <v>172</v>
      </c>
      <c r="AK40" s="201" t="s">
        <v>183</v>
      </c>
      <c r="AL40" s="201" t="s">
        <v>172</v>
      </c>
      <c r="AM40" s="201" t="s">
        <v>184</v>
      </c>
      <c r="AN40" s="201" t="s">
        <v>172</v>
      </c>
      <c r="AO40" s="201" t="s">
        <v>185</v>
      </c>
      <c r="AP40" s="201" t="s">
        <v>172</v>
      </c>
      <c r="AQ40" s="201" t="s">
        <v>186</v>
      </c>
      <c r="AR40" s="201" t="s">
        <v>172</v>
      </c>
      <c r="AS40" s="201" t="s">
        <v>187</v>
      </c>
      <c r="AT40" s="201" t="s">
        <v>172</v>
      </c>
      <c r="AU40" s="123"/>
      <c r="AV40" s="123"/>
    </row>
    <row r="41" ht="15.0" customHeight="1">
      <c r="B41" s="52" t="s">
        <v>93</v>
      </c>
      <c r="C41" s="54">
        <f t="shared" ref="C41:C45" si="107">E19+I19+M19+Q19+U19+Y19+BD19+BS19+CC19</f>
        <v>27006</v>
      </c>
      <c r="D41" s="203">
        <f t="shared" ref="D41:D45" si="108">C41*$I$49*$I$58</f>
        <v>179937.12</v>
      </c>
      <c r="E41" s="54">
        <f t="shared" ref="E41:E45" si="109">(C41*$I$51+C41*$I$53)*$I$58</f>
        <v>42060.3018</v>
      </c>
      <c r="F41" s="204">
        <f t="shared" ref="F41:F45" si="110">SUM(D41:E41)</f>
        <v>221997.4218</v>
      </c>
      <c r="G41" s="205"/>
      <c r="H41" s="204">
        <f t="shared" ref="H41:H45" si="111">G41*$I$50*$I$58</f>
        <v>0</v>
      </c>
      <c r="I41" s="204">
        <f t="shared" ref="I41:I45" si="112">(G41*I52*+G41*I53)*$I$58</f>
        <v>0</v>
      </c>
      <c r="J41" s="204">
        <f t="shared" ref="J41:J45" si="113">SUM(H41:I41)</f>
        <v>0</v>
      </c>
      <c r="K41" s="54">
        <f t="shared" ref="K41:K45" si="114">CM19+CQ19</f>
        <v>4200</v>
      </c>
      <c r="L41" s="206">
        <f t="shared" ref="L41:L45" si="115">K41*$I$54</f>
        <v>1848</v>
      </c>
      <c r="M41" s="52">
        <f t="shared" ref="M41:M45" si="116">CU19</f>
        <v>0</v>
      </c>
      <c r="N41" s="206">
        <f t="shared" ref="N41:N45" si="117">M41*$I$55</f>
        <v>0</v>
      </c>
      <c r="O41" s="54">
        <f t="shared" ref="O41:O45" si="118">$C$65/1000*DC19</f>
        <v>0</v>
      </c>
      <c r="P41" s="206">
        <f t="shared" ref="P41:P45" si="119">O41*$I$50+O41*$I$52+O41*$I$53</f>
        <v>0</v>
      </c>
      <c r="Q41" s="206">
        <f t="shared" ref="Q41:Q45" si="120">DE19*$D$65/1000</f>
        <v>0</v>
      </c>
      <c r="R41" s="206">
        <f t="shared" ref="R41:R45" si="121">Q41*$I$50+Q41*$I$52+Q41*$I$53</f>
        <v>0</v>
      </c>
      <c r="S41" s="206">
        <f t="shared" ref="S41:S45" si="122">DG19*$E$65/1000</f>
        <v>0</v>
      </c>
      <c r="T41" s="206">
        <f t="shared" ref="T41:T45" si="123">S41*$I$50+S41*$I$52+S41*$I$53</f>
        <v>0</v>
      </c>
      <c r="U41" s="206">
        <f t="shared" ref="U41:U45" si="124">DI19*$F$65/1000</f>
        <v>0</v>
      </c>
      <c r="V41" s="206">
        <f t="shared" ref="V41:V45" si="125">U41*$I$50+U41*$I$52+U41*$I$53</f>
        <v>0</v>
      </c>
      <c r="W41" s="206">
        <f t="shared" ref="W41:W45" si="126">DK19*$G$65/1000</f>
        <v>0</v>
      </c>
      <c r="X41" s="206">
        <f t="shared" ref="X41:X45" si="127">W41*$I$50+W41*$I$52+W41*$I$53</f>
        <v>0</v>
      </c>
      <c r="Y41" s="52">
        <f t="shared" ref="Y41:Y45" si="128">DM19*$H$65/1000</f>
        <v>0</v>
      </c>
      <c r="Z41" s="207">
        <f t="shared" ref="Z41:Z45" si="129">Y41*$I$50+Y41*$I$52+Y41*$I$53</f>
        <v>0</v>
      </c>
      <c r="AA41" s="52">
        <f t="shared" ref="AA41:AA45" si="130">DO19*1000*$I$65/1000</f>
        <v>0</v>
      </c>
      <c r="AB41" s="52">
        <f t="shared" ref="AB41:AB45" si="131">AA41*$I$50+AA41*$I$52+AA41*$I$53</f>
        <v>0</v>
      </c>
      <c r="AC41" s="52">
        <f t="shared" ref="AC41:AC45" si="132">DQ19*$J$65</f>
        <v>0</v>
      </c>
      <c r="AD41" s="52">
        <f t="shared" ref="AD41:AD45" si="133">AC41*$I$50+AC41*$I$52+AC41*$I$53</f>
        <v>0</v>
      </c>
      <c r="AE41" s="52">
        <f t="shared" ref="AE41:AE45" si="134">DS19*$K$65</f>
        <v>0</v>
      </c>
      <c r="AF41" s="52">
        <f t="shared" ref="AF41:AF45" si="135">AE41*$I$50+AE41*$I$52+AE41*$I$53</f>
        <v>0</v>
      </c>
      <c r="AG41" s="52">
        <f t="shared" ref="AG41:AG45" si="136">DU19*$L$65</f>
        <v>0</v>
      </c>
      <c r="AH41" s="52">
        <f t="shared" ref="AH41:AH45" si="137">AG41*$I$50+AG41*$I$52+AG41*$I$53</f>
        <v>0</v>
      </c>
      <c r="AI41" s="52">
        <f t="shared" ref="AI41:AI45" si="138">DW19*$M$65</f>
        <v>0</v>
      </c>
      <c r="AJ41" s="52">
        <f t="shared" ref="AJ41:AJ45" si="139">AI41*$I$50+AI41*$I$52+AI41*$I$53</f>
        <v>0</v>
      </c>
      <c r="AK41" s="52">
        <f t="shared" ref="AK41:AK45" si="140">DY19*$N$65</f>
        <v>0</v>
      </c>
      <c r="AL41" s="52">
        <f t="shared" ref="AL41:AL45" si="141">AK41*$I$50+AK41*$I$52+AK41*$I$53</f>
        <v>0</v>
      </c>
      <c r="AM41" s="52">
        <f t="shared" ref="AM41:AM45" si="142">EA19*$O$65</f>
        <v>0</v>
      </c>
      <c r="AN41" s="52">
        <f t="shared" ref="AN41:AN45" si="143">AM41*$I$50+AM41*$I$52+AM41*$I$53</f>
        <v>0</v>
      </c>
      <c r="AO41" s="52">
        <f t="shared" ref="AO41:AO45" si="144">EC19*$P$65</f>
        <v>0</v>
      </c>
      <c r="AP41" s="52">
        <f t="shared" ref="AP41:AP45" si="145">AO41*$I$50+AO41*$I$52+AO41*$I$53</f>
        <v>0</v>
      </c>
      <c r="AQ41" s="52">
        <f t="shared" ref="AQ41:AQ45" si="146">EE19*$Q$65</f>
        <v>0</v>
      </c>
      <c r="AR41" s="52">
        <f t="shared" ref="AR41:AR45" si="147">AQ41*$I$50+AQ41*$I$52+AQ41*$I$53</f>
        <v>0</v>
      </c>
      <c r="AS41" s="52">
        <f t="shared" ref="AS41:AS45" si="148">EG19*$R$65</f>
        <v>0</v>
      </c>
      <c r="AT41" s="52">
        <f t="shared" ref="AT41:AT45" si="149">AS41*$I$50+AS41*$I$52+AS41*$I$53</f>
        <v>0</v>
      </c>
      <c r="AU41" s="208">
        <f t="shared" ref="AU41:AU45" si="150">F41+J41+L41+N41+P41+R41+T41+V41+X41+Z41+AB41+AD41+AF41+AH41+AJ41+AL41+AN41+AP41+AR41+AT41</f>
        <v>223845.4218</v>
      </c>
      <c r="AV41" s="209">
        <f>AU41/'SUIVI RABAIS PRODUCTION ET C '!D9</f>
        <v>586.2897376</v>
      </c>
      <c r="AX41" s="210" t="s">
        <v>188</v>
      </c>
      <c r="AY41" s="101"/>
      <c r="AZ41" s="99"/>
    </row>
    <row r="42" ht="15.0" customHeight="1">
      <c r="B42" s="52" t="s">
        <v>94</v>
      </c>
      <c r="C42" s="54">
        <f t="shared" si="107"/>
        <v>63813.24</v>
      </c>
      <c r="D42" s="203">
        <f t="shared" si="108"/>
        <v>425178.5019</v>
      </c>
      <c r="E42" s="54">
        <f t="shared" si="109"/>
        <v>99385.47483</v>
      </c>
      <c r="F42" s="204">
        <f t="shared" si="110"/>
        <v>524563.9768</v>
      </c>
      <c r="G42" s="205"/>
      <c r="H42" s="204">
        <f t="shared" si="111"/>
        <v>0</v>
      </c>
      <c r="I42" s="204">
        <f t="shared" si="112"/>
        <v>0</v>
      </c>
      <c r="J42" s="204">
        <f t="shared" si="113"/>
        <v>0</v>
      </c>
      <c r="K42" s="54">
        <f t="shared" si="114"/>
        <v>3600</v>
      </c>
      <c r="L42" s="206">
        <f t="shared" si="115"/>
        <v>1584</v>
      </c>
      <c r="M42" s="52">
        <f t="shared" si="116"/>
        <v>0</v>
      </c>
      <c r="N42" s="206">
        <f t="shared" si="117"/>
        <v>0</v>
      </c>
      <c r="O42" s="54">
        <f t="shared" si="118"/>
        <v>0</v>
      </c>
      <c r="P42" s="206">
        <f t="shared" si="119"/>
        <v>0</v>
      </c>
      <c r="Q42" s="206">
        <f t="shared" si="120"/>
        <v>0</v>
      </c>
      <c r="R42" s="206">
        <f t="shared" si="121"/>
        <v>0</v>
      </c>
      <c r="S42" s="206">
        <f t="shared" si="122"/>
        <v>0</v>
      </c>
      <c r="T42" s="206">
        <f t="shared" si="123"/>
        <v>0</v>
      </c>
      <c r="U42" s="206">
        <f t="shared" si="124"/>
        <v>0</v>
      </c>
      <c r="V42" s="206">
        <f t="shared" si="125"/>
        <v>0</v>
      </c>
      <c r="W42" s="206">
        <f t="shared" si="126"/>
        <v>0</v>
      </c>
      <c r="X42" s="206">
        <f t="shared" si="127"/>
        <v>0</v>
      </c>
      <c r="Y42" s="52">
        <f t="shared" si="128"/>
        <v>0</v>
      </c>
      <c r="Z42" s="207">
        <f t="shared" si="129"/>
        <v>0</v>
      </c>
      <c r="AA42" s="52">
        <f t="shared" si="130"/>
        <v>0</v>
      </c>
      <c r="AB42" s="52">
        <f t="shared" si="131"/>
        <v>0</v>
      </c>
      <c r="AC42" s="52">
        <f t="shared" si="132"/>
        <v>0</v>
      </c>
      <c r="AD42" s="52">
        <f t="shared" si="133"/>
        <v>0</v>
      </c>
      <c r="AE42" s="52">
        <f t="shared" si="134"/>
        <v>0</v>
      </c>
      <c r="AF42" s="52">
        <f t="shared" si="135"/>
        <v>0</v>
      </c>
      <c r="AG42" s="52">
        <f t="shared" si="136"/>
        <v>0</v>
      </c>
      <c r="AH42" s="52">
        <f t="shared" si="137"/>
        <v>0</v>
      </c>
      <c r="AI42" s="52">
        <f t="shared" si="138"/>
        <v>0</v>
      </c>
      <c r="AJ42" s="52">
        <f t="shared" si="139"/>
        <v>0</v>
      </c>
      <c r="AK42" s="52">
        <f t="shared" si="140"/>
        <v>0</v>
      </c>
      <c r="AL42" s="52">
        <f t="shared" si="141"/>
        <v>0</v>
      </c>
      <c r="AM42" s="52">
        <f t="shared" si="142"/>
        <v>0</v>
      </c>
      <c r="AN42" s="52">
        <f t="shared" si="143"/>
        <v>0</v>
      </c>
      <c r="AO42" s="52">
        <f t="shared" si="144"/>
        <v>0</v>
      </c>
      <c r="AP42" s="52">
        <f t="shared" si="145"/>
        <v>0</v>
      </c>
      <c r="AQ42" s="52">
        <f t="shared" si="146"/>
        <v>0</v>
      </c>
      <c r="AR42" s="52">
        <f t="shared" si="147"/>
        <v>0</v>
      </c>
      <c r="AS42" s="52">
        <f t="shared" si="148"/>
        <v>0</v>
      </c>
      <c r="AT42" s="52">
        <f t="shared" si="149"/>
        <v>0</v>
      </c>
      <c r="AU42" s="208">
        <f t="shared" si="150"/>
        <v>526147.9768</v>
      </c>
      <c r="AV42" s="209">
        <f>AU42/'SUIVI RABAIS PRODUCTION ET C '!E9</f>
        <v>1442.489313</v>
      </c>
      <c r="AX42" s="112"/>
      <c r="AZ42" s="113"/>
    </row>
    <row r="43" ht="15.75" customHeight="1">
      <c r="B43" s="52" t="s">
        <v>95</v>
      </c>
      <c r="C43" s="54">
        <f t="shared" si="107"/>
        <v>54789</v>
      </c>
      <c r="D43" s="203">
        <f t="shared" si="108"/>
        <v>365051.28</v>
      </c>
      <c r="E43" s="54">
        <f t="shared" si="109"/>
        <v>85330.7367</v>
      </c>
      <c r="F43" s="204">
        <f t="shared" si="110"/>
        <v>450382.0167</v>
      </c>
      <c r="G43" s="205"/>
      <c r="H43" s="204">
        <f t="shared" si="111"/>
        <v>0</v>
      </c>
      <c r="I43" s="204">
        <f t="shared" si="112"/>
        <v>0</v>
      </c>
      <c r="J43" s="204">
        <f t="shared" si="113"/>
        <v>0</v>
      </c>
      <c r="K43" s="54">
        <f t="shared" si="114"/>
        <v>0</v>
      </c>
      <c r="L43" s="206">
        <f t="shared" si="115"/>
        <v>0</v>
      </c>
      <c r="M43" s="52">
        <f t="shared" si="116"/>
        <v>0</v>
      </c>
      <c r="N43" s="206">
        <f t="shared" si="117"/>
        <v>0</v>
      </c>
      <c r="O43" s="54">
        <f t="shared" si="118"/>
        <v>0</v>
      </c>
      <c r="P43" s="206">
        <f t="shared" si="119"/>
        <v>0</v>
      </c>
      <c r="Q43" s="206">
        <f t="shared" si="120"/>
        <v>0</v>
      </c>
      <c r="R43" s="206">
        <f t="shared" si="121"/>
        <v>0</v>
      </c>
      <c r="S43" s="206">
        <f t="shared" si="122"/>
        <v>0</v>
      </c>
      <c r="T43" s="206">
        <f t="shared" si="123"/>
        <v>0</v>
      </c>
      <c r="U43" s="206">
        <f t="shared" si="124"/>
        <v>0</v>
      </c>
      <c r="V43" s="206">
        <f t="shared" si="125"/>
        <v>0</v>
      </c>
      <c r="W43" s="206">
        <f t="shared" si="126"/>
        <v>0</v>
      </c>
      <c r="X43" s="206">
        <f t="shared" si="127"/>
        <v>0</v>
      </c>
      <c r="Y43" s="52">
        <f t="shared" si="128"/>
        <v>0</v>
      </c>
      <c r="Z43" s="207">
        <f t="shared" si="129"/>
        <v>0</v>
      </c>
      <c r="AA43" s="52">
        <f t="shared" si="130"/>
        <v>0</v>
      </c>
      <c r="AB43" s="52">
        <f t="shared" si="131"/>
        <v>0</v>
      </c>
      <c r="AC43" s="52">
        <f t="shared" si="132"/>
        <v>0</v>
      </c>
      <c r="AD43" s="52">
        <f t="shared" si="133"/>
        <v>0</v>
      </c>
      <c r="AE43" s="52">
        <f t="shared" si="134"/>
        <v>0</v>
      </c>
      <c r="AF43" s="52">
        <f t="shared" si="135"/>
        <v>0</v>
      </c>
      <c r="AG43" s="52">
        <f t="shared" si="136"/>
        <v>0</v>
      </c>
      <c r="AH43" s="52">
        <f t="shared" si="137"/>
        <v>0</v>
      </c>
      <c r="AI43" s="52">
        <f t="shared" si="138"/>
        <v>0</v>
      </c>
      <c r="AJ43" s="52">
        <f t="shared" si="139"/>
        <v>0</v>
      </c>
      <c r="AK43" s="52">
        <f t="shared" si="140"/>
        <v>0</v>
      </c>
      <c r="AL43" s="52">
        <f t="shared" si="141"/>
        <v>0</v>
      </c>
      <c r="AM43" s="52">
        <f t="shared" si="142"/>
        <v>0</v>
      </c>
      <c r="AN43" s="52">
        <f t="shared" si="143"/>
        <v>0</v>
      </c>
      <c r="AO43" s="52">
        <f t="shared" si="144"/>
        <v>0</v>
      </c>
      <c r="AP43" s="52">
        <f t="shared" si="145"/>
        <v>0</v>
      </c>
      <c r="AQ43" s="52">
        <f t="shared" si="146"/>
        <v>0</v>
      </c>
      <c r="AR43" s="52">
        <f t="shared" si="147"/>
        <v>0</v>
      </c>
      <c r="AS43" s="52">
        <f t="shared" si="148"/>
        <v>0</v>
      </c>
      <c r="AT43" s="52">
        <f t="shared" si="149"/>
        <v>0</v>
      </c>
      <c r="AU43" s="208">
        <f t="shared" si="150"/>
        <v>450382.0167</v>
      </c>
      <c r="AV43" s="209">
        <f>AU43/'SUIVI RABAIS PRODUCTION ET C '!F9</f>
        <v>1234.769066</v>
      </c>
      <c r="AX43" s="112"/>
      <c r="AZ43" s="113"/>
    </row>
    <row r="44" ht="15.75" customHeight="1">
      <c r="B44" s="52" t="s">
        <v>96</v>
      </c>
      <c r="C44" s="54">
        <f t="shared" si="107"/>
        <v>48967.2</v>
      </c>
      <c r="D44" s="203">
        <f t="shared" si="108"/>
        <v>326261.4583</v>
      </c>
      <c r="E44" s="54">
        <f t="shared" si="109"/>
        <v>76263.61587</v>
      </c>
      <c r="F44" s="204">
        <f t="shared" si="110"/>
        <v>402525.0742</v>
      </c>
      <c r="G44" s="205"/>
      <c r="H44" s="204">
        <f t="shared" si="111"/>
        <v>0</v>
      </c>
      <c r="I44" s="204">
        <f t="shared" si="112"/>
        <v>0</v>
      </c>
      <c r="J44" s="204">
        <f t="shared" si="113"/>
        <v>0</v>
      </c>
      <c r="K44" s="54">
        <f t="shared" si="114"/>
        <v>2400</v>
      </c>
      <c r="L44" s="206">
        <f t="shared" si="115"/>
        <v>1056</v>
      </c>
      <c r="M44" s="52">
        <f t="shared" si="116"/>
        <v>0</v>
      </c>
      <c r="N44" s="206">
        <f t="shared" si="117"/>
        <v>0</v>
      </c>
      <c r="O44" s="54">
        <f t="shared" si="118"/>
        <v>0</v>
      </c>
      <c r="P44" s="206">
        <f t="shared" si="119"/>
        <v>0</v>
      </c>
      <c r="Q44" s="206">
        <f t="shared" si="120"/>
        <v>0</v>
      </c>
      <c r="R44" s="206">
        <f t="shared" si="121"/>
        <v>0</v>
      </c>
      <c r="S44" s="206">
        <f t="shared" si="122"/>
        <v>0</v>
      </c>
      <c r="T44" s="206">
        <f t="shared" si="123"/>
        <v>0</v>
      </c>
      <c r="U44" s="206">
        <f t="shared" si="124"/>
        <v>0</v>
      </c>
      <c r="V44" s="206">
        <f t="shared" si="125"/>
        <v>0</v>
      </c>
      <c r="W44" s="206">
        <f t="shared" si="126"/>
        <v>0</v>
      </c>
      <c r="X44" s="206">
        <f t="shared" si="127"/>
        <v>0</v>
      </c>
      <c r="Y44" s="52">
        <f t="shared" si="128"/>
        <v>0</v>
      </c>
      <c r="Z44" s="207">
        <f t="shared" si="129"/>
        <v>0</v>
      </c>
      <c r="AA44" s="52">
        <f t="shared" si="130"/>
        <v>0</v>
      </c>
      <c r="AB44" s="52">
        <f t="shared" si="131"/>
        <v>0</v>
      </c>
      <c r="AC44" s="52">
        <f t="shared" si="132"/>
        <v>0</v>
      </c>
      <c r="AD44" s="52">
        <f t="shared" si="133"/>
        <v>0</v>
      </c>
      <c r="AE44" s="52">
        <f t="shared" si="134"/>
        <v>0</v>
      </c>
      <c r="AF44" s="52">
        <f t="shared" si="135"/>
        <v>0</v>
      </c>
      <c r="AG44" s="52">
        <f t="shared" si="136"/>
        <v>0</v>
      </c>
      <c r="AH44" s="52">
        <f t="shared" si="137"/>
        <v>0</v>
      </c>
      <c r="AI44" s="52">
        <f t="shared" si="138"/>
        <v>0</v>
      </c>
      <c r="AJ44" s="52">
        <f t="shared" si="139"/>
        <v>0</v>
      </c>
      <c r="AK44" s="52">
        <f t="shared" si="140"/>
        <v>0</v>
      </c>
      <c r="AL44" s="52">
        <f t="shared" si="141"/>
        <v>0</v>
      </c>
      <c r="AM44" s="52">
        <f t="shared" si="142"/>
        <v>0</v>
      </c>
      <c r="AN44" s="52">
        <f t="shared" si="143"/>
        <v>0</v>
      </c>
      <c r="AO44" s="52">
        <f t="shared" si="144"/>
        <v>0</v>
      </c>
      <c r="AP44" s="52">
        <f t="shared" si="145"/>
        <v>0</v>
      </c>
      <c r="AQ44" s="52">
        <f t="shared" si="146"/>
        <v>0</v>
      </c>
      <c r="AR44" s="52">
        <f t="shared" si="147"/>
        <v>0</v>
      </c>
      <c r="AS44" s="52">
        <f t="shared" si="148"/>
        <v>0</v>
      </c>
      <c r="AT44" s="52">
        <f t="shared" si="149"/>
        <v>0</v>
      </c>
      <c r="AU44" s="208">
        <f t="shared" si="150"/>
        <v>403581.0742</v>
      </c>
      <c r="AV44" s="209">
        <f>AU44/'SUIVI RABAIS PRODUCTION ET C '!G9</f>
        <v>1106.186477</v>
      </c>
      <c r="AX44" s="211">
        <f>AU46+AO36</f>
        <v>2702965.767</v>
      </c>
      <c r="AY44" s="30" t="s">
        <v>189</v>
      </c>
      <c r="AZ44" s="212"/>
    </row>
    <row r="45" ht="15.75" customHeight="1">
      <c r="B45" s="52" t="s">
        <v>97</v>
      </c>
      <c r="C45" s="213">
        <f t="shared" si="107"/>
        <v>3943.8</v>
      </c>
      <c r="D45" s="203">
        <f t="shared" si="108"/>
        <v>26276.976</v>
      </c>
      <c r="E45" s="54">
        <f t="shared" si="109"/>
        <v>6142.24314</v>
      </c>
      <c r="F45" s="204">
        <f t="shared" si="110"/>
        <v>32419.21914</v>
      </c>
      <c r="G45" s="205"/>
      <c r="H45" s="204">
        <f t="shared" si="111"/>
        <v>0</v>
      </c>
      <c r="I45" s="204">
        <f t="shared" si="112"/>
        <v>0</v>
      </c>
      <c r="J45" s="204">
        <f t="shared" si="113"/>
        <v>0</v>
      </c>
      <c r="K45" s="54">
        <f t="shared" si="114"/>
        <v>26140</v>
      </c>
      <c r="L45" s="206">
        <f t="shared" si="115"/>
        <v>11501.6</v>
      </c>
      <c r="M45" s="52">
        <f t="shared" si="116"/>
        <v>0</v>
      </c>
      <c r="N45" s="206">
        <f t="shared" si="117"/>
        <v>0</v>
      </c>
      <c r="O45" s="54">
        <f t="shared" si="118"/>
        <v>0</v>
      </c>
      <c r="P45" s="206">
        <f t="shared" si="119"/>
        <v>0</v>
      </c>
      <c r="Q45" s="206">
        <f t="shared" si="120"/>
        <v>0</v>
      </c>
      <c r="R45" s="206">
        <f t="shared" si="121"/>
        <v>0</v>
      </c>
      <c r="S45" s="206">
        <f t="shared" si="122"/>
        <v>0</v>
      </c>
      <c r="T45" s="206">
        <f t="shared" si="123"/>
        <v>0</v>
      </c>
      <c r="U45" s="206">
        <f t="shared" si="124"/>
        <v>0</v>
      </c>
      <c r="V45" s="206">
        <f t="shared" si="125"/>
        <v>0</v>
      </c>
      <c r="W45" s="206">
        <f t="shared" si="126"/>
        <v>0</v>
      </c>
      <c r="X45" s="206">
        <f t="shared" si="127"/>
        <v>0</v>
      </c>
      <c r="Y45" s="52">
        <f t="shared" si="128"/>
        <v>0</v>
      </c>
      <c r="Z45" s="207">
        <f t="shared" si="129"/>
        <v>0</v>
      </c>
      <c r="AA45" s="52">
        <f t="shared" si="130"/>
        <v>0</v>
      </c>
      <c r="AB45" s="52">
        <f t="shared" si="131"/>
        <v>0</v>
      </c>
      <c r="AC45" s="52">
        <f t="shared" si="132"/>
        <v>0</v>
      </c>
      <c r="AD45" s="52">
        <f t="shared" si="133"/>
        <v>0</v>
      </c>
      <c r="AE45" s="52">
        <f t="shared" si="134"/>
        <v>0</v>
      </c>
      <c r="AF45" s="52">
        <f t="shared" si="135"/>
        <v>0</v>
      </c>
      <c r="AG45" s="52">
        <f t="shared" si="136"/>
        <v>0</v>
      </c>
      <c r="AH45" s="52">
        <f t="shared" si="137"/>
        <v>0</v>
      </c>
      <c r="AI45" s="52">
        <f t="shared" si="138"/>
        <v>0</v>
      </c>
      <c r="AJ45" s="52">
        <f t="shared" si="139"/>
        <v>0</v>
      </c>
      <c r="AK45" s="52">
        <f t="shared" si="140"/>
        <v>0</v>
      </c>
      <c r="AL45" s="52">
        <f t="shared" si="141"/>
        <v>0</v>
      </c>
      <c r="AM45" s="52">
        <f t="shared" si="142"/>
        <v>0</v>
      </c>
      <c r="AN45" s="52">
        <f t="shared" si="143"/>
        <v>0</v>
      </c>
      <c r="AO45" s="52">
        <f t="shared" si="144"/>
        <v>0</v>
      </c>
      <c r="AP45" s="52">
        <f t="shared" si="145"/>
        <v>0</v>
      </c>
      <c r="AQ45" s="52">
        <f t="shared" si="146"/>
        <v>0</v>
      </c>
      <c r="AR45" s="52">
        <f t="shared" si="147"/>
        <v>0</v>
      </c>
      <c r="AS45" s="52">
        <f t="shared" si="148"/>
        <v>0</v>
      </c>
      <c r="AT45" s="52">
        <f t="shared" si="149"/>
        <v>0</v>
      </c>
      <c r="AU45" s="208">
        <f t="shared" si="150"/>
        <v>43920.81914</v>
      </c>
      <c r="AV45" s="209">
        <f>AU45/'SUIVI RABAIS PRODUCTION ET C '!H9</f>
        <v>114.9789763</v>
      </c>
      <c r="AX45" s="214">
        <f>AX44/1000</f>
        <v>2702.965767</v>
      </c>
      <c r="AY45" s="215" t="s">
        <v>190</v>
      </c>
    </row>
    <row r="46" ht="15.75" customHeight="1">
      <c r="B46" s="172" t="s">
        <v>149</v>
      </c>
      <c r="C46" s="173">
        <f t="shared" ref="C46:AU46" si="151">SUM(C41:C45)</f>
        <v>198519.24</v>
      </c>
      <c r="D46" s="172">
        <f t="shared" si="151"/>
        <v>1322705.336</v>
      </c>
      <c r="E46" s="172">
        <f t="shared" si="151"/>
        <v>309182.3723</v>
      </c>
      <c r="F46" s="216">
        <f t="shared" si="151"/>
        <v>1631887.709</v>
      </c>
      <c r="G46" s="216">
        <f t="shared" si="151"/>
        <v>0</v>
      </c>
      <c r="H46" s="216">
        <f t="shared" si="151"/>
        <v>0</v>
      </c>
      <c r="I46" s="216">
        <f t="shared" si="151"/>
        <v>0</v>
      </c>
      <c r="J46" s="172">
        <f t="shared" si="151"/>
        <v>0</v>
      </c>
      <c r="K46" s="172">
        <f t="shared" si="151"/>
        <v>36340</v>
      </c>
      <c r="L46" s="216">
        <f t="shared" si="151"/>
        <v>15989.6</v>
      </c>
      <c r="M46" s="172">
        <f t="shared" si="151"/>
        <v>0</v>
      </c>
      <c r="N46" s="216">
        <f t="shared" si="151"/>
        <v>0</v>
      </c>
      <c r="O46" s="172">
        <f t="shared" si="151"/>
        <v>0</v>
      </c>
      <c r="P46" s="216">
        <f t="shared" si="151"/>
        <v>0</v>
      </c>
      <c r="Q46" s="172">
        <f t="shared" si="151"/>
        <v>0</v>
      </c>
      <c r="R46" s="172">
        <f t="shared" si="151"/>
        <v>0</v>
      </c>
      <c r="S46" s="172">
        <f t="shared" si="151"/>
        <v>0</v>
      </c>
      <c r="T46" s="172">
        <f t="shared" si="151"/>
        <v>0</v>
      </c>
      <c r="U46" s="172">
        <f t="shared" si="151"/>
        <v>0</v>
      </c>
      <c r="V46" s="172">
        <f t="shared" si="151"/>
        <v>0</v>
      </c>
      <c r="W46" s="172">
        <f t="shared" si="151"/>
        <v>0</v>
      </c>
      <c r="X46" s="172">
        <f t="shared" si="151"/>
        <v>0</v>
      </c>
      <c r="Y46" s="172">
        <f t="shared" si="151"/>
        <v>0</v>
      </c>
      <c r="Z46" s="172">
        <f t="shared" si="151"/>
        <v>0</v>
      </c>
      <c r="AA46" s="172">
        <f t="shared" si="151"/>
        <v>0</v>
      </c>
      <c r="AB46" s="172">
        <f t="shared" si="151"/>
        <v>0</v>
      </c>
      <c r="AC46" s="172">
        <f t="shared" si="151"/>
        <v>0</v>
      </c>
      <c r="AD46" s="172">
        <f t="shared" si="151"/>
        <v>0</v>
      </c>
      <c r="AE46" s="172">
        <f t="shared" si="151"/>
        <v>0</v>
      </c>
      <c r="AF46" s="172">
        <f t="shared" si="151"/>
        <v>0</v>
      </c>
      <c r="AG46" s="172">
        <f t="shared" si="151"/>
        <v>0</v>
      </c>
      <c r="AH46" s="172">
        <f t="shared" si="151"/>
        <v>0</v>
      </c>
      <c r="AI46" s="172">
        <f t="shared" si="151"/>
        <v>0</v>
      </c>
      <c r="AJ46" s="172">
        <f t="shared" si="151"/>
        <v>0</v>
      </c>
      <c r="AK46" s="172">
        <f t="shared" si="151"/>
        <v>0</v>
      </c>
      <c r="AL46" s="172">
        <f t="shared" si="151"/>
        <v>0</v>
      </c>
      <c r="AM46" s="172">
        <f t="shared" si="151"/>
        <v>0</v>
      </c>
      <c r="AN46" s="172">
        <f t="shared" si="151"/>
        <v>0</v>
      </c>
      <c r="AO46" s="172">
        <f t="shared" si="151"/>
        <v>0</v>
      </c>
      <c r="AP46" s="172">
        <f t="shared" si="151"/>
        <v>0</v>
      </c>
      <c r="AQ46" s="172">
        <f t="shared" si="151"/>
        <v>0</v>
      </c>
      <c r="AR46" s="172">
        <f t="shared" si="151"/>
        <v>0</v>
      </c>
      <c r="AS46" s="172">
        <f t="shared" si="151"/>
        <v>0</v>
      </c>
      <c r="AT46" s="172">
        <f t="shared" si="151"/>
        <v>0</v>
      </c>
      <c r="AU46" s="217">
        <f t="shared" si="151"/>
        <v>1647877.309</v>
      </c>
      <c r="AV46" s="22"/>
    </row>
    <row r="47" ht="15.75" customHeight="1">
      <c r="B47" s="176"/>
      <c r="C47" s="176"/>
      <c r="D47" s="176"/>
      <c r="E47" s="176"/>
      <c r="F47" s="218"/>
      <c r="G47" s="176"/>
      <c r="H47" s="176"/>
      <c r="I47" s="176"/>
      <c r="J47" s="176"/>
    </row>
    <row r="48" ht="15.75" customHeight="1">
      <c r="B48" s="196" t="s">
        <v>191</v>
      </c>
      <c r="C48" s="196"/>
      <c r="D48" s="196"/>
      <c r="E48" s="196"/>
      <c r="F48" s="196"/>
      <c r="G48" s="196"/>
      <c r="H48" s="196"/>
      <c r="I48" s="196"/>
    </row>
    <row r="49" ht="15.75" customHeight="1">
      <c r="B49" s="219" t="s">
        <v>192</v>
      </c>
      <c r="C49" s="220"/>
      <c r="D49" s="221"/>
      <c r="E49" s="221"/>
      <c r="F49" s="221"/>
      <c r="G49" s="221"/>
      <c r="H49" s="222"/>
      <c r="I49" s="223">
        <f>0.016*44/28</f>
        <v>0.02514285714</v>
      </c>
    </row>
    <row r="50" ht="15.75" customHeight="1">
      <c r="B50" s="224" t="s">
        <v>193</v>
      </c>
      <c r="C50" s="225"/>
      <c r="D50" s="226"/>
      <c r="E50" s="226"/>
      <c r="F50" s="226"/>
      <c r="G50" s="226"/>
      <c r="H50" s="227"/>
      <c r="I50" s="223">
        <f>0.006*44/28</f>
        <v>0.009428571429</v>
      </c>
    </row>
    <row r="51" ht="15.75" customHeight="1">
      <c r="B51" s="224" t="s">
        <v>194</v>
      </c>
      <c r="C51" s="225"/>
      <c r="D51" s="226"/>
      <c r="E51" s="226"/>
      <c r="F51" s="226"/>
      <c r="G51" s="226"/>
      <c r="H51" s="227"/>
      <c r="I51" s="223">
        <f>0.01*0.11*44/28</f>
        <v>0.001728571429</v>
      </c>
    </row>
    <row r="52" ht="15.75" customHeight="1">
      <c r="B52" s="224" t="s">
        <v>195</v>
      </c>
      <c r="C52" s="225"/>
      <c r="D52" s="226"/>
      <c r="E52" s="226"/>
      <c r="F52" s="226"/>
      <c r="G52" s="226"/>
      <c r="H52" s="227"/>
      <c r="I52" s="223">
        <f>0.01*0.21*44/28</f>
        <v>0.0033</v>
      </c>
    </row>
    <row r="53" ht="15.75" customHeight="1">
      <c r="B53" s="224" t="s">
        <v>196</v>
      </c>
      <c r="C53" s="225"/>
      <c r="D53" s="226"/>
      <c r="E53" s="226"/>
      <c r="F53" s="226"/>
      <c r="G53" s="226"/>
      <c r="H53" s="227"/>
      <c r="I53" s="223">
        <f>0.011*0.24*44/28</f>
        <v>0.004148571429</v>
      </c>
    </row>
    <row r="54" ht="15.75" customHeight="1">
      <c r="B54" s="224" t="s">
        <v>197</v>
      </c>
      <c r="C54" s="225"/>
      <c r="D54" s="225"/>
      <c r="E54" s="225"/>
      <c r="F54" s="226"/>
      <c r="G54" s="226"/>
      <c r="H54" s="227"/>
      <c r="I54" s="223">
        <f>0.12*44/12</f>
        <v>0.44</v>
      </c>
    </row>
    <row r="55" ht="15.75" customHeight="1">
      <c r="B55" s="228" t="s">
        <v>198</v>
      </c>
      <c r="C55" s="229"/>
      <c r="D55" s="229"/>
      <c r="E55" s="229"/>
      <c r="F55" s="230"/>
      <c r="G55" s="230"/>
      <c r="H55" s="231"/>
      <c r="I55" s="223">
        <f>0.13*44/12</f>
        <v>0.4766666667</v>
      </c>
    </row>
    <row r="56" ht="15.75" customHeight="1"/>
    <row r="57" ht="15.75" customHeight="1">
      <c r="B57" s="196" t="s">
        <v>199</v>
      </c>
      <c r="C57" s="85"/>
      <c r="D57" s="85"/>
      <c r="E57" s="85"/>
      <c r="F57" s="85"/>
      <c r="G57" s="85"/>
      <c r="H57" s="85"/>
      <c r="I57" s="85"/>
    </row>
    <row r="58" ht="15.75" customHeight="1">
      <c r="B58" s="232" t="s">
        <v>200</v>
      </c>
      <c r="C58" s="233"/>
      <c r="D58" s="233"/>
      <c r="E58" s="233"/>
      <c r="F58" s="233"/>
      <c r="G58" s="233"/>
      <c r="H58" s="233"/>
      <c r="I58" s="234">
        <v>265.0</v>
      </c>
    </row>
    <row r="59" ht="15.75" customHeight="1"/>
    <row r="60" ht="15.75" customHeight="1">
      <c r="B60" s="196" t="s">
        <v>201</v>
      </c>
      <c r="C60" s="196"/>
      <c r="D60" s="196"/>
      <c r="E60" s="196"/>
      <c r="F60" s="196"/>
      <c r="G60" s="196"/>
      <c r="H60" s="196"/>
      <c r="I60" s="196"/>
    </row>
    <row r="61" ht="15.75" customHeight="1">
      <c r="C61" s="187" t="s">
        <v>52</v>
      </c>
      <c r="D61" s="50"/>
      <c r="E61" s="50"/>
      <c r="F61" s="50"/>
      <c r="G61" s="50"/>
      <c r="H61" s="51"/>
      <c r="I61" s="187" t="s">
        <v>152</v>
      </c>
      <c r="J61" s="50"/>
      <c r="K61" s="50"/>
      <c r="L61" s="50"/>
      <c r="M61" s="50"/>
      <c r="N61" s="50"/>
      <c r="O61" s="50"/>
      <c r="P61" s="50"/>
      <c r="Q61" s="50"/>
      <c r="R61" s="51"/>
    </row>
    <row r="62" ht="15.75" customHeight="1">
      <c r="C62" s="117" t="str">
        <f>BQ5</f>
        <v>Digestats de méthanisation liquide</v>
      </c>
      <c r="D62" s="117" t="str">
        <f>BT5</f>
        <v>Digestats de méthanisation solide</v>
      </c>
      <c r="E62" s="117" t="str">
        <f>BW5</f>
        <v/>
      </c>
      <c r="F62" s="117" t="str">
        <f>BZ5</f>
        <v/>
      </c>
      <c r="G62" s="117" t="str">
        <f>CC5</f>
        <v/>
      </c>
      <c r="H62" s="117" t="str">
        <f>CF5</f>
        <v/>
      </c>
      <c r="I62" s="190" t="s">
        <v>77</v>
      </c>
      <c r="J62" s="190" t="s">
        <v>78</v>
      </c>
      <c r="K62" s="190" t="s">
        <v>79</v>
      </c>
      <c r="L62" s="191" t="s">
        <v>80</v>
      </c>
      <c r="M62" s="191" t="s">
        <v>81</v>
      </c>
      <c r="N62" s="191" t="s">
        <v>82</v>
      </c>
      <c r="O62" s="191" t="s">
        <v>83</v>
      </c>
      <c r="P62" s="191" t="s">
        <v>84</v>
      </c>
      <c r="Q62" s="191" t="s">
        <v>85</v>
      </c>
      <c r="R62" s="191" t="s">
        <v>86</v>
      </c>
    </row>
    <row r="63" ht="15.75" customHeight="1">
      <c r="C63" s="96"/>
      <c r="D63" s="96"/>
      <c r="E63" s="96"/>
      <c r="F63" s="96"/>
      <c r="G63" s="96"/>
      <c r="H63" s="96"/>
      <c r="I63" s="115"/>
      <c r="J63" s="115"/>
      <c r="K63" s="115"/>
      <c r="L63" s="96"/>
      <c r="M63" s="96"/>
      <c r="N63" s="96"/>
      <c r="O63" s="96"/>
      <c r="P63" s="96"/>
      <c r="Q63" s="96"/>
      <c r="R63" s="96"/>
    </row>
    <row r="64" ht="22.5" customHeight="1">
      <c r="C64" s="123"/>
      <c r="D64" s="123"/>
      <c r="E64" s="123"/>
      <c r="F64" s="123"/>
      <c r="G64" s="123"/>
      <c r="H64" s="123"/>
      <c r="I64" s="115"/>
      <c r="J64" s="115"/>
      <c r="K64" s="115"/>
      <c r="L64" s="96"/>
      <c r="M64" s="96"/>
      <c r="N64" s="96"/>
      <c r="O64" s="96"/>
      <c r="P64" s="96"/>
      <c r="Q64" s="96"/>
      <c r="R64" s="96"/>
    </row>
    <row r="65" ht="15.75" customHeight="1">
      <c r="B65" s="235" t="s">
        <v>202</v>
      </c>
      <c r="C65" s="236"/>
      <c r="D65" s="236"/>
      <c r="E65" s="236"/>
      <c r="F65" s="236"/>
      <c r="G65" s="236"/>
      <c r="H65" s="236"/>
      <c r="I65" s="149">
        <v>10.1</v>
      </c>
      <c r="J65" s="149">
        <v>13.84</v>
      </c>
      <c r="K65" s="149">
        <v>21.6</v>
      </c>
      <c r="L65" s="149">
        <v>5.09</v>
      </c>
      <c r="M65" s="237">
        <f>(13.07+13.5+14.63+15.38)/4</f>
        <v>14.145</v>
      </c>
      <c r="N65" s="149">
        <v>28.45</v>
      </c>
      <c r="O65" s="149">
        <v>6.9</v>
      </c>
      <c r="P65" s="149">
        <v>27.3</v>
      </c>
      <c r="Q65" s="149">
        <v>5.55</v>
      </c>
      <c r="R65" s="149">
        <v>15.23</v>
      </c>
    </row>
    <row r="66" ht="15.75" customHeight="1"/>
    <row r="67" ht="15.75" customHeight="1"/>
    <row r="68" ht="15.75" customHeight="1"/>
    <row r="69" ht="15.75" customHeight="1">
      <c r="U69" s="22"/>
      <c r="V69" s="22"/>
      <c r="W69" s="22"/>
      <c r="X69" s="22"/>
      <c r="Y69" s="22"/>
      <c r="Z69" s="22"/>
      <c r="AA69" s="22"/>
    </row>
    <row r="70" ht="15.75" customHeight="1">
      <c r="U70" s="22"/>
      <c r="V70" s="22"/>
      <c r="W70" s="22"/>
      <c r="X70" s="22"/>
      <c r="Y70" s="22"/>
      <c r="Z70" s="22"/>
      <c r="AA70" s="22"/>
    </row>
    <row r="71" ht="15.75" customHeight="1">
      <c r="U71" s="22"/>
      <c r="V71" s="22"/>
      <c r="W71" s="22"/>
      <c r="X71" s="22"/>
      <c r="Y71" s="22"/>
      <c r="Z71" s="22"/>
      <c r="AA71" s="22"/>
    </row>
    <row r="72" ht="15.75" customHeight="1">
      <c r="U72" s="22"/>
      <c r="V72" s="22"/>
      <c r="W72" s="22"/>
      <c r="X72" s="22"/>
      <c r="Y72" s="22"/>
      <c r="Z72" s="22"/>
      <c r="AA72" s="22"/>
    </row>
    <row r="73" ht="15.75" customHeight="1">
      <c r="E73" s="238"/>
      <c r="U73" s="22"/>
      <c r="V73" s="22"/>
      <c r="W73" s="22"/>
      <c r="X73" s="22"/>
      <c r="Y73" s="22"/>
      <c r="Z73" s="22"/>
      <c r="AA73" s="22"/>
    </row>
    <row r="74" ht="15.75" customHeight="1">
      <c r="L74" s="238"/>
      <c r="U74" s="22"/>
      <c r="V74" s="22"/>
      <c r="W74" s="22"/>
      <c r="X74" s="22"/>
      <c r="Y74" s="22"/>
      <c r="Z74" s="22"/>
      <c r="AA74" s="22"/>
    </row>
    <row r="75" ht="15.75" customHeight="1">
      <c r="E75" s="238"/>
      <c r="U75" s="22"/>
      <c r="V75" s="22"/>
      <c r="W75" s="22"/>
      <c r="X75" s="22"/>
      <c r="Y75" s="22"/>
      <c r="Z75" s="22"/>
      <c r="AA75" s="22"/>
    </row>
    <row r="76" ht="15.75" customHeight="1">
      <c r="U76" s="22"/>
      <c r="V76" s="22"/>
      <c r="W76" s="22"/>
      <c r="X76" s="22"/>
      <c r="Y76" s="22"/>
      <c r="Z76" s="22"/>
      <c r="AA76" s="22"/>
    </row>
    <row r="77" ht="15.75" customHeight="1">
      <c r="E77" s="238"/>
      <c r="U77" s="22"/>
      <c r="V77" s="22"/>
      <c r="W77" s="22"/>
      <c r="X77" s="22"/>
      <c r="Y77" s="22"/>
      <c r="Z77" s="22"/>
      <c r="AA77" s="22"/>
    </row>
    <row r="78" ht="15.75" customHeight="1">
      <c r="U78" s="22"/>
      <c r="V78" s="22"/>
      <c r="W78" s="22"/>
      <c r="X78" s="22"/>
      <c r="Y78" s="22"/>
      <c r="Z78" s="22"/>
      <c r="AA78" s="22"/>
    </row>
    <row r="79" ht="15.75" customHeight="1">
      <c r="U79" s="22"/>
      <c r="V79" s="22"/>
      <c r="W79" s="22"/>
      <c r="X79" s="22"/>
      <c r="Y79" s="22"/>
      <c r="Z79" s="22"/>
      <c r="AA79" s="22"/>
    </row>
    <row r="80" ht="15.75" customHeight="1">
      <c r="U80" s="22"/>
      <c r="V80" s="22"/>
      <c r="W80" s="22"/>
      <c r="X80" s="22"/>
      <c r="Y80" s="22"/>
      <c r="Z80" s="22"/>
      <c r="AA80" s="22"/>
    </row>
    <row r="81" ht="15.75" customHeight="1">
      <c r="U81" s="22"/>
      <c r="V81" s="22"/>
      <c r="W81" s="22"/>
      <c r="X81" s="22"/>
      <c r="Y81" s="22"/>
      <c r="Z81" s="22"/>
      <c r="AA81" s="22"/>
    </row>
    <row r="82" ht="15.75" customHeight="1">
      <c r="U82" s="22"/>
      <c r="V82" s="22"/>
      <c r="W82" s="22"/>
      <c r="X82" s="22"/>
      <c r="Y82" s="22"/>
      <c r="Z82" s="22"/>
      <c r="AA82" s="22"/>
    </row>
    <row r="83" ht="15.75" customHeight="1">
      <c r="U83" s="22"/>
      <c r="V83" s="22"/>
      <c r="W83" s="22"/>
      <c r="X83" s="22"/>
      <c r="Y83" s="22"/>
      <c r="Z83" s="22"/>
      <c r="AA83" s="22"/>
    </row>
    <row r="84" ht="15.75" customHeight="1">
      <c r="U84" s="22"/>
      <c r="V84" s="22"/>
      <c r="W84" s="22"/>
      <c r="X84" s="22"/>
      <c r="Y84" s="22"/>
      <c r="Z84" s="22"/>
      <c r="AA84" s="22"/>
    </row>
    <row r="85" ht="15.75" customHeight="1">
      <c r="U85" s="22"/>
      <c r="V85" s="22"/>
      <c r="W85" s="22"/>
      <c r="X85" s="22"/>
      <c r="Y85" s="22"/>
      <c r="Z85" s="22"/>
      <c r="AA85" s="22"/>
    </row>
    <row r="86" ht="15.75" customHeight="1">
      <c r="U86" s="22"/>
      <c r="V86" s="22"/>
      <c r="W86" s="22"/>
      <c r="X86" s="22"/>
      <c r="Y86" s="22"/>
      <c r="Z86" s="22"/>
      <c r="AA86" s="22"/>
    </row>
    <row r="87" ht="15.75" customHeight="1">
      <c r="U87" s="22"/>
      <c r="V87" s="22"/>
      <c r="W87" s="22"/>
      <c r="X87" s="22"/>
      <c r="Y87" s="22"/>
      <c r="Z87" s="22"/>
      <c r="AA87" s="22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0">
    <mergeCell ref="C4:AF4"/>
    <mergeCell ref="C5:E5"/>
    <mergeCell ref="F5:H5"/>
    <mergeCell ref="I5:K5"/>
    <mergeCell ref="L5:N5"/>
    <mergeCell ref="O5:Q5"/>
    <mergeCell ref="R5:T5"/>
    <mergeCell ref="W17:Z17"/>
    <mergeCell ref="AA17:AD17"/>
    <mergeCell ref="AE17:AH17"/>
    <mergeCell ref="AI17:AL17"/>
    <mergeCell ref="AM17:AP17"/>
    <mergeCell ref="AQ17:AQ18"/>
    <mergeCell ref="AO27:AO30"/>
    <mergeCell ref="AP27:AP30"/>
    <mergeCell ref="AM28:AM30"/>
    <mergeCell ref="AN28:AN30"/>
    <mergeCell ref="U5:W5"/>
    <mergeCell ref="X5:Z5"/>
    <mergeCell ref="B14:B18"/>
    <mergeCell ref="C16:Z16"/>
    <mergeCell ref="AA16:AH16"/>
    <mergeCell ref="AI16:AP16"/>
    <mergeCell ref="C17:F17"/>
    <mergeCell ref="Z28:Z30"/>
    <mergeCell ref="AA28:AA30"/>
    <mergeCell ref="AI28:AI30"/>
    <mergeCell ref="AJ28:AJ30"/>
    <mergeCell ref="AK28:AK30"/>
    <mergeCell ref="AL28:AL30"/>
    <mergeCell ref="AB28:AB30"/>
    <mergeCell ref="AC28:AC30"/>
    <mergeCell ref="AD28:AD30"/>
    <mergeCell ref="AE28:AE30"/>
    <mergeCell ref="AF28:AF30"/>
    <mergeCell ref="AG28:AG30"/>
    <mergeCell ref="AH28:AH30"/>
    <mergeCell ref="K29:L29"/>
    <mergeCell ref="M29:M30"/>
    <mergeCell ref="K39:N39"/>
    <mergeCell ref="C29:H29"/>
    <mergeCell ref="I29:J29"/>
    <mergeCell ref="B39:B40"/>
    <mergeCell ref="C39:F39"/>
    <mergeCell ref="G39:J39"/>
    <mergeCell ref="C61:H61"/>
    <mergeCell ref="I61:R61"/>
    <mergeCell ref="Q62:Q64"/>
    <mergeCell ref="R62:R64"/>
    <mergeCell ref="J62:J64"/>
    <mergeCell ref="K62:K64"/>
    <mergeCell ref="L62:L64"/>
    <mergeCell ref="M62:M64"/>
    <mergeCell ref="N62:N64"/>
    <mergeCell ref="O62:O64"/>
    <mergeCell ref="P62:P64"/>
    <mergeCell ref="C28:L28"/>
    <mergeCell ref="M28:Q28"/>
    <mergeCell ref="R28:S28"/>
    <mergeCell ref="T28:T30"/>
    <mergeCell ref="R29:R30"/>
    <mergeCell ref="S29:S30"/>
    <mergeCell ref="U28:U30"/>
    <mergeCell ref="V28:V30"/>
    <mergeCell ref="N29:N30"/>
    <mergeCell ref="O29:O30"/>
    <mergeCell ref="P29:P30"/>
    <mergeCell ref="Q29:Q30"/>
    <mergeCell ref="O39:Z39"/>
    <mergeCell ref="AA39:AT39"/>
    <mergeCell ref="AU39:AU40"/>
    <mergeCell ref="AV39:AV40"/>
    <mergeCell ref="AX41:AZ43"/>
    <mergeCell ref="O17:R17"/>
    <mergeCell ref="S17:V17"/>
    <mergeCell ref="F19:F23"/>
    <mergeCell ref="J19:J23"/>
    <mergeCell ref="N19:N23"/>
    <mergeCell ref="R19:R23"/>
    <mergeCell ref="B27:B30"/>
    <mergeCell ref="C62:C64"/>
    <mergeCell ref="D62:D64"/>
    <mergeCell ref="E62:E64"/>
    <mergeCell ref="F62:F64"/>
    <mergeCell ref="G62:G64"/>
    <mergeCell ref="H62:H64"/>
    <mergeCell ref="I62:I64"/>
    <mergeCell ref="AY5:BA5"/>
    <mergeCell ref="BB5:BD5"/>
    <mergeCell ref="BE5:BG5"/>
    <mergeCell ref="BH5:BJ5"/>
    <mergeCell ref="BK5:BM5"/>
    <mergeCell ref="BN5:BP5"/>
    <mergeCell ref="BQ5:BS5"/>
    <mergeCell ref="AA5:AC5"/>
    <mergeCell ref="AD5:AF5"/>
    <mergeCell ref="AG5:AI5"/>
    <mergeCell ref="AM5:AO5"/>
    <mergeCell ref="AP5:AR5"/>
    <mergeCell ref="AS5:AU5"/>
    <mergeCell ref="AV5:AX5"/>
    <mergeCell ref="DU15:DV17"/>
    <mergeCell ref="DW15:DX17"/>
    <mergeCell ref="DG15:DH17"/>
    <mergeCell ref="DI15:DJ17"/>
    <mergeCell ref="DK15:DL17"/>
    <mergeCell ref="DM15:DN17"/>
    <mergeCell ref="DO15:DP17"/>
    <mergeCell ref="DQ15:DR17"/>
    <mergeCell ref="DS15:DT17"/>
    <mergeCell ref="BB4:BD4"/>
    <mergeCell ref="BE4:BP4"/>
    <mergeCell ref="CI4:DL4"/>
    <mergeCell ref="B1:CH2"/>
    <mergeCell ref="BP3:BS3"/>
    <mergeCell ref="CJ3:CM3"/>
    <mergeCell ref="AG4:AU4"/>
    <mergeCell ref="AV4:AX4"/>
    <mergeCell ref="AY4:BA4"/>
    <mergeCell ref="BQ4:CH4"/>
    <mergeCell ref="CO5:CQ5"/>
    <mergeCell ref="CR5:CT5"/>
    <mergeCell ref="CU5:CW5"/>
    <mergeCell ref="CX5:CZ5"/>
    <mergeCell ref="DA5:DC5"/>
    <mergeCell ref="DD5:DF5"/>
    <mergeCell ref="DG5:DI5"/>
    <mergeCell ref="DJ5:DL5"/>
    <mergeCell ref="BT5:BV5"/>
    <mergeCell ref="BW5:BY5"/>
    <mergeCell ref="BZ5:CB5"/>
    <mergeCell ref="CC5:CE5"/>
    <mergeCell ref="CF5:CH5"/>
    <mergeCell ref="CI5:CK5"/>
    <mergeCell ref="CL5:CN5"/>
    <mergeCell ref="DY15:DZ17"/>
    <mergeCell ref="EA15:EB17"/>
    <mergeCell ref="EC15:ED17"/>
    <mergeCell ref="EE15:EF17"/>
    <mergeCell ref="EG15:EH17"/>
    <mergeCell ref="B13:CX13"/>
    <mergeCell ref="C14:BR14"/>
    <mergeCell ref="CK14:CL14"/>
    <mergeCell ref="CM14:DB14"/>
    <mergeCell ref="DC14:DN14"/>
    <mergeCell ref="DO14:EH14"/>
    <mergeCell ref="C15:AP15"/>
    <mergeCell ref="G17:J17"/>
    <mergeCell ref="K17:N17"/>
    <mergeCell ref="BX17:BZ17"/>
    <mergeCell ref="CB17:CD17"/>
    <mergeCell ref="BQ15:CJ15"/>
    <mergeCell ref="CK15:CL17"/>
    <mergeCell ref="CM15:CP17"/>
    <mergeCell ref="CQ15:CT17"/>
    <mergeCell ref="CU15:CX17"/>
    <mergeCell ref="CY15:DB17"/>
    <mergeCell ref="CA16:CJ16"/>
    <mergeCell ref="DC15:DD17"/>
    <mergeCell ref="DE15:DF17"/>
    <mergeCell ref="AQ16:AW16"/>
    <mergeCell ref="AX16:BA16"/>
    <mergeCell ref="AX17:AX18"/>
    <mergeCell ref="AY17:BA17"/>
    <mergeCell ref="BB17:BB18"/>
    <mergeCell ref="BI17:BI18"/>
    <mergeCell ref="BM17:BM18"/>
    <mergeCell ref="BQ17:BQ18"/>
    <mergeCell ref="BB16:BH16"/>
    <mergeCell ref="BI16:BL16"/>
    <mergeCell ref="BM16:BP16"/>
    <mergeCell ref="BQ16:BZ16"/>
    <mergeCell ref="AQ15:BP15"/>
    <mergeCell ref="AR17:AT17"/>
    <mergeCell ref="AU17:AW17"/>
    <mergeCell ref="BC17:BE17"/>
    <mergeCell ref="BF17:BH17"/>
    <mergeCell ref="BJ17:BL17"/>
    <mergeCell ref="BN17:BP17"/>
    <mergeCell ref="BR17:BT17"/>
    <mergeCell ref="BU17:BW17"/>
    <mergeCell ref="CA17:CA18"/>
    <mergeCell ref="CE17:CG17"/>
    <mergeCell ref="CH17:CJ17"/>
    <mergeCell ref="BA19:BA23"/>
    <mergeCell ref="BE19:BE23"/>
    <mergeCell ref="BH19:BH23"/>
    <mergeCell ref="BL19:BL23"/>
    <mergeCell ref="BP19:BP23"/>
    <mergeCell ref="BT19:BT23"/>
    <mergeCell ref="BW19:BW23"/>
    <mergeCell ref="BZ19:BZ23"/>
    <mergeCell ref="CD19:CD23"/>
    <mergeCell ref="CG19:CG23"/>
    <mergeCell ref="CJ19:CJ23"/>
    <mergeCell ref="CL19:CL23"/>
    <mergeCell ref="CP19:CP23"/>
    <mergeCell ref="CT19:CT23"/>
    <mergeCell ref="CX19:CX23"/>
    <mergeCell ref="DB19:DB23"/>
    <mergeCell ref="DD19:DD23"/>
    <mergeCell ref="DF19:DF23"/>
    <mergeCell ref="DH19:DH23"/>
    <mergeCell ref="DJ19:DJ23"/>
    <mergeCell ref="DL19:DL23"/>
    <mergeCell ref="EB19:EB23"/>
    <mergeCell ref="ED19:ED23"/>
    <mergeCell ref="EF19:EF23"/>
    <mergeCell ref="EH19:EH23"/>
    <mergeCell ref="DN19:DN23"/>
    <mergeCell ref="DP19:DP23"/>
    <mergeCell ref="DR19:DR23"/>
    <mergeCell ref="DT19:DT23"/>
    <mergeCell ref="DV19:DV23"/>
    <mergeCell ref="DX19:DX23"/>
    <mergeCell ref="DZ19:DZ23"/>
    <mergeCell ref="Z19:Z23"/>
    <mergeCell ref="AD19:AD23"/>
    <mergeCell ref="AH19:AH23"/>
    <mergeCell ref="AL19:AL23"/>
    <mergeCell ref="AP19:AP23"/>
    <mergeCell ref="AT19:AT23"/>
    <mergeCell ref="AW19:AW23"/>
    <mergeCell ref="V19:V23"/>
    <mergeCell ref="U27:X27"/>
    <mergeCell ref="Y27:AD27"/>
    <mergeCell ref="AE27:AN27"/>
    <mergeCell ref="W28:W30"/>
    <mergeCell ref="X28:X30"/>
    <mergeCell ref="Y28:Y30"/>
  </mergeCells>
  <printOptions/>
  <pageMargins bottom="0.75" footer="0.0" header="0.0" left="0.25" right="0.25" top="0.75"/>
  <pageSetup fitToWidth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52" width="11.43"/>
    <col customWidth="1" min="53" max="53" width="21.0"/>
    <col customWidth="1" min="54" max="54" width="19.0"/>
    <col customWidth="1" min="55" max="138" width="11.43"/>
  </cols>
  <sheetData>
    <row r="1" ht="15.0" customHeight="1">
      <c r="A1" s="30"/>
      <c r="B1" s="31" t="s">
        <v>203</v>
      </c>
    </row>
    <row r="2" ht="15.0" customHeight="1"/>
    <row r="3" ht="15.0" customHeight="1">
      <c r="B3" s="32" t="s">
        <v>46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4"/>
      <c r="BQ3" s="35"/>
      <c r="BR3" s="35"/>
      <c r="BS3" s="35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4"/>
      <c r="CK3" s="35"/>
      <c r="CL3" s="35"/>
      <c r="CM3" s="35"/>
      <c r="CN3" s="36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</row>
    <row r="4" ht="15.0" customHeight="1">
      <c r="B4" s="31"/>
      <c r="C4" s="38" t="s">
        <v>47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38" t="s">
        <v>48</v>
      </c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40"/>
      <c r="AV4" s="38" t="s">
        <v>49</v>
      </c>
      <c r="AW4" s="39"/>
      <c r="AX4" s="41"/>
      <c r="AY4" s="42" t="s">
        <v>49</v>
      </c>
      <c r="AZ4" s="39"/>
      <c r="BA4" s="40"/>
      <c r="BB4" s="43" t="s">
        <v>50</v>
      </c>
      <c r="BC4" s="39"/>
      <c r="BD4" s="40"/>
      <c r="BE4" s="44" t="s">
        <v>51</v>
      </c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40"/>
      <c r="BQ4" s="45" t="s">
        <v>52</v>
      </c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40"/>
      <c r="CI4" s="45" t="s">
        <v>52</v>
      </c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40"/>
    </row>
    <row r="5" ht="30.0" customHeight="1">
      <c r="A5" s="47"/>
      <c r="B5" s="48"/>
      <c r="C5" s="49" t="s">
        <v>53</v>
      </c>
      <c r="D5" s="50"/>
      <c r="E5" s="51"/>
      <c r="F5" s="52" t="s">
        <v>54</v>
      </c>
      <c r="G5" s="50"/>
      <c r="H5" s="51"/>
      <c r="I5" s="52" t="s">
        <v>55</v>
      </c>
      <c r="J5" s="50"/>
      <c r="K5" s="51"/>
      <c r="L5" s="52" t="s">
        <v>56</v>
      </c>
      <c r="M5" s="50"/>
      <c r="N5" s="51"/>
      <c r="O5" s="52" t="s">
        <v>57</v>
      </c>
      <c r="P5" s="50"/>
      <c r="Q5" s="51"/>
      <c r="R5" s="52" t="s">
        <v>58</v>
      </c>
      <c r="S5" s="50"/>
      <c r="T5" s="51"/>
      <c r="U5" s="52" t="s">
        <v>59</v>
      </c>
      <c r="V5" s="50"/>
      <c r="W5" s="51"/>
      <c r="X5" s="52" t="s">
        <v>60</v>
      </c>
      <c r="Y5" s="50"/>
      <c r="Z5" s="51"/>
      <c r="AA5" s="52" t="s">
        <v>61</v>
      </c>
      <c r="AB5" s="50"/>
      <c r="AC5" s="51"/>
      <c r="AD5" s="52" t="s">
        <v>62</v>
      </c>
      <c r="AE5" s="50"/>
      <c r="AF5" s="53"/>
      <c r="AG5" s="49" t="s">
        <v>63</v>
      </c>
      <c r="AH5" s="50"/>
      <c r="AI5" s="51"/>
      <c r="AJ5" s="54"/>
      <c r="AK5" s="54" t="s">
        <v>64</v>
      </c>
      <c r="AL5" s="54"/>
      <c r="AM5" s="52" t="s">
        <v>65</v>
      </c>
      <c r="AN5" s="50"/>
      <c r="AO5" s="51"/>
      <c r="AP5" s="52" t="s">
        <v>66</v>
      </c>
      <c r="AQ5" s="50"/>
      <c r="AR5" s="51"/>
      <c r="AS5" s="52" t="s">
        <v>67</v>
      </c>
      <c r="AT5" s="50"/>
      <c r="AU5" s="53"/>
      <c r="AV5" s="49" t="s">
        <v>68</v>
      </c>
      <c r="AW5" s="50"/>
      <c r="AX5" s="51"/>
      <c r="AY5" s="52" t="s">
        <v>69</v>
      </c>
      <c r="AZ5" s="50"/>
      <c r="BA5" s="53"/>
      <c r="BB5" s="55" t="s">
        <v>70</v>
      </c>
      <c r="BC5" s="50"/>
      <c r="BD5" s="53"/>
      <c r="BE5" s="56" t="s">
        <v>71</v>
      </c>
      <c r="BF5" s="50"/>
      <c r="BG5" s="51"/>
      <c r="BH5" s="57" t="s">
        <v>72</v>
      </c>
      <c r="BI5" s="50"/>
      <c r="BJ5" s="51"/>
      <c r="BK5" s="57" t="s">
        <v>73</v>
      </c>
      <c r="BL5" s="50"/>
      <c r="BM5" s="51"/>
      <c r="BN5" s="57" t="s">
        <v>74</v>
      </c>
      <c r="BO5" s="50"/>
      <c r="BP5" s="53"/>
      <c r="BQ5" s="58" t="s">
        <v>75</v>
      </c>
      <c r="BR5" s="50"/>
      <c r="BS5" s="51"/>
      <c r="BT5" s="59" t="s">
        <v>76</v>
      </c>
      <c r="BU5" s="50"/>
      <c r="BV5" s="51"/>
      <c r="BW5" s="60"/>
      <c r="BX5" s="50"/>
      <c r="BY5" s="51"/>
      <c r="BZ5" s="60"/>
      <c r="CA5" s="50"/>
      <c r="CB5" s="51"/>
      <c r="CC5" s="60"/>
      <c r="CD5" s="50"/>
      <c r="CE5" s="51"/>
      <c r="CF5" s="60"/>
      <c r="CG5" s="50"/>
      <c r="CH5" s="53"/>
      <c r="CI5" s="239" t="s">
        <v>77</v>
      </c>
      <c r="CJ5" s="50"/>
      <c r="CK5" s="51"/>
      <c r="CL5" s="61" t="s">
        <v>78</v>
      </c>
      <c r="CM5" s="50"/>
      <c r="CN5" s="51"/>
      <c r="CO5" s="61" t="s">
        <v>79</v>
      </c>
      <c r="CP5" s="50"/>
      <c r="CQ5" s="51"/>
      <c r="CR5" s="61" t="s">
        <v>80</v>
      </c>
      <c r="CS5" s="50"/>
      <c r="CT5" s="51"/>
      <c r="CU5" s="61" t="s">
        <v>81</v>
      </c>
      <c r="CV5" s="50"/>
      <c r="CW5" s="51"/>
      <c r="CX5" s="62" t="s">
        <v>82</v>
      </c>
      <c r="CY5" s="50"/>
      <c r="CZ5" s="51"/>
      <c r="DA5" s="61" t="s">
        <v>83</v>
      </c>
      <c r="DB5" s="50"/>
      <c r="DC5" s="51"/>
      <c r="DD5" s="61" t="s">
        <v>84</v>
      </c>
      <c r="DE5" s="50"/>
      <c r="DF5" s="51"/>
      <c r="DG5" s="62" t="s">
        <v>85</v>
      </c>
      <c r="DH5" s="50"/>
      <c r="DI5" s="51"/>
      <c r="DJ5" s="61" t="s">
        <v>86</v>
      </c>
      <c r="DK5" s="50"/>
      <c r="DL5" s="53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</row>
    <row r="6" ht="33.75" customHeight="1">
      <c r="B6" s="63"/>
      <c r="C6" s="64" t="s">
        <v>87</v>
      </c>
      <c r="D6" s="65" t="s">
        <v>88</v>
      </c>
      <c r="E6" s="65" t="s">
        <v>89</v>
      </c>
      <c r="F6" s="65" t="s">
        <v>87</v>
      </c>
      <c r="G6" s="65" t="s">
        <v>88</v>
      </c>
      <c r="H6" s="65" t="s">
        <v>89</v>
      </c>
      <c r="I6" s="65" t="s">
        <v>87</v>
      </c>
      <c r="J6" s="65" t="s">
        <v>88</v>
      </c>
      <c r="K6" s="65" t="s">
        <v>89</v>
      </c>
      <c r="L6" s="65" t="s">
        <v>87</v>
      </c>
      <c r="M6" s="65" t="s">
        <v>88</v>
      </c>
      <c r="N6" s="65" t="s">
        <v>89</v>
      </c>
      <c r="O6" s="65" t="s">
        <v>87</v>
      </c>
      <c r="P6" s="65" t="s">
        <v>88</v>
      </c>
      <c r="Q6" s="65" t="s">
        <v>89</v>
      </c>
      <c r="R6" s="65" t="s">
        <v>87</v>
      </c>
      <c r="S6" s="65" t="s">
        <v>88</v>
      </c>
      <c r="T6" s="65" t="s">
        <v>89</v>
      </c>
      <c r="U6" s="65" t="s">
        <v>87</v>
      </c>
      <c r="V6" s="65" t="s">
        <v>88</v>
      </c>
      <c r="W6" s="65" t="s">
        <v>89</v>
      </c>
      <c r="X6" s="65" t="s">
        <v>87</v>
      </c>
      <c r="Y6" s="65" t="s">
        <v>88</v>
      </c>
      <c r="Z6" s="65" t="s">
        <v>89</v>
      </c>
      <c r="AA6" s="65" t="s">
        <v>87</v>
      </c>
      <c r="AB6" s="65" t="s">
        <v>88</v>
      </c>
      <c r="AC6" s="65" t="s">
        <v>89</v>
      </c>
      <c r="AD6" s="65" t="s">
        <v>87</v>
      </c>
      <c r="AE6" s="65" t="s">
        <v>88</v>
      </c>
      <c r="AF6" s="66" t="s">
        <v>89</v>
      </c>
      <c r="AG6" s="64" t="s">
        <v>87</v>
      </c>
      <c r="AH6" s="65" t="s">
        <v>88</v>
      </c>
      <c r="AI6" s="65" t="s">
        <v>89</v>
      </c>
      <c r="AJ6" s="65" t="s">
        <v>87</v>
      </c>
      <c r="AK6" s="65" t="s">
        <v>88</v>
      </c>
      <c r="AL6" s="65" t="s">
        <v>89</v>
      </c>
      <c r="AM6" s="65" t="s">
        <v>87</v>
      </c>
      <c r="AN6" s="65" t="s">
        <v>88</v>
      </c>
      <c r="AO6" s="65" t="s">
        <v>89</v>
      </c>
      <c r="AP6" s="65" t="s">
        <v>87</v>
      </c>
      <c r="AQ6" s="65" t="s">
        <v>88</v>
      </c>
      <c r="AR6" s="65" t="s">
        <v>89</v>
      </c>
      <c r="AS6" s="65" t="s">
        <v>87</v>
      </c>
      <c r="AT6" s="65" t="s">
        <v>88</v>
      </c>
      <c r="AU6" s="66" t="s">
        <v>89</v>
      </c>
      <c r="AV6" s="64" t="s">
        <v>87</v>
      </c>
      <c r="AW6" s="65" t="s">
        <v>88</v>
      </c>
      <c r="AX6" s="65" t="s">
        <v>89</v>
      </c>
      <c r="AY6" s="65" t="s">
        <v>87</v>
      </c>
      <c r="AZ6" s="65" t="s">
        <v>88</v>
      </c>
      <c r="BA6" s="66" t="s">
        <v>89</v>
      </c>
      <c r="BB6" s="240" t="s">
        <v>204</v>
      </c>
      <c r="BC6" s="241" t="s">
        <v>205</v>
      </c>
      <c r="BD6" s="242" t="s">
        <v>206</v>
      </c>
      <c r="BE6" s="64" t="s">
        <v>87</v>
      </c>
      <c r="BF6" s="65" t="s">
        <v>88</v>
      </c>
      <c r="BG6" s="65" t="s">
        <v>89</v>
      </c>
      <c r="BH6" s="65" t="s">
        <v>87</v>
      </c>
      <c r="BI6" s="65" t="s">
        <v>88</v>
      </c>
      <c r="BJ6" s="65" t="s">
        <v>89</v>
      </c>
      <c r="BK6" s="65" t="s">
        <v>87</v>
      </c>
      <c r="BL6" s="65" t="s">
        <v>88</v>
      </c>
      <c r="BM6" s="65" t="s">
        <v>89</v>
      </c>
      <c r="BN6" s="65" t="s">
        <v>87</v>
      </c>
      <c r="BO6" s="65" t="s">
        <v>88</v>
      </c>
      <c r="BP6" s="66" t="s">
        <v>89</v>
      </c>
      <c r="BQ6" s="64" t="s">
        <v>87</v>
      </c>
      <c r="BR6" s="65" t="s">
        <v>88</v>
      </c>
      <c r="BS6" s="65" t="s">
        <v>89</v>
      </c>
      <c r="BT6" s="65" t="s">
        <v>87</v>
      </c>
      <c r="BU6" s="65" t="s">
        <v>88</v>
      </c>
      <c r="BV6" s="65" t="s">
        <v>89</v>
      </c>
      <c r="BW6" s="65" t="s">
        <v>87</v>
      </c>
      <c r="BX6" s="65" t="s">
        <v>88</v>
      </c>
      <c r="BY6" s="65" t="s">
        <v>89</v>
      </c>
      <c r="BZ6" s="65" t="s">
        <v>87</v>
      </c>
      <c r="CA6" s="65" t="s">
        <v>88</v>
      </c>
      <c r="CB6" s="65" t="s">
        <v>89</v>
      </c>
      <c r="CC6" s="65" t="s">
        <v>87</v>
      </c>
      <c r="CD6" s="65" t="s">
        <v>88</v>
      </c>
      <c r="CE6" s="65" t="s">
        <v>89</v>
      </c>
      <c r="CF6" s="65" t="s">
        <v>87</v>
      </c>
      <c r="CG6" s="65" t="s">
        <v>88</v>
      </c>
      <c r="CH6" s="66" t="s">
        <v>89</v>
      </c>
      <c r="CI6" s="64" t="s">
        <v>90</v>
      </c>
      <c r="CJ6" s="65" t="s">
        <v>91</v>
      </c>
      <c r="CK6" s="65" t="s">
        <v>92</v>
      </c>
      <c r="CL6" s="65" t="s">
        <v>90</v>
      </c>
      <c r="CM6" s="65" t="s">
        <v>91</v>
      </c>
      <c r="CN6" s="65" t="s">
        <v>92</v>
      </c>
      <c r="CO6" s="65" t="s">
        <v>90</v>
      </c>
      <c r="CP6" s="65" t="s">
        <v>91</v>
      </c>
      <c r="CQ6" s="65" t="s">
        <v>92</v>
      </c>
      <c r="CR6" s="65" t="s">
        <v>90</v>
      </c>
      <c r="CS6" s="65" t="s">
        <v>91</v>
      </c>
      <c r="CT6" s="65" t="s">
        <v>92</v>
      </c>
      <c r="CU6" s="65" t="s">
        <v>90</v>
      </c>
      <c r="CV6" s="65" t="s">
        <v>91</v>
      </c>
      <c r="CW6" s="65" t="s">
        <v>92</v>
      </c>
      <c r="CX6" s="65" t="s">
        <v>90</v>
      </c>
      <c r="CY6" s="65" t="s">
        <v>91</v>
      </c>
      <c r="CZ6" s="65" t="s">
        <v>92</v>
      </c>
      <c r="DA6" s="65" t="s">
        <v>90</v>
      </c>
      <c r="DB6" s="65" t="s">
        <v>91</v>
      </c>
      <c r="DC6" s="65" t="s">
        <v>92</v>
      </c>
      <c r="DD6" s="65" t="s">
        <v>90</v>
      </c>
      <c r="DE6" s="65" t="s">
        <v>91</v>
      </c>
      <c r="DF6" s="65" t="s">
        <v>92</v>
      </c>
      <c r="DG6" s="65" t="s">
        <v>90</v>
      </c>
      <c r="DH6" s="65" t="s">
        <v>91</v>
      </c>
      <c r="DI6" s="65" t="s">
        <v>92</v>
      </c>
      <c r="DJ6" s="65" t="s">
        <v>90</v>
      </c>
      <c r="DK6" s="65" t="s">
        <v>91</v>
      </c>
      <c r="DL6" s="66" t="s">
        <v>92</v>
      </c>
    </row>
    <row r="7">
      <c r="B7" s="52" t="s">
        <v>207</v>
      </c>
      <c r="C7" s="243"/>
      <c r="D7" s="69"/>
      <c r="E7" s="69"/>
      <c r="F7" s="244"/>
      <c r="G7" s="69"/>
      <c r="H7" s="69"/>
      <c r="I7" s="244"/>
      <c r="J7" s="69"/>
      <c r="K7" s="69"/>
      <c r="L7" s="245">
        <v>60000.0</v>
      </c>
      <c r="M7" s="70">
        <v>0.0</v>
      </c>
      <c r="N7" s="69"/>
      <c r="O7" s="244"/>
      <c r="P7" s="69"/>
      <c r="Q7" s="69"/>
      <c r="R7" s="244"/>
      <c r="S7" s="69"/>
      <c r="T7" s="69"/>
      <c r="U7" s="244"/>
      <c r="V7" s="69"/>
      <c r="W7" s="69"/>
      <c r="X7" s="244"/>
      <c r="Y7" s="69"/>
      <c r="Z7" s="69"/>
      <c r="AA7" s="244"/>
      <c r="AB7" s="69"/>
      <c r="AC7" s="69"/>
      <c r="AD7" s="244"/>
      <c r="AE7" s="69"/>
      <c r="AF7" s="71"/>
      <c r="AG7" s="243"/>
      <c r="AH7" s="69"/>
      <c r="AI7" s="69"/>
      <c r="AJ7" s="244"/>
      <c r="AK7" s="69"/>
      <c r="AL7" s="69"/>
      <c r="AM7" s="244"/>
      <c r="AN7" s="69"/>
      <c r="AO7" s="69"/>
      <c r="AP7" s="244"/>
      <c r="AQ7" s="69"/>
      <c r="AR7" s="69"/>
      <c r="AS7" s="244"/>
      <c r="AT7" s="69"/>
      <c r="AU7" s="71"/>
      <c r="AV7" s="243"/>
      <c r="AW7" s="69"/>
      <c r="AX7" s="69"/>
      <c r="AY7" s="244"/>
      <c r="AZ7" s="69"/>
      <c r="BA7" s="71"/>
      <c r="BB7" s="73">
        <v>2225.0</v>
      </c>
      <c r="BC7" s="69"/>
      <c r="BD7" s="71"/>
      <c r="BE7" s="68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71"/>
      <c r="BQ7" s="68"/>
      <c r="BR7" s="70">
        <v>2775.0</v>
      </c>
      <c r="BS7" s="70">
        <v>0.0</v>
      </c>
      <c r="BT7" s="70"/>
      <c r="BU7" s="70">
        <v>460.0</v>
      </c>
      <c r="BV7" s="70">
        <v>0.0</v>
      </c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71"/>
      <c r="CI7" s="68"/>
      <c r="CJ7" s="69"/>
      <c r="CK7" s="69"/>
      <c r="CL7" s="69"/>
      <c r="CM7" s="69"/>
      <c r="CN7" s="69"/>
      <c r="CO7" s="244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71"/>
    </row>
    <row r="8">
      <c r="B8" s="52" t="s">
        <v>208</v>
      </c>
      <c r="C8" s="243"/>
      <c r="D8" s="69"/>
      <c r="E8" s="69"/>
      <c r="F8" s="244"/>
      <c r="G8" s="69"/>
      <c r="H8" s="69"/>
      <c r="I8" s="244"/>
      <c r="J8" s="69"/>
      <c r="K8" s="69"/>
      <c r="L8" s="246">
        <v>12026.0</v>
      </c>
      <c r="M8" s="246">
        <v>0.0</v>
      </c>
      <c r="N8" s="246">
        <v>0.0</v>
      </c>
      <c r="O8" s="246">
        <v>0.0</v>
      </c>
      <c r="P8" s="246">
        <v>600.0</v>
      </c>
      <c r="Q8" s="246">
        <v>0.0</v>
      </c>
      <c r="R8" s="246">
        <v>500.0</v>
      </c>
      <c r="S8" s="246">
        <v>0.0</v>
      </c>
      <c r="T8" s="246">
        <v>0.0</v>
      </c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9"/>
      <c r="AG8" s="76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8"/>
      <c r="AT8" s="78"/>
      <c r="AU8" s="80"/>
      <c r="AV8" s="76"/>
      <c r="AW8" s="77"/>
      <c r="AX8" s="81"/>
      <c r="AY8" s="77"/>
      <c r="AZ8" s="77"/>
      <c r="BA8" s="79"/>
      <c r="BB8" s="68"/>
      <c r="BC8" s="69"/>
      <c r="BD8" s="71"/>
      <c r="BE8" s="68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71"/>
      <c r="BQ8" s="68"/>
      <c r="BR8" s="70">
        <v>2775.0</v>
      </c>
      <c r="BS8" s="78">
        <v>0.0</v>
      </c>
      <c r="BT8" s="77"/>
      <c r="BU8" s="70">
        <v>460.0</v>
      </c>
      <c r="BV8" s="70">
        <v>0.0</v>
      </c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71"/>
      <c r="CI8" s="68"/>
      <c r="CJ8" s="69"/>
      <c r="CK8" s="69"/>
      <c r="CL8" s="69"/>
      <c r="CM8" s="69"/>
      <c r="CN8" s="69"/>
      <c r="CO8" s="244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71"/>
    </row>
    <row r="9">
      <c r="B9" s="52" t="s">
        <v>209</v>
      </c>
      <c r="C9" s="243"/>
      <c r="D9" s="69"/>
      <c r="E9" s="69"/>
      <c r="F9" s="244"/>
      <c r="G9" s="69"/>
      <c r="H9" s="69"/>
      <c r="I9" s="244"/>
      <c r="J9" s="69"/>
      <c r="K9" s="69"/>
      <c r="L9" s="246">
        <v>12026.0</v>
      </c>
      <c r="M9" s="246">
        <v>0.0</v>
      </c>
      <c r="N9" s="246">
        <v>0.0</v>
      </c>
      <c r="O9" s="246">
        <v>0.0</v>
      </c>
      <c r="P9" s="246">
        <v>600.0</v>
      </c>
      <c r="Q9" s="246">
        <v>0.0</v>
      </c>
      <c r="R9" s="246">
        <v>500.0</v>
      </c>
      <c r="S9" s="246">
        <v>0.0</v>
      </c>
      <c r="T9" s="246">
        <v>0.0</v>
      </c>
      <c r="U9" s="244"/>
      <c r="V9" s="69"/>
      <c r="W9" s="69"/>
      <c r="X9" s="244"/>
      <c r="Y9" s="69"/>
      <c r="Z9" s="69"/>
      <c r="AA9" s="244"/>
      <c r="AB9" s="69"/>
      <c r="AC9" s="69"/>
      <c r="AD9" s="244"/>
      <c r="AE9" s="69"/>
      <c r="AF9" s="71"/>
      <c r="AG9" s="243"/>
      <c r="AH9" s="69"/>
      <c r="AI9" s="69"/>
      <c r="AJ9" s="244"/>
      <c r="AK9" s="69"/>
      <c r="AL9" s="69"/>
      <c r="AM9" s="244"/>
      <c r="AN9" s="69"/>
      <c r="AO9" s="69"/>
      <c r="AP9" s="244"/>
      <c r="AQ9" s="69"/>
      <c r="AR9" s="69"/>
      <c r="AS9" s="244"/>
      <c r="AT9" s="69"/>
      <c r="AU9" s="71"/>
      <c r="AV9" s="243"/>
      <c r="AW9" s="69"/>
      <c r="AX9" s="69"/>
      <c r="AY9" s="244"/>
      <c r="AZ9" s="69"/>
      <c r="BA9" s="71"/>
      <c r="BB9" s="68"/>
      <c r="BC9" s="69"/>
      <c r="BD9" s="71"/>
      <c r="BE9" s="68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71"/>
      <c r="BQ9" s="68"/>
      <c r="BR9" s="70">
        <v>2775.0</v>
      </c>
      <c r="BS9" s="70">
        <v>0.0</v>
      </c>
      <c r="BT9" s="70"/>
      <c r="BU9" s="70">
        <v>460.0</v>
      </c>
      <c r="BV9" s="70">
        <v>0.0</v>
      </c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71"/>
      <c r="CI9" s="68"/>
      <c r="CJ9" s="69"/>
      <c r="CK9" s="69"/>
      <c r="CL9" s="69"/>
      <c r="CM9" s="69"/>
      <c r="CN9" s="69"/>
      <c r="CO9" s="244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71"/>
    </row>
    <row r="10">
      <c r="B10" s="52" t="s">
        <v>210</v>
      </c>
      <c r="C10" s="243"/>
      <c r="D10" s="69"/>
      <c r="E10" s="69"/>
      <c r="F10" s="244"/>
      <c r="G10" s="69"/>
      <c r="H10" s="69"/>
      <c r="I10" s="244"/>
      <c r="J10" s="69"/>
      <c r="K10" s="69"/>
      <c r="L10" s="246">
        <v>12026.0</v>
      </c>
      <c r="M10" s="246">
        <v>0.0</v>
      </c>
      <c r="N10" s="246">
        <v>0.0</v>
      </c>
      <c r="O10" s="246">
        <v>0.0</v>
      </c>
      <c r="P10" s="246">
        <v>600.0</v>
      </c>
      <c r="Q10" s="246">
        <v>0.0</v>
      </c>
      <c r="R10" s="246">
        <v>500.0</v>
      </c>
      <c r="S10" s="246">
        <v>0.0</v>
      </c>
      <c r="T10" s="246">
        <v>0.0</v>
      </c>
      <c r="U10" s="244"/>
      <c r="V10" s="69"/>
      <c r="W10" s="69"/>
      <c r="X10" s="244"/>
      <c r="Y10" s="69"/>
      <c r="Z10" s="69"/>
      <c r="AA10" s="244"/>
      <c r="AB10" s="69"/>
      <c r="AC10" s="69"/>
      <c r="AD10" s="244"/>
      <c r="AE10" s="69"/>
      <c r="AF10" s="71"/>
      <c r="AG10" s="243"/>
      <c r="AH10" s="69"/>
      <c r="AI10" s="69"/>
      <c r="AJ10" s="244"/>
      <c r="AK10" s="69"/>
      <c r="AL10" s="69"/>
      <c r="AM10" s="244"/>
      <c r="AN10" s="69"/>
      <c r="AO10" s="69"/>
      <c r="AP10" s="244"/>
      <c r="AQ10" s="69"/>
      <c r="AR10" s="69"/>
      <c r="AS10" s="244"/>
      <c r="AT10" s="69"/>
      <c r="AU10" s="71"/>
      <c r="AV10" s="243"/>
      <c r="AW10" s="69"/>
      <c r="AX10" s="69"/>
      <c r="AY10" s="244"/>
      <c r="AZ10" s="69"/>
      <c r="BA10" s="71"/>
      <c r="BB10" s="68"/>
      <c r="BC10" s="69"/>
      <c r="BD10" s="71"/>
      <c r="BE10" s="68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71"/>
      <c r="BQ10" s="68"/>
      <c r="BR10" s="70">
        <v>2775.0</v>
      </c>
      <c r="BS10" s="78">
        <v>0.0</v>
      </c>
      <c r="BT10" s="77"/>
      <c r="BU10" s="70">
        <v>460.0</v>
      </c>
      <c r="BV10" s="70">
        <v>0.0</v>
      </c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71"/>
      <c r="CI10" s="68"/>
      <c r="CJ10" s="69"/>
      <c r="CK10" s="69"/>
      <c r="CL10" s="69"/>
      <c r="CM10" s="69"/>
      <c r="CN10" s="69"/>
      <c r="CO10" s="244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71"/>
    </row>
    <row r="11" ht="15.0" customHeight="1">
      <c r="B11" s="52" t="s">
        <v>211</v>
      </c>
      <c r="C11" s="247"/>
      <c r="D11" s="77"/>
      <c r="E11" s="77"/>
      <c r="F11" s="77"/>
      <c r="G11" s="77"/>
      <c r="H11" s="77"/>
      <c r="I11" s="77"/>
      <c r="J11" s="77"/>
      <c r="K11" s="77"/>
      <c r="L11" s="246">
        <v>12026.0</v>
      </c>
      <c r="M11" s="246">
        <v>0.0</v>
      </c>
      <c r="N11" s="246">
        <v>0.0</v>
      </c>
      <c r="O11" s="246">
        <v>0.0</v>
      </c>
      <c r="P11" s="246">
        <v>600.0</v>
      </c>
      <c r="Q11" s="246">
        <v>0.0</v>
      </c>
      <c r="R11" s="246">
        <v>500.0</v>
      </c>
      <c r="S11" s="246">
        <v>0.0</v>
      </c>
      <c r="T11" s="246">
        <v>0.0</v>
      </c>
      <c r="U11" s="248"/>
      <c r="V11" s="77"/>
      <c r="W11" s="77"/>
      <c r="X11" s="248"/>
      <c r="Y11" s="77"/>
      <c r="Z11" s="77"/>
      <c r="AA11" s="248"/>
      <c r="AB11" s="77"/>
      <c r="AC11" s="77"/>
      <c r="AD11" s="248"/>
      <c r="AE11" s="77"/>
      <c r="AF11" s="79"/>
      <c r="AG11" s="247"/>
      <c r="AH11" s="77"/>
      <c r="AI11" s="77"/>
      <c r="AJ11" s="248"/>
      <c r="AK11" s="77"/>
      <c r="AL11" s="77"/>
      <c r="AM11" s="248"/>
      <c r="AN11" s="77"/>
      <c r="AO11" s="77"/>
      <c r="AP11" s="248"/>
      <c r="AQ11" s="77"/>
      <c r="AR11" s="77"/>
      <c r="AS11" s="248"/>
      <c r="AT11" s="77"/>
      <c r="AU11" s="79"/>
      <c r="AV11" s="247"/>
      <c r="AW11" s="77"/>
      <c r="AX11" s="77"/>
      <c r="AY11" s="248"/>
      <c r="AZ11" s="77"/>
      <c r="BA11" s="79"/>
      <c r="BB11" s="76"/>
      <c r="BC11" s="77"/>
      <c r="BD11" s="79"/>
      <c r="BE11" s="76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9"/>
      <c r="BQ11" s="76"/>
      <c r="BR11" s="70">
        <v>2775.0</v>
      </c>
      <c r="BS11" s="70">
        <v>0.0</v>
      </c>
      <c r="BT11" s="70"/>
      <c r="BU11" s="70">
        <v>460.0</v>
      </c>
      <c r="BV11" s="70">
        <v>0.0</v>
      </c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9"/>
      <c r="CI11" s="76"/>
      <c r="CJ11" s="77"/>
      <c r="CK11" s="77"/>
      <c r="CL11" s="77"/>
      <c r="CM11" s="77"/>
      <c r="CN11" s="77"/>
      <c r="CO11" s="248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9"/>
    </row>
    <row r="12">
      <c r="B12" s="249"/>
      <c r="C12" s="250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251"/>
      <c r="BW12" s="251"/>
      <c r="BX12" s="251"/>
      <c r="BY12" s="251"/>
      <c r="BZ12" s="251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1"/>
      <c r="DF12" s="251"/>
      <c r="DG12" s="251"/>
      <c r="DH12" s="251"/>
      <c r="DI12" s="251"/>
      <c r="DJ12" s="251"/>
      <c r="DK12" s="251"/>
      <c r="DL12" s="251"/>
    </row>
    <row r="13" ht="14.25" customHeight="1">
      <c r="B13" s="82" t="s">
        <v>98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83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</row>
    <row r="14" ht="30.0" customHeight="1">
      <c r="B14" s="86"/>
      <c r="C14" s="87" t="s">
        <v>99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9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1" t="s">
        <v>50</v>
      </c>
      <c r="CL14" s="92"/>
      <c r="CM14" s="93" t="s">
        <v>100</v>
      </c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92"/>
      <c r="DC14" s="94" t="s">
        <v>52</v>
      </c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92"/>
      <c r="DO14" s="95" t="s">
        <v>52</v>
      </c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9"/>
    </row>
    <row r="15" ht="15.0" customHeight="1">
      <c r="B15" s="96"/>
      <c r="C15" s="38" t="s">
        <v>47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40"/>
      <c r="AQ15" s="97" t="s">
        <v>48</v>
      </c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40"/>
      <c r="BQ15" s="97" t="s">
        <v>49</v>
      </c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40"/>
      <c r="CK15" s="98" t="s">
        <v>101</v>
      </c>
      <c r="CL15" s="99"/>
      <c r="CM15" s="100" t="s">
        <v>102</v>
      </c>
      <c r="CN15" s="101"/>
      <c r="CO15" s="101"/>
      <c r="CP15" s="102"/>
      <c r="CQ15" s="103" t="s">
        <v>103</v>
      </c>
      <c r="CR15" s="101"/>
      <c r="CS15" s="101"/>
      <c r="CT15" s="102"/>
      <c r="CU15" s="103" t="s">
        <v>104</v>
      </c>
      <c r="CV15" s="101"/>
      <c r="CW15" s="101"/>
      <c r="CX15" s="102"/>
      <c r="CY15" s="103" t="s">
        <v>105</v>
      </c>
      <c r="CZ15" s="101"/>
      <c r="DA15" s="101"/>
      <c r="DB15" s="99"/>
      <c r="DC15" s="104" t="str">
        <f>BQ5</f>
        <v>Digestats de méthanisation liquide</v>
      </c>
      <c r="DD15" s="102"/>
      <c r="DE15" s="105" t="str">
        <f>BT5</f>
        <v>Digestats de méthanisation solide</v>
      </c>
      <c r="DF15" s="102"/>
      <c r="DG15" s="105" t="str">
        <f>BW5</f>
        <v/>
      </c>
      <c r="DH15" s="102"/>
      <c r="DI15" s="105" t="str">
        <f>BZ5</f>
        <v/>
      </c>
      <c r="DJ15" s="102"/>
      <c r="DK15" s="105" t="str">
        <f>CC5</f>
        <v/>
      </c>
      <c r="DL15" s="102"/>
      <c r="DM15" s="105" t="str">
        <f>CF5</f>
        <v/>
      </c>
      <c r="DN15" s="99"/>
      <c r="DO15" s="252" t="s">
        <v>77</v>
      </c>
      <c r="DP15" s="102"/>
      <c r="DQ15" s="106" t="s">
        <v>78</v>
      </c>
      <c r="DR15" s="102"/>
      <c r="DS15" s="106" t="s">
        <v>79</v>
      </c>
      <c r="DT15" s="102"/>
      <c r="DU15" s="106" t="s">
        <v>80</v>
      </c>
      <c r="DV15" s="102"/>
      <c r="DW15" s="107" t="s">
        <v>81</v>
      </c>
      <c r="DX15" s="102"/>
      <c r="DY15" s="107" t="s">
        <v>82</v>
      </c>
      <c r="DZ15" s="102"/>
      <c r="EA15" s="106" t="s">
        <v>83</v>
      </c>
      <c r="EB15" s="102"/>
      <c r="EC15" s="106" t="s">
        <v>84</v>
      </c>
      <c r="ED15" s="102"/>
      <c r="EE15" s="108" t="s">
        <v>85</v>
      </c>
      <c r="EF15" s="101"/>
      <c r="EG15" s="106" t="s">
        <v>86</v>
      </c>
      <c r="EH15" s="99"/>
    </row>
    <row r="16">
      <c r="B16" s="96"/>
      <c r="C16" s="109" t="s">
        <v>106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1"/>
      <c r="AA16" s="110" t="s">
        <v>107</v>
      </c>
      <c r="AB16" s="50"/>
      <c r="AC16" s="50"/>
      <c r="AD16" s="50"/>
      <c r="AE16" s="50"/>
      <c r="AF16" s="50"/>
      <c r="AG16" s="50"/>
      <c r="AH16" s="51"/>
      <c r="AI16" s="111" t="s">
        <v>108</v>
      </c>
      <c r="AJ16" s="50"/>
      <c r="AK16" s="50"/>
      <c r="AL16" s="50"/>
      <c r="AM16" s="50"/>
      <c r="AN16" s="50"/>
      <c r="AO16" s="50"/>
      <c r="AP16" s="53"/>
      <c r="AQ16" s="109" t="s">
        <v>109</v>
      </c>
      <c r="AR16" s="50"/>
      <c r="AS16" s="50"/>
      <c r="AT16" s="50"/>
      <c r="AU16" s="50"/>
      <c r="AV16" s="50"/>
      <c r="AW16" s="51"/>
      <c r="AX16" s="110" t="s">
        <v>110</v>
      </c>
      <c r="AY16" s="50"/>
      <c r="AZ16" s="50"/>
      <c r="BA16" s="51"/>
      <c r="BB16" s="110" t="s">
        <v>111</v>
      </c>
      <c r="BC16" s="50"/>
      <c r="BD16" s="50"/>
      <c r="BE16" s="50"/>
      <c r="BF16" s="50"/>
      <c r="BG16" s="50"/>
      <c r="BH16" s="51"/>
      <c r="BI16" s="110" t="s">
        <v>112</v>
      </c>
      <c r="BJ16" s="50"/>
      <c r="BK16" s="50"/>
      <c r="BL16" s="51"/>
      <c r="BM16" s="110" t="s">
        <v>113</v>
      </c>
      <c r="BN16" s="50"/>
      <c r="BO16" s="50"/>
      <c r="BP16" s="53"/>
      <c r="BQ16" s="109" t="s">
        <v>114</v>
      </c>
      <c r="BR16" s="50"/>
      <c r="BS16" s="50"/>
      <c r="BT16" s="50"/>
      <c r="BU16" s="50"/>
      <c r="BV16" s="50"/>
      <c r="BW16" s="50"/>
      <c r="BX16" s="50"/>
      <c r="BY16" s="50"/>
      <c r="BZ16" s="51"/>
      <c r="CA16" s="110" t="s">
        <v>115</v>
      </c>
      <c r="CB16" s="50"/>
      <c r="CC16" s="50"/>
      <c r="CD16" s="50"/>
      <c r="CE16" s="50"/>
      <c r="CF16" s="50"/>
      <c r="CG16" s="50"/>
      <c r="CH16" s="50"/>
      <c r="CI16" s="50"/>
      <c r="CJ16" s="53"/>
      <c r="CK16" s="112"/>
      <c r="CL16" s="113"/>
      <c r="CM16" s="112"/>
      <c r="CP16" s="114"/>
      <c r="CQ16" s="115"/>
      <c r="CT16" s="114"/>
      <c r="CU16" s="115"/>
      <c r="CX16" s="114"/>
      <c r="CY16" s="115"/>
      <c r="DB16" s="113"/>
      <c r="DC16" s="112"/>
      <c r="DD16" s="114"/>
      <c r="DE16" s="115"/>
      <c r="DF16" s="114"/>
      <c r="DG16" s="115"/>
      <c r="DH16" s="114"/>
      <c r="DI16" s="115"/>
      <c r="DJ16" s="114"/>
      <c r="DK16" s="115"/>
      <c r="DL16" s="114"/>
      <c r="DM16" s="115"/>
      <c r="DN16" s="113"/>
      <c r="DO16" s="112"/>
      <c r="DP16" s="114"/>
      <c r="DQ16" s="115"/>
      <c r="DR16" s="114"/>
      <c r="DS16" s="115"/>
      <c r="DT16" s="114"/>
      <c r="DU16" s="115"/>
      <c r="DV16" s="114"/>
      <c r="DW16" s="115"/>
      <c r="DX16" s="114"/>
      <c r="DY16" s="115"/>
      <c r="DZ16" s="114"/>
      <c r="EA16" s="115"/>
      <c r="EB16" s="114"/>
      <c r="EC16" s="115"/>
      <c r="ED16" s="114"/>
      <c r="EE16" s="115"/>
      <c r="EG16" s="115"/>
      <c r="EH16" s="113"/>
    </row>
    <row r="17">
      <c r="B17" s="96"/>
      <c r="C17" s="109" t="s">
        <v>53</v>
      </c>
      <c r="D17" s="50"/>
      <c r="E17" s="50"/>
      <c r="F17" s="51"/>
      <c r="G17" s="110" t="s">
        <v>54</v>
      </c>
      <c r="H17" s="50"/>
      <c r="I17" s="50"/>
      <c r="J17" s="51"/>
      <c r="K17" s="110" t="s">
        <v>55</v>
      </c>
      <c r="L17" s="50"/>
      <c r="M17" s="50"/>
      <c r="N17" s="51"/>
      <c r="O17" s="110" t="s">
        <v>56</v>
      </c>
      <c r="P17" s="50"/>
      <c r="Q17" s="50"/>
      <c r="R17" s="51"/>
      <c r="S17" s="110" t="s">
        <v>57</v>
      </c>
      <c r="T17" s="50"/>
      <c r="U17" s="50"/>
      <c r="V17" s="51"/>
      <c r="W17" s="111" t="s">
        <v>58</v>
      </c>
      <c r="X17" s="50"/>
      <c r="Y17" s="50"/>
      <c r="Z17" s="51"/>
      <c r="AA17" s="110" t="s">
        <v>59</v>
      </c>
      <c r="AB17" s="50"/>
      <c r="AC17" s="50"/>
      <c r="AD17" s="51"/>
      <c r="AE17" s="111" t="s">
        <v>60</v>
      </c>
      <c r="AF17" s="50"/>
      <c r="AG17" s="50"/>
      <c r="AH17" s="51"/>
      <c r="AI17" s="111" t="s">
        <v>61</v>
      </c>
      <c r="AJ17" s="50"/>
      <c r="AK17" s="50"/>
      <c r="AL17" s="51"/>
      <c r="AM17" s="111" t="s">
        <v>62</v>
      </c>
      <c r="AN17" s="50"/>
      <c r="AO17" s="50"/>
      <c r="AP17" s="53"/>
      <c r="AQ17" s="116" t="s">
        <v>116</v>
      </c>
      <c r="AR17" s="111" t="s">
        <v>117</v>
      </c>
      <c r="AS17" s="50"/>
      <c r="AT17" s="51"/>
      <c r="AU17" s="111" t="s">
        <v>118</v>
      </c>
      <c r="AV17" s="50"/>
      <c r="AW17" s="51"/>
      <c r="AX17" s="117" t="s">
        <v>116</v>
      </c>
      <c r="AY17" s="111" t="s">
        <v>118</v>
      </c>
      <c r="AZ17" s="50"/>
      <c r="BA17" s="51"/>
      <c r="BB17" s="117" t="s">
        <v>116</v>
      </c>
      <c r="BC17" s="111" t="s">
        <v>119</v>
      </c>
      <c r="BD17" s="50"/>
      <c r="BE17" s="51"/>
      <c r="BF17" s="111" t="s">
        <v>118</v>
      </c>
      <c r="BG17" s="50"/>
      <c r="BH17" s="51"/>
      <c r="BI17" s="117" t="s">
        <v>116</v>
      </c>
      <c r="BJ17" s="111" t="s">
        <v>118</v>
      </c>
      <c r="BK17" s="50"/>
      <c r="BL17" s="51"/>
      <c r="BM17" s="117" t="s">
        <v>116</v>
      </c>
      <c r="BN17" s="111" t="s">
        <v>118</v>
      </c>
      <c r="BO17" s="50"/>
      <c r="BP17" s="53"/>
      <c r="BQ17" s="116" t="s">
        <v>116</v>
      </c>
      <c r="BR17" s="111" t="s">
        <v>119</v>
      </c>
      <c r="BS17" s="50"/>
      <c r="BT17" s="51"/>
      <c r="BU17" s="111" t="s">
        <v>117</v>
      </c>
      <c r="BV17" s="50"/>
      <c r="BW17" s="51"/>
      <c r="BX17" s="111" t="s">
        <v>118</v>
      </c>
      <c r="BY17" s="50"/>
      <c r="BZ17" s="51"/>
      <c r="CA17" s="117" t="s">
        <v>116</v>
      </c>
      <c r="CB17" s="111" t="s">
        <v>119</v>
      </c>
      <c r="CC17" s="50"/>
      <c r="CD17" s="51"/>
      <c r="CE17" s="111" t="s">
        <v>117</v>
      </c>
      <c r="CF17" s="50"/>
      <c r="CG17" s="51"/>
      <c r="CH17" s="111" t="s">
        <v>118</v>
      </c>
      <c r="CI17" s="50"/>
      <c r="CJ17" s="53"/>
      <c r="CK17" s="118"/>
      <c r="CL17" s="119"/>
      <c r="CM17" s="118"/>
      <c r="CN17" s="120"/>
      <c r="CO17" s="120"/>
      <c r="CP17" s="121"/>
      <c r="CQ17" s="122"/>
      <c r="CR17" s="120"/>
      <c r="CS17" s="120"/>
      <c r="CT17" s="121"/>
      <c r="CU17" s="122"/>
      <c r="CV17" s="120"/>
      <c r="CW17" s="120"/>
      <c r="CX17" s="121"/>
      <c r="CY17" s="122"/>
      <c r="CZ17" s="120"/>
      <c r="DA17" s="120"/>
      <c r="DB17" s="119"/>
      <c r="DC17" s="118"/>
      <c r="DD17" s="121"/>
      <c r="DE17" s="122"/>
      <c r="DF17" s="121"/>
      <c r="DG17" s="122"/>
      <c r="DH17" s="121"/>
      <c r="DI17" s="122"/>
      <c r="DJ17" s="121"/>
      <c r="DK17" s="122"/>
      <c r="DL17" s="121"/>
      <c r="DM17" s="122"/>
      <c r="DN17" s="119"/>
      <c r="DO17" s="118"/>
      <c r="DP17" s="121"/>
      <c r="DQ17" s="122"/>
      <c r="DR17" s="121"/>
      <c r="DS17" s="122"/>
      <c r="DT17" s="121"/>
      <c r="DU17" s="122"/>
      <c r="DV17" s="121"/>
      <c r="DW17" s="122"/>
      <c r="DX17" s="121"/>
      <c r="DY17" s="122"/>
      <c r="DZ17" s="121"/>
      <c r="EA17" s="122"/>
      <c r="EB17" s="121"/>
      <c r="EC17" s="122"/>
      <c r="ED17" s="121"/>
      <c r="EE17" s="122"/>
      <c r="EF17" s="120"/>
      <c r="EG17" s="122"/>
      <c r="EH17" s="119"/>
    </row>
    <row r="18">
      <c r="B18" s="123"/>
      <c r="C18" s="124" t="s">
        <v>116</v>
      </c>
      <c r="D18" s="125" t="s">
        <v>120</v>
      </c>
      <c r="E18" s="125" t="s">
        <v>121</v>
      </c>
      <c r="F18" s="125" t="s">
        <v>122</v>
      </c>
      <c r="G18" s="125" t="s">
        <v>116</v>
      </c>
      <c r="H18" s="125" t="s">
        <v>120</v>
      </c>
      <c r="I18" s="125" t="s">
        <v>121</v>
      </c>
      <c r="J18" s="125" t="s">
        <v>122</v>
      </c>
      <c r="K18" s="125" t="s">
        <v>116</v>
      </c>
      <c r="L18" s="125" t="s">
        <v>120</v>
      </c>
      <c r="M18" s="125" t="s">
        <v>121</v>
      </c>
      <c r="N18" s="125" t="s">
        <v>122</v>
      </c>
      <c r="O18" s="125" t="s">
        <v>116</v>
      </c>
      <c r="P18" s="125" t="s">
        <v>120</v>
      </c>
      <c r="Q18" s="125" t="s">
        <v>121</v>
      </c>
      <c r="R18" s="125" t="s">
        <v>122</v>
      </c>
      <c r="S18" s="125" t="s">
        <v>116</v>
      </c>
      <c r="T18" s="125" t="s">
        <v>120</v>
      </c>
      <c r="U18" s="125" t="s">
        <v>121</v>
      </c>
      <c r="V18" s="125" t="s">
        <v>122</v>
      </c>
      <c r="W18" s="125" t="s">
        <v>116</v>
      </c>
      <c r="X18" s="125" t="s">
        <v>120</v>
      </c>
      <c r="Y18" s="125" t="s">
        <v>121</v>
      </c>
      <c r="Z18" s="110" t="s">
        <v>122</v>
      </c>
      <c r="AA18" s="125" t="s">
        <v>116</v>
      </c>
      <c r="AB18" s="125" t="s">
        <v>123</v>
      </c>
      <c r="AC18" s="125" t="s">
        <v>124</v>
      </c>
      <c r="AD18" s="125" t="s">
        <v>125</v>
      </c>
      <c r="AE18" s="125" t="s">
        <v>116</v>
      </c>
      <c r="AF18" s="125" t="s">
        <v>123</v>
      </c>
      <c r="AG18" s="125" t="s">
        <v>124</v>
      </c>
      <c r="AH18" s="125" t="s">
        <v>125</v>
      </c>
      <c r="AI18" s="125" t="s">
        <v>116</v>
      </c>
      <c r="AJ18" s="125" t="s">
        <v>126</v>
      </c>
      <c r="AK18" s="125" t="s">
        <v>127</v>
      </c>
      <c r="AL18" s="125" t="s">
        <v>128</v>
      </c>
      <c r="AM18" s="125" t="s">
        <v>116</v>
      </c>
      <c r="AN18" s="125" t="s">
        <v>129</v>
      </c>
      <c r="AO18" s="125" t="s">
        <v>127</v>
      </c>
      <c r="AP18" s="126" t="s">
        <v>128</v>
      </c>
      <c r="AQ18" s="127"/>
      <c r="AR18" s="125" t="s">
        <v>123</v>
      </c>
      <c r="AS18" s="125" t="s">
        <v>124</v>
      </c>
      <c r="AT18" s="125" t="s">
        <v>125</v>
      </c>
      <c r="AU18" s="125" t="s">
        <v>129</v>
      </c>
      <c r="AV18" s="125" t="s">
        <v>127</v>
      </c>
      <c r="AW18" s="110" t="s">
        <v>128</v>
      </c>
      <c r="AX18" s="123"/>
      <c r="AY18" s="125" t="s">
        <v>129</v>
      </c>
      <c r="AZ18" s="125" t="s">
        <v>127</v>
      </c>
      <c r="BA18" s="110" t="s">
        <v>128</v>
      </c>
      <c r="BB18" s="123"/>
      <c r="BC18" s="125" t="s">
        <v>120</v>
      </c>
      <c r="BD18" s="125" t="s">
        <v>121</v>
      </c>
      <c r="BE18" s="125" t="s">
        <v>122</v>
      </c>
      <c r="BF18" s="125" t="s">
        <v>126</v>
      </c>
      <c r="BG18" s="125" t="s">
        <v>127</v>
      </c>
      <c r="BH18" s="125" t="s">
        <v>128</v>
      </c>
      <c r="BI18" s="123"/>
      <c r="BJ18" s="125" t="s">
        <v>130</v>
      </c>
      <c r="BK18" s="125" t="s">
        <v>131</v>
      </c>
      <c r="BL18" s="110" t="s">
        <v>132</v>
      </c>
      <c r="BM18" s="123"/>
      <c r="BN18" s="125" t="s">
        <v>130</v>
      </c>
      <c r="BO18" s="125" t="s">
        <v>131</v>
      </c>
      <c r="BP18" s="126" t="s">
        <v>132</v>
      </c>
      <c r="BQ18" s="127"/>
      <c r="BR18" s="125" t="s">
        <v>120</v>
      </c>
      <c r="BS18" s="125" t="s">
        <v>121</v>
      </c>
      <c r="BT18" s="125" t="s">
        <v>122</v>
      </c>
      <c r="BU18" s="125" t="s">
        <v>123</v>
      </c>
      <c r="BV18" s="125" t="s">
        <v>124</v>
      </c>
      <c r="BW18" s="125" t="s">
        <v>125</v>
      </c>
      <c r="BX18" s="125" t="s">
        <v>126</v>
      </c>
      <c r="BY18" s="125" t="s">
        <v>127</v>
      </c>
      <c r="BZ18" s="125" t="s">
        <v>128</v>
      </c>
      <c r="CA18" s="123"/>
      <c r="CB18" s="125" t="s">
        <v>120</v>
      </c>
      <c r="CC18" s="125" t="s">
        <v>121</v>
      </c>
      <c r="CD18" s="125" t="s">
        <v>122</v>
      </c>
      <c r="CE18" s="125" t="s">
        <v>123</v>
      </c>
      <c r="CF18" s="125" t="s">
        <v>124</v>
      </c>
      <c r="CG18" s="125" t="s">
        <v>125</v>
      </c>
      <c r="CH18" s="125" t="s">
        <v>126</v>
      </c>
      <c r="CI18" s="125" t="s">
        <v>127</v>
      </c>
      <c r="CJ18" s="126" t="s">
        <v>128</v>
      </c>
      <c r="CK18" s="128" t="s">
        <v>116</v>
      </c>
      <c r="CL18" s="129" t="s">
        <v>133</v>
      </c>
      <c r="CM18" s="128" t="s">
        <v>116</v>
      </c>
      <c r="CN18" s="54" t="s">
        <v>134</v>
      </c>
      <c r="CO18" s="130" t="s">
        <v>135</v>
      </c>
      <c r="CP18" s="54" t="s">
        <v>136</v>
      </c>
      <c r="CQ18" s="130" t="s">
        <v>116</v>
      </c>
      <c r="CR18" s="54" t="s">
        <v>137</v>
      </c>
      <c r="CS18" s="130" t="s">
        <v>135</v>
      </c>
      <c r="CT18" s="130" t="s">
        <v>138</v>
      </c>
      <c r="CU18" s="130" t="s">
        <v>116</v>
      </c>
      <c r="CV18" s="54" t="s">
        <v>137</v>
      </c>
      <c r="CW18" s="130" t="s">
        <v>135</v>
      </c>
      <c r="CX18" s="130" t="s">
        <v>139</v>
      </c>
      <c r="CY18" s="130" t="s">
        <v>116</v>
      </c>
      <c r="CZ18" s="54" t="s">
        <v>137</v>
      </c>
      <c r="DA18" s="130" t="s">
        <v>135</v>
      </c>
      <c r="DB18" s="129" t="s">
        <v>140</v>
      </c>
      <c r="DC18" s="128" t="s">
        <v>116</v>
      </c>
      <c r="DD18" s="130" t="s">
        <v>141</v>
      </c>
      <c r="DE18" s="130" t="s">
        <v>116</v>
      </c>
      <c r="DF18" s="130" t="s">
        <v>142</v>
      </c>
      <c r="DG18" s="130" t="s">
        <v>116</v>
      </c>
      <c r="DH18" s="130" t="s">
        <v>143</v>
      </c>
      <c r="DI18" s="130" t="s">
        <v>116</v>
      </c>
      <c r="DJ18" s="130" t="s">
        <v>144</v>
      </c>
      <c r="DK18" s="130" t="s">
        <v>116</v>
      </c>
      <c r="DL18" s="130" t="s">
        <v>145</v>
      </c>
      <c r="DM18" s="130" t="s">
        <v>116</v>
      </c>
      <c r="DN18" s="129" t="s">
        <v>146</v>
      </c>
      <c r="DO18" s="128" t="s">
        <v>147</v>
      </c>
      <c r="DP18" s="130" t="s">
        <v>148</v>
      </c>
      <c r="DQ18" s="130" t="s">
        <v>147</v>
      </c>
      <c r="DR18" s="130" t="s">
        <v>148</v>
      </c>
      <c r="DS18" s="130" t="s">
        <v>147</v>
      </c>
      <c r="DT18" s="130" t="s">
        <v>148</v>
      </c>
      <c r="DU18" s="130" t="s">
        <v>147</v>
      </c>
      <c r="DV18" s="130" t="s">
        <v>148</v>
      </c>
      <c r="DW18" s="130" t="s">
        <v>147</v>
      </c>
      <c r="DX18" s="130" t="s">
        <v>148</v>
      </c>
      <c r="DY18" s="130" t="s">
        <v>147</v>
      </c>
      <c r="DZ18" s="130" t="s">
        <v>148</v>
      </c>
      <c r="EA18" s="130" t="s">
        <v>147</v>
      </c>
      <c r="EB18" s="130" t="s">
        <v>148</v>
      </c>
      <c r="EC18" s="130" t="s">
        <v>147</v>
      </c>
      <c r="ED18" s="130" t="s">
        <v>148</v>
      </c>
      <c r="EE18" s="130" t="s">
        <v>147</v>
      </c>
      <c r="EF18" s="130" t="s">
        <v>148</v>
      </c>
      <c r="EG18" s="130" t="s">
        <v>147</v>
      </c>
      <c r="EH18" s="129" t="s">
        <v>148</v>
      </c>
    </row>
    <row r="19">
      <c r="B19" s="52" t="s">
        <v>207</v>
      </c>
      <c r="C19" s="253">
        <f t="shared" ref="C19:C23" si="1">C7+D7-E7</f>
        <v>0</v>
      </c>
      <c r="D19" s="132">
        <v>0.82</v>
      </c>
      <c r="E19" s="54">
        <f t="shared" ref="E19:E23" si="2">C19*D19</f>
        <v>0</v>
      </c>
      <c r="F19" s="133">
        <v>2.926</v>
      </c>
      <c r="G19" s="254">
        <f t="shared" ref="G19:G23" si="3">F7+G7-H7</f>
        <v>0</v>
      </c>
      <c r="H19" s="134">
        <v>0.335</v>
      </c>
      <c r="I19" s="54">
        <f t="shared" ref="I19:I23" si="4">G19*H19</f>
        <v>0</v>
      </c>
      <c r="J19" s="133">
        <v>3.97</v>
      </c>
      <c r="K19" s="254">
        <f t="shared" ref="K19:K23" si="5">I7+J7-K7</f>
        <v>0</v>
      </c>
      <c r="L19" s="132">
        <v>0.27</v>
      </c>
      <c r="M19" s="54">
        <f t="shared" ref="M19:M23" si="6">K19*L19</f>
        <v>0</v>
      </c>
      <c r="N19" s="133">
        <v>4.18</v>
      </c>
      <c r="O19" s="254">
        <f t="shared" ref="O19:O23" si="7">L7+M7-N7</f>
        <v>60000</v>
      </c>
      <c r="P19" s="132">
        <v>0.39</v>
      </c>
      <c r="Q19" s="54">
        <f>O19*P19/1.3</f>
        <v>18000</v>
      </c>
      <c r="R19" s="133">
        <v>4.99</v>
      </c>
      <c r="S19" s="255">
        <f t="shared" ref="S19:S23" si="8">O7+P7-Q7</f>
        <v>0</v>
      </c>
      <c r="T19" s="132">
        <v>0.46</v>
      </c>
      <c r="U19" s="54">
        <f t="shared" ref="U19:U23" si="9">S19*T19</f>
        <v>0</v>
      </c>
      <c r="V19" s="133">
        <v>4.54</v>
      </c>
      <c r="W19" s="255">
        <f t="shared" ref="W19:W23" si="10">R7+S7-T7</f>
        <v>0</v>
      </c>
      <c r="X19" s="145"/>
      <c r="Y19" s="135">
        <f t="shared" ref="Y19:Y23" si="11">W19*X19</f>
        <v>0</v>
      </c>
      <c r="Z19" s="133">
        <v>4.99</v>
      </c>
      <c r="AA19" s="255">
        <f t="shared" ref="AA19:AA23" si="12">U7+V7-W7</f>
        <v>0</v>
      </c>
      <c r="AB19" s="137">
        <v>0.46</v>
      </c>
      <c r="AC19" s="54">
        <f t="shared" ref="AC19:AC23" si="13">AA19*AB19</f>
        <v>0</v>
      </c>
      <c r="AD19" s="133">
        <v>1.45</v>
      </c>
      <c r="AE19" s="255">
        <f t="shared" ref="AE19:AE23" si="14">X7+Y7-Z7</f>
        <v>0</v>
      </c>
      <c r="AF19" s="138"/>
      <c r="AG19" s="54">
        <f t="shared" ref="AG19:AG23" si="15">AE19*AF19</f>
        <v>0</v>
      </c>
      <c r="AH19" s="133">
        <v>1.45</v>
      </c>
      <c r="AI19" s="255">
        <f t="shared" ref="AI19:AI23" si="16">AA7+AB7-AC7</f>
        <v>0</v>
      </c>
      <c r="AJ19" s="139">
        <v>0.6</v>
      </c>
      <c r="AK19" s="54">
        <f t="shared" ref="AK19:AK23" si="17">AI19*AJ19</f>
        <v>0</v>
      </c>
      <c r="AL19" s="133">
        <v>0.71</v>
      </c>
      <c r="AM19" s="255">
        <f t="shared" ref="AM19:AM23" si="18">AD7+AE7-AF7</f>
        <v>0</v>
      </c>
      <c r="AN19" s="138"/>
      <c r="AO19" s="54">
        <f t="shared" ref="AO19:AO23" si="19">AM19*AN19</f>
        <v>0</v>
      </c>
      <c r="AP19" s="140">
        <v>0.71</v>
      </c>
      <c r="AQ19" s="256">
        <f t="shared" ref="AQ19:AQ23" si="20">AG7+AH7-AI7</f>
        <v>0</v>
      </c>
      <c r="AR19" s="138"/>
      <c r="AS19" s="54">
        <f t="shared" ref="AS19:AS23" si="21">AQ19*AR19</f>
        <v>0</v>
      </c>
      <c r="AT19" s="133">
        <v>1.45</v>
      </c>
      <c r="AU19" s="138"/>
      <c r="AV19" s="54">
        <f t="shared" ref="AV19:AV23" si="22">AQ19*AU19</f>
        <v>0</v>
      </c>
      <c r="AW19" s="133">
        <v>0.71</v>
      </c>
      <c r="AX19" s="254">
        <f t="shared" ref="AX19:AX23" si="23">AJ7+AK7-AL7</f>
        <v>0</v>
      </c>
      <c r="AY19" s="143">
        <v>0.44</v>
      </c>
      <c r="AZ19" s="54">
        <f t="shared" ref="AZ19:AZ23" si="24">AX19*AY19</f>
        <v>0</v>
      </c>
      <c r="BA19" s="133">
        <v>2.74</v>
      </c>
      <c r="BB19" s="255">
        <f t="shared" ref="BB19:BB23" si="25">AM7+AN7-AO7</f>
        <v>0</v>
      </c>
      <c r="BC19" s="145"/>
      <c r="BD19" s="54">
        <f t="shared" ref="BD19:BD23" si="26">BB19*BC19</f>
        <v>0</v>
      </c>
      <c r="BE19" s="133">
        <v>2.74</v>
      </c>
      <c r="BF19" s="145"/>
      <c r="BG19" s="135">
        <f t="shared" ref="BG19:BG23" si="27">BB19*BF19</f>
        <v>0</v>
      </c>
      <c r="BH19" s="133">
        <v>0.71</v>
      </c>
      <c r="BI19" s="254">
        <f t="shared" ref="BI19:BI23" si="28">AP7+AQ7-AR7</f>
        <v>0</v>
      </c>
      <c r="BJ19" s="132">
        <v>0.54</v>
      </c>
      <c r="BK19" s="54">
        <f t="shared" ref="BK19:BK23" si="29">BI19*BJ19</f>
        <v>0</v>
      </c>
      <c r="BL19" s="133">
        <v>1.82</v>
      </c>
      <c r="BM19" s="254">
        <f t="shared" ref="BM19:BM23" si="30">AS7+AT7-AU7</f>
        <v>0</v>
      </c>
      <c r="BN19" s="143">
        <v>0.46</v>
      </c>
      <c r="BO19" s="54">
        <f t="shared" ref="BO19:BO23" si="31">BM19*BN19</f>
        <v>0</v>
      </c>
      <c r="BP19" s="140">
        <v>3.02</v>
      </c>
      <c r="BQ19" s="257">
        <f t="shared" ref="BQ19:BQ23" si="32">AV7-AW7-AX7</f>
        <v>0</v>
      </c>
      <c r="BR19" s="145"/>
      <c r="BS19" s="54">
        <f t="shared" ref="BS19:BS23" si="33">BQ19*BR19</f>
        <v>0</v>
      </c>
      <c r="BT19" s="133">
        <v>3.97</v>
      </c>
      <c r="BU19" s="144"/>
      <c r="BV19" s="54">
        <f t="shared" ref="BV19:BV23" si="34">BQ19*BU19</f>
        <v>0</v>
      </c>
      <c r="BW19" s="133">
        <v>1.83</v>
      </c>
      <c r="BX19" s="144"/>
      <c r="BY19" s="54">
        <f t="shared" ref="BY19:BY23" si="35">BQ19*BX19</f>
        <v>0</v>
      </c>
      <c r="BZ19" s="133">
        <v>0.71</v>
      </c>
      <c r="CA19" s="255">
        <f t="shared" ref="CA19:CA23" si="36">AY7+AZ7-BA7</f>
        <v>0</v>
      </c>
      <c r="CB19" s="145"/>
      <c r="CC19" s="54">
        <f t="shared" ref="CC19:CC23" si="37">CA19*CB19</f>
        <v>0</v>
      </c>
      <c r="CD19" s="133">
        <v>3.97</v>
      </c>
      <c r="CE19" s="144"/>
      <c r="CF19" s="54">
        <f t="shared" ref="CF19:CF23" si="38">CA19*CE19</f>
        <v>0</v>
      </c>
      <c r="CG19" s="133">
        <v>1.83</v>
      </c>
      <c r="CH19" s="144"/>
      <c r="CI19" s="54">
        <f t="shared" ref="CI19:CI23" si="39">CA19*CH19</f>
        <v>0</v>
      </c>
      <c r="CJ19" s="140">
        <v>0.71</v>
      </c>
      <c r="CK19" s="131">
        <f t="shared" ref="CK19:CK23" si="40">BB7+BC7-BD7</f>
        <v>2225</v>
      </c>
      <c r="CL19" s="140">
        <v>9.861</v>
      </c>
      <c r="CM19" s="131">
        <f t="shared" ref="CM19:CM23" si="41">BE7+BF7-BG7</f>
        <v>0</v>
      </c>
      <c r="CN19" s="132">
        <v>0.94</v>
      </c>
      <c r="CO19" s="86">
        <f t="shared" ref="CO19:CO23" si="42">CM19*CN19</f>
        <v>0</v>
      </c>
      <c r="CP19" s="133">
        <v>0.311</v>
      </c>
      <c r="CQ19" s="135">
        <f t="shared" ref="CQ19:CQ23" si="43">BH7+BI7-BJ7</f>
        <v>0</v>
      </c>
      <c r="CR19" s="139">
        <v>0.55</v>
      </c>
      <c r="CS19" s="135">
        <f t="shared" ref="CS19:CS23" si="44">CQ19*CR19</f>
        <v>0</v>
      </c>
      <c r="CT19" s="133">
        <v>1.257</v>
      </c>
      <c r="CU19" s="135">
        <f t="shared" ref="CU19:CU23" si="45">BK7+BL7-BM7</f>
        <v>0</v>
      </c>
      <c r="CV19" s="139">
        <v>0.55</v>
      </c>
      <c r="CW19" s="135">
        <f t="shared" ref="CW19:CW23" si="46">CU19*CV19</f>
        <v>0</v>
      </c>
      <c r="CX19" s="133">
        <v>1.257</v>
      </c>
      <c r="CY19" s="135">
        <f t="shared" ref="CY19:CY23" si="47">BN7+BO7-BP7</f>
        <v>0</v>
      </c>
      <c r="CZ19" s="139">
        <v>0.35</v>
      </c>
      <c r="DA19" s="135">
        <f t="shared" ref="DA19:DA23" si="48">CY19*CZ19</f>
        <v>0</v>
      </c>
      <c r="DB19" s="140">
        <v>0.1</v>
      </c>
      <c r="DC19" s="141">
        <f t="shared" ref="DC19:DC23" si="49">BQ7+BR7-BS7</f>
        <v>2775</v>
      </c>
      <c r="DD19" s="147">
        <v>4.4</v>
      </c>
      <c r="DE19" s="135">
        <f t="shared" ref="DE19:DE23" si="50">BT7+BU7-BV7</f>
        <v>460</v>
      </c>
      <c r="DF19" s="147">
        <v>5.55</v>
      </c>
      <c r="DG19" s="135">
        <f t="shared" ref="DG19:DG23" si="51">BW7+BX7-BY7</f>
        <v>0</v>
      </c>
      <c r="DH19" s="148"/>
      <c r="DI19" s="135">
        <f t="shared" ref="DI19:DI23" si="52">BZ7+CA7-CB7</f>
        <v>0</v>
      </c>
      <c r="DJ19" s="148"/>
      <c r="DK19" s="135">
        <f t="shared" ref="DK19:DK23" si="53">CC7+CD7-CE7</f>
        <v>0</v>
      </c>
      <c r="DL19" s="148"/>
      <c r="DM19" s="54">
        <f t="shared" ref="DM19:DM23" si="54">CF7+CG7-CH7</f>
        <v>0</v>
      </c>
      <c r="DN19" s="258"/>
      <c r="DO19" s="259">
        <f t="shared" ref="DO19:DO23" si="55">CI7+CJ7-CK7</f>
        <v>0</v>
      </c>
      <c r="DP19" s="133">
        <v>625.0</v>
      </c>
      <c r="DQ19" s="149">
        <f t="shared" ref="DQ19:DQ23" si="56">CL7+CM7-CN7</f>
        <v>0</v>
      </c>
      <c r="DR19" s="133">
        <v>517.0</v>
      </c>
      <c r="DS19" s="237">
        <f t="shared" ref="DS19:DS23" si="57">CO7+CP7-CQ7</f>
        <v>0</v>
      </c>
      <c r="DT19" s="133">
        <v>14.6</v>
      </c>
      <c r="DU19" s="149">
        <f t="shared" ref="DU19:DU23" si="58">CR7+CS7-CT7</f>
        <v>0</v>
      </c>
      <c r="DV19" s="133">
        <v>234.0</v>
      </c>
      <c r="DW19" s="149">
        <f t="shared" ref="DW19:DW23" si="59">CU7+CV7-CW7</f>
        <v>0</v>
      </c>
      <c r="DX19" s="133">
        <v>701.0</v>
      </c>
      <c r="DY19" s="149">
        <f t="shared" ref="DY19:DY23" si="60">CX7+CY7-CZ7</f>
        <v>0</v>
      </c>
      <c r="DZ19" s="133">
        <v>1190.0</v>
      </c>
      <c r="EA19" s="149">
        <f t="shared" ref="EA19:EA23" si="61">DA7+DB7-DC7</f>
        <v>0</v>
      </c>
      <c r="EB19" s="133">
        <v>1486.0</v>
      </c>
      <c r="EC19" s="149">
        <f t="shared" ref="EC19:EC23" si="62">DD7+DE7-DF7</f>
        <v>0</v>
      </c>
      <c r="ED19" s="133">
        <v>3084.0</v>
      </c>
      <c r="EE19" s="149">
        <f t="shared" ref="EE19:EE23" si="63">DG7+DH7-DI7</f>
        <v>0</v>
      </c>
      <c r="EF19" s="133">
        <v>193.0</v>
      </c>
      <c r="EG19" s="149">
        <f t="shared" ref="EG19:EG23" si="64">DJ7+DK7-DL7</f>
        <v>0</v>
      </c>
      <c r="EH19" s="140">
        <v>320.0</v>
      </c>
    </row>
    <row r="20">
      <c r="B20" s="52" t="s">
        <v>208</v>
      </c>
      <c r="C20" s="253">
        <f t="shared" si="1"/>
        <v>0</v>
      </c>
      <c r="D20" s="132">
        <v>0.82</v>
      </c>
      <c r="E20" s="54">
        <f t="shared" si="2"/>
        <v>0</v>
      </c>
      <c r="F20" s="96"/>
      <c r="G20" s="254">
        <f t="shared" si="3"/>
        <v>0</v>
      </c>
      <c r="H20" s="134">
        <v>0.335</v>
      </c>
      <c r="I20" s="54">
        <f t="shared" si="4"/>
        <v>0</v>
      </c>
      <c r="J20" s="96"/>
      <c r="K20" s="254">
        <f t="shared" si="5"/>
        <v>0</v>
      </c>
      <c r="L20" s="132">
        <v>0.27</v>
      </c>
      <c r="M20" s="54">
        <f t="shared" si="6"/>
        <v>0</v>
      </c>
      <c r="N20" s="96"/>
      <c r="O20" s="254">
        <f t="shared" si="7"/>
        <v>12026</v>
      </c>
      <c r="P20" s="132">
        <v>0.39</v>
      </c>
      <c r="Q20" s="54">
        <f t="shared" ref="Q20:Q23" si="65">O20*P20</f>
        <v>4690.14</v>
      </c>
      <c r="R20" s="96"/>
      <c r="S20" s="255">
        <f t="shared" si="8"/>
        <v>600</v>
      </c>
      <c r="T20" s="132">
        <v>0.46</v>
      </c>
      <c r="U20" s="54">
        <f t="shared" si="9"/>
        <v>276</v>
      </c>
      <c r="V20" s="96"/>
      <c r="W20" s="255">
        <f t="shared" si="10"/>
        <v>500</v>
      </c>
      <c r="X20" s="153">
        <v>0.12</v>
      </c>
      <c r="Y20" s="135">
        <f t="shared" si="11"/>
        <v>60</v>
      </c>
      <c r="Z20" s="96"/>
      <c r="AA20" s="255">
        <f t="shared" si="12"/>
        <v>0</v>
      </c>
      <c r="AB20" s="137">
        <v>0.46</v>
      </c>
      <c r="AC20" s="54">
        <f t="shared" si="13"/>
        <v>0</v>
      </c>
      <c r="AD20" s="96"/>
      <c r="AE20" s="255">
        <f t="shared" si="14"/>
        <v>0</v>
      </c>
      <c r="AF20" s="138"/>
      <c r="AG20" s="54">
        <f t="shared" si="15"/>
        <v>0</v>
      </c>
      <c r="AH20" s="96"/>
      <c r="AI20" s="255">
        <f t="shared" si="16"/>
        <v>0</v>
      </c>
      <c r="AJ20" s="139">
        <v>0.6</v>
      </c>
      <c r="AK20" s="54">
        <f t="shared" si="17"/>
        <v>0</v>
      </c>
      <c r="AL20" s="96"/>
      <c r="AM20" s="255">
        <f t="shared" si="18"/>
        <v>0</v>
      </c>
      <c r="AN20" s="138"/>
      <c r="AO20" s="54">
        <f t="shared" si="19"/>
        <v>0</v>
      </c>
      <c r="AP20" s="150"/>
      <c r="AQ20" s="256">
        <f t="shared" si="20"/>
        <v>0</v>
      </c>
      <c r="AR20" s="138"/>
      <c r="AS20" s="54">
        <f t="shared" si="21"/>
        <v>0</v>
      </c>
      <c r="AT20" s="96"/>
      <c r="AU20" s="138"/>
      <c r="AV20" s="54">
        <f t="shared" si="22"/>
        <v>0</v>
      </c>
      <c r="AW20" s="96"/>
      <c r="AX20" s="254">
        <f t="shared" si="23"/>
        <v>0</v>
      </c>
      <c r="AY20" s="143">
        <v>0.44</v>
      </c>
      <c r="AZ20" s="54">
        <f t="shared" si="24"/>
        <v>0</v>
      </c>
      <c r="BA20" s="96"/>
      <c r="BB20" s="255">
        <f t="shared" si="25"/>
        <v>0</v>
      </c>
      <c r="BC20" s="145"/>
      <c r="BD20" s="54">
        <f t="shared" si="26"/>
        <v>0</v>
      </c>
      <c r="BE20" s="96"/>
      <c r="BF20" s="145"/>
      <c r="BG20" s="135">
        <f t="shared" si="27"/>
        <v>0</v>
      </c>
      <c r="BH20" s="96"/>
      <c r="BI20" s="254">
        <f t="shared" si="28"/>
        <v>0</v>
      </c>
      <c r="BJ20" s="132">
        <v>0.54</v>
      </c>
      <c r="BK20" s="54">
        <f t="shared" si="29"/>
        <v>0</v>
      </c>
      <c r="BL20" s="96"/>
      <c r="BM20" s="254">
        <f t="shared" si="30"/>
        <v>0</v>
      </c>
      <c r="BN20" s="143">
        <v>0.46</v>
      </c>
      <c r="BO20" s="54">
        <f t="shared" si="31"/>
        <v>0</v>
      </c>
      <c r="BP20" s="150"/>
      <c r="BQ20" s="257">
        <f t="shared" si="32"/>
        <v>0</v>
      </c>
      <c r="BR20" s="145"/>
      <c r="BS20" s="54">
        <f t="shared" si="33"/>
        <v>0</v>
      </c>
      <c r="BT20" s="96"/>
      <c r="BU20" s="144"/>
      <c r="BV20" s="54">
        <f t="shared" si="34"/>
        <v>0</v>
      </c>
      <c r="BW20" s="96"/>
      <c r="BX20" s="144"/>
      <c r="BY20" s="54">
        <f t="shared" si="35"/>
        <v>0</v>
      </c>
      <c r="BZ20" s="96"/>
      <c r="CA20" s="255">
        <f t="shared" si="36"/>
        <v>0</v>
      </c>
      <c r="CB20" s="145"/>
      <c r="CC20" s="54">
        <f t="shared" si="37"/>
        <v>0</v>
      </c>
      <c r="CD20" s="96"/>
      <c r="CE20" s="138"/>
      <c r="CF20" s="54">
        <f t="shared" si="38"/>
        <v>0</v>
      </c>
      <c r="CG20" s="96"/>
      <c r="CH20" s="138"/>
      <c r="CI20" s="54">
        <f t="shared" si="39"/>
        <v>0</v>
      </c>
      <c r="CJ20" s="150"/>
      <c r="CK20" s="131">
        <f t="shared" si="40"/>
        <v>0</v>
      </c>
      <c r="CL20" s="150"/>
      <c r="CM20" s="131">
        <f t="shared" si="41"/>
        <v>0</v>
      </c>
      <c r="CN20" s="132">
        <v>0.94</v>
      </c>
      <c r="CO20" s="86">
        <f t="shared" si="42"/>
        <v>0</v>
      </c>
      <c r="CP20" s="96"/>
      <c r="CQ20" s="135">
        <f t="shared" si="43"/>
        <v>0</v>
      </c>
      <c r="CR20" s="139">
        <v>0.55</v>
      </c>
      <c r="CS20" s="135">
        <f t="shared" si="44"/>
        <v>0</v>
      </c>
      <c r="CT20" s="96"/>
      <c r="CU20" s="135">
        <f t="shared" si="45"/>
        <v>0</v>
      </c>
      <c r="CV20" s="139">
        <v>0.55</v>
      </c>
      <c r="CW20" s="135">
        <f t="shared" si="46"/>
        <v>0</v>
      </c>
      <c r="CX20" s="96"/>
      <c r="CY20" s="135">
        <f t="shared" si="47"/>
        <v>0</v>
      </c>
      <c r="CZ20" s="139">
        <v>0.35</v>
      </c>
      <c r="DA20" s="135">
        <f t="shared" si="48"/>
        <v>0</v>
      </c>
      <c r="DB20" s="150"/>
      <c r="DC20" s="141">
        <f t="shared" si="49"/>
        <v>2775</v>
      </c>
      <c r="DD20" s="96"/>
      <c r="DE20" s="135">
        <f t="shared" si="50"/>
        <v>460</v>
      </c>
      <c r="DF20" s="96"/>
      <c r="DG20" s="135">
        <f t="shared" si="51"/>
        <v>0</v>
      </c>
      <c r="DH20" s="96"/>
      <c r="DI20" s="135">
        <f t="shared" si="52"/>
        <v>0</v>
      </c>
      <c r="DJ20" s="96"/>
      <c r="DK20" s="135">
        <f t="shared" si="53"/>
        <v>0</v>
      </c>
      <c r="DL20" s="96"/>
      <c r="DM20" s="54">
        <f t="shared" si="54"/>
        <v>0</v>
      </c>
      <c r="DN20" s="150"/>
      <c r="DO20" s="259">
        <f t="shared" si="55"/>
        <v>0</v>
      </c>
      <c r="DP20" s="96"/>
      <c r="DQ20" s="149">
        <f t="shared" si="56"/>
        <v>0</v>
      </c>
      <c r="DR20" s="96"/>
      <c r="DS20" s="237">
        <f t="shared" si="57"/>
        <v>0</v>
      </c>
      <c r="DT20" s="96"/>
      <c r="DU20" s="149">
        <f t="shared" si="58"/>
        <v>0</v>
      </c>
      <c r="DV20" s="96"/>
      <c r="DW20" s="149">
        <f t="shared" si="59"/>
        <v>0</v>
      </c>
      <c r="DX20" s="96"/>
      <c r="DY20" s="149">
        <f t="shared" si="60"/>
        <v>0</v>
      </c>
      <c r="DZ20" s="96"/>
      <c r="EA20" s="149">
        <f t="shared" si="61"/>
        <v>0</v>
      </c>
      <c r="EB20" s="96"/>
      <c r="EC20" s="149">
        <f t="shared" si="62"/>
        <v>0</v>
      </c>
      <c r="ED20" s="96"/>
      <c r="EE20" s="149">
        <f t="shared" si="63"/>
        <v>0</v>
      </c>
      <c r="EF20" s="96"/>
      <c r="EG20" s="149">
        <f t="shared" si="64"/>
        <v>0</v>
      </c>
      <c r="EH20" s="150"/>
    </row>
    <row r="21" ht="15.75" customHeight="1">
      <c r="B21" s="52" t="s">
        <v>209</v>
      </c>
      <c r="C21" s="253">
        <f t="shared" si="1"/>
        <v>0</v>
      </c>
      <c r="D21" s="132">
        <v>0.82</v>
      </c>
      <c r="E21" s="54">
        <f t="shared" si="2"/>
        <v>0</v>
      </c>
      <c r="F21" s="96"/>
      <c r="G21" s="254">
        <f t="shared" si="3"/>
        <v>0</v>
      </c>
      <c r="H21" s="134">
        <v>0.335</v>
      </c>
      <c r="I21" s="54">
        <f t="shared" si="4"/>
        <v>0</v>
      </c>
      <c r="J21" s="96"/>
      <c r="K21" s="254">
        <f t="shared" si="5"/>
        <v>0</v>
      </c>
      <c r="L21" s="132">
        <v>0.27</v>
      </c>
      <c r="M21" s="54">
        <f t="shared" si="6"/>
        <v>0</v>
      </c>
      <c r="N21" s="96"/>
      <c r="O21" s="254">
        <f t="shared" si="7"/>
        <v>12026</v>
      </c>
      <c r="P21" s="132">
        <v>0.39</v>
      </c>
      <c r="Q21" s="54">
        <f t="shared" si="65"/>
        <v>4690.14</v>
      </c>
      <c r="R21" s="96"/>
      <c r="S21" s="255">
        <f t="shared" si="8"/>
        <v>600</v>
      </c>
      <c r="T21" s="132">
        <v>0.46</v>
      </c>
      <c r="U21" s="54">
        <f t="shared" si="9"/>
        <v>276</v>
      </c>
      <c r="V21" s="96"/>
      <c r="W21" s="255">
        <f t="shared" si="10"/>
        <v>500</v>
      </c>
      <c r="X21" s="153">
        <v>0.12</v>
      </c>
      <c r="Y21" s="135">
        <f t="shared" si="11"/>
        <v>60</v>
      </c>
      <c r="Z21" s="96"/>
      <c r="AA21" s="255">
        <f t="shared" si="12"/>
        <v>0</v>
      </c>
      <c r="AB21" s="137">
        <v>0.46</v>
      </c>
      <c r="AC21" s="54">
        <f t="shared" si="13"/>
        <v>0</v>
      </c>
      <c r="AD21" s="96"/>
      <c r="AE21" s="255">
        <f t="shared" si="14"/>
        <v>0</v>
      </c>
      <c r="AF21" s="138"/>
      <c r="AG21" s="54">
        <f t="shared" si="15"/>
        <v>0</v>
      </c>
      <c r="AH21" s="96"/>
      <c r="AI21" s="255">
        <f t="shared" si="16"/>
        <v>0</v>
      </c>
      <c r="AJ21" s="139">
        <v>0.6</v>
      </c>
      <c r="AK21" s="54">
        <f t="shared" si="17"/>
        <v>0</v>
      </c>
      <c r="AL21" s="96"/>
      <c r="AM21" s="255">
        <f t="shared" si="18"/>
        <v>0</v>
      </c>
      <c r="AN21" s="138"/>
      <c r="AO21" s="54">
        <f t="shared" si="19"/>
        <v>0</v>
      </c>
      <c r="AP21" s="150"/>
      <c r="AQ21" s="256">
        <f t="shared" si="20"/>
        <v>0</v>
      </c>
      <c r="AR21" s="138"/>
      <c r="AS21" s="54">
        <f t="shared" si="21"/>
        <v>0</v>
      </c>
      <c r="AT21" s="96"/>
      <c r="AU21" s="138"/>
      <c r="AV21" s="54">
        <f t="shared" si="22"/>
        <v>0</v>
      </c>
      <c r="AW21" s="96"/>
      <c r="AX21" s="254">
        <f t="shared" si="23"/>
        <v>0</v>
      </c>
      <c r="AY21" s="143">
        <v>0.44</v>
      </c>
      <c r="AZ21" s="54">
        <f t="shared" si="24"/>
        <v>0</v>
      </c>
      <c r="BA21" s="96"/>
      <c r="BB21" s="255">
        <f t="shared" si="25"/>
        <v>0</v>
      </c>
      <c r="BC21" s="145"/>
      <c r="BD21" s="54">
        <f t="shared" si="26"/>
        <v>0</v>
      </c>
      <c r="BE21" s="96"/>
      <c r="BF21" s="145"/>
      <c r="BG21" s="135">
        <f t="shared" si="27"/>
        <v>0</v>
      </c>
      <c r="BH21" s="96"/>
      <c r="BI21" s="254">
        <f t="shared" si="28"/>
        <v>0</v>
      </c>
      <c r="BJ21" s="132">
        <v>0.54</v>
      </c>
      <c r="BK21" s="54">
        <f t="shared" si="29"/>
        <v>0</v>
      </c>
      <c r="BL21" s="96"/>
      <c r="BM21" s="254">
        <f t="shared" si="30"/>
        <v>0</v>
      </c>
      <c r="BN21" s="143">
        <v>0.46</v>
      </c>
      <c r="BO21" s="54">
        <f t="shared" si="31"/>
        <v>0</v>
      </c>
      <c r="BP21" s="150"/>
      <c r="BQ21" s="257">
        <f t="shared" si="32"/>
        <v>0</v>
      </c>
      <c r="BR21" s="145"/>
      <c r="BS21" s="54">
        <f t="shared" si="33"/>
        <v>0</v>
      </c>
      <c r="BT21" s="96"/>
      <c r="BU21" s="144"/>
      <c r="BV21" s="54">
        <f t="shared" si="34"/>
        <v>0</v>
      </c>
      <c r="BW21" s="96"/>
      <c r="BX21" s="144"/>
      <c r="BY21" s="54">
        <f t="shared" si="35"/>
        <v>0</v>
      </c>
      <c r="BZ21" s="96"/>
      <c r="CA21" s="255">
        <f t="shared" si="36"/>
        <v>0</v>
      </c>
      <c r="CB21" s="145"/>
      <c r="CC21" s="54">
        <f t="shared" si="37"/>
        <v>0</v>
      </c>
      <c r="CD21" s="96"/>
      <c r="CE21" s="138"/>
      <c r="CF21" s="54">
        <f t="shared" si="38"/>
        <v>0</v>
      </c>
      <c r="CG21" s="96"/>
      <c r="CH21" s="138"/>
      <c r="CI21" s="54">
        <f t="shared" si="39"/>
        <v>0</v>
      </c>
      <c r="CJ21" s="150"/>
      <c r="CK21" s="131">
        <f t="shared" si="40"/>
        <v>0</v>
      </c>
      <c r="CL21" s="150"/>
      <c r="CM21" s="131">
        <f t="shared" si="41"/>
        <v>0</v>
      </c>
      <c r="CN21" s="132">
        <v>0.94</v>
      </c>
      <c r="CO21" s="86">
        <f t="shared" si="42"/>
        <v>0</v>
      </c>
      <c r="CP21" s="96"/>
      <c r="CQ21" s="135">
        <f t="shared" si="43"/>
        <v>0</v>
      </c>
      <c r="CR21" s="139">
        <v>0.55</v>
      </c>
      <c r="CS21" s="135">
        <f t="shared" si="44"/>
        <v>0</v>
      </c>
      <c r="CT21" s="96"/>
      <c r="CU21" s="135">
        <f t="shared" si="45"/>
        <v>0</v>
      </c>
      <c r="CV21" s="139">
        <v>0.55</v>
      </c>
      <c r="CW21" s="135">
        <f t="shared" si="46"/>
        <v>0</v>
      </c>
      <c r="CX21" s="96"/>
      <c r="CY21" s="135">
        <f t="shared" si="47"/>
        <v>0</v>
      </c>
      <c r="CZ21" s="139">
        <v>0.35</v>
      </c>
      <c r="DA21" s="135">
        <f t="shared" si="48"/>
        <v>0</v>
      </c>
      <c r="DB21" s="150"/>
      <c r="DC21" s="141">
        <f t="shared" si="49"/>
        <v>2775</v>
      </c>
      <c r="DD21" s="96"/>
      <c r="DE21" s="135">
        <f t="shared" si="50"/>
        <v>460</v>
      </c>
      <c r="DF21" s="96"/>
      <c r="DG21" s="135">
        <f t="shared" si="51"/>
        <v>0</v>
      </c>
      <c r="DH21" s="96"/>
      <c r="DI21" s="135">
        <f t="shared" si="52"/>
        <v>0</v>
      </c>
      <c r="DJ21" s="96"/>
      <c r="DK21" s="135">
        <f t="shared" si="53"/>
        <v>0</v>
      </c>
      <c r="DL21" s="96"/>
      <c r="DM21" s="54">
        <f t="shared" si="54"/>
        <v>0</v>
      </c>
      <c r="DN21" s="150"/>
      <c r="DO21" s="259">
        <f t="shared" si="55"/>
        <v>0</v>
      </c>
      <c r="DP21" s="96"/>
      <c r="DQ21" s="149">
        <f t="shared" si="56"/>
        <v>0</v>
      </c>
      <c r="DR21" s="96"/>
      <c r="DS21" s="237">
        <f t="shared" si="57"/>
        <v>0</v>
      </c>
      <c r="DT21" s="96"/>
      <c r="DU21" s="149">
        <f t="shared" si="58"/>
        <v>0</v>
      </c>
      <c r="DV21" s="96"/>
      <c r="DW21" s="149">
        <f t="shared" si="59"/>
        <v>0</v>
      </c>
      <c r="DX21" s="96"/>
      <c r="DY21" s="149">
        <f t="shared" si="60"/>
        <v>0</v>
      </c>
      <c r="DZ21" s="96"/>
      <c r="EA21" s="149">
        <f t="shared" si="61"/>
        <v>0</v>
      </c>
      <c r="EB21" s="96"/>
      <c r="EC21" s="149">
        <f t="shared" si="62"/>
        <v>0</v>
      </c>
      <c r="ED21" s="96"/>
      <c r="EE21" s="149">
        <f t="shared" si="63"/>
        <v>0</v>
      </c>
      <c r="EF21" s="96"/>
      <c r="EG21" s="149">
        <f t="shared" si="64"/>
        <v>0</v>
      </c>
      <c r="EH21" s="150"/>
    </row>
    <row r="22" ht="15.75" customHeight="1">
      <c r="B22" s="52" t="s">
        <v>210</v>
      </c>
      <c r="C22" s="253">
        <f t="shared" si="1"/>
        <v>0</v>
      </c>
      <c r="D22" s="132">
        <v>0.82</v>
      </c>
      <c r="E22" s="54">
        <f t="shared" si="2"/>
        <v>0</v>
      </c>
      <c r="F22" s="96"/>
      <c r="G22" s="254">
        <f t="shared" si="3"/>
        <v>0</v>
      </c>
      <c r="H22" s="134">
        <v>0.335</v>
      </c>
      <c r="I22" s="54">
        <f t="shared" si="4"/>
        <v>0</v>
      </c>
      <c r="J22" s="96"/>
      <c r="K22" s="254">
        <f t="shared" si="5"/>
        <v>0</v>
      </c>
      <c r="L22" s="132">
        <v>0.27</v>
      </c>
      <c r="M22" s="54">
        <f t="shared" si="6"/>
        <v>0</v>
      </c>
      <c r="N22" s="96"/>
      <c r="O22" s="254">
        <f t="shared" si="7"/>
        <v>12026</v>
      </c>
      <c r="P22" s="132">
        <v>0.39</v>
      </c>
      <c r="Q22" s="54">
        <f t="shared" si="65"/>
        <v>4690.14</v>
      </c>
      <c r="R22" s="96"/>
      <c r="S22" s="255">
        <f t="shared" si="8"/>
        <v>600</v>
      </c>
      <c r="T22" s="132">
        <v>0.46</v>
      </c>
      <c r="U22" s="54">
        <f t="shared" si="9"/>
        <v>276</v>
      </c>
      <c r="V22" s="96"/>
      <c r="W22" s="255">
        <f t="shared" si="10"/>
        <v>500</v>
      </c>
      <c r="X22" s="153">
        <v>0.12</v>
      </c>
      <c r="Y22" s="135">
        <f t="shared" si="11"/>
        <v>60</v>
      </c>
      <c r="Z22" s="96"/>
      <c r="AA22" s="255">
        <f t="shared" si="12"/>
        <v>0</v>
      </c>
      <c r="AB22" s="137">
        <v>0.46</v>
      </c>
      <c r="AC22" s="54">
        <f t="shared" si="13"/>
        <v>0</v>
      </c>
      <c r="AD22" s="96"/>
      <c r="AE22" s="255">
        <f t="shared" si="14"/>
        <v>0</v>
      </c>
      <c r="AF22" s="138"/>
      <c r="AG22" s="54">
        <f t="shared" si="15"/>
        <v>0</v>
      </c>
      <c r="AH22" s="96"/>
      <c r="AI22" s="255">
        <f t="shared" si="16"/>
        <v>0</v>
      </c>
      <c r="AJ22" s="139">
        <v>0.6</v>
      </c>
      <c r="AK22" s="54">
        <f t="shared" si="17"/>
        <v>0</v>
      </c>
      <c r="AL22" s="96"/>
      <c r="AM22" s="255">
        <f t="shared" si="18"/>
        <v>0</v>
      </c>
      <c r="AN22" s="138"/>
      <c r="AO22" s="54">
        <f t="shared" si="19"/>
        <v>0</v>
      </c>
      <c r="AP22" s="150"/>
      <c r="AQ22" s="256">
        <f t="shared" si="20"/>
        <v>0</v>
      </c>
      <c r="AR22" s="138"/>
      <c r="AS22" s="54">
        <f t="shared" si="21"/>
        <v>0</v>
      </c>
      <c r="AT22" s="96"/>
      <c r="AU22" s="138"/>
      <c r="AV22" s="54">
        <f t="shared" si="22"/>
        <v>0</v>
      </c>
      <c r="AW22" s="96"/>
      <c r="AX22" s="254">
        <f t="shared" si="23"/>
        <v>0</v>
      </c>
      <c r="AY22" s="143">
        <v>0.44</v>
      </c>
      <c r="AZ22" s="54">
        <f t="shared" si="24"/>
        <v>0</v>
      </c>
      <c r="BA22" s="96"/>
      <c r="BB22" s="255">
        <f t="shared" si="25"/>
        <v>0</v>
      </c>
      <c r="BC22" s="145"/>
      <c r="BD22" s="54">
        <f t="shared" si="26"/>
        <v>0</v>
      </c>
      <c r="BE22" s="96"/>
      <c r="BF22" s="145"/>
      <c r="BG22" s="135">
        <f t="shared" si="27"/>
        <v>0</v>
      </c>
      <c r="BH22" s="96"/>
      <c r="BI22" s="254">
        <f t="shared" si="28"/>
        <v>0</v>
      </c>
      <c r="BJ22" s="132">
        <v>0.54</v>
      </c>
      <c r="BK22" s="54">
        <f t="shared" si="29"/>
        <v>0</v>
      </c>
      <c r="BL22" s="96"/>
      <c r="BM22" s="254">
        <f t="shared" si="30"/>
        <v>0</v>
      </c>
      <c r="BN22" s="143">
        <v>0.46</v>
      </c>
      <c r="BO22" s="54">
        <f t="shared" si="31"/>
        <v>0</v>
      </c>
      <c r="BP22" s="150"/>
      <c r="BQ22" s="257">
        <f t="shared" si="32"/>
        <v>0</v>
      </c>
      <c r="BR22" s="145"/>
      <c r="BS22" s="54">
        <f t="shared" si="33"/>
        <v>0</v>
      </c>
      <c r="BT22" s="96"/>
      <c r="BU22" s="144"/>
      <c r="BV22" s="54">
        <f t="shared" si="34"/>
        <v>0</v>
      </c>
      <c r="BW22" s="96"/>
      <c r="BX22" s="144"/>
      <c r="BY22" s="54">
        <f t="shared" si="35"/>
        <v>0</v>
      </c>
      <c r="BZ22" s="96"/>
      <c r="CA22" s="255">
        <f t="shared" si="36"/>
        <v>0</v>
      </c>
      <c r="CB22" s="145"/>
      <c r="CC22" s="54">
        <f t="shared" si="37"/>
        <v>0</v>
      </c>
      <c r="CD22" s="96"/>
      <c r="CE22" s="138"/>
      <c r="CF22" s="54">
        <f t="shared" si="38"/>
        <v>0</v>
      </c>
      <c r="CG22" s="96"/>
      <c r="CH22" s="138"/>
      <c r="CI22" s="54">
        <f t="shared" si="39"/>
        <v>0</v>
      </c>
      <c r="CJ22" s="150"/>
      <c r="CK22" s="131">
        <f t="shared" si="40"/>
        <v>0</v>
      </c>
      <c r="CL22" s="150"/>
      <c r="CM22" s="131">
        <f t="shared" si="41"/>
        <v>0</v>
      </c>
      <c r="CN22" s="132">
        <v>0.94</v>
      </c>
      <c r="CO22" s="86">
        <f t="shared" si="42"/>
        <v>0</v>
      </c>
      <c r="CP22" s="96"/>
      <c r="CQ22" s="135">
        <f t="shared" si="43"/>
        <v>0</v>
      </c>
      <c r="CR22" s="139">
        <v>0.55</v>
      </c>
      <c r="CS22" s="135">
        <f t="shared" si="44"/>
        <v>0</v>
      </c>
      <c r="CT22" s="96"/>
      <c r="CU22" s="135">
        <f t="shared" si="45"/>
        <v>0</v>
      </c>
      <c r="CV22" s="139">
        <v>0.55</v>
      </c>
      <c r="CW22" s="135">
        <f t="shared" si="46"/>
        <v>0</v>
      </c>
      <c r="CX22" s="96"/>
      <c r="CY22" s="135">
        <f t="shared" si="47"/>
        <v>0</v>
      </c>
      <c r="CZ22" s="139">
        <v>0.35</v>
      </c>
      <c r="DA22" s="135">
        <f t="shared" si="48"/>
        <v>0</v>
      </c>
      <c r="DB22" s="150"/>
      <c r="DC22" s="141">
        <f t="shared" si="49"/>
        <v>2775</v>
      </c>
      <c r="DD22" s="96"/>
      <c r="DE22" s="135">
        <f t="shared" si="50"/>
        <v>460</v>
      </c>
      <c r="DF22" s="96"/>
      <c r="DG22" s="135">
        <f t="shared" si="51"/>
        <v>0</v>
      </c>
      <c r="DH22" s="96"/>
      <c r="DI22" s="135">
        <f t="shared" si="52"/>
        <v>0</v>
      </c>
      <c r="DJ22" s="96"/>
      <c r="DK22" s="135">
        <f t="shared" si="53"/>
        <v>0</v>
      </c>
      <c r="DL22" s="96"/>
      <c r="DM22" s="54">
        <f t="shared" si="54"/>
        <v>0</v>
      </c>
      <c r="DN22" s="150"/>
      <c r="DO22" s="259">
        <f t="shared" si="55"/>
        <v>0</v>
      </c>
      <c r="DP22" s="96"/>
      <c r="DQ22" s="149">
        <f t="shared" si="56"/>
        <v>0</v>
      </c>
      <c r="DR22" s="96"/>
      <c r="DS22" s="237">
        <f t="shared" si="57"/>
        <v>0</v>
      </c>
      <c r="DT22" s="96"/>
      <c r="DU22" s="149">
        <f t="shared" si="58"/>
        <v>0</v>
      </c>
      <c r="DV22" s="96"/>
      <c r="DW22" s="149">
        <f t="shared" si="59"/>
        <v>0</v>
      </c>
      <c r="DX22" s="96"/>
      <c r="DY22" s="149">
        <f t="shared" si="60"/>
        <v>0</v>
      </c>
      <c r="DZ22" s="96"/>
      <c r="EA22" s="149">
        <f t="shared" si="61"/>
        <v>0</v>
      </c>
      <c r="EB22" s="96"/>
      <c r="EC22" s="149">
        <f t="shared" si="62"/>
        <v>0</v>
      </c>
      <c r="ED22" s="96"/>
      <c r="EE22" s="149">
        <f t="shared" si="63"/>
        <v>0</v>
      </c>
      <c r="EF22" s="96"/>
      <c r="EG22" s="149">
        <f t="shared" si="64"/>
        <v>0</v>
      </c>
      <c r="EH22" s="150"/>
    </row>
    <row r="23" ht="15.75" customHeight="1">
      <c r="B23" s="52" t="s">
        <v>211</v>
      </c>
      <c r="C23" s="260">
        <f t="shared" si="1"/>
        <v>0</v>
      </c>
      <c r="D23" s="155">
        <v>0.82</v>
      </c>
      <c r="E23" s="156">
        <f t="shared" si="2"/>
        <v>0</v>
      </c>
      <c r="F23" s="157"/>
      <c r="G23" s="261">
        <f t="shared" si="3"/>
        <v>0</v>
      </c>
      <c r="H23" s="158">
        <v>0.335</v>
      </c>
      <c r="I23" s="156">
        <f t="shared" si="4"/>
        <v>0</v>
      </c>
      <c r="J23" s="157"/>
      <c r="K23" s="156">
        <f t="shared" si="5"/>
        <v>0</v>
      </c>
      <c r="L23" s="155">
        <v>0.27</v>
      </c>
      <c r="M23" s="156">
        <f t="shared" si="6"/>
        <v>0</v>
      </c>
      <c r="N23" s="157"/>
      <c r="O23" s="156">
        <f t="shared" si="7"/>
        <v>12026</v>
      </c>
      <c r="P23" s="155">
        <v>0.39</v>
      </c>
      <c r="Q23" s="156">
        <f t="shared" si="65"/>
        <v>4690.14</v>
      </c>
      <c r="R23" s="157"/>
      <c r="S23" s="159">
        <f t="shared" si="8"/>
        <v>600</v>
      </c>
      <c r="T23" s="155">
        <v>0.46</v>
      </c>
      <c r="U23" s="156">
        <f t="shared" si="9"/>
        <v>276</v>
      </c>
      <c r="V23" s="157"/>
      <c r="W23" s="262">
        <f t="shared" si="10"/>
        <v>500</v>
      </c>
      <c r="X23" s="153">
        <v>0.12</v>
      </c>
      <c r="Y23" s="159">
        <f t="shared" si="11"/>
        <v>60</v>
      </c>
      <c r="Z23" s="157"/>
      <c r="AA23" s="262">
        <f t="shared" si="12"/>
        <v>0</v>
      </c>
      <c r="AB23" s="162">
        <v>0.46</v>
      </c>
      <c r="AC23" s="156">
        <f t="shared" si="13"/>
        <v>0</v>
      </c>
      <c r="AD23" s="157"/>
      <c r="AE23" s="262">
        <f t="shared" si="14"/>
        <v>0</v>
      </c>
      <c r="AF23" s="163"/>
      <c r="AG23" s="156">
        <f t="shared" si="15"/>
        <v>0</v>
      </c>
      <c r="AH23" s="157"/>
      <c r="AI23" s="262">
        <f t="shared" si="16"/>
        <v>0</v>
      </c>
      <c r="AJ23" s="164">
        <v>0.6</v>
      </c>
      <c r="AK23" s="156">
        <f t="shared" si="17"/>
        <v>0</v>
      </c>
      <c r="AL23" s="157"/>
      <c r="AM23" s="262">
        <f t="shared" si="18"/>
        <v>0</v>
      </c>
      <c r="AN23" s="163"/>
      <c r="AO23" s="156">
        <f t="shared" si="19"/>
        <v>0</v>
      </c>
      <c r="AP23" s="165"/>
      <c r="AQ23" s="263">
        <f t="shared" si="20"/>
        <v>0</v>
      </c>
      <c r="AR23" s="163"/>
      <c r="AS23" s="156">
        <f t="shared" si="21"/>
        <v>0</v>
      </c>
      <c r="AT23" s="157"/>
      <c r="AU23" s="163"/>
      <c r="AV23" s="156">
        <f t="shared" si="22"/>
        <v>0</v>
      </c>
      <c r="AW23" s="157"/>
      <c r="AX23" s="261">
        <f t="shared" si="23"/>
        <v>0</v>
      </c>
      <c r="AY23" s="168">
        <v>0.44</v>
      </c>
      <c r="AZ23" s="156">
        <f t="shared" si="24"/>
        <v>0</v>
      </c>
      <c r="BA23" s="157"/>
      <c r="BB23" s="262">
        <f t="shared" si="25"/>
        <v>0</v>
      </c>
      <c r="BC23" s="170"/>
      <c r="BD23" s="156">
        <f t="shared" si="26"/>
        <v>0</v>
      </c>
      <c r="BE23" s="157"/>
      <c r="BF23" s="170"/>
      <c r="BG23" s="159">
        <f t="shared" si="27"/>
        <v>0</v>
      </c>
      <c r="BH23" s="157"/>
      <c r="BI23" s="261">
        <f t="shared" si="28"/>
        <v>0</v>
      </c>
      <c r="BJ23" s="155">
        <v>0.54</v>
      </c>
      <c r="BK23" s="156">
        <f t="shared" si="29"/>
        <v>0</v>
      </c>
      <c r="BL23" s="157"/>
      <c r="BM23" s="261">
        <f t="shared" si="30"/>
        <v>0</v>
      </c>
      <c r="BN23" s="168">
        <v>0.46</v>
      </c>
      <c r="BO23" s="156">
        <f t="shared" si="31"/>
        <v>0</v>
      </c>
      <c r="BP23" s="165"/>
      <c r="BQ23" s="260">
        <f t="shared" si="32"/>
        <v>0</v>
      </c>
      <c r="BR23" s="170"/>
      <c r="BS23" s="156">
        <f t="shared" si="33"/>
        <v>0</v>
      </c>
      <c r="BT23" s="157"/>
      <c r="BU23" s="169"/>
      <c r="BV23" s="156">
        <f t="shared" si="34"/>
        <v>0</v>
      </c>
      <c r="BW23" s="157"/>
      <c r="BX23" s="169"/>
      <c r="BY23" s="156">
        <f t="shared" si="35"/>
        <v>0</v>
      </c>
      <c r="BZ23" s="157"/>
      <c r="CA23" s="262">
        <f t="shared" si="36"/>
        <v>0</v>
      </c>
      <c r="CB23" s="170"/>
      <c r="CC23" s="156">
        <f t="shared" si="37"/>
        <v>0</v>
      </c>
      <c r="CD23" s="157"/>
      <c r="CE23" s="163"/>
      <c r="CF23" s="156">
        <f t="shared" si="38"/>
        <v>0</v>
      </c>
      <c r="CG23" s="157"/>
      <c r="CH23" s="163"/>
      <c r="CI23" s="156">
        <f t="shared" si="39"/>
        <v>0</v>
      </c>
      <c r="CJ23" s="165"/>
      <c r="CK23" s="154">
        <f t="shared" si="40"/>
        <v>0</v>
      </c>
      <c r="CL23" s="165"/>
      <c r="CM23" s="154">
        <f t="shared" si="41"/>
        <v>0</v>
      </c>
      <c r="CN23" s="155">
        <v>0.94</v>
      </c>
      <c r="CO23" s="156">
        <f t="shared" si="42"/>
        <v>0</v>
      </c>
      <c r="CP23" s="157"/>
      <c r="CQ23" s="159">
        <f t="shared" si="43"/>
        <v>0</v>
      </c>
      <c r="CR23" s="164">
        <v>0.55</v>
      </c>
      <c r="CS23" s="159">
        <f t="shared" si="44"/>
        <v>0</v>
      </c>
      <c r="CT23" s="157"/>
      <c r="CU23" s="159">
        <f t="shared" si="45"/>
        <v>0</v>
      </c>
      <c r="CV23" s="164">
        <v>0.55</v>
      </c>
      <c r="CW23" s="159">
        <f t="shared" si="46"/>
        <v>0</v>
      </c>
      <c r="CX23" s="157"/>
      <c r="CY23" s="159">
        <f t="shared" si="47"/>
        <v>0</v>
      </c>
      <c r="CZ23" s="164">
        <v>0.35</v>
      </c>
      <c r="DA23" s="159">
        <f t="shared" si="48"/>
        <v>0</v>
      </c>
      <c r="DB23" s="165"/>
      <c r="DC23" s="166">
        <f t="shared" si="49"/>
        <v>2775</v>
      </c>
      <c r="DD23" s="157"/>
      <c r="DE23" s="159">
        <f t="shared" si="50"/>
        <v>460</v>
      </c>
      <c r="DF23" s="157"/>
      <c r="DG23" s="159">
        <f t="shared" si="51"/>
        <v>0</v>
      </c>
      <c r="DH23" s="157"/>
      <c r="DI23" s="159">
        <f t="shared" si="52"/>
        <v>0</v>
      </c>
      <c r="DJ23" s="157"/>
      <c r="DK23" s="159">
        <f t="shared" si="53"/>
        <v>0</v>
      </c>
      <c r="DL23" s="157"/>
      <c r="DM23" s="156">
        <f t="shared" si="54"/>
        <v>0</v>
      </c>
      <c r="DN23" s="165"/>
      <c r="DO23" s="264">
        <f t="shared" si="55"/>
        <v>0</v>
      </c>
      <c r="DP23" s="157"/>
      <c r="DQ23" s="171">
        <f t="shared" si="56"/>
        <v>0</v>
      </c>
      <c r="DR23" s="157"/>
      <c r="DS23" s="265">
        <f t="shared" si="57"/>
        <v>0</v>
      </c>
      <c r="DT23" s="157"/>
      <c r="DU23" s="171">
        <f t="shared" si="58"/>
        <v>0</v>
      </c>
      <c r="DV23" s="157"/>
      <c r="DW23" s="171">
        <f t="shared" si="59"/>
        <v>0</v>
      </c>
      <c r="DX23" s="157"/>
      <c r="DY23" s="171">
        <f t="shared" si="60"/>
        <v>0</v>
      </c>
      <c r="DZ23" s="157"/>
      <c r="EA23" s="171">
        <f t="shared" si="61"/>
        <v>0</v>
      </c>
      <c r="EB23" s="157"/>
      <c r="EC23" s="171">
        <f t="shared" si="62"/>
        <v>0</v>
      </c>
      <c r="ED23" s="157"/>
      <c r="EE23" s="171">
        <f t="shared" si="63"/>
        <v>0</v>
      </c>
      <c r="EF23" s="157"/>
      <c r="EG23" s="171">
        <f t="shared" si="64"/>
        <v>0</v>
      </c>
      <c r="EH23" s="165"/>
    </row>
    <row r="24" ht="15.75" customHeight="1">
      <c r="B24" s="172" t="s">
        <v>149</v>
      </c>
      <c r="C24" s="266">
        <f>SUM(C19:C23)</f>
        <v>0</v>
      </c>
      <c r="E24" s="173">
        <f>SUM(E19:E23)</f>
        <v>0</v>
      </c>
      <c r="G24" s="266">
        <f>SUM(G19:G23)</f>
        <v>0</v>
      </c>
      <c r="I24" s="173">
        <f>SUM(I19:I23)</f>
        <v>0</v>
      </c>
      <c r="K24" s="266">
        <f>SUM(K19:K23)</f>
        <v>0</v>
      </c>
      <c r="M24" s="173">
        <f>SUM(M19:M23)</f>
        <v>0</v>
      </c>
      <c r="O24" s="266">
        <f>SUM(O19:O23)</f>
        <v>108104</v>
      </c>
      <c r="Q24" s="174">
        <f>SUM(Q19:Q23)</f>
        <v>36760.56</v>
      </c>
      <c r="S24" s="266">
        <f>SUM(S19:S23)</f>
        <v>2400</v>
      </c>
      <c r="U24" s="173">
        <f>SUM(U19:U23)</f>
        <v>1104</v>
      </c>
      <c r="W24" s="266">
        <f>SUM(W19:W23)</f>
        <v>2000</v>
      </c>
      <c r="Y24" s="173">
        <f>SUM(Y19:Y23)</f>
        <v>240</v>
      </c>
      <c r="AA24" s="266">
        <f>SUM(AA19:AA23)</f>
        <v>0</v>
      </c>
      <c r="AC24" s="174">
        <f>SUM(AC19:AC23)</f>
        <v>0</v>
      </c>
      <c r="AE24" s="267">
        <f>SUM(AE19:AE23)</f>
        <v>0</v>
      </c>
      <c r="AG24" s="173">
        <f>SUM(AG19:AG23)</f>
        <v>0</v>
      </c>
      <c r="AI24" s="266">
        <f>SUM(AI19:AI23)</f>
        <v>0</v>
      </c>
      <c r="AK24" s="173">
        <f>SUM(AK19:AK23)</f>
        <v>0</v>
      </c>
      <c r="AM24" s="267">
        <f>SUM(AM19:AM23)</f>
        <v>0</v>
      </c>
      <c r="AO24" s="174">
        <f>SUM(AO19:AO23)</f>
        <v>0</v>
      </c>
      <c r="AQ24" s="266">
        <f>SUM(AQ19:AQ23)</f>
        <v>0</v>
      </c>
      <c r="AS24" s="173">
        <f>SUM(AS19:AS23)</f>
        <v>0</v>
      </c>
      <c r="AV24" s="174">
        <f>SUM(AV19:AV23)</f>
        <v>0</v>
      </c>
      <c r="AZ24" s="174">
        <f>SUM(AZ19:AZ23)</f>
        <v>0</v>
      </c>
      <c r="BB24" s="267">
        <f>SUM(BB19:BB23)</f>
        <v>0</v>
      </c>
      <c r="BD24" s="174">
        <f>SUM(BD19:BD23)</f>
        <v>0</v>
      </c>
      <c r="BG24" s="174">
        <f>SUM(BG19:BG23)</f>
        <v>0</v>
      </c>
      <c r="BK24" s="174">
        <f>SUM(BK19:BK23)</f>
        <v>0</v>
      </c>
      <c r="BO24" s="174">
        <f>SUM(BO19:BO23)</f>
        <v>0</v>
      </c>
      <c r="BQ24" s="267">
        <f>SUM(BQ19:BQ23)</f>
        <v>0</v>
      </c>
      <c r="BS24" s="174">
        <f>SUM(BS19:BS23)</f>
        <v>0</v>
      </c>
      <c r="BV24" s="174">
        <f>SUM(BV19:BV23)</f>
        <v>0</v>
      </c>
      <c r="BY24" s="174">
        <f>SUM(BY19:BY23)</f>
        <v>0</v>
      </c>
      <c r="CA24" s="266">
        <f>SUM(CA19:CA23)</f>
        <v>0</v>
      </c>
      <c r="CC24" s="173">
        <f>SUM(CC19:CC23)</f>
        <v>0</v>
      </c>
      <c r="CF24" s="173">
        <f>SUM(CF19:CF23)</f>
        <v>0</v>
      </c>
      <c r="CI24" s="173">
        <f>SUM(CI19:CI23)</f>
        <v>0</v>
      </c>
      <c r="CK24" s="173">
        <f>SUM(CK19:CK23)</f>
        <v>2225</v>
      </c>
      <c r="CM24" s="175">
        <f>SUM(CM19:CM23)</f>
        <v>0</v>
      </c>
      <c r="CN24" s="176"/>
      <c r="CO24" s="177">
        <f>SUM(CO19:CO23)</f>
        <v>0</v>
      </c>
      <c r="CQ24" s="174">
        <f>SUM(CQ19:CQ23)</f>
        <v>0</v>
      </c>
      <c r="CR24" s="178"/>
      <c r="CS24" s="179">
        <f> SUM(CS19:CS23)</f>
        <v>0</v>
      </c>
      <c r="CT24" s="178"/>
      <c r="CU24" s="174">
        <f>SUM(CU19:CU23)</f>
        <v>0</v>
      </c>
      <c r="CV24" s="178"/>
      <c r="CW24" s="179">
        <f> SUM(CW19:CW23)</f>
        <v>0</v>
      </c>
      <c r="CX24" s="178"/>
      <c r="CY24" s="174">
        <f>SUM(CY19:CY23)</f>
        <v>0</v>
      </c>
      <c r="CZ24" s="178"/>
      <c r="DA24" s="179">
        <f> SUM(DA19:DA23)</f>
        <v>0</v>
      </c>
      <c r="DB24" s="178"/>
      <c r="DC24" s="174">
        <f>SUM(DC19:DC23)</f>
        <v>13875</v>
      </c>
      <c r="DE24" s="174">
        <f>SUM(DE19:DE23)</f>
        <v>2300</v>
      </c>
      <c r="DG24" s="174">
        <f>SUM(DG19:DG23)</f>
        <v>0</v>
      </c>
      <c r="DI24" s="174">
        <f>SUM(DI19:DI23)</f>
        <v>0</v>
      </c>
      <c r="DK24" s="174">
        <f>SUM(DK19:DK23)</f>
        <v>0</v>
      </c>
      <c r="DM24" s="174">
        <f>SUM(DM19:DM23)</f>
        <v>0</v>
      </c>
      <c r="DO24" s="174">
        <f>SUM(DO19:DO23)</f>
        <v>0</v>
      </c>
      <c r="DQ24" s="174">
        <f>SUM(DQ19:DQ23)</f>
        <v>0</v>
      </c>
      <c r="DS24" s="267">
        <f>SUM(DS19:DS23)</f>
        <v>0</v>
      </c>
      <c r="DU24" s="174">
        <f>SUM(DU19:DU23)</f>
        <v>0</v>
      </c>
      <c r="DW24" s="174">
        <f>SUM(DW19:DW23)</f>
        <v>0</v>
      </c>
      <c r="DY24" s="174">
        <f>SUM(DY19:DY23)</f>
        <v>0</v>
      </c>
      <c r="EA24" s="174">
        <f>SUM(EA19:EA23)</f>
        <v>0</v>
      </c>
      <c r="EC24" s="174">
        <f>SUM(EC19:EC23)</f>
        <v>0</v>
      </c>
      <c r="EE24" s="174">
        <f>SUM(EE19:EE23)</f>
        <v>0</v>
      </c>
      <c r="EG24" s="174">
        <f>SUM(EG19:EG23)</f>
        <v>0</v>
      </c>
    </row>
    <row r="25" ht="15.75" customHeight="1"/>
    <row r="26" ht="14.25" customHeight="1">
      <c r="B26" s="181" t="s">
        <v>150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81"/>
      <c r="AP26" s="84"/>
      <c r="AQ26" s="182"/>
      <c r="AR26" s="182"/>
      <c r="AS26" s="182"/>
    </row>
    <row r="27" ht="15.0" customHeight="1">
      <c r="B27" s="268"/>
      <c r="C27" s="269" t="s">
        <v>99</v>
      </c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1"/>
      <c r="T27" s="272" t="s">
        <v>151</v>
      </c>
      <c r="U27" s="273" t="s">
        <v>51</v>
      </c>
      <c r="V27" s="39"/>
      <c r="W27" s="39"/>
      <c r="X27" s="40"/>
      <c r="Y27" s="274" t="s">
        <v>52</v>
      </c>
      <c r="Z27" s="39"/>
      <c r="AA27" s="39"/>
      <c r="AB27" s="39"/>
      <c r="AC27" s="39"/>
      <c r="AD27" s="40"/>
      <c r="AE27" s="274" t="s">
        <v>152</v>
      </c>
      <c r="AF27" s="39"/>
      <c r="AG27" s="39"/>
      <c r="AH27" s="39"/>
      <c r="AI27" s="39"/>
      <c r="AJ27" s="39"/>
      <c r="AK27" s="39"/>
      <c r="AL27" s="39"/>
      <c r="AM27" s="39"/>
      <c r="AN27" s="40"/>
      <c r="AO27" s="275" t="s">
        <v>153</v>
      </c>
      <c r="AP27" s="188" t="s">
        <v>212</v>
      </c>
      <c r="AR27" s="189"/>
    </row>
    <row r="28" ht="15.0" customHeight="1">
      <c r="B28" s="115"/>
      <c r="C28" s="49" t="s">
        <v>47</v>
      </c>
      <c r="D28" s="50"/>
      <c r="E28" s="50"/>
      <c r="F28" s="50"/>
      <c r="G28" s="50"/>
      <c r="H28" s="50"/>
      <c r="I28" s="50"/>
      <c r="J28" s="50"/>
      <c r="K28" s="50"/>
      <c r="L28" s="51"/>
      <c r="M28" s="52" t="s">
        <v>48</v>
      </c>
      <c r="N28" s="50"/>
      <c r="O28" s="50"/>
      <c r="P28" s="50"/>
      <c r="Q28" s="51"/>
      <c r="R28" s="52" t="s">
        <v>49</v>
      </c>
      <c r="S28" s="53"/>
      <c r="T28" s="276" t="s">
        <v>155</v>
      </c>
      <c r="U28" s="116" t="s">
        <v>71</v>
      </c>
      <c r="V28" s="117" t="s">
        <v>72</v>
      </c>
      <c r="W28" s="86" t="s">
        <v>73</v>
      </c>
      <c r="X28" s="277" t="s">
        <v>156</v>
      </c>
      <c r="Y28" s="116" t="str">
        <f>DC15</f>
        <v>Digestats de méthanisation liquide</v>
      </c>
      <c r="Z28" s="117" t="str">
        <f>DE15</f>
        <v>Digestats de méthanisation solide</v>
      </c>
      <c r="AA28" s="117" t="str">
        <f>DG15</f>
        <v/>
      </c>
      <c r="AB28" s="117" t="s">
        <v>157</v>
      </c>
      <c r="AC28" s="117" t="str">
        <f>DK15</f>
        <v/>
      </c>
      <c r="AD28" s="277" t="str">
        <f>DM15</f>
        <v/>
      </c>
      <c r="AE28" s="278" t="s">
        <v>77</v>
      </c>
      <c r="AF28" s="190" t="s">
        <v>78</v>
      </c>
      <c r="AG28" s="190" t="s">
        <v>79</v>
      </c>
      <c r="AH28" s="191" t="s">
        <v>80</v>
      </c>
      <c r="AI28" s="191" t="s">
        <v>81</v>
      </c>
      <c r="AJ28" s="191" t="s">
        <v>82</v>
      </c>
      <c r="AK28" s="191" t="s">
        <v>83</v>
      </c>
      <c r="AL28" s="191" t="s">
        <v>84</v>
      </c>
      <c r="AM28" s="191" t="s">
        <v>85</v>
      </c>
      <c r="AN28" s="279" t="s">
        <v>86</v>
      </c>
      <c r="AO28" s="280"/>
      <c r="AP28" s="96"/>
    </row>
    <row r="29" ht="15.0" customHeight="1">
      <c r="B29" s="115"/>
      <c r="C29" s="109" t="s">
        <v>106</v>
      </c>
      <c r="D29" s="50"/>
      <c r="E29" s="50"/>
      <c r="F29" s="50"/>
      <c r="G29" s="50"/>
      <c r="H29" s="51"/>
      <c r="I29" s="110" t="s">
        <v>107</v>
      </c>
      <c r="J29" s="51"/>
      <c r="K29" s="110" t="s">
        <v>108</v>
      </c>
      <c r="L29" s="51"/>
      <c r="M29" s="117" t="s">
        <v>109</v>
      </c>
      <c r="N29" s="117" t="s">
        <v>64</v>
      </c>
      <c r="O29" s="117" t="s">
        <v>111</v>
      </c>
      <c r="P29" s="117" t="s">
        <v>112</v>
      </c>
      <c r="Q29" s="117" t="s">
        <v>113</v>
      </c>
      <c r="R29" s="117" t="s">
        <v>114</v>
      </c>
      <c r="S29" s="277" t="s">
        <v>115</v>
      </c>
      <c r="T29" s="281"/>
      <c r="U29" s="282"/>
      <c r="V29" s="96"/>
      <c r="W29" s="96"/>
      <c r="X29" s="150"/>
      <c r="Y29" s="282"/>
      <c r="Z29" s="96"/>
      <c r="AA29" s="96"/>
      <c r="AB29" s="96"/>
      <c r="AC29" s="96"/>
      <c r="AD29" s="150"/>
      <c r="AE29" s="112"/>
      <c r="AF29" s="115"/>
      <c r="AG29" s="115"/>
      <c r="AH29" s="96"/>
      <c r="AI29" s="96"/>
      <c r="AJ29" s="96"/>
      <c r="AK29" s="96"/>
      <c r="AL29" s="96"/>
      <c r="AM29" s="96"/>
      <c r="AN29" s="150"/>
      <c r="AO29" s="280"/>
      <c r="AP29" s="96"/>
    </row>
    <row r="30" ht="15.75" customHeight="1">
      <c r="B30" s="122"/>
      <c r="C30" s="124" t="s">
        <v>53</v>
      </c>
      <c r="D30" s="125" t="s">
        <v>54</v>
      </c>
      <c r="E30" s="125" t="s">
        <v>55</v>
      </c>
      <c r="F30" s="125" t="s">
        <v>56</v>
      </c>
      <c r="G30" s="125" t="s">
        <v>57</v>
      </c>
      <c r="H30" s="125" t="s">
        <v>58</v>
      </c>
      <c r="I30" s="125" t="s">
        <v>59</v>
      </c>
      <c r="J30" s="125" t="s">
        <v>58</v>
      </c>
      <c r="K30" s="125" t="s">
        <v>61</v>
      </c>
      <c r="L30" s="125" t="s">
        <v>58</v>
      </c>
      <c r="M30" s="123"/>
      <c r="N30" s="123"/>
      <c r="O30" s="123"/>
      <c r="P30" s="123"/>
      <c r="Q30" s="123"/>
      <c r="R30" s="123"/>
      <c r="S30" s="283"/>
      <c r="T30" s="284"/>
      <c r="U30" s="127"/>
      <c r="V30" s="123"/>
      <c r="W30" s="123"/>
      <c r="X30" s="283"/>
      <c r="Y30" s="127"/>
      <c r="Z30" s="123"/>
      <c r="AA30" s="123"/>
      <c r="AB30" s="123"/>
      <c r="AC30" s="123"/>
      <c r="AD30" s="283"/>
      <c r="AE30" s="118"/>
      <c r="AF30" s="122"/>
      <c r="AG30" s="122"/>
      <c r="AH30" s="123"/>
      <c r="AI30" s="123"/>
      <c r="AJ30" s="123"/>
      <c r="AK30" s="123"/>
      <c r="AL30" s="123"/>
      <c r="AM30" s="123"/>
      <c r="AN30" s="283"/>
      <c r="AO30" s="285"/>
      <c r="AP30" s="123"/>
    </row>
    <row r="31" ht="15.75" customHeight="1">
      <c r="B31" s="52" t="s">
        <v>207</v>
      </c>
      <c r="C31" s="131">
        <f t="shared" ref="C31:C35" si="66">E19*$F$19</f>
        <v>0</v>
      </c>
      <c r="D31" s="54">
        <f t="shared" ref="D31:D35" si="67">I19*$J$19</f>
        <v>0</v>
      </c>
      <c r="E31" s="54">
        <f t="shared" ref="E31:E35" si="68">M19*$N$19</f>
        <v>0</v>
      </c>
      <c r="F31" s="54">
        <f t="shared" ref="F31:F35" si="69">Q19*$R$19</f>
        <v>89820</v>
      </c>
      <c r="G31" s="54">
        <f t="shared" ref="G31:G35" si="70">U19*$V$19</f>
        <v>0</v>
      </c>
      <c r="H31" s="54">
        <f t="shared" ref="H31:H35" si="71">Y19*$Z$19</f>
        <v>0</v>
      </c>
      <c r="I31" s="54">
        <f t="shared" ref="I31:I35" si="72">AC19*$AD$19</f>
        <v>0</v>
      </c>
      <c r="J31" s="54">
        <f t="shared" ref="J31:J35" si="73">AG19*$AH$19</f>
        <v>0</v>
      </c>
      <c r="K31" s="54">
        <f t="shared" ref="K31:K35" si="74">AK19*$AL$19</f>
        <v>0</v>
      </c>
      <c r="L31" s="54">
        <f t="shared" ref="L31:L35" si="75">AO19*$AP$19</f>
        <v>0</v>
      </c>
      <c r="M31" s="54">
        <f t="shared" ref="M31:M35" si="76">AS19*$AT$19+AV19*$AW$19</f>
        <v>0</v>
      </c>
      <c r="N31" s="54">
        <f t="shared" ref="N31:N35" si="77">AZ19*$BA$19</f>
        <v>0</v>
      </c>
      <c r="O31" s="54">
        <f t="shared" ref="O31:O35" si="78">BD19*$BE$19+BG19*$BH$19</f>
        <v>0</v>
      </c>
      <c r="P31" s="54">
        <f t="shared" ref="P31:P35" si="79">BK19*$BL$19</f>
        <v>0</v>
      </c>
      <c r="Q31" s="54">
        <f t="shared" ref="Q31:Q35" si="80">BO19*$BP$19</f>
        <v>0</v>
      </c>
      <c r="R31" s="54">
        <f t="shared" ref="R31:R35" si="81">BS19*$BT$19+BV19*$BW$19+BY19*$BZ$19</f>
        <v>0</v>
      </c>
      <c r="S31" s="286">
        <f t="shared" ref="S31:S35" si="82">CC19*$CD$19+CF19*$CG$19+CI19*$CJ$19</f>
        <v>0</v>
      </c>
      <c r="T31" s="287">
        <f t="shared" ref="T31:T35" si="83">CK19*$CL$19</f>
        <v>21940.725</v>
      </c>
      <c r="U31" s="131">
        <f t="shared" ref="U31:U35" si="84">CO19*$CP$19</f>
        <v>0</v>
      </c>
      <c r="V31" s="54">
        <f t="shared" ref="V31:V35" si="85">CS19*$CT$19</f>
        <v>0</v>
      </c>
      <c r="W31" s="54">
        <f t="shared" ref="W31:W35" si="86">CW19*$CX$19</f>
        <v>0</v>
      </c>
      <c r="X31" s="286">
        <f t="shared" ref="X31:X35" si="87">DA19*$DB$19</f>
        <v>0</v>
      </c>
      <c r="Y31" s="131">
        <f t="shared" ref="Y31:Y35" si="88">DC19*$DD$19</f>
        <v>12210</v>
      </c>
      <c r="Z31" s="52">
        <f t="shared" ref="Z31:Z35" si="89">DE19*$DF$19</f>
        <v>2553</v>
      </c>
      <c r="AA31" s="52">
        <f t="shared" ref="AA31:AA35" si="90">DG19*$DH$19</f>
        <v>0</v>
      </c>
      <c r="AB31" s="52">
        <f t="shared" ref="AB31:AB35" si="91">DI19*$DJ$19</f>
        <v>0</v>
      </c>
      <c r="AC31" s="52">
        <f t="shared" ref="AC31:AC35" si="92">DK19*$DL$19</f>
        <v>0</v>
      </c>
      <c r="AD31" s="286">
        <f t="shared" ref="AD31:AD35" si="93">DM19*$DN$19</f>
        <v>0</v>
      </c>
      <c r="AE31" s="49">
        <f t="shared" ref="AE31:AE35" si="94">DO19*$DP$19</f>
        <v>0</v>
      </c>
      <c r="AF31" s="52">
        <f t="shared" ref="AF31:AF35" si="95">DQ19*$DR$19</f>
        <v>0</v>
      </c>
      <c r="AG31" s="52">
        <f t="shared" ref="AG31:AG35" si="96">DS19*$DT$19</f>
        <v>0</v>
      </c>
      <c r="AH31" s="52">
        <f t="shared" ref="AH31:AH35" si="97">DU19*$DV$19</f>
        <v>0</v>
      </c>
      <c r="AI31" s="52">
        <f t="shared" ref="AI31:AI35" si="98">DW19*$DX$19</f>
        <v>0</v>
      </c>
      <c r="AJ31" s="52">
        <f t="shared" ref="AJ31:AJ35" si="99">DY19*$DZ$19</f>
        <v>0</v>
      </c>
      <c r="AK31" s="52">
        <f t="shared" ref="AK31:AK35" si="100">EA19*$EB$19</f>
        <v>0</v>
      </c>
      <c r="AL31" s="52">
        <f t="shared" ref="AL31:AL35" si="101">EC19*$ED$19</f>
        <v>0</v>
      </c>
      <c r="AM31" s="52">
        <f t="shared" ref="AM31:AM35" si="102">EE19*$EF$19</f>
        <v>0</v>
      </c>
      <c r="AN31" s="286">
        <f t="shared" ref="AN31:AN35" si="103">EG19*$EH$19</f>
        <v>0</v>
      </c>
      <c r="AO31" s="288">
        <f t="shared" ref="AO31:AO35" si="104">SUM(C31:AN31)</f>
        <v>126523.725</v>
      </c>
      <c r="AP31" s="289">
        <f>AO31/'SUIVI RABAIS PRODUCTION ET C '!O9</f>
        <v>331.2486255</v>
      </c>
    </row>
    <row r="32" ht="15.75" customHeight="1">
      <c r="B32" s="52" t="s">
        <v>208</v>
      </c>
      <c r="C32" s="131">
        <f t="shared" si="66"/>
        <v>0</v>
      </c>
      <c r="D32" s="54">
        <f t="shared" si="67"/>
        <v>0</v>
      </c>
      <c r="E32" s="54">
        <f t="shared" si="68"/>
        <v>0</v>
      </c>
      <c r="F32" s="54">
        <f t="shared" si="69"/>
        <v>23403.7986</v>
      </c>
      <c r="G32" s="54">
        <f t="shared" si="70"/>
        <v>1253.04</v>
      </c>
      <c r="H32" s="54">
        <f t="shared" si="71"/>
        <v>299.4</v>
      </c>
      <c r="I32" s="54">
        <f t="shared" si="72"/>
        <v>0</v>
      </c>
      <c r="J32" s="54">
        <f t="shared" si="73"/>
        <v>0</v>
      </c>
      <c r="K32" s="54">
        <f t="shared" si="74"/>
        <v>0</v>
      </c>
      <c r="L32" s="54">
        <f t="shared" si="75"/>
        <v>0</v>
      </c>
      <c r="M32" s="54">
        <f t="shared" si="76"/>
        <v>0</v>
      </c>
      <c r="N32" s="54">
        <f t="shared" si="77"/>
        <v>0</v>
      </c>
      <c r="O32" s="54">
        <f t="shared" si="78"/>
        <v>0</v>
      </c>
      <c r="P32" s="54">
        <f t="shared" si="79"/>
        <v>0</v>
      </c>
      <c r="Q32" s="54">
        <f t="shared" si="80"/>
        <v>0</v>
      </c>
      <c r="R32" s="54">
        <f t="shared" si="81"/>
        <v>0</v>
      </c>
      <c r="S32" s="286">
        <f t="shared" si="82"/>
        <v>0</v>
      </c>
      <c r="T32" s="287">
        <f t="shared" si="83"/>
        <v>0</v>
      </c>
      <c r="U32" s="131">
        <f t="shared" si="84"/>
        <v>0</v>
      </c>
      <c r="V32" s="54">
        <f t="shared" si="85"/>
        <v>0</v>
      </c>
      <c r="W32" s="54">
        <f t="shared" si="86"/>
        <v>0</v>
      </c>
      <c r="X32" s="286">
        <f t="shared" si="87"/>
        <v>0</v>
      </c>
      <c r="Y32" s="131">
        <f t="shared" si="88"/>
        <v>12210</v>
      </c>
      <c r="Z32" s="52">
        <f t="shared" si="89"/>
        <v>2553</v>
      </c>
      <c r="AA32" s="52">
        <f t="shared" si="90"/>
        <v>0</v>
      </c>
      <c r="AB32" s="52">
        <f t="shared" si="91"/>
        <v>0</v>
      </c>
      <c r="AC32" s="52">
        <f t="shared" si="92"/>
        <v>0</v>
      </c>
      <c r="AD32" s="286">
        <f t="shared" si="93"/>
        <v>0</v>
      </c>
      <c r="AE32" s="49">
        <f t="shared" si="94"/>
        <v>0</v>
      </c>
      <c r="AF32" s="52">
        <f t="shared" si="95"/>
        <v>0</v>
      </c>
      <c r="AG32" s="52">
        <f t="shared" si="96"/>
        <v>0</v>
      </c>
      <c r="AH32" s="52">
        <f t="shared" si="97"/>
        <v>0</v>
      </c>
      <c r="AI32" s="52">
        <f t="shared" si="98"/>
        <v>0</v>
      </c>
      <c r="AJ32" s="52">
        <f t="shared" si="99"/>
        <v>0</v>
      </c>
      <c r="AK32" s="52">
        <f t="shared" si="100"/>
        <v>0</v>
      </c>
      <c r="AL32" s="52">
        <f t="shared" si="101"/>
        <v>0</v>
      </c>
      <c r="AM32" s="52">
        <f t="shared" si="102"/>
        <v>0</v>
      </c>
      <c r="AN32" s="286">
        <f t="shared" si="103"/>
        <v>0</v>
      </c>
      <c r="AO32" s="288">
        <f t="shared" si="104"/>
        <v>39719.2386</v>
      </c>
      <c r="AP32" s="289">
        <f>AO32/'SUIVI RABAIS PRODUCTION ET C '!P9</f>
        <v>103.9879532</v>
      </c>
    </row>
    <row r="33" ht="15.75" customHeight="1">
      <c r="B33" s="52" t="s">
        <v>209</v>
      </c>
      <c r="C33" s="131">
        <f t="shared" si="66"/>
        <v>0</v>
      </c>
      <c r="D33" s="54">
        <f t="shared" si="67"/>
        <v>0</v>
      </c>
      <c r="E33" s="54">
        <f t="shared" si="68"/>
        <v>0</v>
      </c>
      <c r="F33" s="54">
        <f t="shared" si="69"/>
        <v>23403.7986</v>
      </c>
      <c r="G33" s="54">
        <f t="shared" si="70"/>
        <v>1253.04</v>
      </c>
      <c r="H33" s="54">
        <f t="shared" si="71"/>
        <v>299.4</v>
      </c>
      <c r="I33" s="54">
        <f t="shared" si="72"/>
        <v>0</v>
      </c>
      <c r="J33" s="54">
        <f t="shared" si="73"/>
        <v>0</v>
      </c>
      <c r="K33" s="54">
        <f t="shared" si="74"/>
        <v>0</v>
      </c>
      <c r="L33" s="54">
        <f t="shared" si="75"/>
        <v>0</v>
      </c>
      <c r="M33" s="54">
        <f t="shared" si="76"/>
        <v>0</v>
      </c>
      <c r="N33" s="54">
        <f t="shared" si="77"/>
        <v>0</v>
      </c>
      <c r="O33" s="54">
        <f t="shared" si="78"/>
        <v>0</v>
      </c>
      <c r="P33" s="54">
        <f t="shared" si="79"/>
        <v>0</v>
      </c>
      <c r="Q33" s="54">
        <f t="shared" si="80"/>
        <v>0</v>
      </c>
      <c r="R33" s="54">
        <f t="shared" si="81"/>
        <v>0</v>
      </c>
      <c r="S33" s="286">
        <f t="shared" si="82"/>
        <v>0</v>
      </c>
      <c r="T33" s="287">
        <f t="shared" si="83"/>
        <v>0</v>
      </c>
      <c r="U33" s="131">
        <f t="shared" si="84"/>
        <v>0</v>
      </c>
      <c r="V33" s="54">
        <f t="shared" si="85"/>
        <v>0</v>
      </c>
      <c r="W33" s="54">
        <f t="shared" si="86"/>
        <v>0</v>
      </c>
      <c r="X33" s="286">
        <f t="shared" si="87"/>
        <v>0</v>
      </c>
      <c r="Y33" s="131">
        <f t="shared" si="88"/>
        <v>12210</v>
      </c>
      <c r="Z33" s="52">
        <f t="shared" si="89"/>
        <v>2553</v>
      </c>
      <c r="AA33" s="52">
        <f t="shared" si="90"/>
        <v>0</v>
      </c>
      <c r="AB33" s="52">
        <f t="shared" si="91"/>
        <v>0</v>
      </c>
      <c r="AC33" s="52">
        <f t="shared" si="92"/>
        <v>0</v>
      </c>
      <c r="AD33" s="286">
        <f t="shared" si="93"/>
        <v>0</v>
      </c>
      <c r="AE33" s="49">
        <f t="shared" si="94"/>
        <v>0</v>
      </c>
      <c r="AF33" s="52">
        <f t="shared" si="95"/>
        <v>0</v>
      </c>
      <c r="AG33" s="52">
        <f t="shared" si="96"/>
        <v>0</v>
      </c>
      <c r="AH33" s="52">
        <f t="shared" si="97"/>
        <v>0</v>
      </c>
      <c r="AI33" s="52">
        <f t="shared" si="98"/>
        <v>0</v>
      </c>
      <c r="AJ33" s="52">
        <f t="shared" si="99"/>
        <v>0</v>
      </c>
      <c r="AK33" s="52">
        <f t="shared" si="100"/>
        <v>0</v>
      </c>
      <c r="AL33" s="52">
        <f t="shared" si="101"/>
        <v>0</v>
      </c>
      <c r="AM33" s="52">
        <f t="shared" si="102"/>
        <v>0</v>
      </c>
      <c r="AN33" s="286">
        <f t="shared" si="103"/>
        <v>0</v>
      </c>
      <c r="AO33" s="288">
        <f t="shared" si="104"/>
        <v>39719.2386</v>
      </c>
      <c r="AP33" s="289">
        <f>AO33/'SUIVI RABAIS PRODUCTION ET C '!Q9</f>
        <v>103.9879532</v>
      </c>
    </row>
    <row r="34" ht="15.75" customHeight="1">
      <c r="B34" s="52" t="s">
        <v>210</v>
      </c>
      <c r="C34" s="131">
        <f t="shared" si="66"/>
        <v>0</v>
      </c>
      <c r="D34" s="54">
        <f t="shared" si="67"/>
        <v>0</v>
      </c>
      <c r="E34" s="54">
        <f t="shared" si="68"/>
        <v>0</v>
      </c>
      <c r="F34" s="54">
        <f t="shared" si="69"/>
        <v>23403.7986</v>
      </c>
      <c r="G34" s="54">
        <f t="shared" si="70"/>
        <v>1253.04</v>
      </c>
      <c r="H34" s="54">
        <f t="shared" si="71"/>
        <v>299.4</v>
      </c>
      <c r="I34" s="54">
        <f t="shared" si="72"/>
        <v>0</v>
      </c>
      <c r="J34" s="54">
        <f t="shared" si="73"/>
        <v>0</v>
      </c>
      <c r="K34" s="54">
        <f t="shared" si="74"/>
        <v>0</v>
      </c>
      <c r="L34" s="54">
        <f t="shared" si="75"/>
        <v>0</v>
      </c>
      <c r="M34" s="54">
        <f t="shared" si="76"/>
        <v>0</v>
      </c>
      <c r="N34" s="54">
        <f t="shared" si="77"/>
        <v>0</v>
      </c>
      <c r="O34" s="54">
        <f t="shared" si="78"/>
        <v>0</v>
      </c>
      <c r="P34" s="54">
        <f t="shared" si="79"/>
        <v>0</v>
      </c>
      <c r="Q34" s="54">
        <f t="shared" si="80"/>
        <v>0</v>
      </c>
      <c r="R34" s="54">
        <f t="shared" si="81"/>
        <v>0</v>
      </c>
      <c r="S34" s="286">
        <f t="shared" si="82"/>
        <v>0</v>
      </c>
      <c r="T34" s="287">
        <f t="shared" si="83"/>
        <v>0</v>
      </c>
      <c r="U34" s="131">
        <f t="shared" si="84"/>
        <v>0</v>
      </c>
      <c r="V34" s="54">
        <f t="shared" si="85"/>
        <v>0</v>
      </c>
      <c r="W34" s="54">
        <f t="shared" si="86"/>
        <v>0</v>
      </c>
      <c r="X34" s="286">
        <f t="shared" si="87"/>
        <v>0</v>
      </c>
      <c r="Y34" s="131">
        <f t="shared" si="88"/>
        <v>12210</v>
      </c>
      <c r="Z34" s="52">
        <f t="shared" si="89"/>
        <v>2553</v>
      </c>
      <c r="AA34" s="52">
        <f t="shared" si="90"/>
        <v>0</v>
      </c>
      <c r="AB34" s="52">
        <f t="shared" si="91"/>
        <v>0</v>
      </c>
      <c r="AC34" s="52">
        <f t="shared" si="92"/>
        <v>0</v>
      </c>
      <c r="AD34" s="286">
        <f t="shared" si="93"/>
        <v>0</v>
      </c>
      <c r="AE34" s="49">
        <f t="shared" si="94"/>
        <v>0</v>
      </c>
      <c r="AF34" s="52">
        <f t="shared" si="95"/>
        <v>0</v>
      </c>
      <c r="AG34" s="52">
        <f t="shared" si="96"/>
        <v>0</v>
      </c>
      <c r="AH34" s="52">
        <f t="shared" si="97"/>
        <v>0</v>
      </c>
      <c r="AI34" s="52">
        <f t="shared" si="98"/>
        <v>0</v>
      </c>
      <c r="AJ34" s="52">
        <f t="shared" si="99"/>
        <v>0</v>
      </c>
      <c r="AK34" s="52">
        <f t="shared" si="100"/>
        <v>0</v>
      </c>
      <c r="AL34" s="52">
        <f t="shared" si="101"/>
        <v>0</v>
      </c>
      <c r="AM34" s="52">
        <f t="shared" si="102"/>
        <v>0</v>
      </c>
      <c r="AN34" s="286">
        <f t="shared" si="103"/>
        <v>0</v>
      </c>
      <c r="AO34" s="288">
        <f t="shared" si="104"/>
        <v>39719.2386</v>
      </c>
      <c r="AP34" s="289">
        <f>AO34/'SUIVI RABAIS PRODUCTION ET C '!R9</f>
        <v>103.9879532</v>
      </c>
    </row>
    <row r="35" ht="15.75" customHeight="1">
      <c r="B35" s="52" t="s">
        <v>211</v>
      </c>
      <c r="C35" s="131">
        <f t="shared" si="66"/>
        <v>0</v>
      </c>
      <c r="D35" s="54">
        <f t="shared" si="67"/>
        <v>0</v>
      </c>
      <c r="E35" s="54">
        <f t="shared" si="68"/>
        <v>0</v>
      </c>
      <c r="F35" s="54">
        <f t="shared" si="69"/>
        <v>23403.7986</v>
      </c>
      <c r="G35" s="54">
        <f t="shared" si="70"/>
        <v>1253.04</v>
      </c>
      <c r="H35" s="54">
        <f t="shared" si="71"/>
        <v>299.4</v>
      </c>
      <c r="I35" s="54">
        <f t="shared" si="72"/>
        <v>0</v>
      </c>
      <c r="J35" s="54">
        <f t="shared" si="73"/>
        <v>0</v>
      </c>
      <c r="K35" s="54">
        <f t="shared" si="74"/>
        <v>0</v>
      </c>
      <c r="L35" s="54">
        <f t="shared" si="75"/>
        <v>0</v>
      </c>
      <c r="M35" s="54">
        <f t="shared" si="76"/>
        <v>0</v>
      </c>
      <c r="N35" s="54">
        <f t="shared" si="77"/>
        <v>0</v>
      </c>
      <c r="O35" s="54">
        <f t="shared" si="78"/>
        <v>0</v>
      </c>
      <c r="P35" s="54">
        <f t="shared" si="79"/>
        <v>0</v>
      </c>
      <c r="Q35" s="54">
        <f t="shared" si="80"/>
        <v>0</v>
      </c>
      <c r="R35" s="54">
        <f t="shared" si="81"/>
        <v>0</v>
      </c>
      <c r="S35" s="286">
        <f t="shared" si="82"/>
        <v>0</v>
      </c>
      <c r="T35" s="287">
        <f t="shared" si="83"/>
        <v>0</v>
      </c>
      <c r="U35" s="131">
        <f t="shared" si="84"/>
        <v>0</v>
      </c>
      <c r="V35" s="54">
        <f t="shared" si="85"/>
        <v>0</v>
      </c>
      <c r="W35" s="54">
        <f t="shared" si="86"/>
        <v>0</v>
      </c>
      <c r="X35" s="286">
        <f t="shared" si="87"/>
        <v>0</v>
      </c>
      <c r="Y35" s="131">
        <f t="shared" si="88"/>
        <v>12210</v>
      </c>
      <c r="Z35" s="52">
        <f t="shared" si="89"/>
        <v>2553</v>
      </c>
      <c r="AA35" s="52">
        <f t="shared" si="90"/>
        <v>0</v>
      </c>
      <c r="AB35" s="52">
        <f t="shared" si="91"/>
        <v>0</v>
      </c>
      <c r="AC35" s="52">
        <f t="shared" si="92"/>
        <v>0</v>
      </c>
      <c r="AD35" s="286">
        <f t="shared" si="93"/>
        <v>0</v>
      </c>
      <c r="AE35" s="49">
        <f t="shared" si="94"/>
        <v>0</v>
      </c>
      <c r="AF35" s="52">
        <f t="shared" si="95"/>
        <v>0</v>
      </c>
      <c r="AG35" s="52">
        <f t="shared" si="96"/>
        <v>0</v>
      </c>
      <c r="AH35" s="52">
        <f t="shared" si="97"/>
        <v>0</v>
      </c>
      <c r="AI35" s="52">
        <f t="shared" si="98"/>
        <v>0</v>
      </c>
      <c r="AJ35" s="52">
        <f t="shared" si="99"/>
        <v>0</v>
      </c>
      <c r="AK35" s="52">
        <f t="shared" si="100"/>
        <v>0</v>
      </c>
      <c r="AL35" s="52">
        <f t="shared" si="101"/>
        <v>0</v>
      </c>
      <c r="AM35" s="52">
        <f t="shared" si="102"/>
        <v>0</v>
      </c>
      <c r="AN35" s="286">
        <f t="shared" si="103"/>
        <v>0</v>
      </c>
      <c r="AO35" s="288">
        <f t="shared" si="104"/>
        <v>39719.2386</v>
      </c>
      <c r="AP35" s="289">
        <f>AO35/'SUIVI RABAIS PRODUCTION ET C '!S9</f>
        <v>103.9879532</v>
      </c>
      <c r="DE35" s="194"/>
    </row>
    <row r="36" ht="15.75" customHeight="1">
      <c r="B36" s="290" t="s">
        <v>149</v>
      </c>
      <c r="C36" s="291">
        <f t="shared" ref="C36:AO36" si="105">SUM(C31:C35)</f>
        <v>0</v>
      </c>
      <c r="D36" s="292">
        <f t="shared" si="105"/>
        <v>0</v>
      </c>
      <c r="E36" s="292">
        <f t="shared" si="105"/>
        <v>0</v>
      </c>
      <c r="F36" s="292">
        <f t="shared" si="105"/>
        <v>183435.1944</v>
      </c>
      <c r="G36" s="292">
        <f t="shared" si="105"/>
        <v>5012.16</v>
      </c>
      <c r="H36" s="292">
        <f t="shared" si="105"/>
        <v>1197.6</v>
      </c>
      <c r="I36" s="292">
        <f t="shared" si="105"/>
        <v>0</v>
      </c>
      <c r="J36" s="292">
        <f t="shared" si="105"/>
        <v>0</v>
      </c>
      <c r="K36" s="292">
        <f t="shared" si="105"/>
        <v>0</v>
      </c>
      <c r="L36" s="292">
        <f t="shared" si="105"/>
        <v>0</v>
      </c>
      <c r="M36" s="292">
        <f t="shared" si="105"/>
        <v>0</v>
      </c>
      <c r="N36" s="292">
        <f t="shared" si="105"/>
        <v>0</v>
      </c>
      <c r="O36" s="292">
        <f t="shared" si="105"/>
        <v>0</v>
      </c>
      <c r="P36" s="292">
        <f t="shared" si="105"/>
        <v>0</v>
      </c>
      <c r="Q36" s="292">
        <f t="shared" si="105"/>
        <v>0</v>
      </c>
      <c r="R36" s="292">
        <f t="shared" si="105"/>
        <v>0</v>
      </c>
      <c r="S36" s="293">
        <f t="shared" si="105"/>
        <v>0</v>
      </c>
      <c r="T36" s="294">
        <f t="shared" si="105"/>
        <v>21940.725</v>
      </c>
      <c r="U36" s="291">
        <f t="shared" si="105"/>
        <v>0</v>
      </c>
      <c r="V36" s="292">
        <f t="shared" si="105"/>
        <v>0</v>
      </c>
      <c r="W36" s="292">
        <f t="shared" si="105"/>
        <v>0</v>
      </c>
      <c r="X36" s="293">
        <f t="shared" si="105"/>
        <v>0</v>
      </c>
      <c r="Y36" s="291">
        <f t="shared" si="105"/>
        <v>61050</v>
      </c>
      <c r="Z36" s="292">
        <f t="shared" si="105"/>
        <v>12765</v>
      </c>
      <c r="AA36" s="292">
        <f t="shared" si="105"/>
        <v>0</v>
      </c>
      <c r="AB36" s="292">
        <f t="shared" si="105"/>
        <v>0</v>
      </c>
      <c r="AC36" s="292">
        <f t="shared" si="105"/>
        <v>0</v>
      </c>
      <c r="AD36" s="293">
        <f t="shared" si="105"/>
        <v>0</v>
      </c>
      <c r="AE36" s="291">
        <f t="shared" si="105"/>
        <v>0</v>
      </c>
      <c r="AF36" s="292">
        <f t="shared" si="105"/>
        <v>0</v>
      </c>
      <c r="AG36" s="292">
        <f t="shared" si="105"/>
        <v>0</v>
      </c>
      <c r="AH36" s="292">
        <f t="shared" si="105"/>
        <v>0</v>
      </c>
      <c r="AI36" s="292">
        <f t="shared" si="105"/>
        <v>0</v>
      </c>
      <c r="AJ36" s="292">
        <f t="shared" si="105"/>
        <v>0</v>
      </c>
      <c r="AK36" s="292">
        <f t="shared" si="105"/>
        <v>0</v>
      </c>
      <c r="AL36" s="292">
        <f t="shared" si="105"/>
        <v>0</v>
      </c>
      <c r="AM36" s="292">
        <f t="shared" si="105"/>
        <v>0</v>
      </c>
      <c r="AN36" s="293">
        <f t="shared" si="105"/>
        <v>0</v>
      </c>
      <c r="AO36" s="295">
        <f t="shared" si="105"/>
        <v>285400.6794</v>
      </c>
    </row>
    <row r="37" ht="15.75" customHeight="1">
      <c r="G37" s="9">
        <f>SUM(E19,I19,M19,Q19,U19,Y19,BD19,BS19,CC19)</f>
        <v>18000</v>
      </c>
    </row>
    <row r="38" ht="15.75" customHeight="1">
      <c r="B38" s="196" t="s">
        <v>158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</row>
    <row r="39" ht="15.0" customHeight="1">
      <c r="B39" s="86"/>
      <c r="C39" s="197" t="s">
        <v>159</v>
      </c>
      <c r="D39" s="50"/>
      <c r="E39" s="50"/>
      <c r="F39" s="51"/>
      <c r="G39" s="197" t="s">
        <v>160</v>
      </c>
      <c r="H39" s="50"/>
      <c r="I39" s="50"/>
      <c r="J39" s="51"/>
      <c r="K39" s="198" t="s">
        <v>161</v>
      </c>
      <c r="L39" s="50"/>
      <c r="M39" s="50"/>
      <c r="N39" s="51"/>
      <c r="O39" s="199" t="s">
        <v>52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1"/>
      <c r="AA39" s="199" t="s">
        <v>152</v>
      </c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1"/>
      <c r="AU39" s="200" t="s">
        <v>153</v>
      </c>
      <c r="AV39" s="188" t="s">
        <v>213</v>
      </c>
    </row>
    <row r="40" ht="45.0" customHeight="1">
      <c r="B40" s="96"/>
      <c r="C40" s="201" t="s">
        <v>163</v>
      </c>
      <c r="D40" s="201" t="s">
        <v>164</v>
      </c>
      <c r="E40" s="201" t="s">
        <v>165</v>
      </c>
      <c r="F40" s="201" t="s">
        <v>166</v>
      </c>
      <c r="G40" s="201" t="s">
        <v>167</v>
      </c>
      <c r="H40" s="201" t="s">
        <v>164</v>
      </c>
      <c r="I40" s="201" t="s">
        <v>165</v>
      </c>
      <c r="J40" s="201" t="s">
        <v>166</v>
      </c>
      <c r="K40" s="201" t="s">
        <v>168</v>
      </c>
      <c r="L40" s="201" t="s">
        <v>169</v>
      </c>
      <c r="M40" s="201" t="s">
        <v>170</v>
      </c>
      <c r="N40" s="201" t="s">
        <v>169</v>
      </c>
      <c r="O40" s="202" t="s">
        <v>171</v>
      </c>
      <c r="P40" s="202" t="s">
        <v>172</v>
      </c>
      <c r="Q40" s="202" t="s">
        <v>173</v>
      </c>
      <c r="R40" s="202" t="s">
        <v>172</v>
      </c>
      <c r="S40" s="202" t="s">
        <v>174</v>
      </c>
      <c r="T40" s="202" t="s">
        <v>172</v>
      </c>
      <c r="U40" s="202" t="s">
        <v>175</v>
      </c>
      <c r="V40" s="202" t="s">
        <v>172</v>
      </c>
      <c r="W40" s="202" t="s">
        <v>176</v>
      </c>
      <c r="X40" s="202" t="s">
        <v>172</v>
      </c>
      <c r="Y40" s="202" t="s">
        <v>177</v>
      </c>
      <c r="Z40" s="202" t="s">
        <v>172</v>
      </c>
      <c r="AA40" s="201" t="s">
        <v>178</v>
      </c>
      <c r="AB40" s="201" t="s">
        <v>172</v>
      </c>
      <c r="AC40" s="201" t="s">
        <v>179</v>
      </c>
      <c r="AD40" s="201" t="s">
        <v>172</v>
      </c>
      <c r="AE40" s="201" t="s">
        <v>180</v>
      </c>
      <c r="AF40" s="201" t="s">
        <v>172</v>
      </c>
      <c r="AG40" s="201" t="s">
        <v>181</v>
      </c>
      <c r="AH40" s="201" t="s">
        <v>172</v>
      </c>
      <c r="AI40" s="201" t="s">
        <v>182</v>
      </c>
      <c r="AJ40" s="201" t="s">
        <v>172</v>
      </c>
      <c r="AK40" s="201" t="s">
        <v>183</v>
      </c>
      <c r="AL40" s="201" t="s">
        <v>172</v>
      </c>
      <c r="AM40" s="201" t="s">
        <v>184</v>
      </c>
      <c r="AN40" s="201" t="s">
        <v>172</v>
      </c>
      <c r="AO40" s="201" t="s">
        <v>185</v>
      </c>
      <c r="AP40" s="201" t="s">
        <v>172</v>
      </c>
      <c r="AQ40" s="201" t="s">
        <v>186</v>
      </c>
      <c r="AR40" s="201" t="s">
        <v>172</v>
      </c>
      <c r="AS40" s="201" t="s">
        <v>187</v>
      </c>
      <c r="AT40" s="201" t="s">
        <v>172</v>
      </c>
      <c r="AU40" s="123"/>
      <c r="AV40" s="123"/>
    </row>
    <row r="41" ht="15.0" customHeight="1">
      <c r="B41" s="52" t="s">
        <v>207</v>
      </c>
      <c r="C41" s="54">
        <f t="shared" ref="C41:C45" si="106">E19+I19+M19+Q19+U19+Y19+BD19+BS19+CC19</f>
        <v>18000</v>
      </c>
      <c r="D41" s="203">
        <f t="shared" ref="D41:D45" si="107">C41*$I$49*$I$58</f>
        <v>119931.4286</v>
      </c>
      <c r="E41" s="54">
        <f t="shared" ref="E41:E45" si="108">(C41*$I$51+C41*$I$53)*$I$58</f>
        <v>28033.97143</v>
      </c>
      <c r="F41" s="204">
        <f t="shared" ref="F41:F45" si="109">SUM(D41:E41)</f>
        <v>147965.4</v>
      </c>
      <c r="G41" s="205"/>
      <c r="H41" s="204">
        <f t="shared" ref="H41:H45" si="110">G41*$I$50*$I$58</f>
        <v>0</v>
      </c>
      <c r="I41" s="204">
        <f t="shared" ref="I41:I45" si="111">(G41*$I$52*+G41*$I$53)*$I$58</f>
        <v>0</v>
      </c>
      <c r="J41" s="204">
        <f t="shared" ref="J41:J45" si="112">SUM(H41:I41)</f>
        <v>0</v>
      </c>
      <c r="K41" s="54">
        <f t="shared" ref="K41:K45" si="113">CM19+CQ19</f>
        <v>0</v>
      </c>
      <c r="L41" s="206">
        <f t="shared" ref="L41:L45" si="114">K41*$I$54</f>
        <v>0</v>
      </c>
      <c r="M41" s="52">
        <f t="shared" ref="M41:M45" si="115">CU19</f>
        <v>0</v>
      </c>
      <c r="N41" s="206">
        <f t="shared" ref="N41:N45" si="116">M41*$I$55</f>
        <v>0</v>
      </c>
      <c r="O41" s="54">
        <f t="shared" ref="O41:O45" si="117">$C$65/1000*DC19</f>
        <v>0</v>
      </c>
      <c r="P41" s="206">
        <f t="shared" ref="P41:P45" si="118">O41*$I$50+O41*$I$52+O41*$I$53</f>
        <v>0</v>
      </c>
      <c r="Q41" s="206">
        <f t="shared" ref="Q41:Q45" si="119">DE19*$D$65/1000</f>
        <v>0</v>
      </c>
      <c r="R41" s="206">
        <f t="shared" ref="R41:R45" si="120">Q41*$I$50+Q41*$I$52+Q41*$I$53</f>
        <v>0</v>
      </c>
      <c r="S41" s="206">
        <f t="shared" ref="S41:S45" si="121">DG19*$E$65/1000</f>
        <v>0</v>
      </c>
      <c r="T41" s="206">
        <f t="shared" ref="T41:T45" si="122">S41*$I$50+S41*$I$52+S41*$I$53</f>
        <v>0</v>
      </c>
      <c r="U41" s="206">
        <f t="shared" ref="U41:U45" si="123">DI19*$F$65/1000</f>
        <v>0</v>
      </c>
      <c r="V41" s="206">
        <f t="shared" ref="V41:V45" si="124">U41*$I$50+U41*$I$52+U41*$I$53</f>
        <v>0</v>
      </c>
      <c r="W41" s="206">
        <f t="shared" ref="W41:W45" si="125">DK19*$G$65/1000</f>
        <v>0</v>
      </c>
      <c r="X41" s="206">
        <f t="shared" ref="X41:X45" si="126">W41*$I$50+W41*$I$52+W41*$I$53</f>
        <v>0</v>
      </c>
      <c r="Y41" s="52">
        <f t="shared" ref="Y41:Y45" si="127">DM19*$H$65/1000</f>
        <v>0</v>
      </c>
      <c r="Z41" s="207">
        <f t="shared" ref="Z41:Z45" si="128">Y41*$I$50+Y41*$I$52+Y41*$I$53</f>
        <v>0</v>
      </c>
      <c r="AA41" s="52">
        <f t="shared" ref="AA41:AA45" si="129">DO19*1000*$I$65/1000</f>
        <v>0</v>
      </c>
      <c r="AB41" s="52">
        <f t="shared" ref="AB41:AB45" si="130">AA41*$I$50+AA41*$I$52+AA41*$I$53</f>
        <v>0</v>
      </c>
      <c r="AC41" s="52">
        <f t="shared" ref="AC41:AC45" si="131">DQ19*$J$65</f>
        <v>0</v>
      </c>
      <c r="AD41" s="52">
        <f t="shared" ref="AD41:AD45" si="132">AC41*$I$50+AC41*$I$52+AC41*$I$53</f>
        <v>0</v>
      </c>
      <c r="AE41" s="52">
        <f t="shared" ref="AE41:AE45" si="133">DS19*$K$65</f>
        <v>0</v>
      </c>
      <c r="AF41" s="52">
        <f t="shared" ref="AF41:AF45" si="134">AE41*$I$50+AE41*$I$52+AE41*$I$53</f>
        <v>0</v>
      </c>
      <c r="AG41" s="52">
        <f t="shared" ref="AG41:AG45" si="135">DU19*$L$65</f>
        <v>0</v>
      </c>
      <c r="AH41" s="52">
        <f t="shared" ref="AH41:AH45" si="136">AG41*$I$50+AG41*$I$52+AG41*$I$53</f>
        <v>0</v>
      </c>
      <c r="AI41" s="52">
        <f t="shared" ref="AI41:AI45" si="137">DW19*$M$65</f>
        <v>0</v>
      </c>
      <c r="AJ41" s="52">
        <f t="shared" ref="AJ41:AJ45" si="138">AI41*$I$50+AI41*$I$52+AI41*$I$53</f>
        <v>0</v>
      </c>
      <c r="AK41" s="52">
        <f t="shared" ref="AK41:AK45" si="139">DY19*$N$65</f>
        <v>0</v>
      </c>
      <c r="AL41" s="52">
        <f t="shared" ref="AL41:AL45" si="140">AK41*$I$50+AK41*$I$52+AK41*$I$53</f>
        <v>0</v>
      </c>
      <c r="AM41" s="52">
        <f t="shared" ref="AM41:AM45" si="141">EA19*$O$65</f>
        <v>0</v>
      </c>
      <c r="AN41" s="52">
        <f t="shared" ref="AN41:AN45" si="142">AM41*$I$50+AM41*$I$52+AM41*$I$53</f>
        <v>0</v>
      </c>
      <c r="AO41" s="52">
        <f t="shared" ref="AO41:AO45" si="143">EC19*$P$65</f>
        <v>0</v>
      </c>
      <c r="AP41" s="52">
        <f t="shared" ref="AP41:AP45" si="144">AO41*$I$50+AO41*$I$52+AO41*$I$53</f>
        <v>0</v>
      </c>
      <c r="AQ41" s="52">
        <f t="shared" ref="AQ41:AQ45" si="145">EE19*$Q$65</f>
        <v>0</v>
      </c>
      <c r="AR41" s="52">
        <f t="shared" ref="AR41:AR45" si="146">AQ41*$I$50+AQ41*$I$52+AQ41*$I$53</f>
        <v>0</v>
      </c>
      <c r="AS41" s="52">
        <f t="shared" ref="AS41:AS45" si="147">EG19*$R$65</f>
        <v>0</v>
      </c>
      <c r="AT41" s="52">
        <f t="shared" ref="AT41:AT45" si="148">AS41*$I$50+AS41*$I$52+AS41*$I$53</f>
        <v>0</v>
      </c>
      <c r="AU41" s="296">
        <f t="shared" ref="AU41:AU45" si="149">F41+J41+L41+N41+P41+R41+T41+V41+X41+Z41+AB41+AD41+AF41+AH41+AJ41+AL41+AN41+AP41+AR41+AT41</f>
        <v>147965.4</v>
      </c>
      <c r="AV41" s="297">
        <f>AU41/'SUIVI RABAIS PRODUCTION ET C '!O9</f>
        <v>387.3845429</v>
      </c>
      <c r="AW41" s="298"/>
      <c r="AX41" s="210" t="s">
        <v>214</v>
      </c>
      <c r="AY41" s="101"/>
      <c r="AZ41" s="99"/>
      <c r="BB41" s="299" t="s">
        <v>215</v>
      </c>
      <c r="BC41" s="101"/>
      <c r="BD41" s="99"/>
    </row>
    <row r="42" ht="15.0" customHeight="1">
      <c r="B42" s="52" t="s">
        <v>208</v>
      </c>
      <c r="C42" s="54">
        <f t="shared" si="106"/>
        <v>5026.14</v>
      </c>
      <c r="D42" s="203">
        <f t="shared" si="107"/>
        <v>33488.4528</v>
      </c>
      <c r="E42" s="54">
        <f t="shared" si="108"/>
        <v>7827.925842</v>
      </c>
      <c r="F42" s="204">
        <f t="shared" si="109"/>
        <v>41316.37864</v>
      </c>
      <c r="G42" s="205"/>
      <c r="H42" s="204">
        <f t="shared" si="110"/>
        <v>0</v>
      </c>
      <c r="I42" s="204">
        <f t="shared" si="111"/>
        <v>0</v>
      </c>
      <c r="J42" s="204">
        <f t="shared" si="112"/>
        <v>0</v>
      </c>
      <c r="K42" s="54">
        <f t="shared" si="113"/>
        <v>0</v>
      </c>
      <c r="L42" s="206">
        <f t="shared" si="114"/>
        <v>0</v>
      </c>
      <c r="M42" s="52">
        <f t="shared" si="115"/>
        <v>0</v>
      </c>
      <c r="N42" s="206">
        <f t="shared" si="116"/>
        <v>0</v>
      </c>
      <c r="O42" s="54">
        <f t="shared" si="117"/>
        <v>0</v>
      </c>
      <c r="P42" s="206">
        <f t="shared" si="118"/>
        <v>0</v>
      </c>
      <c r="Q42" s="206">
        <f t="shared" si="119"/>
        <v>0</v>
      </c>
      <c r="R42" s="206">
        <f t="shared" si="120"/>
        <v>0</v>
      </c>
      <c r="S42" s="206">
        <f t="shared" si="121"/>
        <v>0</v>
      </c>
      <c r="T42" s="206">
        <f t="shared" si="122"/>
        <v>0</v>
      </c>
      <c r="U42" s="206">
        <f t="shared" si="123"/>
        <v>0</v>
      </c>
      <c r="V42" s="206">
        <f t="shared" si="124"/>
        <v>0</v>
      </c>
      <c r="W42" s="206">
        <f t="shared" si="125"/>
        <v>0</v>
      </c>
      <c r="X42" s="206">
        <f t="shared" si="126"/>
        <v>0</v>
      </c>
      <c r="Y42" s="52">
        <f t="shared" si="127"/>
        <v>0</v>
      </c>
      <c r="Z42" s="207">
        <f t="shared" si="128"/>
        <v>0</v>
      </c>
      <c r="AA42" s="52">
        <f t="shared" si="129"/>
        <v>0</v>
      </c>
      <c r="AB42" s="52">
        <f t="shared" si="130"/>
        <v>0</v>
      </c>
      <c r="AC42" s="52">
        <f t="shared" si="131"/>
        <v>0</v>
      </c>
      <c r="AD42" s="52">
        <f t="shared" si="132"/>
        <v>0</v>
      </c>
      <c r="AE42" s="52">
        <f t="shared" si="133"/>
        <v>0</v>
      </c>
      <c r="AF42" s="52">
        <f t="shared" si="134"/>
        <v>0</v>
      </c>
      <c r="AG42" s="52">
        <f t="shared" si="135"/>
        <v>0</v>
      </c>
      <c r="AH42" s="52">
        <f t="shared" si="136"/>
        <v>0</v>
      </c>
      <c r="AI42" s="52">
        <f t="shared" si="137"/>
        <v>0</v>
      </c>
      <c r="AJ42" s="52">
        <f t="shared" si="138"/>
        <v>0</v>
      </c>
      <c r="AK42" s="52">
        <f t="shared" si="139"/>
        <v>0</v>
      </c>
      <c r="AL42" s="52">
        <f t="shared" si="140"/>
        <v>0</v>
      </c>
      <c r="AM42" s="52">
        <f t="shared" si="141"/>
        <v>0</v>
      </c>
      <c r="AN42" s="52">
        <f t="shared" si="142"/>
        <v>0</v>
      </c>
      <c r="AO42" s="52">
        <f t="shared" si="143"/>
        <v>0</v>
      </c>
      <c r="AP42" s="52">
        <f t="shared" si="144"/>
        <v>0</v>
      </c>
      <c r="AQ42" s="52">
        <f t="shared" si="145"/>
        <v>0</v>
      </c>
      <c r="AR42" s="52">
        <f t="shared" si="146"/>
        <v>0</v>
      </c>
      <c r="AS42" s="52">
        <f t="shared" si="147"/>
        <v>0</v>
      </c>
      <c r="AT42" s="52">
        <f t="shared" si="148"/>
        <v>0</v>
      </c>
      <c r="AU42" s="296">
        <f t="shared" si="149"/>
        <v>41316.37864</v>
      </c>
      <c r="AV42" s="297">
        <f>AU42/'SUIVI RABAIS PRODUCTION ET C '!P9</f>
        <v>108.1693859</v>
      </c>
      <c r="AW42" s="298"/>
      <c r="AX42" s="112"/>
      <c r="AZ42" s="113"/>
      <c r="BB42" s="112"/>
      <c r="BD42" s="113"/>
    </row>
    <row r="43" ht="15.75" customHeight="1">
      <c r="B43" s="52" t="s">
        <v>209</v>
      </c>
      <c r="C43" s="54">
        <f t="shared" si="106"/>
        <v>5026.14</v>
      </c>
      <c r="D43" s="203">
        <f t="shared" si="107"/>
        <v>33488.4528</v>
      </c>
      <c r="E43" s="54">
        <f t="shared" si="108"/>
        <v>7827.925842</v>
      </c>
      <c r="F43" s="204">
        <f t="shared" si="109"/>
        <v>41316.37864</v>
      </c>
      <c r="G43" s="205"/>
      <c r="H43" s="204">
        <f t="shared" si="110"/>
        <v>0</v>
      </c>
      <c r="I43" s="204">
        <f t="shared" si="111"/>
        <v>0</v>
      </c>
      <c r="J43" s="204">
        <f t="shared" si="112"/>
        <v>0</v>
      </c>
      <c r="K43" s="54">
        <f t="shared" si="113"/>
        <v>0</v>
      </c>
      <c r="L43" s="206">
        <f t="shared" si="114"/>
        <v>0</v>
      </c>
      <c r="M43" s="52">
        <f t="shared" si="115"/>
        <v>0</v>
      </c>
      <c r="N43" s="206">
        <f t="shared" si="116"/>
        <v>0</v>
      </c>
      <c r="O43" s="54">
        <f t="shared" si="117"/>
        <v>0</v>
      </c>
      <c r="P43" s="206">
        <f t="shared" si="118"/>
        <v>0</v>
      </c>
      <c r="Q43" s="206">
        <f t="shared" si="119"/>
        <v>0</v>
      </c>
      <c r="R43" s="206">
        <f t="shared" si="120"/>
        <v>0</v>
      </c>
      <c r="S43" s="206">
        <f t="shared" si="121"/>
        <v>0</v>
      </c>
      <c r="T43" s="206">
        <f t="shared" si="122"/>
        <v>0</v>
      </c>
      <c r="U43" s="206">
        <f t="shared" si="123"/>
        <v>0</v>
      </c>
      <c r="V43" s="206">
        <f t="shared" si="124"/>
        <v>0</v>
      </c>
      <c r="W43" s="206">
        <f t="shared" si="125"/>
        <v>0</v>
      </c>
      <c r="X43" s="206">
        <f t="shared" si="126"/>
        <v>0</v>
      </c>
      <c r="Y43" s="52">
        <f t="shared" si="127"/>
        <v>0</v>
      </c>
      <c r="Z43" s="207">
        <f t="shared" si="128"/>
        <v>0</v>
      </c>
      <c r="AA43" s="52">
        <f t="shared" si="129"/>
        <v>0</v>
      </c>
      <c r="AB43" s="52">
        <f t="shared" si="130"/>
        <v>0</v>
      </c>
      <c r="AC43" s="52">
        <f t="shared" si="131"/>
        <v>0</v>
      </c>
      <c r="AD43" s="52">
        <f t="shared" si="132"/>
        <v>0</v>
      </c>
      <c r="AE43" s="52">
        <f t="shared" si="133"/>
        <v>0</v>
      </c>
      <c r="AF43" s="52">
        <f t="shared" si="134"/>
        <v>0</v>
      </c>
      <c r="AG43" s="52">
        <f t="shared" si="135"/>
        <v>0</v>
      </c>
      <c r="AH43" s="52">
        <f t="shared" si="136"/>
        <v>0</v>
      </c>
      <c r="AI43" s="52">
        <f t="shared" si="137"/>
        <v>0</v>
      </c>
      <c r="AJ43" s="52">
        <f t="shared" si="138"/>
        <v>0</v>
      </c>
      <c r="AK43" s="52">
        <f t="shared" si="139"/>
        <v>0</v>
      </c>
      <c r="AL43" s="52">
        <f t="shared" si="140"/>
        <v>0</v>
      </c>
      <c r="AM43" s="52">
        <f t="shared" si="141"/>
        <v>0</v>
      </c>
      <c r="AN43" s="52">
        <f t="shared" si="142"/>
        <v>0</v>
      </c>
      <c r="AO43" s="52">
        <f t="shared" si="143"/>
        <v>0</v>
      </c>
      <c r="AP43" s="52">
        <f t="shared" si="144"/>
        <v>0</v>
      </c>
      <c r="AQ43" s="52">
        <f t="shared" si="145"/>
        <v>0</v>
      </c>
      <c r="AR43" s="52">
        <f t="shared" si="146"/>
        <v>0</v>
      </c>
      <c r="AS43" s="52">
        <f t="shared" si="147"/>
        <v>0</v>
      </c>
      <c r="AT43" s="52">
        <f t="shared" si="148"/>
        <v>0</v>
      </c>
      <c r="AU43" s="296">
        <f t="shared" si="149"/>
        <v>41316.37864</v>
      </c>
      <c r="AV43" s="297">
        <f>AU43/'SUIVI RABAIS PRODUCTION ET C '!Q9</f>
        <v>108.1693859</v>
      </c>
      <c r="AW43" s="298"/>
      <c r="AX43" s="112"/>
      <c r="AZ43" s="113"/>
      <c r="BB43" s="112"/>
      <c r="BD43" s="113"/>
    </row>
    <row r="44" ht="15.75" customHeight="1">
      <c r="B44" s="52" t="s">
        <v>210</v>
      </c>
      <c r="C44" s="54">
        <f t="shared" si="106"/>
        <v>5026.14</v>
      </c>
      <c r="D44" s="203">
        <f t="shared" si="107"/>
        <v>33488.4528</v>
      </c>
      <c r="E44" s="54">
        <f t="shared" si="108"/>
        <v>7827.925842</v>
      </c>
      <c r="F44" s="204">
        <f t="shared" si="109"/>
        <v>41316.37864</v>
      </c>
      <c r="G44" s="205"/>
      <c r="H44" s="204">
        <f t="shared" si="110"/>
        <v>0</v>
      </c>
      <c r="I44" s="204">
        <f t="shared" si="111"/>
        <v>0</v>
      </c>
      <c r="J44" s="204">
        <f t="shared" si="112"/>
        <v>0</v>
      </c>
      <c r="K44" s="54">
        <f t="shared" si="113"/>
        <v>0</v>
      </c>
      <c r="L44" s="206">
        <f t="shared" si="114"/>
        <v>0</v>
      </c>
      <c r="M44" s="52">
        <f t="shared" si="115"/>
        <v>0</v>
      </c>
      <c r="N44" s="206">
        <f t="shared" si="116"/>
        <v>0</v>
      </c>
      <c r="O44" s="54">
        <f t="shared" si="117"/>
        <v>0</v>
      </c>
      <c r="P44" s="206">
        <f t="shared" si="118"/>
        <v>0</v>
      </c>
      <c r="Q44" s="206">
        <f t="shared" si="119"/>
        <v>0</v>
      </c>
      <c r="R44" s="206">
        <f t="shared" si="120"/>
        <v>0</v>
      </c>
      <c r="S44" s="206">
        <f t="shared" si="121"/>
        <v>0</v>
      </c>
      <c r="T44" s="206">
        <f t="shared" si="122"/>
        <v>0</v>
      </c>
      <c r="U44" s="206">
        <f t="shared" si="123"/>
        <v>0</v>
      </c>
      <c r="V44" s="206">
        <f t="shared" si="124"/>
        <v>0</v>
      </c>
      <c r="W44" s="206">
        <f t="shared" si="125"/>
        <v>0</v>
      </c>
      <c r="X44" s="206">
        <f t="shared" si="126"/>
        <v>0</v>
      </c>
      <c r="Y44" s="52">
        <f t="shared" si="127"/>
        <v>0</v>
      </c>
      <c r="Z44" s="207">
        <f t="shared" si="128"/>
        <v>0</v>
      </c>
      <c r="AA44" s="52">
        <f t="shared" si="129"/>
        <v>0</v>
      </c>
      <c r="AB44" s="52">
        <f t="shared" si="130"/>
        <v>0</v>
      </c>
      <c r="AC44" s="52">
        <f t="shared" si="131"/>
        <v>0</v>
      </c>
      <c r="AD44" s="52">
        <f t="shared" si="132"/>
        <v>0</v>
      </c>
      <c r="AE44" s="52">
        <f t="shared" si="133"/>
        <v>0</v>
      </c>
      <c r="AF44" s="52">
        <f t="shared" si="134"/>
        <v>0</v>
      </c>
      <c r="AG44" s="52">
        <f t="shared" si="135"/>
        <v>0</v>
      </c>
      <c r="AH44" s="52">
        <f t="shared" si="136"/>
        <v>0</v>
      </c>
      <c r="AI44" s="52">
        <f t="shared" si="137"/>
        <v>0</v>
      </c>
      <c r="AJ44" s="52">
        <f t="shared" si="138"/>
        <v>0</v>
      </c>
      <c r="AK44" s="52">
        <f t="shared" si="139"/>
        <v>0</v>
      </c>
      <c r="AL44" s="52">
        <f t="shared" si="140"/>
        <v>0</v>
      </c>
      <c r="AM44" s="52">
        <f t="shared" si="141"/>
        <v>0</v>
      </c>
      <c r="AN44" s="52">
        <f t="shared" si="142"/>
        <v>0</v>
      </c>
      <c r="AO44" s="52">
        <f t="shared" si="143"/>
        <v>0</v>
      </c>
      <c r="AP44" s="52">
        <f t="shared" si="144"/>
        <v>0</v>
      </c>
      <c r="AQ44" s="52">
        <f t="shared" si="145"/>
        <v>0</v>
      </c>
      <c r="AR44" s="52">
        <f t="shared" si="146"/>
        <v>0</v>
      </c>
      <c r="AS44" s="52">
        <f t="shared" si="147"/>
        <v>0</v>
      </c>
      <c r="AT44" s="52">
        <f t="shared" si="148"/>
        <v>0</v>
      </c>
      <c r="AU44" s="296">
        <f t="shared" si="149"/>
        <v>41316.37864</v>
      </c>
      <c r="AV44" s="297">
        <f>AU44/'SUIVI RABAIS PRODUCTION ET C '!R9</f>
        <v>108.1693859</v>
      </c>
      <c r="AW44" s="298"/>
      <c r="AX44" s="300">
        <f>AU46+AO36</f>
        <v>598631.594</v>
      </c>
      <c r="AY44" s="30" t="s">
        <v>189</v>
      </c>
      <c r="AZ44" s="212"/>
      <c r="BB44" s="301">
        <f t="array" ref="BB44">IFERROR(SUM(AVERAGE('GES AVANT NOTIFICATION'!AP31:AP35+'GES AVANT NOTIFICATION'!AV41:AV45)*'SUIVI RABAIS PRODUCTION ET C '!O9:S9)-'GES APRES NOTIFICATION '!AX44,"-")</f>
        <v>2209811.824</v>
      </c>
      <c r="BC44" s="30" t="s">
        <v>189</v>
      </c>
      <c r="BD44" s="212"/>
    </row>
    <row r="45" ht="15.75" customHeight="1">
      <c r="B45" s="52" t="s">
        <v>211</v>
      </c>
      <c r="C45" s="54">
        <f t="shared" si="106"/>
        <v>5026.14</v>
      </c>
      <c r="D45" s="203">
        <f t="shared" si="107"/>
        <v>33488.4528</v>
      </c>
      <c r="E45" s="54">
        <f t="shared" si="108"/>
        <v>7827.925842</v>
      </c>
      <c r="F45" s="204">
        <f t="shared" si="109"/>
        <v>41316.37864</v>
      </c>
      <c r="G45" s="205"/>
      <c r="H45" s="204">
        <f t="shared" si="110"/>
        <v>0</v>
      </c>
      <c r="I45" s="204">
        <f t="shared" si="111"/>
        <v>0</v>
      </c>
      <c r="J45" s="204">
        <f t="shared" si="112"/>
        <v>0</v>
      </c>
      <c r="K45" s="54">
        <f t="shared" si="113"/>
        <v>0</v>
      </c>
      <c r="L45" s="206">
        <f t="shared" si="114"/>
        <v>0</v>
      </c>
      <c r="M45" s="52">
        <f t="shared" si="115"/>
        <v>0</v>
      </c>
      <c r="N45" s="206">
        <f t="shared" si="116"/>
        <v>0</v>
      </c>
      <c r="O45" s="54">
        <f t="shared" si="117"/>
        <v>0</v>
      </c>
      <c r="P45" s="206">
        <f t="shared" si="118"/>
        <v>0</v>
      </c>
      <c r="Q45" s="206">
        <f t="shared" si="119"/>
        <v>0</v>
      </c>
      <c r="R45" s="206">
        <f t="shared" si="120"/>
        <v>0</v>
      </c>
      <c r="S45" s="206">
        <f t="shared" si="121"/>
        <v>0</v>
      </c>
      <c r="T45" s="206">
        <f t="shared" si="122"/>
        <v>0</v>
      </c>
      <c r="U45" s="206">
        <f t="shared" si="123"/>
        <v>0</v>
      </c>
      <c r="V45" s="206">
        <f t="shared" si="124"/>
        <v>0</v>
      </c>
      <c r="W45" s="206">
        <f t="shared" si="125"/>
        <v>0</v>
      </c>
      <c r="X45" s="206">
        <f t="shared" si="126"/>
        <v>0</v>
      </c>
      <c r="Y45" s="52">
        <f t="shared" si="127"/>
        <v>0</v>
      </c>
      <c r="Z45" s="207">
        <f t="shared" si="128"/>
        <v>0</v>
      </c>
      <c r="AA45" s="52">
        <f t="shared" si="129"/>
        <v>0</v>
      </c>
      <c r="AB45" s="52">
        <f t="shared" si="130"/>
        <v>0</v>
      </c>
      <c r="AC45" s="52">
        <f t="shared" si="131"/>
        <v>0</v>
      </c>
      <c r="AD45" s="52">
        <f t="shared" si="132"/>
        <v>0</v>
      </c>
      <c r="AE45" s="52">
        <f t="shared" si="133"/>
        <v>0</v>
      </c>
      <c r="AF45" s="52">
        <f t="shared" si="134"/>
        <v>0</v>
      </c>
      <c r="AG45" s="52">
        <f t="shared" si="135"/>
        <v>0</v>
      </c>
      <c r="AH45" s="52">
        <f t="shared" si="136"/>
        <v>0</v>
      </c>
      <c r="AI45" s="52">
        <f t="shared" si="137"/>
        <v>0</v>
      </c>
      <c r="AJ45" s="52">
        <f t="shared" si="138"/>
        <v>0</v>
      </c>
      <c r="AK45" s="52">
        <f t="shared" si="139"/>
        <v>0</v>
      </c>
      <c r="AL45" s="52">
        <f t="shared" si="140"/>
        <v>0</v>
      </c>
      <c r="AM45" s="52">
        <f t="shared" si="141"/>
        <v>0</v>
      </c>
      <c r="AN45" s="52">
        <f t="shared" si="142"/>
        <v>0</v>
      </c>
      <c r="AO45" s="52">
        <f t="shared" si="143"/>
        <v>0</v>
      </c>
      <c r="AP45" s="52">
        <f t="shared" si="144"/>
        <v>0</v>
      </c>
      <c r="AQ45" s="52">
        <f t="shared" si="145"/>
        <v>0</v>
      </c>
      <c r="AR45" s="52">
        <f t="shared" si="146"/>
        <v>0</v>
      </c>
      <c r="AS45" s="52">
        <f t="shared" si="147"/>
        <v>0</v>
      </c>
      <c r="AT45" s="52">
        <f t="shared" si="148"/>
        <v>0</v>
      </c>
      <c r="AU45" s="296">
        <f t="shared" si="149"/>
        <v>41316.37864</v>
      </c>
      <c r="AV45" s="297">
        <f>AU45/'SUIVI RABAIS PRODUCTION ET C '!S9</f>
        <v>108.1693859</v>
      </c>
      <c r="AW45" s="298"/>
      <c r="AX45" s="302">
        <f>AX44/1000</f>
        <v>598.631594</v>
      </c>
      <c r="AY45" s="215" t="s">
        <v>216</v>
      </c>
      <c r="BB45" s="302">
        <f>IFERROR(BB44/1000,"-")</f>
        <v>2209.811824</v>
      </c>
      <c r="BC45" s="215" t="s">
        <v>216</v>
      </c>
    </row>
    <row r="46" ht="15.75" customHeight="1">
      <c r="B46" s="172" t="s">
        <v>149</v>
      </c>
      <c r="C46" s="173">
        <f t="shared" ref="C46:AU46" si="150">SUM(C41:C45)</f>
        <v>38104.56</v>
      </c>
      <c r="D46" s="172">
        <f t="shared" si="150"/>
        <v>253885.2398</v>
      </c>
      <c r="E46" s="172">
        <f t="shared" si="150"/>
        <v>59345.6748</v>
      </c>
      <c r="F46" s="216">
        <f t="shared" si="150"/>
        <v>313230.9146</v>
      </c>
      <c r="G46" s="216">
        <f t="shared" si="150"/>
        <v>0</v>
      </c>
      <c r="H46" s="216">
        <f t="shared" si="150"/>
        <v>0</v>
      </c>
      <c r="I46" s="216">
        <f t="shared" si="150"/>
        <v>0</v>
      </c>
      <c r="J46" s="172">
        <f t="shared" si="150"/>
        <v>0</v>
      </c>
      <c r="K46" s="172">
        <f t="shared" si="150"/>
        <v>0</v>
      </c>
      <c r="L46" s="216">
        <f t="shared" si="150"/>
        <v>0</v>
      </c>
      <c r="M46" s="172">
        <f t="shared" si="150"/>
        <v>0</v>
      </c>
      <c r="N46" s="216">
        <f t="shared" si="150"/>
        <v>0</v>
      </c>
      <c r="O46" s="172">
        <f t="shared" si="150"/>
        <v>0</v>
      </c>
      <c r="P46" s="216">
        <f t="shared" si="150"/>
        <v>0</v>
      </c>
      <c r="Q46" s="172">
        <f t="shared" si="150"/>
        <v>0</v>
      </c>
      <c r="R46" s="172">
        <f t="shared" si="150"/>
        <v>0</v>
      </c>
      <c r="S46" s="172">
        <f t="shared" si="150"/>
        <v>0</v>
      </c>
      <c r="T46" s="172">
        <f t="shared" si="150"/>
        <v>0</v>
      </c>
      <c r="U46" s="172">
        <f t="shared" si="150"/>
        <v>0</v>
      </c>
      <c r="V46" s="172">
        <f t="shared" si="150"/>
        <v>0</v>
      </c>
      <c r="W46" s="172">
        <f t="shared" si="150"/>
        <v>0</v>
      </c>
      <c r="X46" s="172">
        <f t="shared" si="150"/>
        <v>0</v>
      </c>
      <c r="Y46" s="172">
        <f t="shared" si="150"/>
        <v>0</v>
      </c>
      <c r="Z46" s="172">
        <f t="shared" si="150"/>
        <v>0</v>
      </c>
      <c r="AA46" s="172">
        <f t="shared" si="150"/>
        <v>0</v>
      </c>
      <c r="AB46" s="172">
        <f t="shared" si="150"/>
        <v>0</v>
      </c>
      <c r="AC46" s="172">
        <f t="shared" si="150"/>
        <v>0</v>
      </c>
      <c r="AD46" s="172">
        <f t="shared" si="150"/>
        <v>0</v>
      </c>
      <c r="AE46" s="172">
        <f t="shared" si="150"/>
        <v>0</v>
      </c>
      <c r="AF46" s="172">
        <f t="shared" si="150"/>
        <v>0</v>
      </c>
      <c r="AG46" s="172">
        <f t="shared" si="150"/>
        <v>0</v>
      </c>
      <c r="AH46" s="172">
        <f t="shared" si="150"/>
        <v>0</v>
      </c>
      <c r="AI46" s="172">
        <f t="shared" si="150"/>
        <v>0</v>
      </c>
      <c r="AJ46" s="172">
        <f t="shared" si="150"/>
        <v>0</v>
      </c>
      <c r="AK46" s="172">
        <f t="shared" si="150"/>
        <v>0</v>
      </c>
      <c r="AL46" s="172">
        <f t="shared" si="150"/>
        <v>0</v>
      </c>
      <c r="AM46" s="172">
        <f t="shared" si="150"/>
        <v>0</v>
      </c>
      <c r="AN46" s="172">
        <f t="shared" si="150"/>
        <v>0</v>
      </c>
      <c r="AO46" s="172">
        <f t="shared" si="150"/>
        <v>0</v>
      </c>
      <c r="AP46" s="172">
        <f t="shared" si="150"/>
        <v>0</v>
      </c>
      <c r="AQ46" s="172">
        <f t="shared" si="150"/>
        <v>0</v>
      </c>
      <c r="AR46" s="172">
        <f t="shared" si="150"/>
        <v>0</v>
      </c>
      <c r="AS46" s="172">
        <f t="shared" si="150"/>
        <v>0</v>
      </c>
      <c r="AT46" s="172">
        <f t="shared" si="150"/>
        <v>0</v>
      </c>
      <c r="AU46" s="303">
        <f t="shared" si="150"/>
        <v>313230.9146</v>
      </c>
      <c r="AV46" s="304">
        <f t="array" ref="AV46">AVERAGE(($AO$31:$AO$35+$AU$41:$AU$45)/TRANSPOSE('SUIVI RABAIS PRODUCTION ET C '!O9:S9))</f>
        <v>313.452505</v>
      </c>
    </row>
    <row r="47" ht="15.75" customHeight="1">
      <c r="B47" s="176"/>
      <c r="C47" s="176"/>
      <c r="D47" s="176"/>
      <c r="E47" s="176"/>
      <c r="F47" s="218"/>
      <c r="G47" s="176"/>
      <c r="H47" s="176"/>
      <c r="I47" s="176"/>
      <c r="J47" s="176"/>
    </row>
    <row r="48" ht="15.75" customHeight="1">
      <c r="B48" s="196" t="s">
        <v>191</v>
      </c>
      <c r="C48" s="196"/>
      <c r="D48" s="196"/>
      <c r="E48" s="196"/>
      <c r="F48" s="196"/>
      <c r="G48" s="196"/>
      <c r="H48" s="196"/>
      <c r="I48" s="196"/>
      <c r="BB48" s="299" t="s">
        <v>217</v>
      </c>
      <c r="BC48" s="101"/>
      <c r="BD48" s="99"/>
    </row>
    <row r="49" ht="15.0" customHeight="1">
      <c r="B49" s="219" t="s">
        <v>192</v>
      </c>
      <c r="C49" s="220"/>
      <c r="D49" s="221"/>
      <c r="E49" s="221"/>
      <c r="F49" s="221"/>
      <c r="G49" s="221"/>
      <c r="H49" s="222"/>
      <c r="I49" s="223">
        <f>0.016*44/28</f>
        <v>0.02514285714</v>
      </c>
      <c r="BB49" s="112"/>
      <c r="BD49" s="113"/>
    </row>
    <row r="50" ht="15.75" customHeight="1">
      <c r="B50" s="224" t="s">
        <v>193</v>
      </c>
      <c r="C50" s="225"/>
      <c r="D50" s="226"/>
      <c r="E50" s="226"/>
      <c r="F50" s="226"/>
      <c r="G50" s="226"/>
      <c r="H50" s="227"/>
      <c r="I50" s="223">
        <f>0.006*44/28</f>
        <v>0.009428571429</v>
      </c>
      <c r="BB50" s="112"/>
      <c r="BD50" s="113"/>
    </row>
    <row r="51" ht="15.75" customHeight="1">
      <c r="B51" s="224" t="s">
        <v>194</v>
      </c>
      <c r="C51" s="225"/>
      <c r="D51" s="226"/>
      <c r="E51" s="226"/>
      <c r="F51" s="226"/>
      <c r="G51" s="226"/>
      <c r="H51" s="227"/>
      <c r="I51" s="223">
        <f>0.01*0.11*44/28</f>
        <v>0.001728571429</v>
      </c>
      <c r="BA51" s="305"/>
      <c r="BB51" s="306">
        <f>IFERROR(BB44*(1+'SUIVI RABAIS PRODUCTION ET C '!D74),"-")</f>
        <v>2209811.824</v>
      </c>
      <c r="BC51" s="149" t="s">
        <v>218</v>
      </c>
    </row>
    <row r="52" ht="15.75" customHeight="1">
      <c r="B52" s="224" t="s">
        <v>195</v>
      </c>
      <c r="C52" s="225"/>
      <c r="D52" s="226"/>
      <c r="E52" s="226"/>
      <c r="F52" s="226"/>
      <c r="G52" s="226"/>
      <c r="H52" s="227"/>
      <c r="I52" s="223">
        <f>0.01*0.21*44/28</f>
        <v>0.0033</v>
      </c>
      <c r="AZ52" s="307"/>
      <c r="BB52" s="306">
        <f>IFERROR(BB51/1000,"-")</f>
        <v>2209.811824</v>
      </c>
      <c r="BC52" s="149" t="s">
        <v>216</v>
      </c>
    </row>
    <row r="53" ht="15.75" customHeight="1">
      <c r="B53" s="224" t="s">
        <v>196</v>
      </c>
      <c r="C53" s="225"/>
      <c r="D53" s="226"/>
      <c r="E53" s="226"/>
      <c r="F53" s="226"/>
      <c r="G53" s="226"/>
      <c r="H53" s="227"/>
      <c r="I53" s="223">
        <f>0.011*0.24*44/28</f>
        <v>0.004148571429</v>
      </c>
      <c r="AV53" s="298"/>
    </row>
    <row r="54" ht="15.75" customHeight="1">
      <c r="B54" s="224" t="s">
        <v>197</v>
      </c>
      <c r="C54" s="225"/>
      <c r="D54" s="225"/>
      <c r="E54" s="225"/>
      <c r="F54" s="226"/>
      <c r="G54" s="226"/>
      <c r="H54" s="227"/>
      <c r="I54" s="223">
        <f>0.12*44/12</f>
        <v>0.44</v>
      </c>
    </row>
    <row r="55" ht="15.75" customHeight="1">
      <c r="B55" s="228" t="s">
        <v>198</v>
      </c>
      <c r="C55" s="229"/>
      <c r="D55" s="229"/>
      <c r="E55" s="229"/>
      <c r="F55" s="230"/>
      <c r="G55" s="230"/>
      <c r="H55" s="231"/>
      <c r="I55" s="223">
        <f>0.13*44/12</f>
        <v>0.4766666667</v>
      </c>
    </row>
    <row r="56" ht="15.75" customHeight="1"/>
    <row r="57" ht="15.75" customHeight="1">
      <c r="B57" s="196" t="s">
        <v>199</v>
      </c>
      <c r="C57" s="85"/>
      <c r="D57" s="85"/>
      <c r="E57" s="85"/>
      <c r="F57" s="85"/>
      <c r="G57" s="85"/>
      <c r="H57" s="85"/>
      <c r="I57" s="85"/>
    </row>
    <row r="58" ht="15.75" customHeight="1">
      <c r="B58" s="232" t="s">
        <v>200</v>
      </c>
      <c r="C58" s="233"/>
      <c r="D58" s="233"/>
      <c r="E58" s="233"/>
      <c r="F58" s="233"/>
      <c r="G58" s="233"/>
      <c r="H58" s="233"/>
      <c r="I58" s="234">
        <v>265.0</v>
      </c>
    </row>
    <row r="59" ht="15.75" customHeight="1"/>
    <row r="60" ht="15.75" customHeight="1">
      <c r="B60" s="196" t="s">
        <v>201</v>
      </c>
      <c r="C60" s="196"/>
      <c r="D60" s="196"/>
      <c r="E60" s="196"/>
      <c r="F60" s="196"/>
      <c r="G60" s="196"/>
      <c r="H60" s="196"/>
      <c r="I60" s="196"/>
    </row>
    <row r="61" ht="15.75" customHeight="1">
      <c r="C61" s="187" t="s">
        <v>52</v>
      </c>
      <c r="D61" s="50"/>
      <c r="E61" s="50"/>
      <c r="F61" s="50"/>
      <c r="G61" s="50"/>
      <c r="H61" s="51"/>
      <c r="I61" s="187" t="s">
        <v>152</v>
      </c>
      <c r="J61" s="50"/>
      <c r="K61" s="50"/>
      <c r="L61" s="50"/>
      <c r="M61" s="50"/>
      <c r="N61" s="50"/>
      <c r="O61" s="50"/>
      <c r="P61" s="50"/>
      <c r="Q61" s="50"/>
      <c r="R61" s="51"/>
    </row>
    <row r="62" ht="14.25" customHeight="1">
      <c r="C62" s="117" t="str">
        <f>BQ5</f>
        <v>Digestats de méthanisation liquide</v>
      </c>
      <c r="D62" s="117" t="str">
        <f>BT5</f>
        <v>Digestats de méthanisation solide</v>
      </c>
      <c r="E62" s="117" t="str">
        <f>BW5</f>
        <v/>
      </c>
      <c r="F62" s="117" t="str">
        <f>BZ5</f>
        <v/>
      </c>
      <c r="G62" s="117" t="str">
        <f>CC5</f>
        <v/>
      </c>
      <c r="H62" s="117" t="str">
        <f>CF5</f>
        <v/>
      </c>
      <c r="I62" s="190" t="s">
        <v>77</v>
      </c>
      <c r="J62" s="190" t="s">
        <v>78</v>
      </c>
      <c r="K62" s="190" t="s">
        <v>79</v>
      </c>
      <c r="L62" s="191" t="s">
        <v>80</v>
      </c>
      <c r="M62" s="191" t="s">
        <v>81</v>
      </c>
      <c r="N62" s="191" t="s">
        <v>82</v>
      </c>
      <c r="O62" s="191" t="s">
        <v>83</v>
      </c>
      <c r="P62" s="191" t="s">
        <v>84</v>
      </c>
      <c r="Q62" s="191" t="s">
        <v>85</v>
      </c>
      <c r="R62" s="191" t="s">
        <v>86</v>
      </c>
    </row>
    <row r="63" ht="15.75" customHeight="1">
      <c r="C63" s="96"/>
      <c r="D63" s="96"/>
      <c r="E63" s="96"/>
      <c r="F63" s="96"/>
      <c r="G63" s="96"/>
      <c r="H63" s="96"/>
      <c r="I63" s="115"/>
      <c r="J63" s="115"/>
      <c r="K63" s="115"/>
      <c r="L63" s="96"/>
      <c r="M63" s="96"/>
      <c r="N63" s="96"/>
      <c r="O63" s="96"/>
      <c r="P63" s="96"/>
      <c r="Q63" s="96"/>
      <c r="R63" s="96"/>
    </row>
    <row r="64" ht="15.75" customHeight="1">
      <c r="C64" s="123"/>
      <c r="D64" s="123"/>
      <c r="E64" s="123"/>
      <c r="F64" s="123"/>
      <c r="G64" s="123"/>
      <c r="H64" s="123"/>
      <c r="I64" s="115"/>
      <c r="J64" s="115"/>
      <c r="K64" s="115"/>
      <c r="L64" s="96"/>
      <c r="M64" s="96"/>
      <c r="N64" s="96"/>
      <c r="O64" s="96"/>
      <c r="P64" s="96"/>
      <c r="Q64" s="96"/>
      <c r="R64" s="96"/>
    </row>
    <row r="65" ht="15.75" customHeight="1">
      <c r="B65" s="235" t="s">
        <v>202</v>
      </c>
      <c r="C65" s="236"/>
      <c r="D65" s="236"/>
      <c r="E65" s="236"/>
      <c r="F65" s="236"/>
      <c r="G65" s="236"/>
      <c r="H65" s="236"/>
      <c r="I65" s="149">
        <v>10.1</v>
      </c>
      <c r="J65" s="149">
        <v>13.84</v>
      </c>
      <c r="K65" s="149">
        <v>21.6</v>
      </c>
      <c r="L65" s="149">
        <v>5.09</v>
      </c>
      <c r="M65" s="237">
        <f>(13.07+13.5+14.63+15.38)/4</f>
        <v>14.145</v>
      </c>
      <c r="N65" s="149">
        <v>28.45</v>
      </c>
      <c r="O65" s="149">
        <v>6.9</v>
      </c>
      <c r="P65" s="149">
        <v>27.3</v>
      </c>
      <c r="Q65" s="149">
        <v>5.55</v>
      </c>
      <c r="R65" s="149">
        <v>15.23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2">
    <mergeCell ref="C4:AF4"/>
    <mergeCell ref="C5:E5"/>
    <mergeCell ref="F5:H5"/>
    <mergeCell ref="I5:K5"/>
    <mergeCell ref="L5:N5"/>
    <mergeCell ref="O5:Q5"/>
    <mergeCell ref="R5:T5"/>
    <mergeCell ref="W17:Z17"/>
    <mergeCell ref="AA17:AD17"/>
    <mergeCell ref="AE17:AH17"/>
    <mergeCell ref="AI17:AL17"/>
    <mergeCell ref="AM17:AP17"/>
    <mergeCell ref="AQ17:AQ18"/>
    <mergeCell ref="AO27:AO30"/>
    <mergeCell ref="AP27:AP30"/>
    <mergeCell ref="AM28:AM30"/>
    <mergeCell ref="AN28:AN30"/>
    <mergeCell ref="U5:W5"/>
    <mergeCell ref="X5:Z5"/>
    <mergeCell ref="B14:B18"/>
    <mergeCell ref="C16:Z16"/>
    <mergeCell ref="AA16:AH16"/>
    <mergeCell ref="AI16:AP16"/>
    <mergeCell ref="C17:F17"/>
    <mergeCell ref="Z28:Z30"/>
    <mergeCell ref="AA28:AA30"/>
    <mergeCell ref="AI28:AI30"/>
    <mergeCell ref="AJ28:AJ30"/>
    <mergeCell ref="AK28:AK30"/>
    <mergeCell ref="AL28:AL30"/>
    <mergeCell ref="AB28:AB30"/>
    <mergeCell ref="AC28:AC30"/>
    <mergeCell ref="AD28:AD30"/>
    <mergeCell ref="AE28:AE30"/>
    <mergeCell ref="AF28:AF30"/>
    <mergeCell ref="AG28:AG30"/>
    <mergeCell ref="AH28:AH30"/>
    <mergeCell ref="N29:N30"/>
    <mergeCell ref="O29:O30"/>
    <mergeCell ref="P29:P30"/>
    <mergeCell ref="Q29:Q30"/>
    <mergeCell ref="O39:Z39"/>
    <mergeCell ref="AA39:AT39"/>
    <mergeCell ref="AU39:AU40"/>
    <mergeCell ref="AV39:AV40"/>
    <mergeCell ref="AX41:AZ43"/>
    <mergeCell ref="C62:C64"/>
    <mergeCell ref="D62:D64"/>
    <mergeCell ref="E62:E64"/>
    <mergeCell ref="F62:F64"/>
    <mergeCell ref="G62:G64"/>
    <mergeCell ref="H62:H64"/>
    <mergeCell ref="I62:I64"/>
    <mergeCell ref="Q62:Q64"/>
    <mergeCell ref="R62:R64"/>
    <mergeCell ref="J62:J64"/>
    <mergeCell ref="K62:K64"/>
    <mergeCell ref="L62:L64"/>
    <mergeCell ref="M62:M64"/>
    <mergeCell ref="N62:N64"/>
    <mergeCell ref="O62:O64"/>
    <mergeCell ref="P62:P64"/>
    <mergeCell ref="C28:L28"/>
    <mergeCell ref="M28:Q28"/>
    <mergeCell ref="R28:S28"/>
    <mergeCell ref="T28:T30"/>
    <mergeCell ref="R29:R30"/>
    <mergeCell ref="S29:S30"/>
    <mergeCell ref="U28:U30"/>
    <mergeCell ref="V28:V30"/>
    <mergeCell ref="K29:L29"/>
    <mergeCell ref="M29:M30"/>
    <mergeCell ref="K39:N39"/>
    <mergeCell ref="O17:R17"/>
    <mergeCell ref="S17:V17"/>
    <mergeCell ref="F19:F23"/>
    <mergeCell ref="J19:J23"/>
    <mergeCell ref="N19:N23"/>
    <mergeCell ref="R19:R23"/>
    <mergeCell ref="B27:B30"/>
    <mergeCell ref="BB41:BD43"/>
    <mergeCell ref="BB48:BD50"/>
    <mergeCell ref="C29:H29"/>
    <mergeCell ref="I29:J29"/>
    <mergeCell ref="B39:B40"/>
    <mergeCell ref="C39:F39"/>
    <mergeCell ref="G39:J39"/>
    <mergeCell ref="C61:H61"/>
    <mergeCell ref="I61:R61"/>
    <mergeCell ref="AY5:BA5"/>
    <mergeCell ref="BB5:BD5"/>
    <mergeCell ref="BE5:BG5"/>
    <mergeCell ref="BH5:BJ5"/>
    <mergeCell ref="BK5:BM5"/>
    <mergeCell ref="BN5:BP5"/>
    <mergeCell ref="BQ5:BS5"/>
    <mergeCell ref="AA5:AC5"/>
    <mergeCell ref="AD5:AF5"/>
    <mergeCell ref="AG5:AI5"/>
    <mergeCell ref="AM5:AO5"/>
    <mergeCell ref="AP5:AR5"/>
    <mergeCell ref="AS5:AU5"/>
    <mergeCell ref="AV5:AX5"/>
    <mergeCell ref="DU15:DV17"/>
    <mergeCell ref="DW15:DX17"/>
    <mergeCell ref="DG15:DH17"/>
    <mergeCell ref="DI15:DJ17"/>
    <mergeCell ref="DK15:DL17"/>
    <mergeCell ref="DM15:DN17"/>
    <mergeCell ref="DO15:DP17"/>
    <mergeCell ref="DQ15:DR17"/>
    <mergeCell ref="DS15:DT17"/>
    <mergeCell ref="BB4:BD4"/>
    <mergeCell ref="BE4:BP4"/>
    <mergeCell ref="CI4:DL4"/>
    <mergeCell ref="B1:CH2"/>
    <mergeCell ref="BP3:BS3"/>
    <mergeCell ref="CJ3:CM3"/>
    <mergeCell ref="AG4:AU4"/>
    <mergeCell ref="AV4:AX4"/>
    <mergeCell ref="AY4:BA4"/>
    <mergeCell ref="BQ4:CH4"/>
    <mergeCell ref="CO5:CQ5"/>
    <mergeCell ref="CR5:CT5"/>
    <mergeCell ref="CU5:CW5"/>
    <mergeCell ref="CX5:CZ5"/>
    <mergeCell ref="DA5:DC5"/>
    <mergeCell ref="DD5:DF5"/>
    <mergeCell ref="DG5:DI5"/>
    <mergeCell ref="DJ5:DL5"/>
    <mergeCell ref="BT5:BV5"/>
    <mergeCell ref="BW5:BY5"/>
    <mergeCell ref="BZ5:CB5"/>
    <mergeCell ref="CC5:CE5"/>
    <mergeCell ref="CF5:CH5"/>
    <mergeCell ref="CI5:CK5"/>
    <mergeCell ref="CL5:CN5"/>
    <mergeCell ref="DY15:DZ17"/>
    <mergeCell ref="EA15:EB17"/>
    <mergeCell ref="EC15:ED17"/>
    <mergeCell ref="EE15:EF17"/>
    <mergeCell ref="EG15:EH17"/>
    <mergeCell ref="B13:CX13"/>
    <mergeCell ref="C14:BR14"/>
    <mergeCell ref="CK14:CL14"/>
    <mergeCell ref="CM14:DB14"/>
    <mergeCell ref="DC14:DN14"/>
    <mergeCell ref="DO14:EH14"/>
    <mergeCell ref="C15:AP15"/>
    <mergeCell ref="G17:J17"/>
    <mergeCell ref="K17:N17"/>
    <mergeCell ref="BX17:BZ17"/>
    <mergeCell ref="CB17:CD17"/>
    <mergeCell ref="BQ15:CJ15"/>
    <mergeCell ref="CK15:CL17"/>
    <mergeCell ref="CM15:CP17"/>
    <mergeCell ref="CQ15:CT17"/>
    <mergeCell ref="CU15:CX17"/>
    <mergeCell ref="CY15:DB17"/>
    <mergeCell ref="CA16:CJ16"/>
    <mergeCell ref="DC15:DD17"/>
    <mergeCell ref="DE15:DF17"/>
    <mergeCell ref="AQ16:AW16"/>
    <mergeCell ref="AX16:BA16"/>
    <mergeCell ref="AX17:AX18"/>
    <mergeCell ref="AY17:BA17"/>
    <mergeCell ref="BB17:BB18"/>
    <mergeCell ref="BI17:BI18"/>
    <mergeCell ref="BM17:BM18"/>
    <mergeCell ref="BQ17:BQ18"/>
    <mergeCell ref="BB16:BH16"/>
    <mergeCell ref="BI16:BL16"/>
    <mergeCell ref="BM16:BP16"/>
    <mergeCell ref="BQ16:BZ16"/>
    <mergeCell ref="AQ15:BP15"/>
    <mergeCell ref="AR17:AT17"/>
    <mergeCell ref="AU17:AW17"/>
    <mergeCell ref="BC17:BE17"/>
    <mergeCell ref="BF17:BH17"/>
    <mergeCell ref="BJ17:BL17"/>
    <mergeCell ref="BN17:BP17"/>
    <mergeCell ref="BR17:BT17"/>
    <mergeCell ref="BU17:BW17"/>
    <mergeCell ref="CA17:CA18"/>
    <mergeCell ref="CE17:CG17"/>
    <mergeCell ref="CH17:CJ17"/>
    <mergeCell ref="BA19:BA23"/>
    <mergeCell ref="BE19:BE23"/>
    <mergeCell ref="BH19:BH23"/>
    <mergeCell ref="BL19:BL23"/>
    <mergeCell ref="BP19:BP23"/>
    <mergeCell ref="BT19:BT23"/>
    <mergeCell ref="BW19:BW23"/>
    <mergeCell ref="BZ19:BZ23"/>
    <mergeCell ref="CD19:CD23"/>
    <mergeCell ref="CG19:CG23"/>
    <mergeCell ref="CJ19:CJ23"/>
    <mergeCell ref="CL19:CL23"/>
    <mergeCell ref="CP19:CP23"/>
    <mergeCell ref="CT19:CT23"/>
    <mergeCell ref="CX19:CX23"/>
    <mergeCell ref="DB19:DB23"/>
    <mergeCell ref="DD19:DD23"/>
    <mergeCell ref="DF19:DF23"/>
    <mergeCell ref="DH19:DH23"/>
    <mergeCell ref="DJ19:DJ23"/>
    <mergeCell ref="DL19:DL23"/>
    <mergeCell ref="EB19:EB23"/>
    <mergeCell ref="ED19:ED23"/>
    <mergeCell ref="EF19:EF23"/>
    <mergeCell ref="EH19:EH23"/>
    <mergeCell ref="DN19:DN23"/>
    <mergeCell ref="DP19:DP23"/>
    <mergeCell ref="DR19:DR23"/>
    <mergeCell ref="DT19:DT23"/>
    <mergeCell ref="DV19:DV23"/>
    <mergeCell ref="DX19:DX23"/>
    <mergeCell ref="DZ19:DZ23"/>
    <mergeCell ref="Z19:Z23"/>
    <mergeCell ref="AD19:AD23"/>
    <mergeCell ref="AH19:AH23"/>
    <mergeCell ref="AL19:AL23"/>
    <mergeCell ref="AP19:AP23"/>
    <mergeCell ref="AT19:AT23"/>
    <mergeCell ref="AW19:AW23"/>
    <mergeCell ref="V19:V23"/>
    <mergeCell ref="U27:X27"/>
    <mergeCell ref="Y27:AD27"/>
    <mergeCell ref="AE27:AN27"/>
    <mergeCell ref="W28:W30"/>
    <mergeCell ref="X28:X30"/>
    <mergeCell ref="Y28:Y30"/>
  </mergeCells>
  <printOptions/>
  <pageMargins bottom="0.75" footer="0.0" header="0.0" left="0.25" right="0.25" top="0.75"/>
  <pageSetup fitToWidth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14.86"/>
    <col customWidth="1" min="4" max="4" width="17.29"/>
    <col customWidth="1" min="5" max="5" width="17.0"/>
    <col customWidth="1" min="6" max="6" width="19.71"/>
    <col customWidth="1" min="7" max="7" width="21.14"/>
    <col customWidth="1" min="8" max="8" width="7.71"/>
    <col customWidth="1" min="9" max="9" width="12.29"/>
    <col customWidth="1" min="10" max="11" width="19.29"/>
    <col customWidth="1" min="12" max="12" width="12.0"/>
    <col customWidth="1" min="13" max="13" width="13.86"/>
    <col customWidth="1" min="14" max="14" width="11.57"/>
    <col customWidth="1" min="15" max="15" width="12.43"/>
    <col customWidth="1" min="16" max="16" width="11.57"/>
    <col customWidth="1" min="17" max="17" width="18.57"/>
    <col customWidth="1" min="18" max="18" width="16.0"/>
    <col customWidth="1" min="19" max="20" width="11.57"/>
    <col customWidth="1" min="21" max="21" width="18.0"/>
    <col customWidth="1" min="22" max="26" width="11.57"/>
  </cols>
  <sheetData>
    <row r="1" ht="15.0" customHeight="1">
      <c r="B1" s="31" t="s">
        <v>219</v>
      </c>
    </row>
    <row r="2" ht="15.0" customHeight="1"/>
    <row r="4" ht="15.0" customHeight="1">
      <c r="B4" s="308" t="s">
        <v>220</v>
      </c>
      <c r="D4" s="9" t="s">
        <v>221</v>
      </c>
    </row>
    <row r="5">
      <c r="B5" s="9" t="s">
        <v>222</v>
      </c>
    </row>
    <row r="6">
      <c r="B6" s="309" t="s">
        <v>223</v>
      </c>
    </row>
    <row r="7">
      <c r="C7" s="309"/>
      <c r="D7" s="309"/>
      <c r="E7" s="309"/>
    </row>
    <row r="8">
      <c r="B8" s="30" t="s">
        <v>224</v>
      </c>
    </row>
    <row r="9">
      <c r="C9" s="310" t="s">
        <v>225</v>
      </c>
      <c r="D9" s="311"/>
      <c r="E9" s="312" t="s">
        <v>207</v>
      </c>
      <c r="F9" s="310" t="s">
        <v>226</v>
      </c>
      <c r="G9" s="313" t="str">
        <f>IF(E9="O","N",IF(E9= "N", "O", "saisir O ou N dans la zone dédiée références spécifiques"))</f>
        <v>O</v>
      </c>
      <c r="H9" s="309"/>
      <c r="I9" s="309"/>
    </row>
    <row r="10">
      <c r="B10" s="30"/>
      <c r="C10" s="309"/>
      <c r="E10" s="30"/>
      <c r="F10" s="309"/>
      <c r="G10" s="309"/>
      <c r="H10" s="309"/>
      <c r="I10" s="309"/>
    </row>
    <row r="11" ht="59.25" customHeight="1">
      <c r="E11" s="189" t="s">
        <v>227</v>
      </c>
      <c r="F11" s="208" t="str">
        <f>IF(E9="O", "IFT herbicide exploitation", "IFT herbicide référence régionale")</f>
        <v>IFT herbicide référence régionale</v>
      </c>
      <c r="G11" s="314" t="str">
        <f>IF(E9="O", "IFT hors herbicide exploitation", "IFT hors herbicide référence régionale")</f>
        <v>IFT hors herbicide référence régionale</v>
      </c>
      <c r="H11" s="189"/>
      <c r="I11" s="189" t="s">
        <v>227</v>
      </c>
      <c r="J11" s="314" t="s">
        <v>228</v>
      </c>
      <c r="K11" s="314" t="s">
        <v>229</v>
      </c>
      <c r="S11" s="26"/>
    </row>
    <row r="12">
      <c r="E12" s="54" t="s">
        <v>93</v>
      </c>
      <c r="F12" s="315">
        <v>2.5</v>
      </c>
      <c r="G12" s="315">
        <v>2.7</v>
      </c>
      <c r="I12" s="54" t="s">
        <v>207</v>
      </c>
      <c r="J12" s="315">
        <v>0.9</v>
      </c>
      <c r="K12" s="315">
        <v>0.98</v>
      </c>
      <c r="L12" s="29"/>
      <c r="M12" s="316" t="s">
        <v>230</v>
      </c>
      <c r="N12" s="317"/>
      <c r="O12" s="317"/>
      <c r="P12" s="318">
        <f>IF(AND(F17=0,J17=0),"/",IF(AND(J17&lt;&gt;0,F17=0),1,(J17-F17)/F17))</f>
        <v>-0.516</v>
      </c>
      <c r="Q12" s="319"/>
      <c r="R12" s="29"/>
      <c r="S12" s="298"/>
    </row>
    <row r="13">
      <c r="E13" s="54" t="s">
        <v>94</v>
      </c>
      <c r="F13" s="315">
        <v>2.5</v>
      </c>
      <c r="G13" s="315">
        <v>2.7</v>
      </c>
      <c r="I13" s="54" t="s">
        <v>208</v>
      </c>
      <c r="J13" s="315">
        <v>1.21</v>
      </c>
      <c r="K13" s="315">
        <v>1.3</v>
      </c>
      <c r="M13" s="320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321"/>
      <c r="O13" s="321"/>
      <c r="P13" s="321"/>
      <c r="Q13" s="322"/>
    </row>
    <row r="14">
      <c r="E14" s="54" t="s">
        <v>95</v>
      </c>
      <c r="F14" s="315">
        <v>2.5</v>
      </c>
      <c r="G14" s="315">
        <v>2.7</v>
      </c>
      <c r="I14" s="54" t="s">
        <v>209</v>
      </c>
      <c r="J14" s="315">
        <v>1.21</v>
      </c>
      <c r="K14" s="315">
        <v>1.3</v>
      </c>
      <c r="U14" s="298"/>
    </row>
    <row r="15">
      <c r="E15" s="54" t="s">
        <v>96</v>
      </c>
      <c r="F15" s="315">
        <v>2.5</v>
      </c>
      <c r="G15" s="315">
        <v>2.7</v>
      </c>
      <c r="I15" s="54" t="s">
        <v>210</v>
      </c>
      <c r="J15" s="315">
        <v>1.21</v>
      </c>
      <c r="K15" s="315">
        <v>1.3</v>
      </c>
      <c r="M15" s="323" t="s">
        <v>231</v>
      </c>
      <c r="N15" s="324"/>
      <c r="O15" s="324"/>
      <c r="P15" s="325">
        <f>IF(AND(G17=0,K17=0),"/",IF(AND(K17&lt;&gt;0,G17=0),1,(K17-G17)/G17))</f>
        <v>-0.5185185185</v>
      </c>
      <c r="Q15" s="326"/>
    </row>
    <row r="16">
      <c r="E16" s="54" t="s">
        <v>97</v>
      </c>
      <c r="F16" s="315">
        <v>2.5</v>
      </c>
      <c r="G16" s="315">
        <v>2.7</v>
      </c>
      <c r="I16" s="54" t="s">
        <v>211</v>
      </c>
      <c r="J16" s="315">
        <v>1.21</v>
      </c>
      <c r="K16" s="315">
        <v>1.3</v>
      </c>
      <c r="M16" s="327" t="str">
        <f>IF(P15="/","Ni rabais ni bonus",IF(AND(E9="O",P15&lt;=-0.2),"les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328"/>
      <c r="O16" s="328"/>
      <c r="P16" s="328"/>
      <c r="Q16" s="319"/>
    </row>
    <row r="17" ht="66.0" customHeight="1">
      <c r="E17" s="329" t="s">
        <v>232</v>
      </c>
      <c r="F17" s="195">
        <f t="shared" ref="F17:G17" si="1">IFERROR(TRIMMEAN(F12:F16,0.5),0)</f>
        <v>2.5</v>
      </c>
      <c r="G17" s="195">
        <f t="shared" si="1"/>
        <v>2.7</v>
      </c>
      <c r="I17" s="329" t="s">
        <v>233</v>
      </c>
      <c r="J17" s="195">
        <f t="shared" ref="J17:K17" si="2">IFERROR(TRIMMEAN(J12:J16,0.5),0)</f>
        <v>1.21</v>
      </c>
      <c r="K17" s="195">
        <f t="shared" si="2"/>
        <v>1.3</v>
      </c>
    </row>
    <row r="18">
      <c r="E18" s="330"/>
      <c r="F18" s="176"/>
      <c r="G18" s="176"/>
      <c r="I18" s="330"/>
      <c r="J18" s="176"/>
      <c r="K18" s="176"/>
      <c r="M18" s="331" t="s">
        <v>234</v>
      </c>
      <c r="N18" s="332"/>
      <c r="O18" s="332"/>
      <c r="P18" s="332"/>
      <c r="Q18" s="332"/>
      <c r="R18" s="333">
        <f>IF(P12&lt;0,ROUNDDOWN(-(P12-(-IF(E9="O",0.1,0.2)))/0.05,0),0)</f>
        <v>6</v>
      </c>
      <c r="S18" s="238"/>
    </row>
    <row r="19">
      <c r="B19" s="308" t="s">
        <v>235</v>
      </c>
      <c r="D19" s="9" t="s">
        <v>236</v>
      </c>
      <c r="M19" s="334" t="s">
        <v>237</v>
      </c>
      <c r="N19" s="335"/>
      <c r="O19" s="335"/>
      <c r="P19" s="335"/>
      <c r="Q19" s="335"/>
      <c r="R19" s="333">
        <f>IF(P15&lt;0,ROUNDDOWN(-(P15-(-IF(E9="O",0.3,0.5)))/0.05,0),0)</f>
        <v>0</v>
      </c>
    </row>
    <row r="20" ht="31.5" customHeight="1">
      <c r="B20" s="308"/>
      <c r="E20" s="189" t="s">
        <v>227</v>
      </c>
      <c r="F20" s="336" t="s">
        <v>238</v>
      </c>
      <c r="I20" s="189" t="s">
        <v>227</v>
      </c>
      <c r="J20" s="336" t="s">
        <v>238</v>
      </c>
      <c r="K20" s="337"/>
    </row>
    <row r="21" ht="15.75" customHeight="1">
      <c r="B21" s="308"/>
      <c r="E21" s="54" t="s">
        <v>93</v>
      </c>
      <c r="F21" s="315">
        <v>0.0</v>
      </c>
      <c r="I21" s="54" t="s">
        <v>207</v>
      </c>
      <c r="J21" s="315">
        <v>0.0</v>
      </c>
      <c r="K21" s="189"/>
      <c r="L21" s="338" t="s">
        <v>239</v>
      </c>
      <c r="M21" s="317"/>
      <c r="N21" s="317"/>
      <c r="O21" s="339"/>
      <c r="P21" s="340" t="str">
        <f>IF(AND(F26=0,J26=0),"/",IF(AND(F26=0,J26&lt;&gt;0),"mise en place de l'irrigation",(J26-F26)/F26))</f>
        <v>/</v>
      </c>
      <c r="Q21" s="341"/>
    </row>
    <row r="22" ht="15.75" customHeight="1">
      <c r="B22" s="308"/>
      <c r="E22" s="54" t="s">
        <v>94</v>
      </c>
      <c r="F22" s="315">
        <v>0.0</v>
      </c>
      <c r="I22" s="54" t="s">
        <v>208</v>
      </c>
      <c r="J22" s="315">
        <v>0.0</v>
      </c>
      <c r="K22" s="189"/>
      <c r="L22" s="320" t="str">
        <f>IF(SUM(F21:F25,J21:J25)=0,"Ni rabais ni bonus",IF(AND(F26=0,J26=0),"le co-bénéfice préservation de la ressource en eau est effectif",IF(P21&lt;=-0.3,"le co-bénéfice préservation de la ressource en eau est effectif","le co-bénéfice préservation de la ressource en eau n'est pas effectif")))</f>
        <v>Ni rabais ni bonus</v>
      </c>
      <c r="M22" s="321"/>
      <c r="N22" s="321"/>
      <c r="O22" s="321"/>
      <c r="P22" s="321"/>
      <c r="Q22" s="322"/>
    </row>
    <row r="23" ht="15.75" customHeight="1">
      <c r="B23" s="308"/>
      <c r="E23" s="54" t="s">
        <v>95</v>
      </c>
      <c r="F23" s="315">
        <v>0.0</v>
      </c>
      <c r="I23" s="54" t="s">
        <v>209</v>
      </c>
      <c r="J23" s="315">
        <v>0.0</v>
      </c>
      <c r="K23" s="189"/>
      <c r="L23" s="342"/>
      <c r="M23" s="342"/>
      <c r="N23" s="342"/>
      <c r="O23" s="342"/>
      <c r="P23" s="342"/>
    </row>
    <row r="24" ht="15.75" customHeight="1">
      <c r="B24" s="308"/>
      <c r="E24" s="54" t="s">
        <v>96</v>
      </c>
      <c r="F24" s="315">
        <v>0.0</v>
      </c>
      <c r="I24" s="54" t="s">
        <v>210</v>
      </c>
      <c r="J24" s="315">
        <v>0.0</v>
      </c>
      <c r="K24" s="189"/>
      <c r="Q24" s="182"/>
    </row>
    <row r="25" ht="15.75" customHeight="1">
      <c r="B25" s="308"/>
      <c r="E25" s="54" t="s">
        <v>97</v>
      </c>
      <c r="F25" s="315">
        <v>0.0</v>
      </c>
      <c r="I25" s="54" t="s">
        <v>211</v>
      </c>
      <c r="J25" s="315">
        <v>0.0</v>
      </c>
      <c r="K25" s="189"/>
      <c r="M25" s="13"/>
      <c r="N25" s="13"/>
      <c r="O25" s="13"/>
    </row>
    <row r="26" ht="44.25" customHeight="1">
      <c r="B26" s="308"/>
      <c r="E26" s="343" t="s">
        <v>240</v>
      </c>
      <c r="F26" s="195">
        <f>SUM(F21:F25)</f>
        <v>0</v>
      </c>
      <c r="I26" s="343" t="s">
        <v>240</v>
      </c>
      <c r="J26" s="195">
        <f>SUM(J21:J25)</f>
        <v>0</v>
      </c>
      <c r="K26" s="176"/>
      <c r="L26" s="344" t="s">
        <v>241</v>
      </c>
      <c r="M26" s="317"/>
      <c r="N26" s="317"/>
      <c r="O26" s="339"/>
      <c r="P26" s="345">
        <f>IF(P21&lt;0,ROUNDDOWN((-P21-0.3)/0.1,0),0)</f>
        <v>0</v>
      </c>
    </row>
    <row r="27" ht="15.75" customHeight="1"/>
    <row r="28" ht="33.75" customHeight="1">
      <c r="B28" s="308" t="s">
        <v>242</v>
      </c>
    </row>
    <row r="29" ht="15.75" customHeight="1"/>
    <row r="30" ht="15.75" customHeight="1">
      <c r="D30" s="346" t="s">
        <v>243</v>
      </c>
      <c r="E30" s="35"/>
      <c r="F30" s="35"/>
    </row>
    <row r="31" ht="15.75" customHeight="1">
      <c r="D31" s="249"/>
      <c r="E31" s="249"/>
      <c r="F31" s="249"/>
      <c r="L31" s="347"/>
      <c r="M31" s="347"/>
      <c r="N31" s="347"/>
      <c r="O31" s="347"/>
      <c r="P31" s="347"/>
      <c r="Q31" s="29"/>
      <c r="R31" s="22"/>
    </row>
    <row r="32" ht="15.75" customHeight="1">
      <c r="D32" s="249"/>
      <c r="E32" s="249"/>
      <c r="F32" s="249"/>
      <c r="L32" s="347"/>
      <c r="M32" s="347"/>
      <c r="N32" s="347"/>
      <c r="O32" s="347"/>
      <c r="P32" s="347"/>
      <c r="Q32" s="29"/>
      <c r="R32" s="22"/>
    </row>
    <row r="33" ht="15.75" customHeight="1">
      <c r="D33" s="249"/>
      <c r="E33" s="249"/>
      <c r="F33" s="249"/>
      <c r="L33" s="347"/>
      <c r="M33" s="347"/>
      <c r="N33" s="347"/>
      <c r="O33" s="347"/>
      <c r="P33" s="347"/>
      <c r="Q33" s="29"/>
      <c r="R33" s="22"/>
      <c r="S33" s="7"/>
    </row>
    <row r="34" ht="15.75" customHeight="1">
      <c r="D34" s="249"/>
      <c r="E34" s="249"/>
      <c r="F34" s="249"/>
      <c r="L34" s="347"/>
      <c r="M34" s="347"/>
      <c r="N34" s="347"/>
      <c r="O34" s="347"/>
      <c r="P34" s="347"/>
      <c r="Q34" s="29"/>
      <c r="R34" s="22"/>
      <c r="S34" s="7"/>
    </row>
    <row r="35" ht="15.75" customHeight="1">
      <c r="D35" s="249"/>
      <c r="E35" s="249"/>
      <c r="F35" s="249"/>
      <c r="L35" s="347"/>
      <c r="M35" s="347"/>
      <c r="N35" s="347"/>
      <c r="O35" s="347"/>
      <c r="P35" s="347"/>
      <c r="Q35" s="29"/>
      <c r="R35" s="22"/>
      <c r="S35" s="7"/>
    </row>
    <row r="36" ht="15.75" customHeight="1">
      <c r="D36" s="249"/>
      <c r="E36" s="249"/>
      <c r="F36" s="249"/>
      <c r="L36" s="347"/>
      <c r="M36" s="347"/>
      <c r="N36" s="347"/>
      <c r="O36" s="347"/>
      <c r="P36" s="347"/>
      <c r="Q36" s="29"/>
      <c r="R36" s="22"/>
      <c r="S36" s="7"/>
    </row>
    <row r="37" ht="15.75" customHeight="1">
      <c r="D37" s="249"/>
      <c r="E37" s="249"/>
      <c r="F37" s="249"/>
      <c r="L37" s="347"/>
      <c r="M37" s="347"/>
      <c r="N37" s="347"/>
      <c r="O37" s="347"/>
      <c r="P37" s="347"/>
      <c r="Q37" s="29"/>
      <c r="R37" s="22"/>
      <c r="S37" s="7"/>
    </row>
    <row r="38" ht="15.75" customHeight="1"/>
    <row r="39" ht="15.75" customHeight="1">
      <c r="M39" s="347"/>
      <c r="N39" s="347"/>
      <c r="O39" s="347"/>
      <c r="P39" s="347"/>
    </row>
    <row r="40" ht="15.75" customHeight="1">
      <c r="L40" s="347"/>
      <c r="M40" s="347"/>
      <c r="N40" s="347"/>
      <c r="O40" s="29"/>
      <c r="P40" s="29"/>
      <c r="Q40" s="29"/>
      <c r="R40" s="29"/>
      <c r="S40" s="29"/>
    </row>
    <row r="41" ht="15.75" customHeight="1">
      <c r="L41" s="347"/>
      <c r="M41" s="347"/>
      <c r="N41" s="347"/>
      <c r="O41" s="29"/>
      <c r="P41" s="29"/>
      <c r="Q41" s="29"/>
      <c r="R41" s="29"/>
      <c r="S41" s="29"/>
    </row>
    <row r="42" ht="15.75" customHeight="1">
      <c r="L42" s="347"/>
      <c r="M42" s="347"/>
      <c r="N42" s="347"/>
      <c r="O42" s="29"/>
      <c r="P42" s="29"/>
      <c r="Q42" s="29"/>
      <c r="R42" s="29"/>
      <c r="S42" s="29"/>
    </row>
    <row r="43" ht="15.75" customHeight="1">
      <c r="L43" s="347"/>
      <c r="M43" s="347"/>
      <c r="N43" s="347"/>
      <c r="O43" s="29"/>
      <c r="P43" s="29"/>
      <c r="Q43" s="29"/>
      <c r="R43" s="29"/>
      <c r="S43" s="29"/>
    </row>
    <row r="44" ht="15.75" customHeight="1">
      <c r="L44" s="347"/>
      <c r="M44" s="347"/>
      <c r="N44" s="347"/>
      <c r="O44" s="29"/>
      <c r="P44" s="29"/>
      <c r="Q44" s="29"/>
      <c r="R44" s="29"/>
      <c r="S44" s="29"/>
    </row>
    <row r="45" ht="15.75" customHeight="1">
      <c r="L45" s="347"/>
      <c r="M45" s="347"/>
      <c r="N45" s="347"/>
      <c r="O45" s="29"/>
      <c r="P45" s="29"/>
      <c r="Q45" s="29"/>
      <c r="R45" s="29"/>
      <c r="S45" s="29"/>
    </row>
    <row r="46" ht="15.75" customHeight="1">
      <c r="L46" s="347"/>
      <c r="M46" s="347"/>
      <c r="N46" s="347"/>
      <c r="O46" s="29"/>
      <c r="P46" s="29"/>
      <c r="Q46" s="29"/>
      <c r="R46" s="29"/>
      <c r="S46" s="29"/>
    </row>
    <row r="47" ht="15.75" customHeight="1">
      <c r="O47" s="29"/>
      <c r="P47" s="29"/>
      <c r="Q47" s="29"/>
      <c r="R47" s="29"/>
      <c r="S47" s="29"/>
    </row>
    <row r="48" ht="15.75" customHeight="1">
      <c r="O48" s="29"/>
      <c r="P48" s="29"/>
      <c r="Q48" s="29"/>
      <c r="R48" s="29"/>
      <c r="S48" s="29"/>
    </row>
    <row r="49" ht="15.75" customHeight="1">
      <c r="O49" s="29"/>
      <c r="P49" s="29"/>
      <c r="Q49" s="29"/>
      <c r="R49" s="29"/>
      <c r="S49" s="29"/>
    </row>
    <row r="50" ht="15.75" customHeight="1">
      <c r="O50" s="29"/>
      <c r="P50" s="29"/>
      <c r="Q50" s="29"/>
      <c r="R50" s="29"/>
      <c r="S50" s="29"/>
    </row>
    <row r="51" ht="15.75" customHeight="1">
      <c r="O51" s="29"/>
      <c r="P51" s="29"/>
      <c r="Q51" s="29"/>
      <c r="R51" s="29"/>
      <c r="S51" s="29"/>
    </row>
    <row r="52" ht="15.75" customHeight="1">
      <c r="O52" s="29"/>
      <c r="P52" s="29"/>
      <c r="Q52" s="29"/>
      <c r="R52" s="29"/>
      <c r="S52" s="29"/>
    </row>
    <row r="53" ht="15.75" customHeight="1">
      <c r="O53" s="29"/>
      <c r="P53" s="29"/>
      <c r="Q53" s="29"/>
      <c r="R53" s="29"/>
      <c r="S53" s="29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1:K2"/>
    <mergeCell ref="B6:E6"/>
    <mergeCell ref="M12:O12"/>
    <mergeCell ref="M15:O15"/>
    <mergeCell ref="L21:O21"/>
    <mergeCell ref="L26:O26"/>
    <mergeCell ref="D30:F30"/>
  </mergeCells>
  <conditionalFormatting sqref="P26">
    <cfRule type="expression" dxfId="0" priority="1">
      <formula>"&gt;=1"</formula>
    </cfRule>
  </conditionalFormatting>
  <hyperlinks>
    <hyperlink r:id="rId1" ref="B6"/>
  </hyperlinks>
  <printOptions/>
  <pageMargins bottom="0.75" footer="0.0" header="0.0" left="0.7" right="0.7" top="0.75"/>
  <pageSetup paperSize="9"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9.29"/>
    <col customWidth="1" min="3" max="39" width="16.71"/>
    <col customWidth="1" min="40" max="41" width="28.43"/>
    <col customWidth="1" min="42" max="42" width="16.71"/>
  </cols>
  <sheetData>
    <row r="1" ht="15.0" customHeight="1">
      <c r="B1" s="31" t="s">
        <v>244</v>
      </c>
      <c r="L1" s="31"/>
    </row>
    <row r="2" ht="15.0" customHeight="1">
      <c r="L2" s="31"/>
    </row>
    <row r="3">
      <c r="A3" s="19"/>
      <c r="B3" s="19"/>
      <c r="C3" s="19"/>
      <c r="D3" s="19"/>
      <c r="E3" s="19"/>
      <c r="F3" s="19"/>
      <c r="G3" s="19"/>
      <c r="I3" s="19"/>
      <c r="R3" s="189"/>
      <c r="Y3" s="19"/>
    </row>
    <row r="4">
      <c r="B4" s="189"/>
      <c r="F4" s="48"/>
    </row>
    <row r="5" ht="24.0" customHeight="1">
      <c r="B5" s="348" t="s">
        <v>245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7">
      <c r="B7" s="349" t="s">
        <v>246</v>
      </c>
      <c r="C7" s="350"/>
      <c r="D7" s="350"/>
      <c r="E7" s="350"/>
      <c r="F7" s="350"/>
      <c r="G7" s="350"/>
      <c r="H7" s="350"/>
      <c r="M7" s="351" t="s">
        <v>247</v>
      </c>
      <c r="N7" s="352"/>
      <c r="O7" s="352"/>
      <c r="P7" s="352"/>
      <c r="Q7" s="352"/>
      <c r="R7" s="352"/>
      <c r="S7" s="352"/>
    </row>
    <row r="8" ht="25.5" customHeight="1">
      <c r="C8" s="353" t="s">
        <v>227</v>
      </c>
      <c r="D8" s="54" t="s">
        <v>93</v>
      </c>
      <c r="E8" s="54" t="s">
        <v>94</v>
      </c>
      <c r="F8" s="54" t="s">
        <v>95</v>
      </c>
      <c r="G8" s="54" t="s">
        <v>96</v>
      </c>
      <c r="H8" s="54" t="s">
        <v>97</v>
      </c>
      <c r="N8" s="353" t="s">
        <v>227</v>
      </c>
      <c r="O8" s="54" t="s">
        <v>207</v>
      </c>
      <c r="P8" s="54" t="s">
        <v>208</v>
      </c>
      <c r="Q8" s="54" t="s">
        <v>209</v>
      </c>
      <c r="R8" s="54" t="s">
        <v>210</v>
      </c>
      <c r="S8" s="54" t="s">
        <v>211</v>
      </c>
    </row>
    <row r="9" ht="69.0" customHeight="1">
      <c r="C9" s="354" t="s">
        <v>248</v>
      </c>
      <c r="D9" s="355">
        <v>381.8</v>
      </c>
      <c r="E9" s="355">
        <v>364.75</v>
      </c>
      <c r="F9" s="355">
        <v>364.75</v>
      </c>
      <c r="G9" s="355">
        <v>364.84</v>
      </c>
      <c r="H9" s="355">
        <v>381.99</v>
      </c>
      <c r="N9" s="353" t="s">
        <v>248</v>
      </c>
      <c r="O9" s="355">
        <v>381.96</v>
      </c>
      <c r="P9" s="355">
        <v>381.96</v>
      </c>
      <c r="Q9" s="355">
        <v>381.96</v>
      </c>
      <c r="R9" s="355">
        <v>381.96</v>
      </c>
      <c r="S9" s="355">
        <v>381.96</v>
      </c>
    </row>
    <row r="10" ht="69.0" customHeight="1">
      <c r="C10" s="354" t="s">
        <v>249</v>
      </c>
      <c r="D10" s="355">
        <v>101.75</v>
      </c>
      <c r="E10" s="355">
        <v>119.97</v>
      </c>
      <c r="F10" s="355">
        <v>108.42</v>
      </c>
      <c r="G10" s="355">
        <v>119.33</v>
      </c>
      <c r="H10" s="355">
        <v>127.31</v>
      </c>
      <c r="N10" s="353" t="s">
        <v>249</v>
      </c>
      <c r="O10" s="355">
        <v>112.53</v>
      </c>
      <c r="P10" s="355">
        <v>112.53</v>
      </c>
      <c r="Q10" s="355">
        <v>112.53</v>
      </c>
      <c r="R10" s="355">
        <v>112.53</v>
      </c>
      <c r="S10" s="355">
        <v>112.53</v>
      </c>
    </row>
    <row r="11" ht="29.25" customHeight="1"/>
    <row r="12" ht="29.25" customHeight="1"/>
    <row r="13" ht="28.5" customHeight="1">
      <c r="B13" s="348" t="s">
        <v>250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ht="23.25" customHeight="1"/>
    <row r="15" ht="25.5" customHeight="1">
      <c r="C15" s="353" t="s">
        <v>227</v>
      </c>
      <c r="D15" s="54" t="s">
        <v>93</v>
      </c>
      <c r="E15" s="54" t="s">
        <v>94</v>
      </c>
      <c r="F15" s="54" t="s">
        <v>95</v>
      </c>
      <c r="G15" s="54" t="s">
        <v>96</v>
      </c>
      <c r="H15" s="54" t="s">
        <v>97</v>
      </c>
      <c r="N15" s="353" t="s">
        <v>227</v>
      </c>
      <c r="O15" s="54" t="s">
        <v>207</v>
      </c>
      <c r="P15" s="54" t="s">
        <v>208</v>
      </c>
      <c r="Q15" s="54" t="s">
        <v>209</v>
      </c>
      <c r="R15" s="54" t="s">
        <v>210</v>
      </c>
      <c r="S15" s="54" t="s">
        <v>211</v>
      </c>
    </row>
    <row r="16" ht="69.0" customHeight="1">
      <c r="C16" s="354" t="s">
        <v>251</v>
      </c>
      <c r="D16" s="355">
        <v>158.2</v>
      </c>
      <c r="E16" s="355">
        <v>163.3</v>
      </c>
      <c r="F16" s="355">
        <v>162.5</v>
      </c>
      <c r="G16" s="355">
        <v>156.9</v>
      </c>
      <c r="H16" s="355">
        <v>158.3</v>
      </c>
      <c r="N16" s="353" t="s">
        <v>251</v>
      </c>
      <c r="O16" s="355">
        <v>158.2</v>
      </c>
      <c r="P16" s="355">
        <v>158.2</v>
      </c>
      <c r="Q16" s="355">
        <v>158.2</v>
      </c>
      <c r="R16" s="355">
        <v>158.2</v>
      </c>
      <c r="S16" s="355">
        <v>158.2</v>
      </c>
    </row>
    <row r="17" ht="69.0" customHeight="1">
      <c r="C17" s="354" t="s">
        <v>252</v>
      </c>
      <c r="D17" s="355">
        <v>0.0</v>
      </c>
      <c r="E17" s="355">
        <v>0.0</v>
      </c>
      <c r="F17" s="355">
        <v>0.0</v>
      </c>
      <c r="G17" s="355">
        <v>0.0</v>
      </c>
      <c r="H17" s="355">
        <v>0.0</v>
      </c>
      <c r="N17" s="354" t="s">
        <v>252</v>
      </c>
      <c r="O17" s="355">
        <v>0.0</v>
      </c>
      <c r="P17" s="355">
        <v>0.0</v>
      </c>
      <c r="Q17" s="355">
        <v>0.0</v>
      </c>
      <c r="R17" s="355">
        <v>0.0</v>
      </c>
      <c r="S17" s="355">
        <v>0.0</v>
      </c>
    </row>
    <row r="18" ht="69.0" customHeight="1">
      <c r="C18" s="354" t="s">
        <v>253</v>
      </c>
      <c r="D18" s="356">
        <v>40.0</v>
      </c>
      <c r="E18" s="356">
        <v>40.0</v>
      </c>
      <c r="F18" s="356">
        <v>40.0</v>
      </c>
      <c r="G18" s="356">
        <v>40.0</v>
      </c>
      <c r="H18" s="356">
        <v>40.0</v>
      </c>
      <c r="I18" s="357" t="s">
        <v>254</v>
      </c>
      <c r="N18" s="354" t="s">
        <v>253</v>
      </c>
      <c r="O18" s="356">
        <v>40.0</v>
      </c>
      <c r="P18" s="356">
        <v>40.0</v>
      </c>
      <c r="Q18" s="356">
        <v>40.0</v>
      </c>
      <c r="R18" s="356">
        <v>40.0</v>
      </c>
      <c r="S18" s="356">
        <v>40.0</v>
      </c>
      <c r="T18" s="357" t="s">
        <v>255</v>
      </c>
      <c r="U18" s="357" t="s">
        <v>256</v>
      </c>
      <c r="V18" s="357" t="s">
        <v>256</v>
      </c>
      <c r="W18" s="358" t="s">
        <v>257</v>
      </c>
    </row>
    <row r="19" ht="69.0" customHeight="1">
      <c r="C19" s="353" t="s">
        <v>258</v>
      </c>
      <c r="D19" s="359">
        <f t="shared" ref="D19:H19" si="1">IF(ISBLANK(D17),"N/A",IF(D17&gt;0,D17/D10,0))</f>
        <v>0</v>
      </c>
      <c r="E19" s="359">
        <f t="shared" si="1"/>
        <v>0</v>
      </c>
      <c r="F19" s="359">
        <f t="shared" si="1"/>
        <v>0</v>
      </c>
      <c r="G19" s="359">
        <f t="shared" si="1"/>
        <v>0</v>
      </c>
      <c r="H19" s="359">
        <f t="shared" si="1"/>
        <v>0</v>
      </c>
      <c r="I19" s="360">
        <f t="array" ref="I19">IF(AND(EXACT(D19:H19,"N/A")),"N/A",AVERAGE(D19,E19,F19,G19,H19))</f>
        <v>0</v>
      </c>
      <c r="M19" s="347"/>
      <c r="N19" s="353" t="s">
        <v>258</v>
      </c>
      <c r="O19" s="359">
        <f>IF(ISBLANK(O17),"N/A",IF(O17&gt;0,O17/O10,0))</f>
        <v>0</v>
      </c>
      <c r="P19" s="361">
        <v>0.0</v>
      </c>
      <c r="Q19" s="361">
        <v>0.0</v>
      </c>
      <c r="R19" s="361">
        <v>0.0</v>
      </c>
      <c r="S19" s="361">
        <v>0.0</v>
      </c>
      <c r="T19" s="362" t="str">
        <f>IF(SUM(O19,P19,Q19,R19,S19)&lt;&gt;0,AVERAGE(O19,P19,Q19,R19,S19),IF(SUM(O19,P19,Q19,R19,S19)=0,"N/A","valeur(s) entrée(s) incorrecte(s)"))</f>
        <v>N/A</v>
      </c>
      <c r="U19" s="363" t="str">
        <f t="shared" ref="U19:U21" si="4">IF(T19="N/A","N/A",IF(I19-T19&lt;&gt;0,ABS((I19-T19)/I19)-0.2,IF(AND(I19=0,T19=0),"N/A",IF(T19&lt;0,"N/A","N/A"))))</f>
        <v>N/A</v>
      </c>
      <c r="V19" s="364" t="str">
        <f t="shared" ref="V19:V21" si="5">IF(T19="N/A","N/A",IF((ABS((I19-T19)/I19))-0.2&gt;0,IF(I19&gt;T19,"rabais","+"),IF(I19=0,"0","ni rabais ni bonus")))</f>
        <v>N/A</v>
      </c>
      <c r="W19" s="364" t="str">
        <f t="shared" ref="W19:W21" si="6">IF(T19="N/A","N/A",IF(V19="ni rabais ni bonus",0,U19*IF(V19="+",1,-1)))</f>
        <v>N/A</v>
      </c>
      <c r="Y19" s="365" t="s">
        <v>259</v>
      </c>
      <c r="Z19" s="366"/>
      <c r="AN19" s="367" t="s">
        <v>260</v>
      </c>
      <c r="AO19" s="368"/>
    </row>
    <row r="20" ht="69.0" customHeight="1">
      <c r="C20" s="353" t="s">
        <v>261</v>
      </c>
      <c r="D20" s="359">
        <f t="shared" ref="D20:H20" si="2">IF(ISBLANK(D16),"N/A",IF(D16&gt;0,D16/D10,0))</f>
        <v>1.554791155</v>
      </c>
      <c r="E20" s="359">
        <f t="shared" si="2"/>
        <v>1.361173627</v>
      </c>
      <c r="F20" s="359">
        <f t="shared" si="2"/>
        <v>1.498800959</v>
      </c>
      <c r="G20" s="359">
        <f t="shared" si="2"/>
        <v>1.314841197</v>
      </c>
      <c r="H20" s="359">
        <f t="shared" si="2"/>
        <v>1.243421569</v>
      </c>
      <c r="I20" s="360">
        <f t="array" ref="I20">IF(AND(EXACT(D20:H20,"N/A")),"N/A",AVERAGE(D20,E20,F20,G20,H20))</f>
        <v>1.394605701</v>
      </c>
      <c r="M20" s="347"/>
      <c r="N20" s="353" t="s">
        <v>261</v>
      </c>
      <c r="O20" s="359">
        <f t="shared" ref="O20:S20" si="3">IF(ISBLANK(O16),"N/A",IF(O16&gt;0,O16/O10,0))</f>
        <v>1.40584733</v>
      </c>
      <c r="P20" s="359">
        <f t="shared" si="3"/>
        <v>1.40584733</v>
      </c>
      <c r="Q20" s="359">
        <f t="shared" si="3"/>
        <v>1.40584733</v>
      </c>
      <c r="R20" s="359">
        <f t="shared" si="3"/>
        <v>1.40584733</v>
      </c>
      <c r="S20" s="359">
        <f t="shared" si="3"/>
        <v>1.40584733</v>
      </c>
      <c r="T20" s="360">
        <f t="array" ref="T20">IF(AND(EXACT(O20:S20,"N/A")),"N/A",AVERAGE(O20,P20,Q20,R20,S20))</f>
        <v>1.40584733</v>
      </c>
      <c r="U20" s="363">
        <f t="shared" si="4"/>
        <v>-0.1919392067</v>
      </c>
      <c r="V20" s="364" t="str">
        <f t="shared" si="5"/>
        <v>ni rabais ni bonus</v>
      </c>
      <c r="W20" s="364">
        <f t="shared" si="6"/>
        <v>0</v>
      </c>
      <c r="Y20" s="369" t="s">
        <v>262</v>
      </c>
      <c r="Z20" s="369" t="s">
        <v>263</v>
      </c>
      <c r="AN20" s="370" t="s">
        <v>262</v>
      </c>
      <c r="AO20" s="370" t="s">
        <v>263</v>
      </c>
    </row>
    <row r="21" ht="69.0" customHeight="1">
      <c r="B21" s="189"/>
      <c r="C21" s="353" t="s">
        <v>264</v>
      </c>
      <c r="D21" s="359">
        <f t="shared" ref="D21:H21" si="7">IF(ISBLANK(D18),"N/A",IF(D18&gt;0,D18/D9,0))</f>
        <v>0.1047668937</v>
      </c>
      <c r="E21" s="359">
        <f t="shared" si="7"/>
        <v>0.1096641535</v>
      </c>
      <c r="F21" s="359">
        <f t="shared" si="7"/>
        <v>0.1096641535</v>
      </c>
      <c r="G21" s="359">
        <f t="shared" si="7"/>
        <v>0.1096371012</v>
      </c>
      <c r="H21" s="359">
        <f t="shared" si="7"/>
        <v>0.1047147831</v>
      </c>
      <c r="I21" s="360">
        <f t="array" ref="I21">IF(AND(EXACT(D21:H21,"N/A")),"N/A",AVERAGE(D21,E21,F21,G21,H21))</f>
        <v>0.107689417</v>
      </c>
      <c r="M21" s="347"/>
      <c r="N21" s="353" t="s">
        <v>264</v>
      </c>
      <c r="O21" s="359">
        <f t="shared" ref="O21:S21" si="8">IF(ISBLANK(O18),"N/A",IF(O18&gt;0,O18/O9,0))</f>
        <v>0.1047230076</v>
      </c>
      <c r="P21" s="359">
        <f t="shared" si="8"/>
        <v>0.1047230076</v>
      </c>
      <c r="Q21" s="359">
        <f t="shared" si="8"/>
        <v>0.1047230076</v>
      </c>
      <c r="R21" s="359">
        <f t="shared" si="8"/>
        <v>0.1047230076</v>
      </c>
      <c r="S21" s="359">
        <f t="shared" si="8"/>
        <v>0.1047230076</v>
      </c>
      <c r="T21" s="362">
        <f>IF(SUM(O21,P21,Q21,R21,S21)&lt;&gt;0,AVERAGE(O21,P21,Q21,R21,S21),IF(SUM(O21,P21,Q21,R21,S21)=0,"N/A","valeur(s) entrée(s) incorrecte(s)"))</f>
        <v>0.1047230076</v>
      </c>
      <c r="U21" s="363">
        <f t="shared" si="4"/>
        <v>-0.1724540308</v>
      </c>
      <c r="V21" s="364" t="str">
        <f t="shared" si="5"/>
        <v>ni rabais ni bonus</v>
      </c>
      <c r="W21" s="364">
        <f t="shared" si="6"/>
        <v>0</v>
      </c>
      <c r="Y21" s="371" t="str">
        <f>IF(Z21="N/A","N/A",IF(Z21&lt;0,"Rabais",IF(Z21&gt;0,"Bonus","Ni rabais ni bonus")))</f>
        <v>Ni rabais ni bonus</v>
      </c>
      <c r="Z21" s="372">
        <f t="array" ref="Z21">IF(AND(EXACT(T19:T21,"N/A")),"N/A",MEDIAN(IF(ISNUMBER(T19:T21),W19:W21)))</f>
        <v>0</v>
      </c>
      <c r="AN21" s="373" t="str">
        <f>IF(AO21="-","-",IF(AO21&lt;0,"Rabais",IF(AO21&gt;0,"Bonus","Ni rabais ni bonus")))</f>
        <v>Ni rabais ni bonus</v>
      </c>
      <c r="AO21" s="374">
        <f>IF(AND(AO46="N/A",Z21="N/A"),"-",IF(AND(ISNUMBER(AO46),ISNUMBER(Z21)),AVERAGE(Z21,AO46),SUM(Z21,AO46)))</f>
        <v>0</v>
      </c>
    </row>
    <row r="22" ht="15.75" customHeight="1">
      <c r="B22" s="189"/>
      <c r="F22" s="48"/>
    </row>
    <row r="23" ht="15.75" customHeight="1">
      <c r="B23" s="189"/>
      <c r="F23" s="48"/>
      <c r="AK23" s="238"/>
    </row>
    <row r="24" ht="15.75" customHeight="1">
      <c r="B24" s="189"/>
      <c r="F24" s="48"/>
      <c r="U24" s="19"/>
      <c r="AK24" s="238"/>
    </row>
    <row r="25" ht="15.75" customHeight="1">
      <c r="B25" s="189"/>
      <c r="F25" s="48"/>
      <c r="AK25" s="238"/>
    </row>
    <row r="26" ht="15.75" customHeight="1"/>
    <row r="27" ht="31.5" customHeight="1">
      <c r="B27" s="348" t="s">
        <v>265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ht="15.75" customHeight="1">
      <c r="B28" s="375" t="s">
        <v>266</v>
      </c>
      <c r="C28" s="376" t="s">
        <v>93</v>
      </c>
      <c r="D28" s="377" t="s">
        <v>93</v>
      </c>
      <c r="E28" s="378" t="s">
        <v>93</v>
      </c>
      <c r="F28" s="376" t="s">
        <v>94</v>
      </c>
      <c r="G28" s="377" t="s">
        <v>94</v>
      </c>
      <c r="H28" s="378" t="s">
        <v>94</v>
      </c>
      <c r="I28" s="376" t="s">
        <v>95</v>
      </c>
      <c r="J28" s="377" t="s">
        <v>95</v>
      </c>
      <c r="K28" s="378" t="s">
        <v>95</v>
      </c>
      <c r="L28" s="376" t="s">
        <v>96</v>
      </c>
      <c r="M28" s="377" t="s">
        <v>96</v>
      </c>
      <c r="N28" s="378" t="s">
        <v>96</v>
      </c>
      <c r="O28" s="376" t="s">
        <v>97</v>
      </c>
      <c r="P28" s="377" t="s">
        <v>97</v>
      </c>
      <c r="Q28" s="378" t="s">
        <v>97</v>
      </c>
      <c r="R28" s="379" t="s">
        <v>267</v>
      </c>
      <c r="S28" s="189"/>
      <c r="T28" s="376" t="s">
        <v>207</v>
      </c>
      <c r="U28" s="377" t="s">
        <v>207</v>
      </c>
      <c r="V28" s="378" t="s">
        <v>207</v>
      </c>
      <c r="W28" s="376" t="s">
        <v>208</v>
      </c>
      <c r="X28" s="377" t="s">
        <v>208</v>
      </c>
      <c r="Y28" s="378" t="s">
        <v>208</v>
      </c>
      <c r="Z28" s="376" t="s">
        <v>209</v>
      </c>
      <c r="AA28" s="377" t="s">
        <v>209</v>
      </c>
      <c r="AB28" s="378" t="s">
        <v>209</v>
      </c>
      <c r="AC28" s="376" t="s">
        <v>210</v>
      </c>
      <c r="AD28" s="377" t="s">
        <v>210</v>
      </c>
      <c r="AE28" s="378" t="s">
        <v>210</v>
      </c>
      <c r="AF28" s="376" t="s">
        <v>211</v>
      </c>
      <c r="AG28" s="377" t="s">
        <v>211</v>
      </c>
      <c r="AH28" s="378" t="s">
        <v>211</v>
      </c>
      <c r="AI28" s="380" t="s">
        <v>255</v>
      </c>
      <c r="AJ28" s="381" t="s">
        <v>256</v>
      </c>
      <c r="AK28" s="382" t="s">
        <v>256</v>
      </c>
      <c r="AL28" s="358" t="s">
        <v>257</v>
      </c>
      <c r="AM28" s="383"/>
      <c r="AN28" s="383"/>
      <c r="AO28" s="383"/>
    </row>
    <row r="29" ht="15.75" customHeight="1">
      <c r="B29" s="384"/>
      <c r="C29" s="385" t="s">
        <v>248</v>
      </c>
      <c r="D29" s="235" t="s">
        <v>268</v>
      </c>
      <c r="E29" s="386" t="s">
        <v>269</v>
      </c>
      <c r="F29" s="385" t="s">
        <v>248</v>
      </c>
      <c r="G29" s="235" t="s">
        <v>268</v>
      </c>
      <c r="H29" s="386" t="s">
        <v>269</v>
      </c>
      <c r="I29" s="385" t="s">
        <v>248</v>
      </c>
      <c r="J29" s="235" t="s">
        <v>268</v>
      </c>
      <c r="K29" s="386" t="s">
        <v>269</v>
      </c>
      <c r="L29" s="385" t="s">
        <v>248</v>
      </c>
      <c r="M29" s="235" t="s">
        <v>268</v>
      </c>
      <c r="N29" s="386" t="s">
        <v>269</v>
      </c>
      <c r="O29" s="385" t="s">
        <v>248</v>
      </c>
      <c r="P29" s="235" t="s">
        <v>268</v>
      </c>
      <c r="Q29" s="386" t="s">
        <v>269</v>
      </c>
      <c r="R29" s="281"/>
      <c r="S29" s="387"/>
      <c r="T29" s="385" t="s">
        <v>248</v>
      </c>
      <c r="U29" s="235" t="s">
        <v>268</v>
      </c>
      <c r="V29" s="386" t="s">
        <v>269</v>
      </c>
      <c r="W29" s="385" t="s">
        <v>248</v>
      </c>
      <c r="X29" s="235" t="s">
        <v>268</v>
      </c>
      <c r="Y29" s="386" t="s">
        <v>269</v>
      </c>
      <c r="Z29" s="385" t="s">
        <v>248</v>
      </c>
      <c r="AA29" s="235" t="s">
        <v>268</v>
      </c>
      <c r="AB29" s="386" t="s">
        <v>269</v>
      </c>
      <c r="AC29" s="385" t="s">
        <v>248</v>
      </c>
      <c r="AD29" s="235" t="s">
        <v>268</v>
      </c>
      <c r="AE29" s="386" t="s">
        <v>269</v>
      </c>
      <c r="AF29" s="385" t="s">
        <v>248</v>
      </c>
      <c r="AG29" s="235" t="s">
        <v>268</v>
      </c>
      <c r="AH29" s="386" t="s">
        <v>269</v>
      </c>
      <c r="AI29" s="112"/>
      <c r="AJ29" s="112"/>
      <c r="AK29" s="281"/>
      <c r="AL29" s="281"/>
      <c r="AM29" s="383"/>
      <c r="AN29" s="383"/>
      <c r="AO29" s="383"/>
    </row>
    <row r="30" ht="15.75" customHeight="1">
      <c r="B30" s="287" t="s">
        <v>270</v>
      </c>
      <c r="C30" s="388"/>
      <c r="D30" s="389"/>
      <c r="E30" s="390"/>
      <c r="F30" s="391"/>
      <c r="G30" s="389"/>
      <c r="H30" s="390"/>
      <c r="I30" s="388"/>
      <c r="J30" s="389"/>
      <c r="K30" s="390"/>
      <c r="L30" s="259"/>
      <c r="M30" s="149"/>
      <c r="N30" s="392"/>
      <c r="O30" s="259"/>
      <c r="P30" s="149"/>
      <c r="Q30" s="392"/>
      <c r="R30" s="393"/>
      <c r="T30" s="259"/>
      <c r="U30" s="149"/>
      <c r="V30" s="392"/>
      <c r="W30" s="259"/>
      <c r="X30" s="149"/>
      <c r="Y30" s="392"/>
      <c r="Z30" s="259"/>
      <c r="AA30" s="149"/>
      <c r="AB30" s="392"/>
      <c r="AC30" s="259"/>
      <c r="AD30" s="149"/>
      <c r="AE30" s="392"/>
      <c r="AF30" s="259"/>
      <c r="AG30" s="149"/>
      <c r="AH30" s="392"/>
      <c r="AI30" s="394"/>
      <c r="AJ30" s="112"/>
      <c r="AK30" s="284"/>
      <c r="AL30" s="281"/>
      <c r="AM30" s="383"/>
      <c r="AN30" s="383"/>
      <c r="AO30" s="383"/>
    </row>
    <row r="31" ht="15.75" customHeight="1">
      <c r="B31" s="395" t="s">
        <v>271</v>
      </c>
      <c r="C31" s="396">
        <v>76.53</v>
      </c>
      <c r="D31" s="397">
        <v>669.8</v>
      </c>
      <c r="E31" s="398">
        <v>8.7</v>
      </c>
      <c r="F31" s="399">
        <v>119.81</v>
      </c>
      <c r="G31" s="400">
        <v>673.3</v>
      </c>
      <c r="H31" s="398">
        <v>7.8</v>
      </c>
      <c r="I31" s="401">
        <v>108.47</v>
      </c>
      <c r="J31" s="400">
        <v>868.2</v>
      </c>
      <c r="K31" s="398">
        <v>7.2</v>
      </c>
      <c r="L31" s="401">
        <v>109.1</v>
      </c>
      <c r="M31" s="400">
        <v>728.8</v>
      </c>
      <c r="N31" s="398">
        <v>7.0</v>
      </c>
      <c r="O31" s="401">
        <v>111.36</v>
      </c>
      <c r="P31" s="400">
        <v>669.1</v>
      </c>
      <c r="Q31" s="398">
        <v>6.0</v>
      </c>
      <c r="R31" s="402">
        <f t="shared" ref="R31:R46" si="9">IF(COUNTA(E31,H31,K31,N31,Q31)&gt;=5,AVERAGE(E31,H31,K31,N31,Q31),IF(COUNTA(C31:Q31)=0,"N/A","valeur(s) entrée(s) incorrecte(s)"))</f>
        <v>7.34</v>
      </c>
      <c r="S31" s="403" t="s">
        <v>271</v>
      </c>
      <c r="T31" s="401">
        <v>111.36</v>
      </c>
      <c r="U31" s="400">
        <v>669.1</v>
      </c>
      <c r="V31" s="398">
        <v>8.7</v>
      </c>
      <c r="W31" s="401">
        <v>111.36</v>
      </c>
      <c r="X31" s="400">
        <v>669.1</v>
      </c>
      <c r="Y31" s="398">
        <v>8.7</v>
      </c>
      <c r="Z31" s="401">
        <v>111.36</v>
      </c>
      <c r="AA31" s="400">
        <v>669.1</v>
      </c>
      <c r="AB31" s="398">
        <v>8.7</v>
      </c>
      <c r="AC31" s="401">
        <v>111.36</v>
      </c>
      <c r="AD31" s="400">
        <v>669.1</v>
      </c>
      <c r="AE31" s="398">
        <v>8.7</v>
      </c>
      <c r="AF31" s="401">
        <v>111.36</v>
      </c>
      <c r="AG31" s="400">
        <v>669.1</v>
      </c>
      <c r="AH31" s="398">
        <v>8.7</v>
      </c>
      <c r="AI31" s="402">
        <f t="shared" ref="AI31:AI46" si="10">IF(COUNTA(V31,Y31,AB31,AE31,AH31)&gt;=5,AVERAGE(V31,Y31,AB31,AE31,AH31),IF(COUNTA(T31:AH31)=0,"N/A","valeur(s) entrée(s) incorrecte(s)"))</f>
        <v>8.7</v>
      </c>
      <c r="AJ31" s="404">
        <f t="shared" ref="AJ31:AJ46" si="11">IF(AI31="N/A","N/A",IF(R31-AI31&lt;&gt;0,ABS((R31-AI31)/R31)-0.2,IF(AND(R31=0,AI31=0),"N/A",IF(AI31&lt;0,"N/A","N/A"))))</f>
        <v>-0.01471389646</v>
      </c>
      <c r="AK31" s="404" t="str">
        <f t="shared" ref="AK31:AK46" si="12">IF(AI31="N/A","N/A",IF((ABS((R31-AI31)/R31))-0.2&gt;0,IF(R31&gt;AI31,"rabais","+"),IF(R31=0,"0","ni rabais ni bonus")))</f>
        <v>ni rabais ni bonus</v>
      </c>
      <c r="AL31" s="405">
        <f t="shared" ref="AL31:AL46" si="13">IF(AI31="N/A","N/A",IF(AK31="ni rabais ni bonus",0,AJ31*IF(AK31="+",1,-1)))</f>
        <v>0</v>
      </c>
      <c r="AM31" s="347"/>
      <c r="AN31" s="347"/>
      <c r="AO31" s="347"/>
    </row>
    <row r="32" ht="15.75" customHeight="1">
      <c r="B32" s="395" t="s">
        <v>272</v>
      </c>
      <c r="C32" s="396">
        <v>79.86</v>
      </c>
      <c r="D32" s="397">
        <v>203.1</v>
      </c>
      <c r="E32" s="398">
        <v>3.3</v>
      </c>
      <c r="F32" s="399">
        <v>83.07</v>
      </c>
      <c r="G32" s="400">
        <v>198.0</v>
      </c>
      <c r="H32" s="406">
        <v>2.8</v>
      </c>
      <c r="I32" s="401">
        <v>84.78</v>
      </c>
      <c r="J32" s="400">
        <v>0.0</v>
      </c>
      <c r="K32" s="406">
        <v>3.1</v>
      </c>
      <c r="L32" s="401">
        <v>84.93</v>
      </c>
      <c r="M32" s="400">
        <v>259.6</v>
      </c>
      <c r="N32" s="398">
        <v>2.6</v>
      </c>
      <c r="O32" s="401">
        <v>46.04</v>
      </c>
      <c r="P32" s="400">
        <v>217.3</v>
      </c>
      <c r="Q32" s="406">
        <v>2.2</v>
      </c>
      <c r="R32" s="402">
        <f t="shared" si="9"/>
        <v>2.8</v>
      </c>
      <c r="S32" s="403" t="s">
        <v>272</v>
      </c>
      <c r="T32" s="401">
        <v>46.04</v>
      </c>
      <c r="U32" s="400">
        <v>217.3</v>
      </c>
      <c r="V32" s="398">
        <v>3.3</v>
      </c>
      <c r="W32" s="401">
        <v>46.04</v>
      </c>
      <c r="X32" s="400">
        <v>217.3</v>
      </c>
      <c r="Y32" s="398">
        <v>3.3</v>
      </c>
      <c r="Z32" s="401">
        <v>46.04</v>
      </c>
      <c r="AA32" s="400">
        <v>217.3</v>
      </c>
      <c r="AB32" s="398">
        <v>3.3</v>
      </c>
      <c r="AC32" s="401">
        <v>46.04</v>
      </c>
      <c r="AD32" s="400">
        <v>217.3</v>
      </c>
      <c r="AE32" s="398">
        <v>3.3</v>
      </c>
      <c r="AF32" s="401">
        <v>46.04</v>
      </c>
      <c r="AG32" s="400">
        <v>217.3</v>
      </c>
      <c r="AH32" s="398">
        <v>3.3</v>
      </c>
      <c r="AI32" s="402">
        <f t="shared" si="10"/>
        <v>3.3</v>
      </c>
      <c r="AJ32" s="404">
        <f t="shared" si="11"/>
        <v>-0.02142857143</v>
      </c>
      <c r="AK32" s="404" t="str">
        <f t="shared" si="12"/>
        <v>ni rabais ni bonus</v>
      </c>
      <c r="AL32" s="405">
        <f t="shared" si="13"/>
        <v>0</v>
      </c>
      <c r="AM32" s="347"/>
      <c r="AN32" s="347"/>
      <c r="AO32" s="347"/>
    </row>
    <row r="33" ht="15.75" customHeight="1">
      <c r="B33" s="395" t="s">
        <v>273</v>
      </c>
      <c r="C33" s="399">
        <v>8.4</v>
      </c>
      <c r="D33" s="397">
        <v>0.0</v>
      </c>
      <c r="E33" s="398">
        <v>0.0</v>
      </c>
      <c r="F33" s="399">
        <v>8.4</v>
      </c>
      <c r="G33" s="400">
        <v>0.0</v>
      </c>
      <c r="H33" s="406">
        <v>8.0</v>
      </c>
      <c r="I33" s="401">
        <v>6.72</v>
      </c>
      <c r="J33" s="400">
        <v>0.0</v>
      </c>
      <c r="K33" s="406">
        <v>0.0</v>
      </c>
      <c r="L33" s="401">
        <v>6.72</v>
      </c>
      <c r="M33" s="400">
        <v>0.0</v>
      </c>
      <c r="N33" s="398">
        <v>0.0</v>
      </c>
      <c r="O33" s="401">
        <v>6.72</v>
      </c>
      <c r="P33" s="400">
        <v>0.0</v>
      </c>
      <c r="Q33" s="406">
        <v>0.0</v>
      </c>
      <c r="R33" s="402">
        <f t="shared" si="9"/>
        <v>1.6</v>
      </c>
      <c r="S33" s="403" t="s">
        <v>273</v>
      </c>
      <c r="T33" s="401">
        <v>6.72</v>
      </c>
      <c r="U33" s="400">
        <v>0.0</v>
      </c>
      <c r="V33" s="398">
        <v>0.0</v>
      </c>
      <c r="W33" s="401">
        <v>6.72</v>
      </c>
      <c r="X33" s="400">
        <v>0.0</v>
      </c>
      <c r="Y33" s="398">
        <v>0.0</v>
      </c>
      <c r="Z33" s="401">
        <v>6.72</v>
      </c>
      <c r="AA33" s="400">
        <v>0.0</v>
      </c>
      <c r="AB33" s="398">
        <v>0.0</v>
      </c>
      <c r="AC33" s="401">
        <v>6.72</v>
      </c>
      <c r="AD33" s="400">
        <v>0.0</v>
      </c>
      <c r="AE33" s="398">
        <v>0.0</v>
      </c>
      <c r="AF33" s="401">
        <v>6.72</v>
      </c>
      <c r="AG33" s="400">
        <v>0.0</v>
      </c>
      <c r="AH33" s="398">
        <v>0.0</v>
      </c>
      <c r="AI33" s="402">
        <f t="shared" si="10"/>
        <v>0</v>
      </c>
      <c r="AJ33" s="404">
        <f t="shared" si="11"/>
        <v>0.8</v>
      </c>
      <c r="AK33" s="404" t="str">
        <f t="shared" si="12"/>
        <v>rabais</v>
      </c>
      <c r="AL33" s="405">
        <f t="shared" si="13"/>
        <v>-0.8</v>
      </c>
      <c r="AM33" s="347"/>
      <c r="AN33" s="347"/>
      <c r="AO33" s="347"/>
    </row>
    <row r="34" ht="15.75" customHeight="1">
      <c r="B34" s="395" t="s">
        <v>274</v>
      </c>
      <c r="C34" s="396">
        <v>6.11</v>
      </c>
      <c r="D34" s="397">
        <v>0.0</v>
      </c>
      <c r="E34" s="398">
        <v>11.0</v>
      </c>
      <c r="F34" s="401">
        <v>48.94</v>
      </c>
      <c r="G34" s="400">
        <v>0.0</v>
      </c>
      <c r="H34" s="406">
        <v>18.0</v>
      </c>
      <c r="I34" s="401">
        <v>24.47</v>
      </c>
      <c r="J34" s="400">
        <v>626.8</v>
      </c>
      <c r="K34" s="406">
        <v>9.0</v>
      </c>
      <c r="L34" s="401">
        <v>5.76</v>
      </c>
      <c r="M34" s="400">
        <v>0.0</v>
      </c>
      <c r="N34" s="398">
        <v>11.0</v>
      </c>
      <c r="O34" s="401">
        <v>19.79</v>
      </c>
      <c r="P34" s="400">
        <v>807.8</v>
      </c>
      <c r="Q34" s="406">
        <v>14.0</v>
      </c>
      <c r="R34" s="402">
        <f t="shared" si="9"/>
        <v>12.6</v>
      </c>
      <c r="S34" s="403" t="s">
        <v>274</v>
      </c>
      <c r="T34" s="401">
        <v>19.79</v>
      </c>
      <c r="U34" s="400">
        <v>807.8</v>
      </c>
      <c r="V34" s="398">
        <v>11.0</v>
      </c>
      <c r="W34" s="401">
        <v>19.79</v>
      </c>
      <c r="X34" s="400">
        <v>807.8</v>
      </c>
      <c r="Y34" s="398">
        <v>11.0</v>
      </c>
      <c r="Z34" s="401">
        <v>19.79</v>
      </c>
      <c r="AA34" s="400">
        <v>807.8</v>
      </c>
      <c r="AB34" s="398">
        <v>11.0</v>
      </c>
      <c r="AC34" s="401">
        <v>19.79</v>
      </c>
      <c r="AD34" s="400">
        <v>807.8</v>
      </c>
      <c r="AE34" s="398">
        <v>11.0</v>
      </c>
      <c r="AF34" s="401">
        <v>19.79</v>
      </c>
      <c r="AG34" s="400">
        <v>807.8</v>
      </c>
      <c r="AH34" s="398">
        <v>11.0</v>
      </c>
      <c r="AI34" s="402">
        <f t="shared" si="10"/>
        <v>11</v>
      </c>
      <c r="AJ34" s="404">
        <f t="shared" si="11"/>
        <v>-0.07301587302</v>
      </c>
      <c r="AK34" s="404" t="str">
        <f t="shared" si="12"/>
        <v>ni rabais ni bonus</v>
      </c>
      <c r="AL34" s="405">
        <f t="shared" si="13"/>
        <v>0</v>
      </c>
      <c r="AM34" s="347"/>
      <c r="AN34" s="347"/>
      <c r="AO34" s="347"/>
    </row>
    <row r="35" ht="15.75" customHeight="1">
      <c r="B35" s="395" t="s">
        <v>275</v>
      </c>
      <c r="C35" s="396">
        <v>69.66</v>
      </c>
      <c r="D35" s="397">
        <v>388.1</v>
      </c>
      <c r="E35" s="398">
        <v>6.5</v>
      </c>
      <c r="F35" s="399">
        <v>47.59</v>
      </c>
      <c r="G35" s="400">
        <v>393.5</v>
      </c>
      <c r="H35" s="406">
        <v>6.5</v>
      </c>
      <c r="I35" s="401">
        <v>42.62</v>
      </c>
      <c r="J35" s="400">
        <v>257.9</v>
      </c>
      <c r="K35" s="406">
        <v>7.2</v>
      </c>
      <c r="L35" s="401">
        <v>40.57</v>
      </c>
      <c r="M35" s="400">
        <v>249.5</v>
      </c>
      <c r="N35" s="398">
        <v>6.5</v>
      </c>
      <c r="O35" s="401">
        <v>41.32</v>
      </c>
      <c r="P35" s="400">
        <v>198.2</v>
      </c>
      <c r="Q35" s="406">
        <v>5.7</v>
      </c>
      <c r="R35" s="402">
        <f t="shared" si="9"/>
        <v>6.48</v>
      </c>
      <c r="S35" s="403" t="s">
        <v>275</v>
      </c>
      <c r="T35" s="401">
        <v>41.32</v>
      </c>
      <c r="U35" s="400">
        <v>198.2</v>
      </c>
      <c r="V35" s="398">
        <v>6.5</v>
      </c>
      <c r="W35" s="401">
        <v>41.32</v>
      </c>
      <c r="X35" s="400">
        <v>198.2</v>
      </c>
      <c r="Y35" s="398">
        <v>6.5</v>
      </c>
      <c r="Z35" s="401">
        <v>41.32</v>
      </c>
      <c r="AA35" s="400">
        <v>198.2</v>
      </c>
      <c r="AB35" s="398">
        <v>6.5</v>
      </c>
      <c r="AC35" s="401">
        <v>41.32</v>
      </c>
      <c r="AD35" s="400">
        <v>198.2</v>
      </c>
      <c r="AE35" s="398">
        <v>6.5</v>
      </c>
      <c r="AF35" s="401">
        <v>41.32</v>
      </c>
      <c r="AG35" s="400">
        <v>198.2</v>
      </c>
      <c r="AH35" s="398">
        <v>6.5</v>
      </c>
      <c r="AI35" s="402">
        <f t="shared" si="10"/>
        <v>6.5</v>
      </c>
      <c r="AJ35" s="404">
        <f t="shared" si="11"/>
        <v>-0.1969135802</v>
      </c>
      <c r="AK35" s="404" t="str">
        <f t="shared" si="12"/>
        <v>ni rabais ni bonus</v>
      </c>
      <c r="AL35" s="405">
        <f t="shared" si="13"/>
        <v>0</v>
      </c>
      <c r="AM35" s="347"/>
      <c r="AN35" s="347"/>
      <c r="AO35" s="347"/>
    </row>
    <row r="36" ht="15.75" customHeight="1">
      <c r="B36" s="407" t="s">
        <v>276</v>
      </c>
      <c r="C36" s="396">
        <v>20.75</v>
      </c>
      <c r="D36" s="397">
        <v>119.2</v>
      </c>
      <c r="E36" s="398">
        <v>5.5</v>
      </c>
      <c r="F36" s="401">
        <v>50.85</v>
      </c>
      <c r="G36" s="400">
        <v>82.9</v>
      </c>
      <c r="H36" s="406">
        <v>5.8</v>
      </c>
      <c r="I36" s="401">
        <v>21.0</v>
      </c>
      <c r="J36" s="400">
        <v>277.2</v>
      </c>
      <c r="K36" s="406">
        <v>5.0</v>
      </c>
      <c r="L36" s="401">
        <v>0.0</v>
      </c>
      <c r="M36" s="400">
        <v>93.4</v>
      </c>
      <c r="N36" s="398">
        <v>0.0</v>
      </c>
      <c r="O36" s="401">
        <v>0.0</v>
      </c>
      <c r="P36" s="400">
        <v>0.0</v>
      </c>
      <c r="Q36" s="406">
        <v>0.0</v>
      </c>
      <c r="R36" s="402">
        <f t="shared" si="9"/>
        <v>3.26</v>
      </c>
      <c r="S36" s="408" t="s">
        <v>276</v>
      </c>
      <c r="T36" s="401">
        <v>0.0</v>
      </c>
      <c r="U36" s="400">
        <v>0.0</v>
      </c>
      <c r="V36" s="398">
        <v>5.5</v>
      </c>
      <c r="W36" s="401">
        <v>0.0</v>
      </c>
      <c r="X36" s="400">
        <v>0.0</v>
      </c>
      <c r="Y36" s="398">
        <v>5.5</v>
      </c>
      <c r="Z36" s="401">
        <v>0.0</v>
      </c>
      <c r="AA36" s="400">
        <v>0.0</v>
      </c>
      <c r="AB36" s="398">
        <v>5.5</v>
      </c>
      <c r="AC36" s="401">
        <v>0.0</v>
      </c>
      <c r="AD36" s="400">
        <v>0.0</v>
      </c>
      <c r="AE36" s="398">
        <v>5.5</v>
      </c>
      <c r="AF36" s="401">
        <v>0.0</v>
      </c>
      <c r="AG36" s="400">
        <v>0.0</v>
      </c>
      <c r="AH36" s="398">
        <v>5.5</v>
      </c>
      <c r="AI36" s="402">
        <f t="shared" si="10"/>
        <v>5.5</v>
      </c>
      <c r="AJ36" s="404">
        <f t="shared" si="11"/>
        <v>0.4871165644</v>
      </c>
      <c r="AK36" s="404" t="str">
        <f t="shared" si="12"/>
        <v>+</v>
      </c>
      <c r="AL36" s="405">
        <f t="shared" si="13"/>
        <v>0.4871165644</v>
      </c>
      <c r="AM36" s="347"/>
      <c r="AN36" s="347"/>
      <c r="AO36" s="347"/>
    </row>
    <row r="37" ht="15.75" customHeight="1">
      <c r="B37" s="407" t="s">
        <v>277</v>
      </c>
      <c r="C37" s="396">
        <v>0.0</v>
      </c>
      <c r="D37" s="397">
        <v>0.0</v>
      </c>
      <c r="E37" s="398">
        <v>0.0</v>
      </c>
      <c r="F37" s="401">
        <v>21.47</v>
      </c>
      <c r="G37" s="400">
        <v>0.0</v>
      </c>
      <c r="H37" s="406">
        <v>1.0</v>
      </c>
      <c r="I37" s="401">
        <v>0.0</v>
      </c>
      <c r="J37" s="400">
        <v>0.0</v>
      </c>
      <c r="K37" s="401">
        <v>0.0</v>
      </c>
      <c r="L37" s="401">
        <v>25.65</v>
      </c>
      <c r="M37" s="400">
        <v>0.0</v>
      </c>
      <c r="N37" s="398">
        <v>1.0</v>
      </c>
      <c r="O37" s="401">
        <v>0.0</v>
      </c>
      <c r="P37" s="400">
        <v>0.0</v>
      </c>
      <c r="Q37" s="406">
        <v>0.0</v>
      </c>
      <c r="R37" s="402">
        <f t="shared" si="9"/>
        <v>0.4</v>
      </c>
      <c r="S37" s="408" t="s">
        <v>277</v>
      </c>
      <c r="T37" s="401">
        <v>0.0</v>
      </c>
      <c r="U37" s="400">
        <v>0.0</v>
      </c>
      <c r="V37" s="398">
        <v>0.0</v>
      </c>
      <c r="W37" s="401">
        <v>0.0</v>
      </c>
      <c r="X37" s="400">
        <v>0.0</v>
      </c>
      <c r="Y37" s="398">
        <v>0.0</v>
      </c>
      <c r="Z37" s="401">
        <v>0.0</v>
      </c>
      <c r="AA37" s="400">
        <v>0.0</v>
      </c>
      <c r="AB37" s="398">
        <v>0.0</v>
      </c>
      <c r="AC37" s="401">
        <v>0.0</v>
      </c>
      <c r="AD37" s="400">
        <v>0.0</v>
      </c>
      <c r="AE37" s="398">
        <v>0.0</v>
      </c>
      <c r="AF37" s="401">
        <v>0.0</v>
      </c>
      <c r="AG37" s="400">
        <v>0.0</v>
      </c>
      <c r="AH37" s="398">
        <v>0.0</v>
      </c>
      <c r="AI37" s="402">
        <f t="shared" si="10"/>
        <v>0</v>
      </c>
      <c r="AJ37" s="404">
        <f t="shared" si="11"/>
        <v>0.8</v>
      </c>
      <c r="AK37" s="404" t="str">
        <f t="shared" si="12"/>
        <v>rabais</v>
      </c>
      <c r="AL37" s="405">
        <f t="shared" si="13"/>
        <v>-0.8</v>
      </c>
      <c r="AM37" s="347"/>
      <c r="AN37" s="347"/>
      <c r="AO37" s="347"/>
    </row>
    <row r="38" ht="15.75" customHeight="1">
      <c r="B38" s="409" t="s">
        <v>278</v>
      </c>
      <c r="C38" s="396">
        <v>0.0</v>
      </c>
      <c r="D38" s="397">
        <v>0.0</v>
      </c>
      <c r="E38" s="398">
        <v>0.0</v>
      </c>
      <c r="F38" s="401">
        <v>15.78</v>
      </c>
      <c r="G38" s="400">
        <v>0.0</v>
      </c>
      <c r="H38" s="406">
        <v>3.6</v>
      </c>
      <c r="I38" s="401">
        <v>0.0</v>
      </c>
      <c r="J38" s="400">
        <v>54.8</v>
      </c>
      <c r="K38" s="401">
        <v>0.0</v>
      </c>
      <c r="L38" s="401">
        <v>0.0</v>
      </c>
      <c r="M38" s="400">
        <v>0.0</v>
      </c>
      <c r="N38" s="398">
        <v>0.0</v>
      </c>
      <c r="O38" s="401">
        <v>0.0</v>
      </c>
      <c r="P38" s="400">
        <v>0.0</v>
      </c>
      <c r="Q38" s="406">
        <v>0.0</v>
      </c>
      <c r="R38" s="402">
        <f t="shared" si="9"/>
        <v>0.72</v>
      </c>
      <c r="S38" s="408" t="s">
        <v>278</v>
      </c>
      <c r="T38" s="401">
        <v>0.0</v>
      </c>
      <c r="U38" s="400">
        <v>0.0</v>
      </c>
      <c r="V38" s="398">
        <v>0.0</v>
      </c>
      <c r="W38" s="401">
        <v>0.0</v>
      </c>
      <c r="X38" s="400">
        <v>0.0</v>
      </c>
      <c r="Y38" s="398">
        <v>0.0</v>
      </c>
      <c r="Z38" s="401">
        <v>0.0</v>
      </c>
      <c r="AA38" s="400">
        <v>0.0</v>
      </c>
      <c r="AB38" s="398">
        <v>0.0</v>
      </c>
      <c r="AC38" s="401">
        <v>0.0</v>
      </c>
      <c r="AD38" s="400">
        <v>0.0</v>
      </c>
      <c r="AE38" s="398">
        <v>0.0</v>
      </c>
      <c r="AF38" s="401">
        <v>0.0</v>
      </c>
      <c r="AG38" s="400">
        <v>0.0</v>
      </c>
      <c r="AH38" s="398">
        <v>0.0</v>
      </c>
      <c r="AI38" s="402">
        <f t="shared" si="10"/>
        <v>0</v>
      </c>
      <c r="AJ38" s="404">
        <f t="shared" si="11"/>
        <v>0.8</v>
      </c>
      <c r="AK38" s="404" t="str">
        <f t="shared" si="12"/>
        <v>rabais</v>
      </c>
      <c r="AL38" s="405">
        <f t="shared" si="13"/>
        <v>-0.8</v>
      </c>
      <c r="AM38" s="347"/>
      <c r="AN38" s="347"/>
      <c r="AO38" s="347"/>
    </row>
    <row r="39" ht="15.75" customHeight="1">
      <c r="B39" s="410" t="s">
        <v>279</v>
      </c>
      <c r="C39" s="396">
        <v>28.73</v>
      </c>
      <c r="D39" s="397">
        <v>104.1</v>
      </c>
      <c r="E39" s="398">
        <v>6.6</v>
      </c>
      <c r="F39" s="401">
        <v>0.0</v>
      </c>
      <c r="G39" s="400">
        <v>160.7</v>
      </c>
      <c r="H39" s="406">
        <v>0.0</v>
      </c>
      <c r="I39" s="401">
        <v>0.0</v>
      </c>
      <c r="J39" s="400">
        <v>0.0</v>
      </c>
      <c r="K39" s="401">
        <v>0.0</v>
      </c>
      <c r="L39" s="401">
        <v>15.37</v>
      </c>
      <c r="M39" s="400">
        <v>0.0</v>
      </c>
      <c r="N39" s="398">
        <v>0.0</v>
      </c>
      <c r="O39" s="401">
        <v>0.0</v>
      </c>
      <c r="P39" s="400">
        <v>0.0</v>
      </c>
      <c r="Q39" s="406">
        <v>0.0</v>
      </c>
      <c r="R39" s="402">
        <f t="shared" si="9"/>
        <v>1.32</v>
      </c>
      <c r="S39" s="411" t="s">
        <v>279</v>
      </c>
      <c r="T39" s="401">
        <v>0.0</v>
      </c>
      <c r="U39" s="400">
        <v>0.0</v>
      </c>
      <c r="V39" s="398">
        <v>6.6</v>
      </c>
      <c r="W39" s="401">
        <v>0.0</v>
      </c>
      <c r="X39" s="400">
        <v>0.0</v>
      </c>
      <c r="Y39" s="398">
        <v>6.6</v>
      </c>
      <c r="Z39" s="401">
        <v>0.0</v>
      </c>
      <c r="AA39" s="400">
        <v>0.0</v>
      </c>
      <c r="AB39" s="398">
        <v>6.6</v>
      </c>
      <c r="AC39" s="401">
        <v>0.0</v>
      </c>
      <c r="AD39" s="400">
        <v>0.0</v>
      </c>
      <c r="AE39" s="398">
        <v>6.6</v>
      </c>
      <c r="AF39" s="401">
        <v>0.0</v>
      </c>
      <c r="AG39" s="400">
        <v>0.0</v>
      </c>
      <c r="AH39" s="398">
        <v>6.6</v>
      </c>
      <c r="AI39" s="402">
        <f t="shared" si="10"/>
        <v>6.6</v>
      </c>
      <c r="AJ39" s="404">
        <f t="shared" si="11"/>
        <v>3.8</v>
      </c>
      <c r="AK39" s="404" t="str">
        <f t="shared" si="12"/>
        <v>+</v>
      </c>
      <c r="AL39" s="405">
        <f t="shared" si="13"/>
        <v>3.8</v>
      </c>
      <c r="AM39" s="347"/>
      <c r="AN39" s="347"/>
      <c r="AO39" s="347"/>
    </row>
    <row r="40" ht="15.75" customHeight="1">
      <c r="B40" s="410" t="s">
        <v>280</v>
      </c>
      <c r="C40" s="396">
        <v>0.0</v>
      </c>
      <c r="D40" s="397">
        <v>0.0</v>
      </c>
      <c r="E40" s="398">
        <v>0.0</v>
      </c>
      <c r="F40" s="401">
        <v>0.0</v>
      </c>
      <c r="G40" s="400">
        <v>0.0</v>
      </c>
      <c r="H40" s="406">
        <v>0.0</v>
      </c>
      <c r="I40" s="401">
        <v>0.0</v>
      </c>
      <c r="J40" s="401">
        <v>0.0</v>
      </c>
      <c r="K40" s="401">
        <v>0.0</v>
      </c>
      <c r="L40" s="401">
        <v>19.79</v>
      </c>
      <c r="M40" s="400">
        <v>0.0</v>
      </c>
      <c r="N40" s="406">
        <v>9.2</v>
      </c>
      <c r="O40" s="401">
        <v>19.79</v>
      </c>
      <c r="P40" s="400">
        <v>0.0</v>
      </c>
      <c r="Q40" s="406">
        <v>9.2</v>
      </c>
      <c r="R40" s="402">
        <f t="shared" si="9"/>
        <v>3.68</v>
      </c>
      <c r="S40" s="411" t="s">
        <v>280</v>
      </c>
      <c r="T40" s="401">
        <v>19.79</v>
      </c>
      <c r="U40" s="400">
        <v>0.0</v>
      </c>
      <c r="V40" s="398">
        <v>0.0</v>
      </c>
      <c r="W40" s="401">
        <v>19.79</v>
      </c>
      <c r="X40" s="400">
        <v>0.0</v>
      </c>
      <c r="Y40" s="398">
        <v>0.0</v>
      </c>
      <c r="Z40" s="401">
        <v>19.79</v>
      </c>
      <c r="AA40" s="400">
        <v>0.0</v>
      </c>
      <c r="AB40" s="398">
        <v>0.0</v>
      </c>
      <c r="AC40" s="401">
        <v>19.79</v>
      </c>
      <c r="AD40" s="400">
        <v>0.0</v>
      </c>
      <c r="AE40" s="398">
        <v>0.0</v>
      </c>
      <c r="AF40" s="401">
        <v>19.79</v>
      </c>
      <c r="AG40" s="400">
        <v>0.0</v>
      </c>
      <c r="AH40" s="398">
        <v>0.0</v>
      </c>
      <c r="AI40" s="402">
        <f t="shared" si="10"/>
        <v>0</v>
      </c>
      <c r="AJ40" s="404">
        <f t="shared" si="11"/>
        <v>0.8</v>
      </c>
      <c r="AK40" s="404" t="str">
        <f t="shared" si="12"/>
        <v>rabais</v>
      </c>
      <c r="AL40" s="405">
        <f t="shared" si="13"/>
        <v>-0.8</v>
      </c>
      <c r="AM40" s="347"/>
      <c r="AN40" s="347"/>
      <c r="AO40" s="347"/>
    </row>
    <row r="41" ht="15.75" customHeight="1">
      <c r="B41" s="410"/>
      <c r="C41" s="396"/>
      <c r="D41" s="397"/>
      <c r="E41" s="398"/>
      <c r="F41" s="401"/>
      <c r="G41" s="400"/>
      <c r="H41" s="406"/>
      <c r="I41" s="401"/>
      <c r="J41" s="401"/>
      <c r="K41" s="401"/>
      <c r="L41" s="401"/>
      <c r="M41" s="400"/>
      <c r="N41" s="406"/>
      <c r="O41" s="401"/>
      <c r="P41" s="400"/>
      <c r="Q41" s="406"/>
      <c r="R41" s="402" t="str">
        <f t="shared" si="9"/>
        <v>N/A</v>
      </c>
      <c r="S41" s="411"/>
      <c r="T41" s="401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 t="str">
        <f t="shared" si="10"/>
        <v>N/A</v>
      </c>
      <c r="AJ41" s="404" t="str">
        <f t="shared" si="11"/>
        <v>N/A</v>
      </c>
      <c r="AK41" s="404" t="str">
        <f t="shared" si="12"/>
        <v>N/A</v>
      </c>
      <c r="AL41" s="405" t="str">
        <f t="shared" si="13"/>
        <v>N/A</v>
      </c>
      <c r="AM41" s="347"/>
      <c r="AN41" s="347"/>
      <c r="AO41" s="347"/>
    </row>
    <row r="42" ht="15.75" customHeight="1">
      <c r="B42" s="412"/>
      <c r="C42" s="413"/>
      <c r="D42" s="414"/>
      <c r="E42" s="415"/>
      <c r="F42" s="416"/>
      <c r="G42" s="72"/>
      <c r="H42" s="417"/>
      <c r="I42" s="416"/>
      <c r="J42" s="72"/>
      <c r="K42" s="417"/>
      <c r="L42" s="416"/>
      <c r="M42" s="72"/>
      <c r="N42" s="415"/>
      <c r="O42" s="416"/>
      <c r="P42" s="72"/>
      <c r="Q42" s="417"/>
      <c r="R42" s="402" t="str">
        <f t="shared" si="9"/>
        <v>N/A</v>
      </c>
      <c r="S42" s="19"/>
      <c r="T42" s="416"/>
      <c r="U42" s="72"/>
      <c r="V42" s="417"/>
      <c r="W42" s="416"/>
      <c r="X42" s="72"/>
      <c r="Y42" s="415"/>
      <c r="Z42" s="416"/>
      <c r="AA42" s="72"/>
      <c r="AB42" s="417"/>
      <c r="AC42" s="416"/>
      <c r="AD42" s="72"/>
      <c r="AE42" s="417"/>
      <c r="AF42" s="416"/>
      <c r="AG42" s="72"/>
      <c r="AH42" s="418"/>
      <c r="AI42" s="402" t="str">
        <f t="shared" si="10"/>
        <v>N/A</v>
      </c>
      <c r="AJ42" s="404" t="str">
        <f t="shared" si="11"/>
        <v>N/A</v>
      </c>
      <c r="AK42" s="404" t="str">
        <f t="shared" si="12"/>
        <v>N/A</v>
      </c>
      <c r="AL42" s="405" t="str">
        <f t="shared" si="13"/>
        <v>N/A</v>
      </c>
      <c r="AM42" s="347"/>
      <c r="AN42" s="347"/>
      <c r="AO42" s="347"/>
    </row>
    <row r="43" ht="15.75" customHeight="1">
      <c r="B43" s="412"/>
      <c r="C43" s="413"/>
      <c r="D43" s="414"/>
      <c r="E43" s="415"/>
      <c r="F43" s="416"/>
      <c r="G43" s="72"/>
      <c r="H43" s="417"/>
      <c r="I43" s="416"/>
      <c r="J43" s="72"/>
      <c r="K43" s="417"/>
      <c r="L43" s="416"/>
      <c r="M43" s="72"/>
      <c r="N43" s="415"/>
      <c r="O43" s="416"/>
      <c r="P43" s="72"/>
      <c r="Q43" s="417"/>
      <c r="R43" s="402" t="str">
        <f t="shared" si="9"/>
        <v>N/A</v>
      </c>
      <c r="S43" s="19"/>
      <c r="T43" s="416"/>
      <c r="U43" s="72"/>
      <c r="V43" s="417"/>
      <c r="W43" s="416"/>
      <c r="X43" s="72"/>
      <c r="Y43" s="415"/>
      <c r="Z43" s="416"/>
      <c r="AA43" s="72"/>
      <c r="AB43" s="417"/>
      <c r="AC43" s="416"/>
      <c r="AD43" s="72"/>
      <c r="AE43" s="417"/>
      <c r="AF43" s="416"/>
      <c r="AG43" s="72"/>
      <c r="AH43" s="418"/>
      <c r="AI43" s="402" t="str">
        <f t="shared" si="10"/>
        <v>N/A</v>
      </c>
      <c r="AJ43" s="404" t="str">
        <f t="shared" si="11"/>
        <v>N/A</v>
      </c>
      <c r="AK43" s="404" t="str">
        <f t="shared" si="12"/>
        <v>N/A</v>
      </c>
      <c r="AL43" s="405" t="str">
        <f t="shared" si="13"/>
        <v>N/A</v>
      </c>
      <c r="AM43" s="347"/>
      <c r="AN43" s="347"/>
      <c r="AO43" s="347"/>
    </row>
    <row r="44" ht="15.75" customHeight="1">
      <c r="B44" s="412"/>
      <c r="C44" s="413"/>
      <c r="D44" s="414"/>
      <c r="E44" s="415"/>
      <c r="F44" s="416"/>
      <c r="G44" s="72"/>
      <c r="H44" s="417"/>
      <c r="I44" s="416"/>
      <c r="J44" s="72"/>
      <c r="K44" s="417"/>
      <c r="L44" s="416"/>
      <c r="M44" s="72"/>
      <c r="N44" s="415"/>
      <c r="O44" s="416"/>
      <c r="P44" s="72"/>
      <c r="Q44" s="417"/>
      <c r="R44" s="402" t="str">
        <f t="shared" si="9"/>
        <v>N/A</v>
      </c>
      <c r="S44" s="19"/>
      <c r="T44" s="416"/>
      <c r="U44" s="72"/>
      <c r="V44" s="417"/>
      <c r="W44" s="416"/>
      <c r="X44" s="72"/>
      <c r="Y44" s="415"/>
      <c r="Z44" s="416"/>
      <c r="AA44" s="72"/>
      <c r="AB44" s="417"/>
      <c r="AC44" s="416"/>
      <c r="AD44" s="72"/>
      <c r="AE44" s="417"/>
      <c r="AF44" s="416"/>
      <c r="AG44" s="72"/>
      <c r="AH44" s="418"/>
      <c r="AI44" s="402" t="str">
        <f t="shared" si="10"/>
        <v>N/A</v>
      </c>
      <c r="AJ44" s="404" t="str">
        <f t="shared" si="11"/>
        <v>N/A</v>
      </c>
      <c r="AK44" s="404" t="str">
        <f t="shared" si="12"/>
        <v>N/A</v>
      </c>
      <c r="AL44" s="405" t="str">
        <f t="shared" si="13"/>
        <v>N/A</v>
      </c>
      <c r="AM44" s="347"/>
      <c r="AN44" s="419" t="s">
        <v>281</v>
      </c>
      <c r="AO44" s="420"/>
    </row>
    <row r="45" ht="15.75" customHeight="1">
      <c r="B45" s="412"/>
      <c r="C45" s="413"/>
      <c r="D45" s="414"/>
      <c r="E45" s="415"/>
      <c r="F45" s="416"/>
      <c r="G45" s="72"/>
      <c r="H45" s="417"/>
      <c r="I45" s="416"/>
      <c r="J45" s="72"/>
      <c r="K45" s="417"/>
      <c r="L45" s="416"/>
      <c r="M45" s="72"/>
      <c r="N45" s="415"/>
      <c r="O45" s="416"/>
      <c r="P45" s="72"/>
      <c r="Q45" s="417"/>
      <c r="R45" s="402" t="str">
        <f t="shared" si="9"/>
        <v>N/A</v>
      </c>
      <c r="S45" s="19"/>
      <c r="T45" s="416"/>
      <c r="U45" s="72"/>
      <c r="V45" s="417"/>
      <c r="W45" s="416"/>
      <c r="X45" s="72"/>
      <c r="Y45" s="415"/>
      <c r="Z45" s="416"/>
      <c r="AA45" s="72"/>
      <c r="AB45" s="417"/>
      <c r="AC45" s="416"/>
      <c r="AD45" s="72"/>
      <c r="AE45" s="417"/>
      <c r="AF45" s="416"/>
      <c r="AG45" s="72"/>
      <c r="AH45" s="418"/>
      <c r="AI45" s="402" t="str">
        <f t="shared" si="10"/>
        <v>N/A</v>
      </c>
      <c r="AJ45" s="404" t="str">
        <f t="shared" si="11"/>
        <v>N/A</v>
      </c>
      <c r="AK45" s="404" t="str">
        <f t="shared" si="12"/>
        <v>N/A</v>
      </c>
      <c r="AL45" s="405" t="str">
        <f t="shared" si="13"/>
        <v>N/A</v>
      </c>
      <c r="AM45" s="347"/>
      <c r="AN45" s="369" t="s">
        <v>262</v>
      </c>
      <c r="AO45" s="421" t="s">
        <v>263</v>
      </c>
    </row>
    <row r="46" ht="43.5" customHeight="1">
      <c r="B46" s="422"/>
      <c r="C46" s="423"/>
      <c r="D46" s="424"/>
      <c r="E46" s="425"/>
      <c r="F46" s="426"/>
      <c r="G46" s="81"/>
      <c r="H46" s="427"/>
      <c r="I46" s="426"/>
      <c r="J46" s="81"/>
      <c r="K46" s="427"/>
      <c r="L46" s="426"/>
      <c r="M46" s="81"/>
      <c r="N46" s="425"/>
      <c r="O46" s="426"/>
      <c r="P46" s="81"/>
      <c r="Q46" s="427"/>
      <c r="R46" s="402" t="str">
        <f t="shared" si="9"/>
        <v>N/A</v>
      </c>
      <c r="S46" s="19"/>
      <c r="T46" s="426"/>
      <c r="U46" s="81"/>
      <c r="V46" s="425"/>
      <c r="W46" s="426"/>
      <c r="X46" s="81"/>
      <c r="Y46" s="425"/>
      <c r="Z46" s="426"/>
      <c r="AA46" s="81"/>
      <c r="AB46" s="425"/>
      <c r="AC46" s="426"/>
      <c r="AD46" s="81"/>
      <c r="AE46" s="425"/>
      <c r="AF46" s="426"/>
      <c r="AG46" s="81"/>
      <c r="AH46" s="425"/>
      <c r="AI46" s="402" t="str">
        <f t="shared" si="10"/>
        <v>N/A</v>
      </c>
      <c r="AJ46" s="404" t="str">
        <f t="shared" si="11"/>
        <v>N/A</v>
      </c>
      <c r="AK46" s="404" t="str">
        <f t="shared" si="12"/>
        <v>N/A</v>
      </c>
      <c r="AL46" s="405" t="str">
        <f t="shared" si="13"/>
        <v>N/A</v>
      </c>
      <c r="AM46" s="347"/>
      <c r="AN46" s="371" t="str">
        <f>IF(AO46="N/A","N/A",IF(AO46&lt;0,"Rabais",IF(AO46&gt;0,"Bonus","Ni rabais ni bonus")))</f>
        <v>Ni rabais ni bonus</v>
      </c>
      <c r="AO46" s="372">
        <f t="array" ref="AO46">IF(AND(EXACT(AL31:AL46,"N/A")),"N/A",MEDIAN(IF(ISNUMBER(AI31:AI46),AL31:AL46)))</f>
        <v>0</v>
      </c>
      <c r="AP46" s="347"/>
    </row>
    <row r="47" ht="15.75" customHeight="1">
      <c r="R47" s="307"/>
      <c r="AM47" s="347"/>
      <c r="AN47" s="347"/>
      <c r="AO47" s="347"/>
      <c r="AP47" s="347"/>
    </row>
    <row r="48" ht="15.0" customHeight="1">
      <c r="AI48" s="238"/>
      <c r="AM48" s="347"/>
      <c r="AN48" s="347"/>
      <c r="AO48" s="347"/>
      <c r="AP48" s="347"/>
    </row>
    <row r="49" ht="15.75" customHeight="1">
      <c r="B49" s="31" t="s">
        <v>282</v>
      </c>
    </row>
    <row r="50" ht="15.0" customHeight="1"/>
    <row r="51" ht="15.75" customHeight="1">
      <c r="B51" s="349" t="s">
        <v>283</v>
      </c>
      <c r="C51" s="350"/>
      <c r="D51" s="350"/>
      <c r="E51" s="350"/>
    </row>
    <row r="52" ht="75.0" customHeight="1">
      <c r="B52" s="353" t="s">
        <v>227</v>
      </c>
      <c r="C52" s="354" t="s">
        <v>284</v>
      </c>
      <c r="D52" s="354" t="s">
        <v>285</v>
      </c>
      <c r="E52" s="354" t="s">
        <v>286</v>
      </c>
      <c r="I52" s="428" t="s">
        <v>262</v>
      </c>
      <c r="J52" s="429" t="s">
        <v>263</v>
      </c>
    </row>
    <row r="53" ht="15.75" customHeight="1">
      <c r="B53" s="54" t="s">
        <v>97</v>
      </c>
      <c r="C53" s="430">
        <v>81.34</v>
      </c>
      <c r="D53" s="431">
        <v>1.6</v>
      </c>
      <c r="E53" s="431">
        <v>2.28</v>
      </c>
      <c r="I53" s="432" t="str">
        <f>IF(J53="-","-",IF(OR(C57-C53&lt;0,D57-D53&lt;0,E57-E53&lt;0),"Rabais",IF(AND(C57=C53, D57=D53, E57=E53),"Ni rabais ni bonus", "Bonus")))</f>
        <v>Ni rabais ni bonus</v>
      </c>
      <c r="J53" s="433">
        <f>IF(AND(ISBLANK(C57),ISBLANK(D57),ISBLANK(E57),ISBLANK(C53),ISBLANK(D53),ISBLANK(E53)),"-",SUM(IF(OR(C57-C53&lt;0,D57-D53&lt;0,E57-E53&lt;0),-0.3,),IF(OR(C57-C53&gt;0,D57-D53&gt;0,E57-E53&gt;0),0.1)))</f>
        <v>0</v>
      </c>
    </row>
    <row r="54" ht="15.75" customHeight="1"/>
    <row r="55" ht="15.75" customHeight="1">
      <c r="B55" s="349" t="s">
        <v>287</v>
      </c>
      <c r="C55" s="350"/>
      <c r="D55" s="350"/>
      <c r="E55" s="350"/>
      <c r="I55" s="249"/>
    </row>
    <row r="56" ht="75.75" customHeight="1">
      <c r="B56" s="353" t="s">
        <v>227</v>
      </c>
      <c r="C56" s="354" t="s">
        <v>284</v>
      </c>
      <c r="D56" s="354" t="s">
        <v>285</v>
      </c>
      <c r="E56" s="354" t="s">
        <v>286</v>
      </c>
      <c r="K56" s="26"/>
    </row>
    <row r="57" ht="15.75" customHeight="1">
      <c r="B57" s="54" t="s">
        <v>211</v>
      </c>
      <c r="C57" s="430">
        <v>81.34</v>
      </c>
      <c r="D57" s="431">
        <v>1.6</v>
      </c>
      <c r="E57" s="431">
        <v>2.28</v>
      </c>
    </row>
    <row r="58" ht="15.75" customHeight="1"/>
    <row r="59" ht="15.75" customHeight="1">
      <c r="O59" s="434" t="s">
        <v>263</v>
      </c>
    </row>
    <row r="60" ht="14.25" customHeight="1">
      <c r="B60" s="435" t="s">
        <v>288</v>
      </c>
      <c r="L60" s="436"/>
      <c r="O60" s="437"/>
    </row>
    <row r="61" ht="14.25" customHeight="1">
      <c r="L61" s="436"/>
      <c r="M61" s="9" t="s">
        <v>289</v>
      </c>
      <c r="O61" s="438"/>
    </row>
    <row r="62" ht="15.75" customHeight="1"/>
    <row r="63" ht="15.75" customHeight="1">
      <c r="B63" s="9" t="s">
        <v>290</v>
      </c>
      <c r="M63" s="439" t="s">
        <v>207</v>
      </c>
      <c r="O63" s="433">
        <f>IF(ISBLANK(M63),"-",IF(M63="O",-0.2,0))</f>
        <v>0</v>
      </c>
    </row>
    <row r="64" ht="15.75" customHeight="1"/>
    <row r="65" ht="15.75" customHeight="1">
      <c r="B65" s="9" t="s">
        <v>291</v>
      </c>
      <c r="M65" s="439" t="s">
        <v>207</v>
      </c>
      <c r="O65" s="433">
        <f>IF(ISBLANK(M65),"-",IF(M65="O",-0.2,0))</f>
        <v>0</v>
      </c>
    </row>
    <row r="66" ht="15.75" customHeight="1"/>
    <row r="67" ht="15.75" customHeight="1"/>
    <row r="68" ht="15.75" customHeight="1"/>
    <row r="69" ht="15.75" customHeight="1"/>
    <row r="70" ht="15.75" customHeight="1">
      <c r="B70" s="440" t="s">
        <v>292</v>
      </c>
    </row>
    <row r="71" ht="15.75" customHeight="1"/>
    <row r="72" ht="15.75" customHeight="1"/>
    <row r="73" ht="81.0" customHeight="1">
      <c r="C73" s="441" t="s">
        <v>293</v>
      </c>
      <c r="D73" s="441" t="s">
        <v>263</v>
      </c>
    </row>
    <row r="74" ht="15.75" customHeight="1">
      <c r="C74" s="442" t="str">
        <f>IF(D7304="-","-",IF(D74&gt;0, "Bonus", IF(D74&lt;0,"Rabais","Ni rabais ni bonus")))</f>
        <v>Ni rabais ni bonus</v>
      </c>
      <c r="D74" s="443">
        <f>IF(SUM(D16:H18,O16:S18,E31:E46,H31:H46,K31:K46,N31:N46,Q31:Q46,V31:V46,Y31:Y46,AB31:AB46,AE31:AE46,AH31:AH46,)=0,"-",(IF('SUIVI RABAIS PRODUCTION ET C '!$AN$21&lt;&gt;"Ni rabais ni bonus",'SUIVI RABAIS PRODUCTION ET C '!$AO$21,0)+IF('SUIVI RABAIS PRODUCTION ET C '!$I$53&lt;&gt;"Ni rabais ni bonus",'SUIVI RABAIS PRODUCTION ET C '!$J$53,0))+IF('SUIVI RABAIS PRODUCTION ET C '!$O$63&lt;&gt;"/",'SUIVI RABAIS PRODUCTION ET C '!$O$63,0)+IF('SUIVI RABAIS PRODUCTION ET C '!$O$65&lt;&gt;"/",'SUIVI RABAIS PRODUCTION ET C '!$O$65,0))</f>
        <v>0</v>
      </c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6">
    <mergeCell ref="AI28:AI30"/>
    <mergeCell ref="AJ28:AJ30"/>
    <mergeCell ref="B49:L50"/>
    <mergeCell ref="O59:O61"/>
    <mergeCell ref="B60:K61"/>
    <mergeCell ref="B70:Q71"/>
    <mergeCell ref="AK28:AK30"/>
    <mergeCell ref="AL28:AL30"/>
    <mergeCell ref="AN44:AO44"/>
    <mergeCell ref="B1:K2"/>
    <mergeCell ref="B5:X5"/>
    <mergeCell ref="B13:X13"/>
    <mergeCell ref="Y19:Z19"/>
    <mergeCell ref="AN19:AO19"/>
    <mergeCell ref="B27:X27"/>
    <mergeCell ref="R28:R3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2018-08-24T08:28:57Z</dcterms:created>
  <dc:creator>Mathilde Scheuer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