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Boisement Naudet_La Boissière-des-Landes (85)\"/>
    </mc:Choice>
  </mc:AlternateContent>
  <xr:revisionPtr revIDLastSave="0" documentId="13_ncr:1_{ABA61A79-C26B-4B37-9C67-3B1090E37359}" xr6:coauthVersionLast="47" xr6:coauthVersionMax="47" xr10:uidLastSave="{00000000-0000-0000-0000-000000000000}"/>
  <bookViews>
    <workbookView xWindow="2868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<sst xmlns="http://schemas.openxmlformats.org/spreadsheetml/2006/main" count="1174" uniqueCount="325">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</sst>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2.6545363919709568</c:v>
                </c:pt>
                <c:pt idx="2">
                  <c:v>3.0498680873009718</c:v>
                </c:pt>
                <c:pt idx="3">
                  <c:v>3.5042863496371583</c:v>
                </c:pt>
                <c:pt idx="4">
                  <c:v>4.0266521170071341</c:v>
                </c:pt>
                <c:pt idx="5">
                  <c:v>4.6271593579878081</c:v>
                </c:pt>
                <c:pt idx="6">
                  <c:v>5.3175362002175284</c:v>
                </c:pt>
                <c:pt idx="7">
                  <c:v>6.1112764876395573</c:v>
                </c:pt>
                <c:pt idx="8">
                  <c:v>7.0239063815190539</c:v>
                </c:pt>
                <c:pt idx="9">
                  <c:v>8.0732913218228504</c:v>
                </c:pt>
                <c:pt idx="10">
                  <c:v>9.279989473964255</c:v>
                </c:pt>
                <c:pt idx="11">
                  <c:v>10.667658717503109</c:v>
                </c:pt>
                <c:pt idx="12">
                  <c:v>12.263525306957353</c:v>
                </c:pt>
                <c:pt idx="13">
                  <c:v>14.098923572103821</c:v>
                </c:pt>
                <c:pt idx="14">
                  <c:v>16.209917451016164</c:v>
                </c:pt>
                <c:pt idx="15">
                  <c:v>18.638016292422606</c:v>
                </c:pt>
                <c:pt idx="16">
                  <c:v>21.430999257990951</c:v>
                </c:pt>
                <c:pt idx="17">
                  <c:v>24.643864838171552</c:v>
                </c:pt>
                <c:pt idx="18">
                  <c:v>28.339924511423959</c:v>
                </c:pt>
                <c:pt idx="19">
                  <c:v>32.592062476954119</c:v>
                </c:pt>
                <c:pt idx="20">
                  <c:v>37.484186734229688</c:v>
                </c:pt>
                <c:pt idx="21">
                  <c:v>43.112900636249549</c:v>
                </c:pt>
                <c:pt idx="22">
                  <c:v>49.589428485920998</c:v>
                </c:pt>
                <c:pt idx="23">
                  <c:v>57.041833866010933</c:v>
                </c:pt>
                <c:pt idx="24">
                  <c:v>65.617575296852564</c:v>
                </c:pt>
                <c:pt idx="25">
                  <c:v>75.486450622089208</c:v>
                </c:pt>
                <c:pt idx="26">
                  <c:v>86.84398936936627</c:v>
                </c:pt>
                <c:pt idx="27">
                  <c:v>99.915361379362025</c:v>
                </c:pt>
                <c:pt idx="28">
                  <c:v>114.95988042662457</c:v>
                </c:pt>
                <c:pt idx="29">
                  <c:v>132.2761935812849</c:v>
                </c:pt>
                <c:pt idx="30">
                  <c:v>152.20826092627306</c:v>
                </c:pt>
                <c:pt idx="31">
                  <c:v>168.03730180425939</c:v>
                </c:pt>
                <c:pt idx="32">
                  <c:v>183.83118038860502</c:v>
                </c:pt>
                <c:pt idx="33">
                  <c:v>199.59334438474278</c:v>
                </c:pt>
                <c:pt idx="34">
                  <c:v>215.32665177885363</c:v>
                </c:pt>
                <c:pt idx="35">
                  <c:v>231.03350838235292</c:v>
                </c:pt>
                <c:pt idx="36">
                  <c:v>246.71596592246559</c:v>
                </c:pt>
                <c:pt idx="37">
                  <c:v>262.37579383768139</c:v>
                </c:pt>
                <c:pt idx="38">
                  <c:v>278.01453300854564</c:v>
                </c:pt>
                <c:pt idx="39">
                  <c:v>293.63353675060915</c:v>
                </c:pt>
                <c:pt idx="40">
                  <c:v>309.23400262011683</c:v>
                </c:pt>
                <c:pt idx="41">
                  <c:v>324.81699746053465</c:v>
                </c:pt>
                <c:pt idx="42">
                  <c:v>340.38347738827719</c:v>
                </c:pt>
                <c:pt idx="43">
                  <c:v>275.96082819556159</c:v>
                </c:pt>
                <c:pt idx="44">
                  <c:v>295.25904257516885</c:v>
                </c:pt>
                <c:pt idx="45">
                  <c:v>314.52912768369208</c:v>
                </c:pt>
                <c:pt idx="46">
                  <c:v>333.77304874821488</c:v>
                </c:pt>
                <c:pt idx="47">
                  <c:v>352.99252590905752</c:v>
                </c:pt>
                <c:pt idx="48">
                  <c:v>372.1890767431392</c:v>
                </c:pt>
                <c:pt idx="49">
                  <c:v>391.36404955187089</c:v>
                </c:pt>
                <c:pt idx="50">
                  <c:v>410.51864978264933</c:v>
                </c:pt>
                <c:pt idx="51">
                  <c:v>361.45014461667375</c:v>
                </c:pt>
                <c:pt idx="52">
                  <c:v>380.96715653184043</c:v>
                </c:pt>
                <c:pt idx="53">
                  <c:v>400.46242842840928</c:v>
                </c:pt>
                <c:pt idx="54">
                  <c:v>419.93716698819981</c:v>
                </c:pt>
                <c:pt idx="55">
                  <c:v>439.39245789344562</c:v>
                </c:pt>
                <c:pt idx="56">
                  <c:v>458.82928289019873</c:v>
                </c:pt>
                <c:pt idx="57">
                  <c:v>478.24853381001611</c:v>
                </c:pt>
                <c:pt idx="58">
                  <c:v>497.65102419606643</c:v>
                </c:pt>
                <c:pt idx="59">
                  <c:v>430.12020919230275</c:v>
                </c:pt>
                <c:pt idx="60">
                  <c:v>448.85740375593576</c:v>
                </c:pt>
                <c:pt idx="61">
                  <c:v>467.57786705730337</c:v>
                </c:pt>
                <c:pt idx="62">
                  <c:v>486.28236284852915</c:v>
                </c:pt>
                <c:pt idx="63">
                  <c:v>504.9715913698567</c:v>
                </c:pt>
                <c:pt idx="64">
                  <c:v>523.64619683432079</c:v>
                </c:pt>
                <c:pt idx="65">
                  <c:v>542.30677378956045</c:v>
                </c:pt>
                <c:pt idx="66">
                  <c:v>560.95387255882304</c:v>
                </c:pt>
                <c:pt idx="67">
                  <c:v>483.12287301095034</c:v>
                </c:pt>
                <c:pt idx="68">
                  <c:v>500.88040156064579</c:v>
                </c:pt>
                <c:pt idx="69">
                  <c:v>518.62460988083035</c:v>
                </c:pt>
                <c:pt idx="70">
                  <c:v>536.3560175939424</c:v>
                </c:pt>
                <c:pt idx="71">
                  <c:v>554.07510718571075</c:v>
                </c:pt>
                <c:pt idx="72">
                  <c:v>571.78232778630161</c:v>
                </c:pt>
                <c:pt idx="73">
                  <c:v>589.47809845895836</c:v>
                </c:pt>
                <c:pt idx="74">
                  <c:v>607.16281107343025</c:v>
                </c:pt>
                <c:pt idx="75">
                  <c:v>534.0652770890016</c:v>
                </c:pt>
                <c:pt idx="76">
                  <c:v>551.57651198639223</c:v>
                </c:pt>
                <c:pt idx="77">
                  <c:v>569.07609690520076</c:v>
                </c:pt>
                <c:pt idx="78">
                  <c:v>586.56444029427121</c:v>
                </c:pt>
                <c:pt idx="79">
                  <c:v>604.04192427781663</c:v>
                </c:pt>
                <c:pt idx="80">
                  <c:v>621.50890708020677</c:v>
                </c:pt>
                <c:pt idx="81">
                  <c:v>638.96572516416973</c:v>
                </c:pt>
                <c:pt idx="82">
                  <c:v>656.41269512333827</c:v>
                </c:pt>
                <c:pt idx="83">
                  <c:v>673.85011536326908</c:v>
                </c:pt>
                <c:pt idx="84">
                  <c:v>691.27826759955076</c:v>
                </c:pt>
                <c:pt idx="85">
                  <c:v>590.57338819665517</c:v>
                </c:pt>
                <c:pt idx="86">
                  <c:v>607.09028048942207</c:v>
                </c:pt>
                <c:pt idx="87">
                  <c:v>623.59784585855948</c:v>
                </c:pt>
                <c:pt idx="88">
                  <c:v>640.09636580371409</c:v>
                </c:pt>
                <c:pt idx="89">
                  <c:v>656.5861061405127</c:v>
                </c:pt>
                <c:pt idx="90">
                  <c:v>673.06731825443057</c:v>
                </c:pt>
                <c:pt idx="91">
                  <c:v>689.54024022555211</c:v>
                </c:pt>
                <c:pt idx="92">
                  <c:v>706.00509784034432</c:v>
                </c:pt>
                <c:pt idx="93">
                  <c:v>722.46210550421847</c:v>
                </c:pt>
                <c:pt idx="94">
                  <c:v>738.91146706668644</c:v>
                </c:pt>
                <c:pt idx="95">
                  <c:v>637.13716485658085</c:v>
                </c:pt>
                <c:pt idx="96">
                  <c:v>653.1348585090218</c:v>
                </c:pt>
                <c:pt idx="97">
                  <c:v>669.12447855411801</c:v>
                </c:pt>
                <c:pt idx="98">
                  <c:v>685.10624495595687</c:v>
                </c:pt>
                <c:pt idx="99">
                  <c:v>701.08036658735728</c:v>
                </c:pt>
                <c:pt idx="100">
                  <c:v>717.04704203428025</c:v>
                </c:pt>
                <c:pt idx="101">
                  <c:v>733.0064603249217</c:v>
                </c:pt>
                <c:pt idx="102">
                  <c:v>748.95880159206502</c:v>
                </c:pt>
                <c:pt idx="103">
                  <c:v>764.90423767611367</c:v>
                </c:pt>
                <c:pt idx="104">
                  <c:v>780.84293267527482</c:v>
                </c:pt>
                <c:pt idx="105">
                  <c:v>682.09216311170474</c:v>
                </c:pt>
                <c:pt idx="106">
                  <c:v>697.80696994124844</c:v>
                </c:pt>
                <c:pt idx="107">
                  <c:v>713.51453313820082</c:v>
                </c:pt>
                <c:pt idx="108">
                  <c:v>729.21503450467515</c:v>
                </c:pt>
                <c:pt idx="109">
                  <c:v>744.90864738226776</c:v>
                </c:pt>
                <c:pt idx="110">
                  <c:v>760.59553721938767</c:v>
                </c:pt>
                <c:pt idx="111">
                  <c:v>776.27586208939147</c:v>
                </c:pt>
                <c:pt idx="112">
                  <c:v>791.94977316471579</c:v>
                </c:pt>
                <c:pt idx="113">
                  <c:v>807.61741515155848</c:v>
                </c:pt>
                <c:pt idx="114">
                  <c:v>823.27892668911011</c:v>
                </c:pt>
                <c:pt idx="115">
                  <c:v>732.63189896797348</c:v>
                </c:pt>
                <c:pt idx="116">
                  <c:v>748.47987654126098</c:v>
                </c:pt>
                <c:pt idx="117">
                  <c:v>764.321034175568</c:v>
                </c:pt>
                <c:pt idx="118">
                  <c:v>780.15553300760382</c:v>
                </c:pt>
                <c:pt idx="119">
                  <c:v>795.98352710569088</c:v>
                </c:pt>
                <c:pt idx="120">
                  <c:v>811.80516391708795</c:v>
                </c:pt>
                <c:pt idx="121">
                  <c:v>827.62058467865961</c:v>
                </c:pt>
                <c:pt idx="122">
                  <c:v>843.42992479455927</c:v>
                </c:pt>
                <c:pt idx="123">
                  <c:v>859.23331418414864</c:v>
                </c:pt>
                <c:pt idx="124">
                  <c:v>875.03087760301878</c:v>
                </c:pt>
                <c:pt idx="125">
                  <c:v>791.52264552872691</c:v>
                </c:pt>
                <c:pt idx="126">
                  <c:v>807.64587889820859</c:v>
                </c:pt>
                <c:pt idx="127">
                  <c:v>823.76262040347035</c:v>
                </c:pt>
                <c:pt idx="128">
                  <c:v>839.87301482361215</c:v>
                </c:pt>
                <c:pt idx="129">
                  <c:v>855.97720093628323</c:v>
                </c:pt>
                <c:pt idx="130">
                  <c:v>872.07531187698567</c:v>
                </c:pt>
                <c:pt idx="131">
                  <c:v>888.16747547050124</c:v>
                </c:pt>
                <c:pt idx="132">
                  <c:v>904.25381453707325</c:v>
                </c:pt>
                <c:pt idx="133">
                  <c:v>920.33444717569864</c:v>
                </c:pt>
                <c:pt idx="134">
                  <c:v>936.40948702660933</c:v>
                </c:pt>
                <c:pt idx="135">
                  <c:v>848.55809489614876</c:v>
                </c:pt>
                <c:pt idx="136">
                  <c:v>864.78405734065075</c:v>
                </c:pt>
                <c:pt idx="137">
                  <c:v>881.00392150254174</c:v>
                </c:pt>
                <c:pt idx="138">
                  <c:v>897.21781535067532</c:v>
                </c:pt>
                <c:pt idx="139">
                  <c:v>913.4258618568432</c:v>
                </c:pt>
                <c:pt idx="140">
                  <c:v>929.62817927791514</c:v>
                </c:pt>
                <c:pt idx="141">
                  <c:v>945.82488141730835</c:v>
                </c:pt>
                <c:pt idx="142">
                  <c:v>962.01607786763998</c:v>
                </c:pt>
                <c:pt idx="143">
                  <c:v>978.20187423621553</c:v>
                </c:pt>
                <c:pt idx="144">
                  <c:v>994.38237235483382</c:v>
                </c:pt>
                <c:pt idx="145">
                  <c:v>905.00354968761405</c:v>
                </c:pt>
                <c:pt idx="146">
                  <c:v>921.57788263141322</c:v>
                </c:pt>
                <c:pt idx="147">
                  <c:v>938.14628296732155</c:v>
                </c:pt>
                <c:pt idx="148">
                  <c:v>954.70887010616536</c:v>
                </c:pt>
                <c:pt idx="149">
                  <c:v>971.26575898286592</c:v>
                </c:pt>
                <c:pt idx="150">
                  <c:v>987.81706029919644</c:v>
                </c:pt>
                <c:pt idx="151">
                  <c:v>1004.3628807494425</c:v>
                </c:pt>
                <c:pt idx="152">
                  <c:v>1020.9033232304419</c:v>
                </c:pt>
                <c:pt idx="153">
                  <c:v>1037.4384870373203</c:v>
                </c:pt>
                <c:pt idx="154">
                  <c:v>1053.9684680461196</c:v>
                </c:pt>
                <c:pt idx="155">
                  <c:v>966.62601140514414</c:v>
                </c:pt>
                <c:pt idx="156">
                  <c:v>983.44348696843338</c:v>
                </c:pt>
                <c:pt idx="157">
                  <c:v>1000.2552762703218</c:v>
                </c:pt>
                <c:pt idx="158">
                  <c:v>1017.0614882239994</c:v>
                </c:pt>
                <c:pt idx="159">
                  <c:v>1033.8622278544997</c:v>
                </c:pt>
                <c:pt idx="160">
                  <c:v>1050.6575964997107</c:v>
                </c:pt>
                <c:pt idx="161">
                  <c:v>1067.4476919978817</c:v>
                </c:pt>
                <c:pt idx="162">
                  <c:v>1084.2326088627349</c:v>
                </c:pt>
                <c:pt idx="163">
                  <c:v>1101.0124384471885</c:v>
                </c:pt>
                <c:pt idx="164">
                  <c:v>1117.7872690965926</c:v>
                </c:pt>
                <c:pt idx="165">
                  <c:v>1022.3009702525984</c:v>
                </c:pt>
                <c:pt idx="166">
                  <c:v>1039.2548467740485</c:v>
                </c:pt>
                <c:pt idx="167">
                  <c:v>1056.2032852046932</c:v>
                </c:pt>
                <c:pt idx="168">
                  <c:v>1073.1463849816832</c:v>
                </c:pt>
                <c:pt idx="169">
                  <c:v>1090.0842421506763</c:v>
                </c:pt>
                <c:pt idx="170">
                  <c:v>1107.0169495334719</c:v>
                </c:pt>
                <c:pt idx="171">
                  <c:v>1123.9445968848709</c:v>
                </c:pt>
                <c:pt idx="172">
                  <c:v>1140.8672710396083</c:v>
                </c:pt>
                <c:pt idx="173">
                  <c:v>1157.7850560501302</c:v>
                </c:pt>
                <c:pt idx="174">
                  <c:v>1174.6980333159111</c:v>
                </c:pt>
                <c:pt idx="175">
                  <c:v>764.28114044668121</c:v>
                </c:pt>
                <c:pt idx="176">
                  <c:v>759.96856868640737</c:v>
                </c:pt>
                <c:pt idx="177">
                  <c:v>755.65550007785362</c:v>
                </c:pt>
                <c:pt idx="178">
                  <c:v>534.6528133258779</c:v>
                </c:pt>
                <c:pt idx="179">
                  <c:v>533.25571791442655</c:v>
                </c:pt>
                <c:pt idx="180">
                  <c:v>531.85854549909379</c:v>
                </c:pt>
                <c:pt idx="181">
                  <c:v>381.0876374622872</c:v>
                </c:pt>
                <c:pt idx="182">
                  <c:v>379.56469744116322</c:v>
                </c:pt>
                <c:pt idx="183">
                  <c:v>378.04162441819039</c:v>
                </c:pt>
                <c:pt idx="184">
                  <c:v>45.359988241527674</c:v>
                </c:pt>
                <c:pt idx="185">
                  <c:v>45.359988241527674</c:v>
                </c:pt>
                <c:pt idx="186">
                  <c:v>45.359988241527674</c:v>
                </c:pt>
                <c:pt idx="187">
                  <c:v>45.359988241527674</c:v>
                </c:pt>
                <c:pt idx="188">
                  <c:v>45.359988241527674</c:v>
                </c:pt>
                <c:pt idx="189">
                  <c:v>45.359988241527674</c:v>
                </c:pt>
                <c:pt idx="190">
                  <c:v>45.359988241527674</c:v>
                </c:pt>
                <c:pt idx="191">
                  <c:v>45.359988241527674</c:v>
                </c:pt>
                <c:pt idx="192">
                  <c:v>45.359988241527674</c:v>
                </c:pt>
                <c:pt idx="193">
                  <c:v>45.359988241527674</c:v>
                </c:pt>
                <c:pt idx="194">
                  <c:v>45.359988241527674</c:v>
                </c:pt>
                <c:pt idx="195">
                  <c:v>45.359988241527674</c:v>
                </c:pt>
                <c:pt idx="196">
                  <c:v>45.359988241527674</c:v>
                </c:pt>
                <c:pt idx="197">
                  <c:v>45.359988241527674</c:v>
                </c:pt>
                <c:pt idx="198">
                  <c:v>45.359988241527674</c:v>
                </c:pt>
                <c:pt idx="199">
                  <c:v>45.359988241527674</c:v>
                </c:pt>
                <c:pt idx="200">
                  <c:v>45.359988241527674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1.4377206581747635</c:v>
                </c:pt>
                <c:pt idx="2">
                  <c:v>1.6869107492739737</c:v>
                </c:pt>
                <c:pt idx="3">
                  <c:v>1.9794540498472124</c:v>
                </c:pt>
                <c:pt idx="4">
                  <c:v>2.32291986509308</c:v>
                </c:pt>
                <c:pt idx="5">
                  <c:v>2.726203488604082</c:v>
                </c:pt>
                <c:pt idx="6">
                  <c:v>3.199759212006402</c:v>
                </c:pt>
                <c:pt idx="7">
                  <c:v>3.7558743983793579</c:v>
                </c:pt>
                <c:pt idx="8">
                  <c:v>4.4089918754319024</c:v>
                </c:pt>
                <c:pt idx="9">
                  <c:v>5.1760891896651691</c:v>
                </c:pt>
                <c:pt idx="10">
                  <c:v>6.0771247761632603</c:v>
                </c:pt>
                <c:pt idx="11">
                  <c:v>7.1355628808147005</c:v>
                </c:pt>
                <c:pt idx="12">
                  <c:v>8.378991170491787</c:v>
                </c:pt>
                <c:pt idx="13">
                  <c:v>9.83984743834616</c:v>
                </c:pt>
                <c:pt idx="14">
                  <c:v>11.556274722302414</c:v>
                </c:pt>
                <c:pt idx="15">
                  <c:v>13.573127583273013</c:v>
                </c:pt>
                <c:pt idx="16">
                  <c:v>15.943156327756114</c:v>
                </c:pt>
                <c:pt idx="17">
                  <c:v>18.728400715938637</c:v>
                </c:pt>
                <c:pt idx="18">
                  <c:v>22.001830299220078</c:v>
                </c:pt>
                <c:pt idx="19">
                  <c:v>25.849275131059283</c:v>
                </c:pt>
                <c:pt idx="20">
                  <c:v>30.371698370020116</c:v>
                </c:pt>
                <c:pt idx="21">
                  <c:v>35.687871453399147</c:v>
                </c:pt>
                <c:pt idx="22">
                  <c:v>41.937523310830301</c:v>
                </c:pt>
                <c:pt idx="23">
                  <c:v>49.285047800875581</c:v>
                </c:pt>
                <c:pt idx="24">
                  <c:v>57.923868532938087</c:v>
                </c:pt>
                <c:pt idx="25">
                  <c:v>68.081577886310939</c:v>
                </c:pt>
                <c:pt idx="26">
                  <c:v>80.025987834536735</c:v>
                </c:pt>
                <c:pt idx="27">
                  <c:v>94.072254688474018</c:v>
                </c:pt>
                <c:pt idx="28">
                  <c:v>110.59126874802261</c:v>
                </c:pt>
                <c:pt idx="29">
                  <c:v>130.01953388132486</c:v>
                </c:pt>
                <c:pt idx="30">
                  <c:v>152.87080215212242</c:v>
                </c:pt>
                <c:pt idx="31">
                  <c:v>169.65915113688018</c:v>
                </c:pt>
                <c:pt idx="32">
                  <c:v>186.40835894763052</c:v>
                </c:pt>
                <c:pt idx="33">
                  <c:v>203.12243907508991</c:v>
                </c:pt>
                <c:pt idx="34">
                  <c:v>219.80468967561649</c:v>
                </c:pt>
                <c:pt idx="35">
                  <c:v>236.45786689034392</c:v>
                </c:pt>
                <c:pt idx="36">
                  <c:v>253.08430665513359</c:v>
                </c:pt>
                <c:pt idx="37">
                  <c:v>269.68601275966461</c:v>
                </c:pt>
                <c:pt idx="38">
                  <c:v>286.26472205280169</c:v>
                </c:pt>
                <c:pt idx="39">
                  <c:v>302.82195373285214</c:v>
                </c:pt>
                <c:pt idx="40">
                  <c:v>319.359047282863</c:v>
                </c:pt>
                <c:pt idx="41">
                  <c:v>335.87719213129731</c:v>
                </c:pt>
                <c:pt idx="42">
                  <c:v>352.37745116940761</c:v>
                </c:pt>
                <c:pt idx="43">
                  <c:v>263.88557086776916</c:v>
                </c:pt>
                <c:pt idx="44">
                  <c:v>281.04264718908837</c:v>
                </c:pt>
                <c:pt idx="45">
                  <c:v>298.17625094301241</c:v>
                </c:pt>
                <c:pt idx="46">
                  <c:v>315.28792051721973</c:v>
                </c:pt>
                <c:pt idx="47">
                  <c:v>332.37901367223782</c:v>
                </c:pt>
                <c:pt idx="48">
                  <c:v>349.45073714165352</c:v>
                </c:pt>
                <c:pt idx="49">
                  <c:v>366.50417014279401</c:v>
                </c:pt>
                <c:pt idx="50">
                  <c:v>383.5402832813997</c:v>
                </c:pt>
                <c:pt idx="51">
                  <c:v>293.4198752951807</c:v>
                </c:pt>
                <c:pt idx="52">
                  <c:v>309.82259987136587</c:v>
                </c:pt>
                <c:pt idx="53">
                  <c:v>326.20605072251124</c:v>
                </c:pt>
                <c:pt idx="54">
                  <c:v>342.5713319791501</c:v>
                </c:pt>
                <c:pt idx="55">
                  <c:v>358.91943367247535</c:v>
                </c:pt>
                <c:pt idx="56">
                  <c:v>375.25124829375051</c:v>
                </c:pt>
                <c:pt idx="57">
                  <c:v>391.56758431956655</c:v>
                </c:pt>
                <c:pt idx="58">
                  <c:v>407.86917736468848</c:v>
                </c:pt>
                <c:pt idx="59">
                  <c:v>336.62747071784582</c:v>
                </c:pt>
                <c:pt idx="60">
                  <c:v>352.54474716882811</c:v>
                </c:pt>
                <c:pt idx="61">
                  <c:v>368.44627640452944</c:v>
                </c:pt>
                <c:pt idx="62">
                  <c:v>384.33283360873367</c:v>
                </c:pt>
                <c:pt idx="63">
                  <c:v>400.20512466008404</c:v>
                </c:pt>
                <c:pt idx="64">
                  <c:v>416.06379488845647</c:v>
                </c:pt>
                <c:pt idx="65">
                  <c:v>431.90943642660909</c:v>
                </c:pt>
                <c:pt idx="66">
                  <c:v>447.74259442675412</c:v>
                </c:pt>
                <c:pt idx="67">
                  <c:v>375.55407197802145</c:v>
                </c:pt>
                <c:pt idx="68">
                  <c:v>390.71902319988516</c:v>
                </c:pt>
                <c:pt idx="69">
                  <c:v>405.87120811496544</c:v>
                </c:pt>
                <c:pt idx="70">
                  <c:v>421.01117034902131</c:v>
                </c:pt>
                <c:pt idx="71">
                  <c:v>436.13941124658749</c:v>
                </c:pt>
                <c:pt idx="72">
                  <c:v>451.25639454253911</c:v>
                </c:pt>
                <c:pt idx="73">
                  <c:v>466.36255037510381</c:v>
                </c:pt>
                <c:pt idx="74">
                  <c:v>481.45827875190781</c:v>
                </c:pt>
                <c:pt idx="75">
                  <c:v>496.54395255876375</c:v>
                </c:pt>
                <c:pt idx="76">
                  <c:v>423.40314483123649</c:v>
                </c:pt>
                <c:pt idx="77">
                  <c:v>437.66237826853438</c:v>
                </c:pt>
                <c:pt idx="78">
                  <c:v>451.91164839468348</c:v>
                </c:pt>
                <c:pt idx="79">
                  <c:v>466.15131355533964</c:v>
                </c:pt>
                <c:pt idx="80">
                  <c:v>480.38170842202425</c:v>
                </c:pt>
                <c:pt idx="81">
                  <c:v>494.6031462257688</c:v>
                </c:pt>
                <c:pt idx="82">
                  <c:v>508.81592072053917</c:v>
                </c:pt>
                <c:pt idx="83">
                  <c:v>523.02030791590926</c:v>
                </c:pt>
                <c:pt idx="84">
                  <c:v>446.63343927814032</c:v>
                </c:pt>
                <c:pt idx="85">
                  <c:v>459.77932579042158</c:v>
                </c:pt>
                <c:pt idx="86">
                  <c:v>472.91719077481588</c:v>
                </c:pt>
                <c:pt idx="87">
                  <c:v>486.04728844130017</c:v>
                </c:pt>
                <c:pt idx="88">
                  <c:v>499.16985814728554</c:v>
                </c:pt>
                <c:pt idx="89">
                  <c:v>512.28512564123855</c:v>
                </c:pt>
                <c:pt idx="90">
                  <c:v>525.39330417234487</c:v>
                </c:pt>
                <c:pt idx="91">
                  <c:v>538.49459548369055</c:v>
                </c:pt>
                <c:pt idx="92">
                  <c:v>287.47041232900375</c:v>
                </c:pt>
                <c:pt idx="93">
                  <c:v>296.03076645817242</c:v>
                </c:pt>
                <c:pt idx="94">
                  <c:v>304.58560084390916</c:v>
                </c:pt>
                <c:pt idx="95">
                  <c:v>313.13509251387984</c:v>
                </c:pt>
                <c:pt idx="96">
                  <c:v>321.67940803184018</c:v>
                </c:pt>
                <c:pt idx="97">
                  <c:v>330.2187043837497</c:v>
                </c:pt>
                <c:pt idx="98">
                  <c:v>338.75312976737865</c:v>
                </c:pt>
                <c:pt idx="99">
                  <c:v>347.28282429814044</c:v>
                </c:pt>
                <c:pt idx="100">
                  <c:v>355.80792064191445</c:v>
                </c:pt>
                <c:pt idx="101">
                  <c:v>364.3285445840225</c:v>
                </c:pt>
                <c:pt idx="102">
                  <c:v>6.0554227957464972</c:v>
                </c:pt>
                <c:pt idx="103">
                  <c:v>6.0554227957464972</c:v>
                </c:pt>
                <c:pt idx="104">
                  <c:v>6.0554227957464972</c:v>
                </c:pt>
                <c:pt idx="105">
                  <c:v>6.0554227957464972</c:v>
                </c:pt>
                <c:pt idx="106">
                  <c:v>6.0554227957464972</c:v>
                </c:pt>
                <c:pt idx="107">
                  <c:v>6.0554227957464972</c:v>
                </c:pt>
                <c:pt idx="108">
                  <c:v>6.0554227957464972</c:v>
                </c:pt>
                <c:pt idx="109">
                  <c:v>6.0554227957464972</c:v>
                </c:pt>
                <c:pt idx="110">
                  <c:v>6.0554227957464972</c:v>
                </c:pt>
                <c:pt idx="111">
                  <c:v>6.0554227957464972</c:v>
                </c:pt>
                <c:pt idx="112">
                  <c:v>6.0554227957464972</c:v>
                </c:pt>
                <c:pt idx="113">
                  <c:v>6.0554227957464972</c:v>
                </c:pt>
                <c:pt idx="114">
                  <c:v>6.0554227957464972</c:v>
                </c:pt>
                <c:pt idx="115">
                  <c:v>6.0554227957464972</c:v>
                </c:pt>
                <c:pt idx="116">
                  <c:v>6.0554227957464972</c:v>
                </c:pt>
                <c:pt idx="117">
                  <c:v>6.0554227957464972</c:v>
                </c:pt>
                <c:pt idx="118">
                  <c:v>6.0554227957464972</c:v>
                </c:pt>
                <c:pt idx="119">
                  <c:v>6.0554227957464972</c:v>
                </c:pt>
                <c:pt idx="120">
                  <c:v>6.0554227957464972</c:v>
                </c:pt>
                <c:pt idx="121">
                  <c:v>6.0554227957464972</c:v>
                </c:pt>
                <c:pt idx="122">
                  <c:v>6.0554227957464972</c:v>
                </c:pt>
                <c:pt idx="123">
                  <c:v>6.0554227957464972</c:v>
                </c:pt>
                <c:pt idx="124">
                  <c:v>6.0554227957464972</c:v>
                </c:pt>
                <c:pt idx="125">
                  <c:v>6.0554227957464972</c:v>
                </c:pt>
                <c:pt idx="126">
                  <c:v>6.0554227957464972</c:v>
                </c:pt>
                <c:pt idx="127">
                  <c:v>6.0554227957464972</c:v>
                </c:pt>
                <c:pt idx="128">
                  <c:v>6.0554227957464972</c:v>
                </c:pt>
                <c:pt idx="129">
                  <c:v>6.0554227957464972</c:v>
                </c:pt>
                <c:pt idx="130">
                  <c:v>6.0554227957464972</c:v>
                </c:pt>
                <c:pt idx="131">
                  <c:v>6.0554227957464972</c:v>
                </c:pt>
                <c:pt idx="132">
                  <c:v>6.0554227957464972</c:v>
                </c:pt>
                <c:pt idx="133">
                  <c:v>6.0554227957464972</c:v>
                </c:pt>
                <c:pt idx="134">
                  <c:v>6.0554227957464972</c:v>
                </c:pt>
                <c:pt idx="135">
                  <c:v>6.0554227957464972</c:v>
                </c:pt>
                <c:pt idx="136">
                  <c:v>6.0554227957464972</c:v>
                </c:pt>
                <c:pt idx="137">
                  <c:v>6.0554227957464972</c:v>
                </c:pt>
                <c:pt idx="138">
                  <c:v>6.0554227957464972</c:v>
                </c:pt>
                <c:pt idx="139">
                  <c:v>6.0554227957464972</c:v>
                </c:pt>
                <c:pt idx="140">
                  <c:v>6.0554227957464972</c:v>
                </c:pt>
                <c:pt idx="141">
                  <c:v>6.0554227957464972</c:v>
                </c:pt>
                <c:pt idx="142">
                  <c:v>6.0554227957464972</c:v>
                </c:pt>
                <c:pt idx="143">
                  <c:v>6.0554227957464972</c:v>
                </c:pt>
                <c:pt idx="144">
                  <c:v>6.0554227957464972</c:v>
                </c:pt>
                <c:pt idx="145">
                  <c:v>6.0554227957464972</c:v>
                </c:pt>
                <c:pt idx="146">
                  <c:v>6.0554227957464972</c:v>
                </c:pt>
                <c:pt idx="147">
                  <c:v>6.0554227957464972</c:v>
                </c:pt>
                <c:pt idx="148">
                  <c:v>6.0554227957464972</c:v>
                </c:pt>
                <c:pt idx="149">
                  <c:v>6.0554227957464972</c:v>
                </c:pt>
                <c:pt idx="150">
                  <c:v>6.0554227957464972</c:v>
                </c:pt>
                <c:pt idx="151">
                  <c:v>6.0554227957464972</c:v>
                </c:pt>
                <c:pt idx="152">
                  <c:v>6.0554227957464972</c:v>
                </c:pt>
                <c:pt idx="153">
                  <c:v>6.0554227957464972</c:v>
                </c:pt>
                <c:pt idx="154">
                  <c:v>6.0554227957464972</c:v>
                </c:pt>
                <c:pt idx="155">
                  <c:v>6.0554227957464972</c:v>
                </c:pt>
                <c:pt idx="156">
                  <c:v>6.0554227957464972</c:v>
                </c:pt>
                <c:pt idx="157">
                  <c:v>6.0554227957464972</c:v>
                </c:pt>
                <c:pt idx="158">
                  <c:v>6.0554227957464972</c:v>
                </c:pt>
                <c:pt idx="159">
                  <c:v>6.0554227957464972</c:v>
                </c:pt>
                <c:pt idx="160">
                  <c:v>6.0554227957464972</c:v>
                </c:pt>
                <c:pt idx="161">
                  <c:v>6.0554227957464972</c:v>
                </c:pt>
                <c:pt idx="162">
                  <c:v>6.0554227957464972</c:v>
                </c:pt>
                <c:pt idx="163">
                  <c:v>6.0554227957464972</c:v>
                </c:pt>
                <c:pt idx="164">
                  <c:v>6.0554227957464972</c:v>
                </c:pt>
                <c:pt idx="165">
                  <c:v>6.0554227957464972</c:v>
                </c:pt>
                <c:pt idx="166">
                  <c:v>6.0554227957464972</c:v>
                </c:pt>
                <c:pt idx="167">
                  <c:v>6.0554227957464972</c:v>
                </c:pt>
                <c:pt idx="168">
                  <c:v>6.0554227957464972</c:v>
                </c:pt>
                <c:pt idx="169">
                  <c:v>6.0554227957464972</c:v>
                </c:pt>
                <c:pt idx="170">
                  <c:v>6.0554227957464972</c:v>
                </c:pt>
                <c:pt idx="171">
                  <c:v>6.0554227957464972</c:v>
                </c:pt>
                <c:pt idx="172">
                  <c:v>6.0554227957464972</c:v>
                </c:pt>
                <c:pt idx="173">
                  <c:v>6.0554227957464972</c:v>
                </c:pt>
                <c:pt idx="174">
                  <c:v>6.0554227957464972</c:v>
                </c:pt>
                <c:pt idx="175">
                  <c:v>6.0554227957464972</c:v>
                </c:pt>
                <c:pt idx="176">
                  <c:v>6.0554227957464972</c:v>
                </c:pt>
                <c:pt idx="177">
                  <c:v>6.0554227957464972</c:v>
                </c:pt>
                <c:pt idx="178">
                  <c:v>6.0554227957464972</c:v>
                </c:pt>
                <c:pt idx="179">
                  <c:v>6.0554227957464972</c:v>
                </c:pt>
                <c:pt idx="180">
                  <c:v>6.0554227957464972</c:v>
                </c:pt>
                <c:pt idx="181">
                  <c:v>6.0554227957464972</c:v>
                </c:pt>
                <c:pt idx="182">
                  <c:v>6.0554227957464972</c:v>
                </c:pt>
                <c:pt idx="183">
                  <c:v>6.0554227957464972</c:v>
                </c:pt>
                <c:pt idx="184">
                  <c:v>6.0554227957464972</c:v>
                </c:pt>
                <c:pt idx="185">
                  <c:v>6.0554227957464972</c:v>
                </c:pt>
                <c:pt idx="186">
                  <c:v>6.0554227957464972</c:v>
                </c:pt>
                <c:pt idx="187">
                  <c:v>6.0554227957464972</c:v>
                </c:pt>
                <c:pt idx="188">
                  <c:v>6.0554227957464972</c:v>
                </c:pt>
                <c:pt idx="189">
                  <c:v>6.0554227957464972</c:v>
                </c:pt>
                <c:pt idx="190">
                  <c:v>6.0554227957464972</c:v>
                </c:pt>
                <c:pt idx="191">
                  <c:v>6.0554227957464972</c:v>
                </c:pt>
                <c:pt idx="192">
                  <c:v>6.0554227957464972</c:v>
                </c:pt>
                <c:pt idx="193">
                  <c:v>6.0554227957464972</c:v>
                </c:pt>
                <c:pt idx="194">
                  <c:v>6.0554227957464972</c:v>
                </c:pt>
                <c:pt idx="195">
                  <c:v>6.0554227957464972</c:v>
                </c:pt>
                <c:pt idx="196">
                  <c:v>6.0554227957464972</c:v>
                </c:pt>
                <c:pt idx="197">
                  <c:v>6.0554227957464972</c:v>
                </c:pt>
                <c:pt idx="198">
                  <c:v>6.0554227957464972</c:v>
                </c:pt>
                <c:pt idx="199">
                  <c:v>6.0554227957464972</c:v>
                </c:pt>
                <c:pt idx="200">
                  <c:v>6.0554227957464972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2.1624739229022425</c:v>
                </c:pt>
                <c:pt idx="2">
                  <c:v>3.5256914312731613</c:v>
                </c:pt>
                <c:pt idx="3">
                  <c:v>5.7525435563535652</c:v>
                </c:pt>
                <c:pt idx="4">
                  <c:v>9.3926953448745145</c:v>
                </c:pt>
                <c:pt idx="5">
                  <c:v>15.347141622441059</c:v>
                </c:pt>
                <c:pt idx="6">
                  <c:v>25.093643154540132</c:v>
                </c:pt>
                <c:pt idx="7">
                  <c:v>41.057329941412029</c:v>
                </c:pt>
                <c:pt idx="8">
                  <c:v>67.220248993827795</c:v>
                </c:pt>
                <c:pt idx="9">
                  <c:v>110.1243870092231</c:v>
                </c:pt>
                <c:pt idx="10">
                  <c:v>149.28543295633219</c:v>
                </c:pt>
                <c:pt idx="11">
                  <c:v>188.19942324175375</c:v>
                </c:pt>
                <c:pt idx="12">
                  <c:v>226.92498868517808</c:v>
                </c:pt>
                <c:pt idx="13">
                  <c:v>265.49890154341307</c:v>
                </c:pt>
                <c:pt idx="14">
                  <c:v>303.94631361712794</c:v>
                </c:pt>
                <c:pt idx="15">
                  <c:v>311.62231095092511</c:v>
                </c:pt>
                <c:pt idx="16">
                  <c:v>319.29411338136987</c:v>
                </c:pt>
                <c:pt idx="17">
                  <c:v>326.96183601334951</c:v>
                </c:pt>
                <c:pt idx="18">
                  <c:v>334.62558810738301</c:v>
                </c:pt>
                <c:pt idx="19">
                  <c:v>342.28547350637564</c:v>
                </c:pt>
                <c:pt idx="20">
                  <c:v>345.06994718046388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Normal="100" workbookViewId="0">
      <selection activeCell="C16" sqref="C1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3.87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14</v>
      </c>
      <c r="C9" s="264">
        <v>0.14953952163254489</v>
      </c>
      <c r="D9" s="33">
        <f t="shared" ref="D9:D18" si="0">C9*$C$5</f>
        <v>0.57871794871794868</v>
      </c>
      <c r="E9" s="265">
        <v>183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164</v>
      </c>
      <c r="C10" s="264">
        <v>8.0662636750188046E-2</v>
      </c>
      <c r="D10" s="33">
        <f t="shared" si="0"/>
        <v>0.31216440422322778</v>
      </c>
      <c r="E10" s="265">
        <v>101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36</v>
      </c>
      <c r="C11" s="264">
        <v>0.70003039975680192</v>
      </c>
      <c r="D11" s="33">
        <f t="shared" si="0"/>
        <v>2.7091176470588234</v>
      </c>
      <c r="E11" s="265">
        <v>30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112</v>
      </c>
      <c r="C12" s="264">
        <v>6.9767441860465129E-2</v>
      </c>
      <c r="D12" s="33">
        <f t="shared" si="0"/>
        <v>0.27000000000000007</v>
      </c>
      <c r="E12" s="265">
        <v>20</v>
      </c>
      <c r="F12" s="35" t="str">
        <f t="array" ref="F12">IF(E12="","",IF(INDEX(A:A,MAX(IF(ISNUMBER($A$114:$A$133),ROW($A$114:$A$133),"")))&lt;&gt;E12,"Corrigez : révolution incorrecte","OK"))</f>
        <v>OK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3.8699999999999997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30</v>
      </c>
      <c r="B36" s="259">
        <v>75.346153849999993</v>
      </c>
      <c r="C36" s="259"/>
      <c r="D36" s="259"/>
      <c r="E36" s="260"/>
      <c r="F36" s="260"/>
      <c r="G36" s="260"/>
      <c r="H36" s="260"/>
      <c r="I36" s="49">
        <f>IFERROR(B36/A36,"")</f>
        <v>2.5115384616666665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42</v>
      </c>
      <c r="B37" s="259">
        <v>171.96</v>
      </c>
      <c r="C37" s="259">
        <v>1</v>
      </c>
      <c r="D37" s="259">
        <v>43.21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8.0511538458333352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50</v>
      </c>
      <c r="B38" s="259">
        <v>208.33</v>
      </c>
      <c r="C38" s="259">
        <v>2</v>
      </c>
      <c r="D38" s="259">
        <v>35.58</v>
      </c>
      <c r="E38" s="260">
        <v>1</v>
      </c>
      <c r="F38" s="260"/>
      <c r="G38" s="260"/>
      <c r="H38" s="260"/>
      <c r="I38" s="53">
        <f t="shared" si="1"/>
        <v>9.9475000000000016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58</v>
      </c>
      <c r="B39" s="259">
        <v>253.7</v>
      </c>
      <c r="C39" s="259">
        <v>3</v>
      </c>
      <c r="D39" s="259">
        <v>44.93</v>
      </c>
      <c r="E39" s="260">
        <v>1</v>
      </c>
      <c r="F39" s="260"/>
      <c r="G39" s="260"/>
      <c r="H39" s="260"/>
      <c r="I39" s="49">
        <f t="shared" si="1"/>
        <v>10.118749999999999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66</v>
      </c>
      <c r="B40" s="259">
        <v>286.77</v>
      </c>
      <c r="C40" s="259">
        <v>4</v>
      </c>
      <c r="D40" s="259">
        <v>49.91</v>
      </c>
      <c r="E40" s="260">
        <v>1</v>
      </c>
      <c r="F40" s="260"/>
      <c r="G40" s="260"/>
      <c r="H40" s="260"/>
      <c r="I40" s="49">
        <f t="shared" si="1"/>
        <v>9.75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74</v>
      </c>
      <c r="B41" s="259">
        <v>310.95999999999998</v>
      </c>
      <c r="C41" s="259">
        <v>5</v>
      </c>
      <c r="D41" s="259">
        <v>47.4</v>
      </c>
      <c r="E41" s="260">
        <v>1</v>
      </c>
      <c r="F41" s="260"/>
      <c r="G41" s="260"/>
      <c r="H41" s="260"/>
      <c r="I41" s="53">
        <f t="shared" si="1"/>
        <v>9.2624999999999993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84</v>
      </c>
      <c r="B42" s="259">
        <v>355.09</v>
      </c>
      <c r="C42" s="259">
        <v>6</v>
      </c>
      <c r="D42" s="259">
        <v>61.47</v>
      </c>
      <c r="E42" s="260">
        <v>1</v>
      </c>
      <c r="F42" s="260"/>
      <c r="G42" s="260"/>
      <c r="H42" s="260"/>
      <c r="I42" s="53">
        <f t="shared" si="1"/>
        <v>9.1529999999999969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94</v>
      </c>
      <c r="B43" s="259">
        <v>380.13</v>
      </c>
      <c r="C43" s="259">
        <v>7</v>
      </c>
      <c r="D43" s="259">
        <v>61.85</v>
      </c>
      <c r="E43" s="260">
        <v>1</v>
      </c>
      <c r="F43" s="260"/>
      <c r="G43" s="260"/>
      <c r="H43" s="260"/>
      <c r="I43" s="49">
        <f t="shared" si="1"/>
        <v>8.6509999999999998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104</v>
      </c>
      <c r="B44" s="259">
        <v>402.2</v>
      </c>
      <c r="C44" s="259">
        <v>8</v>
      </c>
      <c r="D44" s="259">
        <v>60.19</v>
      </c>
      <c r="E44" s="260">
        <v>1</v>
      </c>
      <c r="F44" s="260"/>
      <c r="G44" s="260"/>
      <c r="H44" s="260"/>
      <c r="I44" s="49">
        <f t="shared" si="1"/>
        <v>8.3920000000000012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114</v>
      </c>
      <c r="B45" s="261">
        <v>424.56</v>
      </c>
      <c r="C45" s="259">
        <v>9</v>
      </c>
      <c r="D45" s="261">
        <v>56.07</v>
      </c>
      <c r="E45" s="260">
        <v>1</v>
      </c>
      <c r="F45" s="260"/>
      <c r="G45" s="260"/>
      <c r="H45" s="260"/>
      <c r="I45" s="49">
        <f t="shared" si="1"/>
        <v>8.2550000000000008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124</v>
      </c>
      <c r="B46" s="262">
        <v>451.86</v>
      </c>
      <c r="C46" s="259">
        <v>10</v>
      </c>
      <c r="D46" s="262">
        <v>52.53</v>
      </c>
      <c r="E46" s="260">
        <v>1</v>
      </c>
      <c r="F46" s="260"/>
      <c r="G46" s="260"/>
      <c r="H46" s="260"/>
      <c r="I46" s="49">
        <f t="shared" si="1"/>
        <v>8.3369999999999997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134</v>
      </c>
      <c r="B47" s="261">
        <v>484.28</v>
      </c>
      <c r="C47" s="259">
        <v>11</v>
      </c>
      <c r="D47" s="261">
        <v>54.95</v>
      </c>
      <c r="E47" s="260">
        <v>1</v>
      </c>
      <c r="F47" s="260"/>
      <c r="G47" s="260"/>
      <c r="H47" s="260"/>
      <c r="I47" s="49">
        <f t="shared" si="1"/>
        <v>8.4949999999999939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144</v>
      </c>
      <c r="B48" s="261">
        <v>514.94000000000005</v>
      </c>
      <c r="C48" s="259">
        <v>12</v>
      </c>
      <c r="D48" s="261">
        <v>56.01</v>
      </c>
      <c r="E48" s="260">
        <v>1</v>
      </c>
      <c r="F48" s="260"/>
      <c r="G48" s="260"/>
      <c r="H48" s="260"/>
      <c r="I48" s="49">
        <f t="shared" si="1"/>
        <v>8.561000000000007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154</v>
      </c>
      <c r="B49" s="261">
        <v>546.49</v>
      </c>
      <c r="C49" s="259">
        <v>13</v>
      </c>
      <c r="D49" s="261">
        <v>55.13</v>
      </c>
      <c r="E49" s="260">
        <v>1</v>
      </c>
      <c r="F49" s="260"/>
      <c r="G49" s="260"/>
      <c r="H49" s="260"/>
      <c r="I49" s="49">
        <f t="shared" si="1"/>
        <v>8.7559999999999949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164</v>
      </c>
      <c r="B50" s="261">
        <v>580.32000000000005</v>
      </c>
      <c r="C50" s="261">
        <v>14</v>
      </c>
      <c r="D50" s="261">
        <v>59.58</v>
      </c>
      <c r="E50" s="260">
        <v>1</v>
      </c>
      <c r="F50" s="260"/>
      <c r="G50" s="260"/>
      <c r="H50" s="260"/>
      <c r="I50" s="49">
        <f t="shared" si="1"/>
        <v>8.8960000000000043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174</v>
      </c>
      <c r="B51" s="261">
        <v>610.52</v>
      </c>
      <c r="C51" s="261">
        <v>15</v>
      </c>
      <c r="D51" s="261">
        <v>214.77</v>
      </c>
      <c r="E51" s="260">
        <v>1</v>
      </c>
      <c r="F51" s="260"/>
      <c r="G51" s="260"/>
      <c r="H51" s="260"/>
      <c r="I51" s="49">
        <f t="shared" si="1"/>
        <v>8.977999999999998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177</v>
      </c>
      <c r="B52" s="261">
        <v>388.94</v>
      </c>
      <c r="C52" s="261">
        <v>16</v>
      </c>
      <c r="D52" s="261">
        <v>115.19</v>
      </c>
      <c r="E52" s="260">
        <v>1</v>
      </c>
      <c r="F52" s="260"/>
      <c r="G52" s="260"/>
      <c r="H52" s="260"/>
      <c r="I52" s="49">
        <f t="shared" si="1"/>
        <v>-2.2700000000000009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180</v>
      </c>
      <c r="B53" s="261">
        <v>271.56</v>
      </c>
      <c r="C53" s="261">
        <v>17</v>
      </c>
      <c r="D53" s="261">
        <v>77.72</v>
      </c>
      <c r="E53" s="260">
        <v>1</v>
      </c>
      <c r="F53" s="260"/>
      <c r="G53" s="260"/>
      <c r="H53" s="260"/>
      <c r="I53" s="49">
        <f t="shared" si="1"/>
        <v>-0.72999999999999921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183</v>
      </c>
      <c r="B54" s="261">
        <v>191.47</v>
      </c>
      <c r="C54" s="261">
        <v>18</v>
      </c>
      <c r="D54" s="261">
        <v>169.76</v>
      </c>
      <c r="E54" s="260">
        <v>1</v>
      </c>
      <c r="F54" s="260"/>
      <c r="G54" s="260"/>
      <c r="H54" s="260"/>
      <c r="I54" s="49">
        <f t="shared" si="1"/>
        <v>-0.79000000000000148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Cèdre de l'Atlas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146.32</v>
      </c>
      <c r="C62" s="261"/>
      <c r="D62" s="261"/>
      <c r="E62" s="260"/>
      <c r="F62" s="260"/>
      <c r="G62" s="260"/>
      <c r="H62" s="260"/>
      <c r="I62" s="53">
        <f>IFERROR(B62/A62,"")</f>
        <v>4.8773333333333335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42</v>
      </c>
      <c r="B63" s="261">
        <v>344.46</v>
      </c>
      <c r="C63" s="261">
        <v>1</v>
      </c>
      <c r="D63" s="261">
        <v>105.41</v>
      </c>
      <c r="E63" s="260">
        <v>1</v>
      </c>
      <c r="F63" s="260"/>
      <c r="G63" s="260"/>
      <c r="H63" s="260"/>
      <c r="I63" s="49">
        <f>IF(A63&lt;&gt;0,(B63-(B62-D62))/(A63-A62),"")</f>
        <v>16.511666666666667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50</v>
      </c>
      <c r="B64" s="261">
        <v>375.69</v>
      </c>
      <c r="C64" s="261">
        <v>2</v>
      </c>
      <c r="D64" s="261">
        <v>106.51</v>
      </c>
      <c r="E64" s="260">
        <v>1</v>
      </c>
      <c r="F64" s="260"/>
      <c r="G64" s="260"/>
      <c r="H64" s="260"/>
      <c r="I64" s="49">
        <f>IF(A64&lt;&gt;0,(B64-(B63-D63))/(A64-A63),"")</f>
        <v>17.080000000000002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58</v>
      </c>
      <c r="B65" s="261">
        <v>400.11</v>
      </c>
      <c r="C65" s="261">
        <v>3</v>
      </c>
      <c r="D65" s="261">
        <v>87.34</v>
      </c>
      <c r="E65" s="260">
        <v>1</v>
      </c>
      <c r="F65" s="260"/>
      <c r="G65" s="260"/>
      <c r="H65" s="260"/>
      <c r="I65" s="49">
        <f>IF(A65&lt;&gt;0,(B65-(B64-D64))/(A65-A64),"")</f>
        <v>16.366250000000001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66</v>
      </c>
      <c r="B66" s="261">
        <v>440.2</v>
      </c>
      <c r="C66" s="261">
        <v>4</v>
      </c>
      <c r="D66" s="261">
        <v>87.73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15.928750000000001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75</v>
      </c>
      <c r="B67" s="261">
        <v>489.37</v>
      </c>
      <c r="C67" s="261">
        <v>5</v>
      </c>
      <c r="D67" s="261">
        <v>87.99</v>
      </c>
      <c r="E67" s="260">
        <v>1</v>
      </c>
      <c r="F67" s="260"/>
      <c r="G67" s="260"/>
      <c r="H67" s="260"/>
      <c r="I67" s="49">
        <f t="shared" si="2"/>
        <v>15.211111111111116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83</v>
      </c>
      <c r="B68" s="261">
        <v>516.09</v>
      </c>
      <c r="C68" s="261">
        <v>6</v>
      </c>
      <c r="D68" s="261">
        <v>90.24</v>
      </c>
      <c r="E68" s="260">
        <v>1</v>
      </c>
      <c r="F68" s="260"/>
      <c r="G68" s="260"/>
      <c r="H68" s="260"/>
      <c r="I68" s="49">
        <f t="shared" si="2"/>
        <v>14.338750000000005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91</v>
      </c>
      <c r="B69" s="261">
        <v>531.72</v>
      </c>
      <c r="C69" s="261">
        <v>7</v>
      </c>
      <c r="D69" s="261">
        <v>260.64</v>
      </c>
      <c r="E69" s="260">
        <v>1</v>
      </c>
      <c r="F69" s="260"/>
      <c r="G69" s="260"/>
      <c r="H69" s="260"/>
      <c r="I69" s="49">
        <f t="shared" si="2"/>
        <v>13.233750000000001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101</v>
      </c>
      <c r="B70" s="261">
        <v>356.43</v>
      </c>
      <c r="C70" s="261">
        <v>8</v>
      </c>
      <c r="D70" s="261">
        <v>351.18</v>
      </c>
      <c r="E70" s="260">
        <v>1</v>
      </c>
      <c r="F70" s="260"/>
      <c r="G70" s="260"/>
      <c r="H70" s="260"/>
      <c r="I70" s="49">
        <f t="shared" si="2"/>
        <v>8.5349999999999966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/>
      <c r="B71" s="261"/>
      <c r="C71" s="261"/>
      <c r="D71" s="261"/>
      <c r="E71" s="260"/>
      <c r="F71" s="260"/>
      <c r="G71" s="260"/>
      <c r="H71" s="260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/>
      <c r="B72" s="261"/>
      <c r="C72" s="261"/>
      <c r="D72" s="261"/>
      <c r="E72" s="260"/>
      <c r="F72" s="260"/>
      <c r="G72" s="260"/>
      <c r="H72" s="260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/>
      <c r="B73" s="261"/>
      <c r="C73" s="261"/>
      <c r="D73" s="261"/>
      <c r="E73" s="260"/>
      <c r="F73" s="260"/>
      <c r="G73" s="260"/>
      <c r="H73" s="260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maritime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11</v>
      </c>
      <c r="B88" s="261">
        <v>83</v>
      </c>
      <c r="C88" s="261"/>
      <c r="D88" s="261"/>
      <c r="E88" s="260"/>
      <c r="F88" s="260"/>
      <c r="G88" s="260"/>
      <c r="H88" s="260"/>
      <c r="I88" s="53">
        <f>IFERROR(B88/A88,"")</f>
        <v>7.5454545454545459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12</v>
      </c>
      <c r="B89" s="261">
        <v>106</v>
      </c>
      <c r="C89" s="261">
        <v>1</v>
      </c>
      <c r="D89" s="261">
        <v>34</v>
      </c>
      <c r="E89" s="260"/>
      <c r="F89" s="260"/>
      <c r="G89" s="260">
        <v>1</v>
      </c>
      <c r="H89" s="260"/>
      <c r="I89" s="53">
        <f t="shared" ref="I89:I107" si="3">IF(A89&lt;&gt;0,(B89-(B88-D88))/(A89-A88),"")</f>
        <v>23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13</v>
      </c>
      <c r="B90" s="261">
        <v>89</v>
      </c>
      <c r="C90" s="261"/>
      <c r="D90" s="261"/>
      <c r="E90" s="260"/>
      <c r="F90" s="260"/>
      <c r="G90" s="260"/>
      <c r="H90" s="260"/>
      <c r="I90" s="53">
        <f t="shared" si="3"/>
        <v>17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14</v>
      </c>
      <c r="B91" s="261">
        <v>110</v>
      </c>
      <c r="C91" s="261"/>
      <c r="D91" s="261"/>
      <c r="E91" s="260"/>
      <c r="F91" s="260"/>
      <c r="G91" s="260"/>
      <c r="H91" s="260"/>
      <c r="I91" s="53">
        <f t="shared" si="3"/>
        <v>21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15</v>
      </c>
      <c r="B92" s="261">
        <v>131</v>
      </c>
      <c r="C92" s="261"/>
      <c r="D92" s="261"/>
      <c r="E92" s="260"/>
      <c r="F92" s="260"/>
      <c r="G92" s="260"/>
      <c r="H92" s="260"/>
      <c r="I92" s="53">
        <f t="shared" si="3"/>
        <v>21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16</v>
      </c>
      <c r="B93" s="261">
        <v>153</v>
      </c>
      <c r="C93" s="261"/>
      <c r="D93" s="261"/>
      <c r="E93" s="260"/>
      <c r="F93" s="260"/>
      <c r="G93" s="260"/>
      <c r="H93" s="260"/>
      <c r="I93" s="53">
        <f t="shared" si="3"/>
        <v>22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17</v>
      </c>
      <c r="B94" s="261">
        <v>176</v>
      </c>
      <c r="C94" s="261">
        <v>2</v>
      </c>
      <c r="D94" s="261">
        <v>43</v>
      </c>
      <c r="E94" s="260">
        <v>0.25</v>
      </c>
      <c r="F94" s="260">
        <v>0.75</v>
      </c>
      <c r="G94" s="260"/>
      <c r="H94" s="260"/>
      <c r="I94" s="53">
        <f t="shared" si="3"/>
        <v>23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18</v>
      </c>
      <c r="B95" s="261">
        <v>151</v>
      </c>
      <c r="C95" s="261"/>
      <c r="D95" s="261"/>
      <c r="E95" s="260"/>
      <c r="F95" s="260"/>
      <c r="G95" s="260"/>
      <c r="H95" s="260"/>
      <c r="I95" s="53">
        <f t="shared" si="3"/>
        <v>18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19</v>
      </c>
      <c r="B96" s="261">
        <v>171</v>
      </c>
      <c r="C96" s="261"/>
      <c r="D96" s="261"/>
      <c r="E96" s="260"/>
      <c r="F96" s="260"/>
      <c r="G96" s="260"/>
      <c r="H96" s="260"/>
      <c r="I96" s="53">
        <f t="shared" si="3"/>
        <v>20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20</v>
      </c>
      <c r="B97" s="261">
        <v>192</v>
      </c>
      <c r="C97" s="261"/>
      <c r="D97" s="261"/>
      <c r="E97" s="260"/>
      <c r="F97" s="260"/>
      <c r="G97" s="260"/>
      <c r="H97" s="260"/>
      <c r="I97" s="53">
        <f t="shared" si="3"/>
        <v>21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21</v>
      </c>
      <c r="B98" s="261">
        <v>212</v>
      </c>
      <c r="C98" s="261"/>
      <c r="D98" s="261"/>
      <c r="E98" s="260"/>
      <c r="F98" s="260"/>
      <c r="G98" s="260"/>
      <c r="H98" s="260"/>
      <c r="I98" s="53">
        <f t="shared" si="3"/>
        <v>20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22</v>
      </c>
      <c r="B99" s="261">
        <v>232</v>
      </c>
      <c r="C99" s="261">
        <v>3</v>
      </c>
      <c r="D99" s="261">
        <v>56</v>
      </c>
      <c r="E99" s="260">
        <v>0.6</v>
      </c>
      <c r="F99" s="260">
        <v>0.4</v>
      </c>
      <c r="G99" s="260"/>
      <c r="H99" s="260"/>
      <c r="I99" s="53">
        <f t="shared" si="3"/>
        <v>20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23</v>
      </c>
      <c r="B100" s="261">
        <v>192</v>
      </c>
      <c r="C100" s="261"/>
      <c r="D100" s="261"/>
      <c r="E100" s="260"/>
      <c r="F100" s="260"/>
      <c r="G100" s="260"/>
      <c r="H100" s="260"/>
      <c r="I100" s="53">
        <f t="shared" si="3"/>
        <v>16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24</v>
      </c>
      <c r="B101" s="261">
        <v>209</v>
      </c>
      <c r="C101" s="261"/>
      <c r="D101" s="261"/>
      <c r="E101" s="260"/>
      <c r="F101" s="260"/>
      <c r="G101" s="260"/>
      <c r="H101" s="260"/>
      <c r="I101" s="53">
        <f t="shared" si="3"/>
        <v>17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25</v>
      </c>
      <c r="B102" s="261">
        <v>226</v>
      </c>
      <c r="C102" s="261"/>
      <c r="D102" s="261"/>
      <c r="E102" s="260"/>
      <c r="F102" s="260"/>
      <c r="G102" s="260"/>
      <c r="H102" s="260"/>
      <c r="I102" s="53">
        <f t="shared" si="3"/>
        <v>17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>
        <v>26</v>
      </c>
      <c r="B103" s="257">
        <v>244</v>
      </c>
      <c r="C103" s="256"/>
      <c r="D103" s="256"/>
      <c r="E103" s="255"/>
      <c r="F103" s="255"/>
      <c r="G103" s="255"/>
      <c r="H103" s="255"/>
      <c r="I103" s="53">
        <f t="shared" si="3"/>
        <v>18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>
        <v>27</v>
      </c>
      <c r="B104" s="257">
        <v>261</v>
      </c>
      <c r="C104" s="256"/>
      <c r="D104" s="256"/>
      <c r="E104" s="255"/>
      <c r="F104" s="255"/>
      <c r="G104" s="255"/>
      <c r="H104" s="255"/>
      <c r="I104" s="53">
        <f t="shared" si="3"/>
        <v>17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>
        <v>28</v>
      </c>
      <c r="B105" s="257">
        <v>277</v>
      </c>
      <c r="C105" s="256"/>
      <c r="D105" s="256"/>
      <c r="E105" s="255"/>
      <c r="F105" s="255"/>
      <c r="G105" s="255"/>
      <c r="H105" s="255"/>
      <c r="I105" s="53">
        <f t="shared" si="3"/>
        <v>16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>
        <v>29</v>
      </c>
      <c r="B106" s="257">
        <v>293</v>
      </c>
      <c r="C106" s="256"/>
      <c r="D106" s="256"/>
      <c r="E106" s="255"/>
      <c r="F106" s="255"/>
      <c r="G106" s="255"/>
      <c r="H106" s="255"/>
      <c r="I106" s="53">
        <f t="shared" si="3"/>
        <v>16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>
        <v>30</v>
      </c>
      <c r="B107" s="257">
        <v>309</v>
      </c>
      <c r="C107" s="256">
        <v>4</v>
      </c>
      <c r="D107" s="258">
        <v>309</v>
      </c>
      <c r="E107" s="255">
        <v>1</v>
      </c>
      <c r="F107" s="255"/>
      <c r="G107" s="255"/>
      <c r="H107" s="255"/>
      <c r="I107" s="53">
        <f t="shared" si="3"/>
        <v>16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Peuplier Koster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9</v>
      </c>
      <c r="B114" s="261">
        <v>96.153846150000007</v>
      </c>
      <c r="C114" s="261"/>
      <c r="D114" s="261"/>
      <c r="E114" s="260"/>
      <c r="F114" s="260"/>
      <c r="G114" s="260"/>
      <c r="H114" s="260"/>
      <c r="I114" s="53">
        <f>IFERROR(B114/A114,"")</f>
        <v>10.683760683333334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14</v>
      </c>
      <c r="B115" s="261">
        <v>272.43589739999999</v>
      </c>
      <c r="C115" s="261"/>
      <c r="D115" s="261"/>
      <c r="E115" s="260"/>
      <c r="F115" s="260"/>
      <c r="G115" s="260"/>
      <c r="H115" s="260"/>
      <c r="I115" s="53">
        <f t="shared" ref="I115:I133" si="4">IF(A115&lt;&gt;0,(B115-(B114-D114))/(A115-A114),"")</f>
        <v>35.256410250000002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19</v>
      </c>
      <c r="B116" s="261">
        <v>307.69230770000001</v>
      </c>
      <c r="C116" s="261"/>
      <c r="D116" s="261"/>
      <c r="E116" s="260"/>
      <c r="F116" s="260"/>
      <c r="G116" s="260"/>
      <c r="H116" s="260"/>
      <c r="I116" s="53">
        <f t="shared" si="4"/>
        <v>7.0512820600000055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20</v>
      </c>
      <c r="B117" s="261">
        <v>310.25641030000003</v>
      </c>
      <c r="C117" s="261" t="s">
        <v>324</v>
      </c>
      <c r="D117" s="261">
        <v>310.25641030000003</v>
      </c>
      <c r="E117" s="260">
        <v>0.77</v>
      </c>
      <c r="F117" s="260">
        <v>0.21</v>
      </c>
      <c r="G117" s="260">
        <v>0</v>
      </c>
      <c r="H117" s="260">
        <v>0</v>
      </c>
      <c r="I117" s="53">
        <f t="shared" si="4"/>
        <v>2.5641026000000124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0.93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7.0000000000000007E-2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sessile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Cèdre de l'Atlas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Pin maritime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Peuplier Koster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4.6500000000000004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17.05</v>
      </c>
      <c r="H3" s="66">
        <f>(B3+E3+F3)*44/12+(C3+D3)*0.475*44/12</f>
        <v>188.46666666666667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46.75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171.41666666666666</v>
      </c>
      <c r="S3" s="59">
        <f ca="1">AVERAGE(OFFSET($R$3,0,0,'Données projet'!$E$9+1,1))-AVERAGE(OFFSET($H$3,0,0,'Données projet'!$E$9+1,1))</f>
        <v>664.27707313486087</v>
      </c>
      <c r="T3" s="59">
        <f>IF('Données projet'!E9&gt;30,$R$33-$H$33,LOOKUP('Données projet'!$E$9,$A$3:$A$203,R3:R203)-LOOKUP('Données projet'!$E$9,$A$3:$A$203,$H$3:$H$203))</f>
        <v>206.64483278066874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46.75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171.41666666666666</v>
      </c>
      <c r="AN3" s="59">
        <f ca="1">AVERAGE(OFFSET($AM$3,0,0,'Données projet'!$E$10+1,1))-AVERAGE(OFFSET($H$3,0,0,'Données projet'!$E$10+1,1))</f>
        <v>329.7518221182429</v>
      </c>
      <c r="AO3" s="59">
        <f>IF('Données projet'!E10&gt;30,$AM$33-$H$33,LOOKUP('Données projet'!$E$10,$A$3:$A$203,AM3:AM203)-LOOKUP('Données projet'!$E$10,$A$3:$A$203,$H$3:$H$203))</f>
        <v>207.30737400651807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46.75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171.41666666666666</v>
      </c>
      <c r="BI3" s="59">
        <f ca="1">AVERAGE(OFFSET($BH$3,0,0,'Données projet'!$E$11+1,1))-AVERAGE(OFFSET($H$3,0,0,'Données projet'!$E$11+1,1))</f>
        <v>189.62971370839551</v>
      </c>
      <c r="BJ3" s="59">
        <f>IF('Données projet'!E11&gt;30,$BH$33-$H$33,LOOKUP('Données projet'!$E$11,$A$3:$A$203,BH3:BH203)-LOOKUP('Données projet'!$E$11,$A$3:$A$203,$H$3:$H$203))</f>
        <v>457.05149684588173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46.75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171.41666666666666</v>
      </c>
      <c r="CD3" s="59">
        <f ca="1">AVERAGE(OFFSET($CC$3,0,0,'Données projet'!$E$12+1,1))-AVERAGE(OFFSET($H$3,0,0,'Données projet'!$E$12+1,1))</f>
        <v>170.04605856785227</v>
      </c>
      <c r="CE3" s="59">
        <f>IF('Données projet'!E12&gt;30,$CC$33-$H$33,LOOKUP('Données projet'!$E$12,$A$3:$A$203,CC3:CC203)-LOOKUP('Données projet'!$E$12,$A$3:$A$203,$H$3:$H$203))</f>
        <v>377.63973197638802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46.75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46.75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46.75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46.75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46.75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46.75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4.6500000000000004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17.05</v>
      </c>
      <c r="H4" s="66">
        <f t="shared" ref="H4:H67" si="1">(B4+E4+F4)*44/12+(C4+D4)*0.475*44/12</f>
        <v>188.46666666666667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47.153335520787046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2.5115384616666665</v>
      </c>
      <c r="N4" s="13">
        <f>IF('Données projet'!$A$36&gt;35,N3+M4-V3,IF(A4&lt;'Données projet'!$A$36,$K$205^A4,IF(A4='Données projet'!$A$36,'Données projet'!$B$36,N3+M4-V3)))</f>
        <v>1.1549646791293957</v>
      </c>
      <c r="O4" s="13">
        <f>N4*VLOOKUP('Données projet'!$B$9,Paramètres!$A$1:$I$89,3,0)*VLOOKUP('Données projet'!$B$9,Paramètres!$A$1:$I$89,5,0)</f>
        <v>1.0450120416762774</v>
      </c>
      <c r="P4" s="13">
        <f>EXP(-1.0587+0.8836*LN(O4)+0.284)</f>
        <v>0.4791236857711621</v>
      </c>
      <c r="Q4" s="20">
        <f t="shared" ref="Q4:Q34" si="2">(O4+P4)*0.475*44/12</f>
        <v>2.6545363919709568</v>
      </c>
      <c r="R4" s="59">
        <f t="shared" si="0"/>
        <v>176.77232219041238</v>
      </c>
      <c r="S4" s="59">
        <f ca="1">AVERAGE(OFFSET($R$3,0,0,'Données projet'!$E$9+1,1))-AVERAGE(OFFSET($H$3,0,0,'Données projet'!$E$9+1,1))</f>
        <v>664.27707313486087</v>
      </c>
      <c r="T4" s="59">
        <f>$T$3</f>
        <v>206.64483278066874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47.153335520787046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4.8773333333333335</v>
      </c>
      <c r="AI4" s="13">
        <f>IF('Données projet'!$A$62&gt;35,AI3+AH4-AQ3,IF(A4&lt;'Données projet'!$A$62,$AF$205^A4,IF(A4='Données projet'!$A$62,'Données projet'!$B$62,AI3+AH4-AQ3)))</f>
        <v>1.1808012106418171</v>
      </c>
      <c r="AJ4" s="13">
        <f>AI4*VLOOKUP('Données projet'!$B$10,Paramètres!$A$1:$I$89,3,0)*VLOOKUP('Données projet'!$B$10,Paramètres!$A$1:$I$89,5,0)</f>
        <v>0.55261496658037046</v>
      </c>
      <c r="AK4" s="13">
        <f>EXP(-1.0587+0.8836*LN(AJ4)+0.284)</f>
        <v>0.27287057878313026</v>
      </c>
      <c r="AL4" s="20">
        <f t="shared" ref="AL4:AL67" si="4">(AJ4+AK4)*0.475*44/12</f>
        <v>1.4377206581747635</v>
      </c>
      <c r="AM4" s="59">
        <f t="shared" ref="AM4:AM67" si="5">AL4+(AD4+AE4)*44/12</f>
        <v>175.55550645661617</v>
      </c>
      <c r="AN4" s="59">
        <f ca="1">AVERAGE(OFFSET($AM$3,0,0,'Données projet'!$E$10+1,1))-AVERAGE(OFFSET($H$3,0,0,'Données projet'!$E$10+1,1))</f>
        <v>329.7518221182429</v>
      </c>
      <c r="AO4" s="59">
        <f>$AO$3</f>
        <v>207.30737400651807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47.153335520787046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7.5454545454545459</v>
      </c>
      <c r="BD4" s="12">
        <f>IF('Données projet'!$A$88&gt;35,BD3+BC4-BL3,IF(A4&lt;'Données projet'!$A$88,$BA$205^A4,IF(A4='Données projet'!$A$88,'Données projet'!$B$88,BD3+BC4-BL3)))</f>
        <v>1.4943820583928935</v>
      </c>
      <c r="BE4" s="13">
        <f>BD4*VLOOKUP('Données projet'!$B$11,Paramètres!$A$1:$I$89,3,0)*VLOOKUP('Données projet'!$B$11,Paramètres!$A$1:$I$89,5,0)</f>
        <v>0.89364047091895038</v>
      </c>
      <c r="BF4" s="13">
        <f>EXP(-1.0587+0.8836*LN(BE4)+0.284)</f>
        <v>0.41725306962072783</v>
      </c>
      <c r="BG4" s="20">
        <f t="shared" ref="BG4:BG67" si="7">(BE4+BF4)*0.475*44/12</f>
        <v>2.2831395831066059</v>
      </c>
      <c r="BH4" s="59">
        <f t="shared" ref="BH4:BH67" si="8">BG4+(AY4+AZ4)*44/12</f>
        <v>176.40092538154803</v>
      </c>
      <c r="BI4" s="59">
        <f ca="1">AVERAGE(OFFSET($BH$3,0,0,'Données projet'!$E$11+1,1))-AVERAGE(OFFSET($H$3,0,0,'Données projet'!$E$11+1,1))</f>
        <v>189.62971370839551</v>
      </c>
      <c r="BJ4" s="59">
        <f>$BJ$3</f>
        <v>457.05149684588173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47.153335520787046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10.683760683333334</v>
      </c>
      <c r="BY4" s="12">
        <f>IF('Données projet'!$A$114&gt;35,BY3+BX4-CG3,IF(A4&lt;'Données projet'!$A$114,$BV$205^A4,IF(A4='Données projet'!$A$114,'Données projet'!$B$114,BY3+BX4-CG3)))</f>
        <v>1.660847009958063</v>
      </c>
      <c r="BZ4" s="13">
        <f>BY4*VLOOKUP('Données projet'!$B$12,Paramètres!$A$1:$I$89,3,0)*VLOOKUP('Données projet'!$B$12,Paramètres!$A$1:$I$89,5,0)</f>
        <v>0.84464035538427262</v>
      </c>
      <c r="CA4" s="13">
        <f>EXP(-1.0587+0.8836*LN(BZ4)+0.284)</f>
        <v>0.39697146637778047</v>
      </c>
      <c r="CB4" s="20">
        <f t="shared" ref="CB4:CB67" si="10">(BZ4+CA4)*0.475*44/12</f>
        <v>2.1624739229022425</v>
      </c>
      <c r="CC4" s="59">
        <f t="shared" ref="CC4:CC67" si="11">CB4+(BT4+BU4)*44/12</f>
        <v>176.28025972134367</v>
      </c>
      <c r="CD4" s="59">
        <f ca="1">AVERAGE(OFFSET($CC$3,0,0,'Données projet'!$E$12+1,1))-AVERAGE(OFFSET($H$3,0,0,'Données projet'!$E$12+1,1))</f>
        <v>170.04605856785227</v>
      </c>
      <c r="CE4" s="59">
        <f>$CE$3</f>
        <v>377.63973197638802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47.153335520787046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47.153335520787046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47.153335520787046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47.153335520787046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47.153335520787046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47.153335520787046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4.6500000000000004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17.05</v>
      </c>
      <c r="H5" s="66">
        <f t="shared" si="1"/>
        <v>188.46666666666667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47.549674072011577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2.5115384616666665</v>
      </c>
      <c r="N5" s="13">
        <f>IF('Données projet'!$A$36&gt;35,N4+M5-V4,IF(A5&lt;'Données projet'!$A$36,$K$205^A5,IF(A5='Données projet'!$A$36,'Données projet'!$B$36,N4+M5-V4)))</f>
        <v>1.333943410036468</v>
      </c>
      <c r="O5" s="13">
        <f>N5*VLOOKUP('Données projet'!$B$9,Paramètres!$A$1:$I$89,3,0)*VLOOKUP('Données projet'!$B$9,Paramètres!$A$1:$I$89,5,0)</f>
        <v>1.2069519974009961</v>
      </c>
      <c r="P5" s="13">
        <f t="shared" ref="P5:P68" si="33">EXP(-1.0587+0.8836*LN(O5)+0.284)</f>
        <v>0.54416843549908334</v>
      </c>
      <c r="Q5" s="20">
        <f t="shared" si="2"/>
        <v>3.0498680873009718</v>
      </c>
      <c r="R5" s="59">
        <f t="shared" si="0"/>
        <v>179.84311746245453</v>
      </c>
      <c r="S5" s="59">
        <f ca="1">AVERAGE(OFFSET($R$3,0,0,'Données projet'!$E$9+1,1))-AVERAGE(OFFSET($H$3,0,0,'Données projet'!$E$9+1,1))</f>
        <v>664.27707313486087</v>
      </c>
      <c r="T5" s="59">
        <f t="shared" ref="T5:T68" si="34">$T$3</f>
        <v>206.64483278066874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47.549674072011577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4.8773333333333335</v>
      </c>
      <c r="AI5" s="13">
        <f>IF('Données projet'!$A$62&gt;35,AI4+AH5-AQ4,IF(A5&lt;'Données projet'!$A$62,$AF$205^A5,IF(A5='Données projet'!$A$62,'Données projet'!$B$62,AI4+AH5-AQ4)))</f>
        <v>1.3942914990531809</v>
      </c>
      <c r="AJ5" s="13">
        <f>AI5*VLOOKUP('Données projet'!$B$10,Paramètres!$A$1:$I$89,3,0)*VLOOKUP('Données projet'!$B$10,Paramètres!$A$1:$I$89,5,0)</f>
        <v>0.65252842155688862</v>
      </c>
      <c r="AK5" s="13">
        <f t="shared" ref="AK5:AK68" si="35">EXP(-1.0587+0.8836*LN(AJ5)+0.284)</f>
        <v>0.31603277419850306</v>
      </c>
      <c r="AL5" s="20">
        <f t="shared" si="4"/>
        <v>1.6869107492739737</v>
      </c>
      <c r="AM5" s="59">
        <f t="shared" si="5"/>
        <v>178.48016012442753</v>
      </c>
      <c r="AN5" s="59">
        <f ca="1">AVERAGE(OFFSET($AM$3,0,0,'Données projet'!$E$10+1,1))-AVERAGE(OFFSET($H$3,0,0,'Données projet'!$E$10+1,1))</f>
        <v>329.7518221182429</v>
      </c>
      <c r="AO5" s="59">
        <f t="shared" ref="AO5:AO68" si="36">$AO$3</f>
        <v>207.30737400651807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47.549674072011577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7.5454545454545459</v>
      </c>
      <c r="BD5" s="12">
        <f>IF('Données projet'!$A$88&gt;35,BD4+BC5-BL4,IF(A5&lt;'Données projet'!$A$88,$BA$205^A5,IF(A5='Données projet'!$A$88,'Données projet'!$B$88,BD4+BC5-BL4)))</f>
        <v>2.2331777364465815</v>
      </c>
      <c r="BE5" s="13">
        <f>BD5*VLOOKUP('Données projet'!$B$11,Paramètres!$A$1:$I$89,3,0)*VLOOKUP('Données projet'!$B$11,Paramètres!$A$1:$I$89,5,0)</f>
        <v>1.3354402863950559</v>
      </c>
      <c r="BF5" s="13">
        <f t="shared" ref="BF5:BF68" si="37">EXP(-1.0587+0.8836*LN(BE5)+0.284)</f>
        <v>0.59505053454406853</v>
      </c>
      <c r="BG5" s="20">
        <f t="shared" si="7"/>
        <v>3.3622715131356418</v>
      </c>
      <c r="BH5" s="59">
        <f t="shared" si="8"/>
        <v>180.1555208882892</v>
      </c>
      <c r="BI5" s="59">
        <f ca="1">AVERAGE(OFFSET($BH$3,0,0,'Données projet'!$E$11+1,1))-AVERAGE(OFFSET($H$3,0,0,'Données projet'!$E$11+1,1))</f>
        <v>189.62971370839551</v>
      </c>
      <c r="BJ5" s="59">
        <f t="shared" ref="BJ5:BJ68" si="38">$BJ$3</f>
        <v>457.05149684588173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47.549674072011577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10.683760683333334</v>
      </c>
      <c r="BY5" s="12">
        <f>IF('Données projet'!$A$114&gt;35,BY4+BX5-CG4,IF(A5&lt;'Données projet'!$A$114,$BV$205^A5,IF(A5='Données projet'!$A$114,'Données projet'!$B$114,BY4+BX5-CG4)))</f>
        <v>2.7584127904866382</v>
      </c>
      <c r="BZ5" s="13">
        <f>BY5*VLOOKUP('Données projet'!$B$12,Paramètres!$A$1:$I$89,3,0)*VLOOKUP('Données projet'!$B$12,Paramètres!$A$1:$I$89,5,0)</f>
        <v>1.4028184087298849</v>
      </c>
      <c r="CA5" s="13">
        <f t="shared" ref="CA5:CA68" si="39">EXP(-1.0587+0.8836*LN(BZ5)+0.284)</f>
        <v>0.62150203027862905</v>
      </c>
      <c r="CB5" s="20">
        <f t="shared" si="10"/>
        <v>3.5256914312731613</v>
      </c>
      <c r="CC5" s="59">
        <f t="shared" si="11"/>
        <v>180.31894080642672</v>
      </c>
      <c r="CD5" s="59">
        <f ca="1">AVERAGE(OFFSET($CC$3,0,0,'Données projet'!$E$12+1,1))-AVERAGE(OFFSET($H$3,0,0,'Données projet'!$E$12+1,1))</f>
        <v>170.04605856785227</v>
      </c>
      <c r="CE5" s="59">
        <f t="shared" ref="CE5:CE68" si="40">$CE$3</f>
        <v>377.63973197638802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47.549674072011577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47.549674072011577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47.549674072011577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47.549674072011577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47.549674072011577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47.549674072011577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4.6500000000000004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17.05</v>
      </c>
      <c r="H6" s="66">
        <f t="shared" si="1"/>
        <v>188.46666666666667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47.939137035452625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2.5115384616666665</v>
      </c>
      <c r="N6" s="13">
        <f>IF('Données projet'!$A$36&gt;35,N5+M6-V5,IF(A6&lt;'Données projet'!$A$36,$K$205^A6,IF(A6='Données projet'!$A$36,'Données projet'!$B$36,N5+M6-V5)))</f>
        <v>1.5406575225495411</v>
      </c>
      <c r="O6" s="13">
        <f>N6*VLOOKUP('Données projet'!$B$9,Paramètres!$A$1:$I$89,3,0)*VLOOKUP('Données projet'!$B$9,Paramètres!$A$1:$I$89,5,0)</f>
        <v>1.3939869264028248</v>
      </c>
      <c r="P6" s="13">
        <f t="shared" si="33"/>
        <v>0.61804351358023235</v>
      </c>
      <c r="Q6" s="20">
        <f t="shared" si="2"/>
        <v>3.5042863496371583</v>
      </c>
      <c r="R6" s="59">
        <f t="shared" si="0"/>
        <v>182.94778881296344</v>
      </c>
      <c r="S6" s="59">
        <f ca="1">AVERAGE(OFFSET($R$3,0,0,'Données projet'!$E$9+1,1))-AVERAGE(OFFSET($H$3,0,0,'Données projet'!$E$9+1,1))</f>
        <v>664.27707313486087</v>
      </c>
      <c r="T6" s="59">
        <f t="shared" si="34"/>
        <v>206.64483278066874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47.939137035452625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4.8773333333333335</v>
      </c>
      <c r="AI6" s="13">
        <f>IF('Données projet'!$A$62&gt;35,AI5+AH6-AQ5,IF(A6&lt;'Données projet'!$A$62,$AF$205^A6,IF(A6='Données projet'!$A$62,'Données projet'!$B$62,AI5+AH6-AQ5)))</f>
        <v>1.6463810900695901</v>
      </c>
      <c r="AJ6" s="13">
        <f>AI6*VLOOKUP('Données projet'!$B$10,Paramètres!$A$1:$I$89,3,0)*VLOOKUP('Données projet'!$B$10,Paramètres!$A$1:$I$89,5,0)</f>
        <v>0.77050635015256808</v>
      </c>
      <c r="AK6" s="13">
        <f t="shared" si="35"/>
        <v>0.36602229090803245</v>
      </c>
      <c r="AL6" s="20">
        <f t="shared" si="4"/>
        <v>1.9794540498472124</v>
      </c>
      <c r="AM6" s="59">
        <f t="shared" si="5"/>
        <v>181.42295651317349</v>
      </c>
      <c r="AN6" s="59">
        <f ca="1">AVERAGE(OFFSET($AM$3,0,0,'Données projet'!$E$10+1,1))-AVERAGE(OFFSET($H$3,0,0,'Données projet'!$E$10+1,1))</f>
        <v>329.7518221182429</v>
      </c>
      <c r="AO6" s="59">
        <f t="shared" si="36"/>
        <v>207.30737400651807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47.939137035452625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7.5454545454545459</v>
      </c>
      <c r="BD6" s="12">
        <f>IF('Données projet'!$A$88&gt;35,BD5+BC6-BL5,IF(A6&lt;'Données projet'!$A$88,$BA$205^A6,IF(A6='Données projet'!$A$88,'Données projet'!$B$88,BD5+BC6-BL5)))</f>
        <v>3.337220742548225</v>
      </c>
      <c r="BE6" s="13">
        <f>BD6*VLOOKUP('Données projet'!$B$11,Paramètres!$A$1:$I$89,3,0)*VLOOKUP('Données projet'!$B$11,Paramètres!$A$1:$I$89,5,0)</f>
        <v>1.9956580040438385</v>
      </c>
      <c r="BF6" s="13">
        <f t="shared" si="37"/>
        <v>0.84861002696285914</v>
      </c>
      <c r="BG6" s="20">
        <f t="shared" si="7"/>
        <v>4.9537668206699985</v>
      </c>
      <c r="BH6" s="59">
        <f t="shared" si="8"/>
        <v>184.39726928399628</v>
      </c>
      <c r="BI6" s="59">
        <f ca="1">AVERAGE(OFFSET($BH$3,0,0,'Données projet'!$E$11+1,1))-AVERAGE(OFFSET($H$3,0,0,'Données projet'!$E$11+1,1))</f>
        <v>189.62971370839551</v>
      </c>
      <c r="BJ6" s="59">
        <f t="shared" si="38"/>
        <v>457.05149684588173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47.939137035452625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10.683760683333334</v>
      </c>
      <c r="BY6" s="12">
        <f>IF('Données projet'!$A$114&gt;35,BY5+BX6-CG5,IF(A6&lt;'Données projet'!$A$114,$BV$205^A6,IF(A6='Données projet'!$A$114,'Données projet'!$B$114,BY5+BX6-CG5)))</f>
        <v>4.5813016353098099</v>
      </c>
      <c r="BZ6" s="13">
        <f>BY6*VLOOKUP('Données projet'!$B$12,Paramètres!$A$1:$I$89,3,0)*VLOOKUP('Données projet'!$B$12,Paramètres!$A$1:$I$89,5,0)</f>
        <v>2.3298667596531573</v>
      </c>
      <c r="CA6" s="13">
        <f t="shared" si="39"/>
        <v>0.97302906217664165</v>
      </c>
      <c r="CB6" s="20">
        <f t="shared" si="10"/>
        <v>5.7525435563535652</v>
      </c>
      <c r="CC6" s="59">
        <f t="shared" si="11"/>
        <v>185.19604601967984</v>
      </c>
      <c r="CD6" s="59">
        <f ca="1">AVERAGE(OFFSET($CC$3,0,0,'Données projet'!$E$12+1,1))-AVERAGE(OFFSET($H$3,0,0,'Données projet'!$E$12+1,1))</f>
        <v>170.04605856785227</v>
      </c>
      <c r="CE6" s="59">
        <f t="shared" si="40"/>
        <v>377.63973197638802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47.939137035452625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47.939137035452625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47.939137035452625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47.939137035452625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47.939137035452625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47.939137035452625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4.6500000000000004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17.05</v>
      </c>
      <c r="H7" s="66">
        <f t="shared" si="1"/>
        <v>188.46666666666667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48.3218436871867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2.5115384616666665</v>
      </c>
      <c r="N7" s="13">
        <f>IF('Données projet'!$A$36&gt;35,N6+M7-V6,IF(A7&lt;'Données projet'!$A$36,$K$205^A7,IF(A7='Données projet'!$A$36,'Données projet'!$B$36,N6+M7-V6)))</f>
        <v>1.7794050211797205</v>
      </c>
      <c r="O7" s="13">
        <f>N7*VLOOKUP('Données projet'!$B$9,Paramètres!$A$1:$I$89,3,0)*VLOOKUP('Données projet'!$B$9,Paramètres!$A$1:$I$89,5,0)</f>
        <v>1.610005663163411</v>
      </c>
      <c r="P7" s="13">
        <f t="shared" si="33"/>
        <v>0.70194770545312557</v>
      </c>
      <c r="Q7" s="20">
        <f t="shared" si="2"/>
        <v>4.0266521170071341</v>
      </c>
      <c r="R7" s="59">
        <f t="shared" si="0"/>
        <v>186.09563452558058</v>
      </c>
      <c r="S7" s="59">
        <f ca="1">AVERAGE(OFFSET($R$3,0,0,'Données projet'!$E$9+1,1))-AVERAGE(OFFSET($H$3,0,0,'Données projet'!$E$9+1,1))</f>
        <v>664.27707313486087</v>
      </c>
      <c r="T7" s="59">
        <f t="shared" si="34"/>
        <v>206.64483278066874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48.3218436871867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4.8773333333333335</v>
      </c>
      <c r="AI7" s="13">
        <f>IF('Données projet'!$A$62&gt;35,AI6+AH7-AQ6,IF(A7&lt;'Données projet'!$A$62,$AF$205^A7,IF(A7='Données projet'!$A$62,'Données projet'!$B$62,AI6+AH7-AQ6)))</f>
        <v>1.9440487843319665</v>
      </c>
      <c r="AJ7" s="13">
        <f>AI7*VLOOKUP('Données projet'!$B$10,Paramètres!$A$1:$I$89,3,0)*VLOOKUP('Données projet'!$B$10,Paramètres!$A$1:$I$89,5,0)</f>
        <v>0.90981483106736027</v>
      </c>
      <c r="AK7" s="13">
        <f t="shared" si="35"/>
        <v>0.42391906276598723</v>
      </c>
      <c r="AL7" s="20">
        <f t="shared" si="4"/>
        <v>2.32291986509308</v>
      </c>
      <c r="AM7" s="59">
        <f t="shared" si="5"/>
        <v>184.39190227366652</v>
      </c>
      <c r="AN7" s="59">
        <f ca="1">AVERAGE(OFFSET($AM$3,0,0,'Données projet'!$E$10+1,1))-AVERAGE(OFFSET($H$3,0,0,'Données projet'!$E$10+1,1))</f>
        <v>329.7518221182429</v>
      </c>
      <c r="AO7" s="59">
        <f t="shared" si="36"/>
        <v>207.30737400651807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48.3218436871867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7.5454545454545459</v>
      </c>
      <c r="BD7" s="12">
        <f>IF('Données projet'!$A$88&gt;35,BD6+BC7-BL6,IF(A7&lt;'Données projet'!$A$88,$BA$205^A7,IF(A7='Données projet'!$A$88,'Données projet'!$B$88,BD6+BC7-BL6)))</f>
        <v>4.9870828025606775</v>
      </c>
      <c r="BE7" s="13">
        <f>BD7*VLOOKUP('Données projet'!$B$11,Paramètres!$A$1:$I$89,3,0)*VLOOKUP('Données projet'!$B$11,Paramètres!$A$1:$I$89,5,0)</f>
        <v>2.9822755159312857</v>
      </c>
      <c r="BF7" s="13">
        <f t="shared" si="37"/>
        <v>1.2102148238782438</v>
      </c>
      <c r="BG7" s="20">
        <f t="shared" si="7"/>
        <v>7.3019206751682626</v>
      </c>
      <c r="BH7" s="59">
        <f t="shared" si="8"/>
        <v>189.37090308374172</v>
      </c>
      <c r="BI7" s="59">
        <f ca="1">AVERAGE(OFFSET($BH$3,0,0,'Données projet'!$E$11+1,1))-AVERAGE(OFFSET($H$3,0,0,'Données projet'!$E$11+1,1))</f>
        <v>189.62971370839551</v>
      </c>
      <c r="BJ7" s="59">
        <f t="shared" si="38"/>
        <v>457.05149684588173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48.3218436871867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10.683760683333334</v>
      </c>
      <c r="BY7" s="12">
        <f>IF('Données projet'!$A$114&gt;35,BY6+BX7-CG6,IF(A7&lt;'Données projet'!$A$114,$BV$205^A7,IF(A7='Données projet'!$A$114,'Données projet'!$B$114,BY6+BX7-CG6)))</f>
        <v>7.6088411227202828</v>
      </c>
      <c r="BZ7" s="13">
        <f>BY7*VLOOKUP('Données projet'!$B$12,Paramètres!$A$1:$I$89,3,0)*VLOOKUP('Données projet'!$B$12,Paramètres!$A$1:$I$89,5,0)</f>
        <v>3.8695522413706276</v>
      </c>
      <c r="CA7" s="13">
        <f t="shared" si="39"/>
        <v>1.5233828848731132</v>
      </c>
      <c r="CB7" s="20">
        <f t="shared" si="10"/>
        <v>9.3926953448745145</v>
      </c>
      <c r="CC7" s="59">
        <f t="shared" si="11"/>
        <v>191.46167775344796</v>
      </c>
      <c r="CD7" s="59">
        <f ca="1">AVERAGE(OFFSET($CC$3,0,0,'Données projet'!$E$12+1,1))-AVERAGE(OFFSET($H$3,0,0,'Données projet'!$E$12+1,1))</f>
        <v>170.04605856785227</v>
      </c>
      <c r="CE7" s="59">
        <f t="shared" si="40"/>
        <v>377.63973197638802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48.3218436871867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48.3218436871867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48.3218436871867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48.3218436871867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48.3218436871867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48.3218436871867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4.6500000000000004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17.05</v>
      </c>
      <c r="H8" s="66">
        <f t="shared" si="1"/>
        <v>188.46666666666667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48.6979112341171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2.5115384616666665</v>
      </c>
      <c r="N8" s="13">
        <f>IF('Données projet'!$A$36&gt;35,N7+M8-V7,IF(A8&lt;'Données projet'!$A$36,$K$205^A8,IF(A8='Données projet'!$A$36,'Données projet'!$B$36,N7+M8-V7)))</f>
        <v>2.0551499493280714</v>
      </c>
      <c r="O8" s="13">
        <f>N8*VLOOKUP('Données projet'!$B$9,Paramètres!$A$1:$I$89,3,0)*VLOOKUP('Données projet'!$B$9,Paramètres!$A$1:$I$89,5,0)</f>
        <v>1.8594996741520389</v>
      </c>
      <c r="P8" s="13">
        <f t="shared" si="33"/>
        <v>0.79724254096057801</v>
      </c>
      <c r="Q8" s="20">
        <f t="shared" si="2"/>
        <v>4.6271593579878081</v>
      </c>
      <c r="R8" s="59">
        <f t="shared" si="0"/>
        <v>189.29727832752826</v>
      </c>
      <c r="S8" s="59">
        <f ca="1">AVERAGE(OFFSET($R$3,0,0,'Données projet'!$E$9+1,1))-AVERAGE(OFFSET($H$3,0,0,'Données projet'!$E$9+1,1))</f>
        <v>664.27707313486087</v>
      </c>
      <c r="T8" s="59">
        <f t="shared" si="34"/>
        <v>206.64483278066874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48.6979112341171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4.8773333333333335</v>
      </c>
      <c r="AI8" s="13">
        <f>IF('Données projet'!$A$62&gt;35,AI7+AH8-AQ7,IF(A8&lt;'Données projet'!$A$62,$AF$205^A8,IF(A8='Données projet'!$A$62,'Données projet'!$B$62,AI7+AH8-AQ7)))</f>
        <v>2.2955351580859387</v>
      </c>
      <c r="AJ8" s="13">
        <f>AI8*VLOOKUP('Données projet'!$B$10,Paramètres!$A$1:$I$89,3,0)*VLOOKUP('Données projet'!$B$10,Paramètres!$A$1:$I$89,5,0)</f>
        <v>1.0743104539842192</v>
      </c>
      <c r="AK8" s="13">
        <f t="shared" si="35"/>
        <v>0.49097384569276598</v>
      </c>
      <c r="AL8" s="20">
        <f t="shared" si="4"/>
        <v>2.726203488604082</v>
      </c>
      <c r="AM8" s="59">
        <f t="shared" si="5"/>
        <v>187.39632245814454</v>
      </c>
      <c r="AN8" s="59">
        <f ca="1">AVERAGE(OFFSET($AM$3,0,0,'Données projet'!$E$10+1,1))-AVERAGE(OFFSET($H$3,0,0,'Données projet'!$E$10+1,1))</f>
        <v>329.7518221182429</v>
      </c>
      <c r="AO8" s="59">
        <f t="shared" si="36"/>
        <v>207.30737400651807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48.6979112341171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7.5454545454545459</v>
      </c>
      <c r="BD8" s="12">
        <f>IF('Données projet'!$A$88&gt;35,BD7+BC8-BL7,IF(A8&lt;'Données projet'!$A$88,$BA$205^A8,IF(A8='Données projet'!$A$88,'Données projet'!$B$88,BD7+BC8-BL7)))</f>
        <v>7.4526070638664255</v>
      </c>
      <c r="BE8" s="13">
        <f>BD8*VLOOKUP('Données projet'!$B$11,Paramètres!$A$1:$I$89,3,0)*VLOOKUP('Données projet'!$B$11,Paramètres!$A$1:$I$89,5,0)</f>
        <v>4.4566590241921231</v>
      </c>
      <c r="BF8" s="13">
        <f t="shared" si="37"/>
        <v>1.7259045655829262</v>
      </c>
      <c r="BG8" s="20">
        <f t="shared" si="7"/>
        <v>10.76796491885821</v>
      </c>
      <c r="BH8" s="59">
        <f t="shared" si="8"/>
        <v>195.43808388839867</v>
      </c>
      <c r="BI8" s="59">
        <f ca="1">AVERAGE(OFFSET($BH$3,0,0,'Données projet'!$E$11+1,1))-AVERAGE(OFFSET($H$3,0,0,'Données projet'!$E$11+1,1))</f>
        <v>189.62971370839551</v>
      </c>
      <c r="BJ8" s="59">
        <f t="shared" si="38"/>
        <v>457.05149684588173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48.6979112341171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10.683760683333334</v>
      </c>
      <c r="BY8" s="12">
        <f>IF('Données projet'!$A$114&gt;35,BY7+BX8-CG7,IF(A8&lt;'Données projet'!$A$114,$BV$205^A8,IF(A8='Données projet'!$A$114,'Données projet'!$B$114,BY7+BX8-CG7)))</f>
        <v>12.637121027915933</v>
      </c>
      <c r="BZ8" s="13">
        <f>BY8*VLOOKUP('Données projet'!$B$12,Paramètres!$A$1:$I$89,3,0)*VLOOKUP('Données projet'!$B$12,Paramètres!$A$1:$I$89,5,0)</f>
        <v>6.4267342699569276</v>
      </c>
      <c r="CA8" s="13">
        <f t="shared" si="39"/>
        <v>2.385021685511624</v>
      </c>
      <c r="CB8" s="20">
        <f t="shared" si="10"/>
        <v>15.347141622441059</v>
      </c>
      <c r="CC8" s="59">
        <f t="shared" si="11"/>
        <v>200.01726059198151</v>
      </c>
      <c r="CD8" s="59">
        <f ca="1">AVERAGE(OFFSET($CC$3,0,0,'Données projet'!$E$12+1,1))-AVERAGE(OFFSET($H$3,0,0,'Données projet'!$E$12+1,1))</f>
        <v>170.04605856785227</v>
      </c>
      <c r="CE8" s="59">
        <f t="shared" si="40"/>
        <v>377.63973197638802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48.6979112341171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48.6979112341171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48.6979112341171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48.6979112341171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48.6979112341171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48.6979112341171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4.6500000000000004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17.05</v>
      </c>
      <c r="H9" s="66">
        <f t="shared" si="1"/>
        <v>188.46666666666667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49.067454849869328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2.5115384616666665</v>
      </c>
      <c r="N9" s="13">
        <f>IF('Données projet'!$A$36&gt;35,N8+M9-V8,IF(A9&lt;'Données projet'!$A$36,$K$205^A9,IF(A9='Données projet'!$A$36,'Données projet'!$B$36,N8+M9-V8)))</f>
        <v>2.3736256017884898</v>
      </c>
      <c r="O9" s="13">
        <f>N9*VLOOKUP('Données projet'!$B$9,Paramètres!$A$1:$I$89,3,0)*VLOOKUP('Données projet'!$B$9,Paramètres!$A$1:$I$89,5,0)</f>
        <v>2.1476564444982258</v>
      </c>
      <c r="P9" s="13">
        <f t="shared" si="33"/>
        <v>0.9054743881625561</v>
      </c>
      <c r="Q9" s="20">
        <f t="shared" si="2"/>
        <v>5.3175362002175284</v>
      </c>
      <c r="R9" s="59">
        <f t="shared" si="0"/>
        <v>192.5648706497384</v>
      </c>
      <c r="S9" s="59">
        <f ca="1">AVERAGE(OFFSET($R$3,0,0,'Données projet'!$E$9+1,1))-AVERAGE(OFFSET($H$3,0,0,'Données projet'!$E$9+1,1))</f>
        <v>664.27707313486087</v>
      </c>
      <c r="T9" s="59">
        <f t="shared" si="34"/>
        <v>206.64483278066874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49.067454849869328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4.8773333333333335</v>
      </c>
      <c r="AI9" s="13">
        <f>IF('Données projet'!$A$62&gt;35,AI8+AH9-AQ8,IF(A9&lt;'Données projet'!$A$62,$AF$205^A9,IF(A9='Données projet'!$A$62,'Données projet'!$B$62,AI8+AH9-AQ8)))</f>
        <v>2.7105706937387315</v>
      </c>
      <c r="AJ9" s="13">
        <f>AI9*VLOOKUP('Données projet'!$B$10,Paramètres!$A$1:$I$89,3,0)*VLOOKUP('Données projet'!$B$10,Paramètres!$A$1:$I$89,5,0)</f>
        <v>1.2685470846697264</v>
      </c>
      <c r="AK9" s="13">
        <f t="shared" si="35"/>
        <v>0.56863523801337523</v>
      </c>
      <c r="AL9" s="20">
        <f t="shared" si="4"/>
        <v>3.199759212006402</v>
      </c>
      <c r="AM9" s="59">
        <f t="shared" si="5"/>
        <v>190.44709366152728</v>
      </c>
      <c r="AN9" s="59">
        <f ca="1">AVERAGE(OFFSET($AM$3,0,0,'Données projet'!$E$10+1,1))-AVERAGE(OFFSET($H$3,0,0,'Données projet'!$E$10+1,1))</f>
        <v>329.7518221182429</v>
      </c>
      <c r="AO9" s="59">
        <f t="shared" si="36"/>
        <v>207.30737400651807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49.067454849869328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7.5454545454545459</v>
      </c>
      <c r="BD9" s="12">
        <f>IF('Données projet'!$A$88&gt;35,BD8+BC9-BL8,IF(A9&lt;'Données projet'!$A$88,$BA$205^A9,IF(A9='Données projet'!$A$88,'Données projet'!$B$88,BD8+BC9-BL8)))</f>
        <v>11.137042284494127</v>
      </c>
      <c r="BE9" s="13">
        <f>BD9*VLOOKUP('Données projet'!$B$11,Paramètres!$A$1:$I$89,3,0)*VLOOKUP('Données projet'!$B$11,Paramètres!$A$1:$I$89,5,0)</f>
        <v>6.6599512861274883</v>
      </c>
      <c r="BF9" s="13">
        <f t="shared" si="37"/>
        <v>2.461337037629669</v>
      </c>
      <c r="BG9" s="20">
        <f t="shared" si="7"/>
        <v>15.886243830543714</v>
      </c>
      <c r="BH9" s="59">
        <f t="shared" si="8"/>
        <v>203.1335782800646</v>
      </c>
      <c r="BI9" s="59">
        <f ca="1">AVERAGE(OFFSET($BH$3,0,0,'Données projet'!$E$11+1,1))-AVERAGE(OFFSET($H$3,0,0,'Données projet'!$E$11+1,1))</f>
        <v>189.62971370839551</v>
      </c>
      <c r="BJ9" s="59">
        <f t="shared" si="38"/>
        <v>457.05149684588173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49.067454849869328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10.683760683333334</v>
      </c>
      <c r="BY9" s="12">
        <f>IF('Données projet'!$A$114&gt;35,BY8+BX9-CG8,IF(A9&lt;'Données projet'!$A$114,$BV$205^A9,IF(A9='Données projet'!$A$114,'Données projet'!$B$114,BY8+BX9-CG8)))</f>
        <v>20.98832467369234</v>
      </c>
      <c r="BZ9" s="13">
        <f>BY9*VLOOKUP('Données projet'!$B$12,Paramètres!$A$1:$I$89,3,0)*VLOOKUP('Données projet'!$B$12,Paramètres!$A$1:$I$89,5,0)</f>
        <v>10.673822396052978</v>
      </c>
      <c r="CA9" s="13">
        <f t="shared" si="39"/>
        <v>3.7340109941136075</v>
      </c>
      <c r="CB9" s="20">
        <f t="shared" si="10"/>
        <v>25.093643154540132</v>
      </c>
      <c r="CC9" s="59">
        <f t="shared" si="11"/>
        <v>212.34097760406101</v>
      </c>
      <c r="CD9" s="59">
        <f ca="1">AVERAGE(OFFSET($CC$3,0,0,'Données projet'!$E$12+1,1))-AVERAGE(OFFSET($H$3,0,0,'Données projet'!$E$12+1,1))</f>
        <v>170.04605856785227</v>
      </c>
      <c r="CE9" s="59">
        <f t="shared" si="40"/>
        <v>377.63973197638802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49.067454849869328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49.067454849869328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49.067454849869328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49.067454849869328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49.067454849869328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49.067454849869328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4.6500000000000004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17.05</v>
      </c>
      <c r="H10" s="66">
        <f t="shared" si="1"/>
        <v>188.46666666666667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49.43058771006401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2.5115384616666665</v>
      </c>
      <c r="N10" s="13">
        <f>IF('Données projet'!$A$36&gt;35,N9+M10-V9,IF(A10&lt;'Données projet'!$A$36,$K$205^A10,IF(A10='Données projet'!$A$36,'Données projet'!$B$36,N9+M10-V9)))</f>
        <v>2.7414537315429621</v>
      </c>
      <c r="O10" s="13">
        <f>N10*VLOOKUP('Données projet'!$B$9,Paramètres!$A$1:$I$89,3,0)*VLOOKUP('Données projet'!$B$9,Paramètres!$A$1:$I$89,5,0)</f>
        <v>2.4804673363000722</v>
      </c>
      <c r="P10" s="13">
        <f t="shared" si="33"/>
        <v>1.0283995465551767</v>
      </c>
      <c r="Q10" s="20">
        <f t="shared" si="2"/>
        <v>6.1112764876395573</v>
      </c>
      <c r="R10" s="59">
        <f t="shared" si="0"/>
        <v>195.91232031342986</v>
      </c>
      <c r="S10" s="59">
        <f ca="1">AVERAGE(OFFSET($R$3,0,0,'Données projet'!$E$9+1,1))-AVERAGE(OFFSET($H$3,0,0,'Données projet'!$E$9+1,1))</f>
        <v>664.27707313486087</v>
      </c>
      <c r="T10" s="59">
        <f t="shared" si="34"/>
        <v>206.64483278066874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49.43058771006401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4.8773333333333335</v>
      </c>
      <c r="AI10" s="13">
        <f>IF('Données projet'!$A$62&gt;35,AI9+AH10-AQ9,IF(A10&lt;'Données projet'!$A$62,$AF$205^A10,IF(A10='Données projet'!$A$62,'Données projet'!$B$62,AI9+AH10-AQ9)))</f>
        <v>3.2006451566969245</v>
      </c>
      <c r="AJ10" s="13">
        <f>AI10*VLOOKUP('Données projet'!$B$10,Paramètres!$A$1:$I$89,3,0)*VLOOKUP('Données projet'!$B$10,Paramètres!$A$1:$I$89,5,0)</f>
        <v>1.4979019333341608</v>
      </c>
      <c r="AK10" s="13">
        <f t="shared" si="35"/>
        <v>0.6585809748262359</v>
      </c>
      <c r="AL10" s="20">
        <f t="shared" si="4"/>
        <v>3.7558743983793579</v>
      </c>
      <c r="AM10" s="59">
        <f t="shared" si="5"/>
        <v>193.55691822416964</v>
      </c>
      <c r="AN10" s="59">
        <f ca="1">AVERAGE(OFFSET($AM$3,0,0,'Données projet'!$E$10+1,1))-AVERAGE(OFFSET($H$3,0,0,'Données projet'!$E$10+1,1))</f>
        <v>329.7518221182429</v>
      </c>
      <c r="AO10" s="59">
        <f t="shared" si="36"/>
        <v>207.30737400651807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49.43058771006401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7.5454545454545459</v>
      </c>
      <c r="BD10" s="12">
        <f>IF('Données projet'!$A$88&gt;35,BD9+BC10-BL9,IF(A10&lt;'Données projet'!$A$88,$BA$205^A10,IF(A10='Données projet'!$A$88,'Données projet'!$B$88,BD9+BC10-BL9)))</f>
        <v>16.642996173511026</v>
      </c>
      <c r="BE10" s="13">
        <f>BD10*VLOOKUP('Données projet'!$B$11,Paramètres!$A$1:$I$89,3,0)*VLOOKUP('Données projet'!$B$11,Paramètres!$A$1:$I$89,5,0)</f>
        <v>9.9525117117595947</v>
      </c>
      <c r="BF10" s="13">
        <f t="shared" si="37"/>
        <v>3.5101477414317164</v>
      </c>
      <c r="BG10" s="20">
        <f t="shared" si="7"/>
        <v>23.447465214308199</v>
      </c>
      <c r="BH10" s="59">
        <f t="shared" si="8"/>
        <v>213.2485090400985</v>
      </c>
      <c r="BI10" s="59">
        <f ca="1">AVERAGE(OFFSET($BH$3,0,0,'Données projet'!$E$11+1,1))-AVERAGE(OFFSET($H$3,0,0,'Données projet'!$E$11+1,1))</f>
        <v>189.62971370839551</v>
      </c>
      <c r="BJ10" s="59">
        <f t="shared" si="38"/>
        <v>457.05149684588173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49.43058771006401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10.683760683333334</v>
      </c>
      <c r="BY10" s="12">
        <f>IF('Données projet'!$A$114&gt;35,BY9+BX10-CG9,IF(A10&lt;'Données projet'!$A$114,$BV$205^A10,IF(A10='Données projet'!$A$114,'Données projet'!$B$114,BY9+BX10-CG9)))</f>
        <v>34.858396278330964</v>
      </c>
      <c r="BZ10" s="13">
        <f>BY10*VLOOKUP('Données projet'!$B$12,Paramètres!$A$1:$I$89,3,0)*VLOOKUP('Données projet'!$B$12,Paramètres!$A$1:$I$89,5,0)</f>
        <v>17.727586011307995</v>
      </c>
      <c r="CA10" s="13">
        <f t="shared" si="39"/>
        <v>5.846000557923789</v>
      </c>
      <c r="CB10" s="20">
        <f t="shared" si="10"/>
        <v>41.057329941412029</v>
      </c>
      <c r="CC10" s="59">
        <f t="shared" si="11"/>
        <v>230.85837376720232</v>
      </c>
      <c r="CD10" s="59">
        <f ca="1">AVERAGE(OFFSET($CC$3,0,0,'Données projet'!$E$12+1,1))-AVERAGE(OFFSET($H$3,0,0,'Données projet'!$E$12+1,1))</f>
        <v>170.04605856785227</v>
      </c>
      <c r="CE10" s="59">
        <f t="shared" si="40"/>
        <v>377.63973197638802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49.43058771006401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49.43058771006401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49.43058771006401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49.43058771006401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49.43058771006401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49.43058771006401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4.6500000000000004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17.05</v>
      </c>
      <c r="H11" s="66">
        <f t="shared" si="1"/>
        <v>188.46666666666667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49.787421026977768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2.5115384616666665</v>
      </c>
      <c r="N11" s="13">
        <f>IF('Données projet'!$A$36&gt;35,N10+M11-V10,IF(A11&lt;'Données projet'!$A$36,$K$205^A11,IF(A11='Données projet'!$A$36,'Données projet'!$B$36,N10+M11-V10)))</f>
        <v>3.1662822293996018</v>
      </c>
      <c r="O11" s="13">
        <f>N11*VLOOKUP('Données projet'!$B$9,Paramètres!$A$1:$I$89,3,0)*VLOOKUP('Données projet'!$B$9,Paramètres!$A$1:$I$89,5,0)</f>
        <v>2.8648521611607598</v>
      </c>
      <c r="P11" s="13">
        <f t="shared" si="33"/>
        <v>1.168012746888458</v>
      </c>
      <c r="Q11" s="20">
        <f t="shared" si="2"/>
        <v>7.0239063815190539</v>
      </c>
      <c r="R11" s="59">
        <f t="shared" si="0"/>
        <v>199.35556125821529</v>
      </c>
      <c r="S11" s="59">
        <f ca="1">AVERAGE(OFFSET($R$3,0,0,'Données projet'!$E$9+1,1))-AVERAGE(OFFSET($H$3,0,0,'Données projet'!$E$9+1,1))</f>
        <v>664.27707313486087</v>
      </c>
      <c r="T11" s="59">
        <f t="shared" si="34"/>
        <v>206.64483278066874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49.787421026977768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4.8773333333333335</v>
      </c>
      <c r="AI11" s="13">
        <f>IF('Données projet'!$A$62&gt;35,AI10+AH11-AQ10,IF(A11&lt;'Données projet'!$A$62,$AF$205^A11,IF(A11='Données projet'!$A$62,'Données projet'!$B$62,AI10+AH11-AQ10)))</f>
        <v>3.7793256758625966</v>
      </c>
      <c r="AJ11" s="13">
        <f>AI11*VLOOKUP('Données projet'!$B$10,Paramètres!$A$1:$I$89,3,0)*VLOOKUP('Données projet'!$B$10,Paramètres!$A$1:$I$89,5,0)</f>
        <v>1.768724416303695</v>
      </c>
      <c r="AK11" s="13">
        <f t="shared" si="35"/>
        <v>0.76275417246103394</v>
      </c>
      <c r="AL11" s="20">
        <f t="shared" si="4"/>
        <v>4.4089918754319024</v>
      </c>
      <c r="AM11" s="59">
        <f t="shared" si="5"/>
        <v>196.74064675212813</v>
      </c>
      <c r="AN11" s="59">
        <f ca="1">AVERAGE(OFFSET($AM$3,0,0,'Données projet'!$E$10+1,1))-AVERAGE(OFFSET($H$3,0,0,'Données projet'!$E$10+1,1))</f>
        <v>329.7518221182429</v>
      </c>
      <c r="AO11" s="59">
        <f t="shared" si="36"/>
        <v>207.30737400651807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49.787421026977768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7.5454545454545459</v>
      </c>
      <c r="BD11" s="12">
        <f>IF('Données projet'!$A$88&gt;35,BD10+BC11-BL10,IF(A11&lt;'Données projet'!$A$88,$BA$205^A11,IF(A11='Données projet'!$A$88,'Données projet'!$B$88,BD10+BC11-BL10)))</f>
        <v>24.870994879596463</v>
      </c>
      <c r="BE11" s="13">
        <f>BD11*VLOOKUP('Données projet'!$B$11,Paramètres!$A$1:$I$89,3,0)*VLOOKUP('Données projet'!$B$11,Paramètres!$A$1:$I$89,5,0)</f>
        <v>14.872854937998687</v>
      </c>
      <c r="BF11" s="13">
        <f t="shared" si="37"/>
        <v>5.0058715967414829</v>
      </c>
      <c r="BG11" s="20">
        <f t="shared" si="7"/>
        <v>34.622115381339128</v>
      </c>
      <c r="BH11" s="59">
        <f t="shared" si="8"/>
        <v>226.95377025803538</v>
      </c>
      <c r="BI11" s="59">
        <f ca="1">AVERAGE(OFFSET($BH$3,0,0,'Données projet'!$E$11+1,1))-AVERAGE(OFFSET($H$3,0,0,'Données projet'!$E$11+1,1))</f>
        <v>189.62971370839551</v>
      </c>
      <c r="BJ11" s="59">
        <f t="shared" si="38"/>
        <v>457.05149684588173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49.787421026977768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10.683760683333334</v>
      </c>
      <c r="BY11" s="12">
        <f>IF('Données projet'!$A$114&gt;35,BY10+BX11-CG10,IF(A11&lt;'Données projet'!$A$114,$BV$205^A11,IF(A11='Données projet'!$A$114,'Données projet'!$B$114,BY10+BX11-CG10)))</f>
        <v>57.894463230799253</v>
      </c>
      <c r="BZ11" s="13">
        <f>BY11*VLOOKUP('Données projet'!$B$12,Paramètres!$A$1:$I$89,3,0)*VLOOKUP('Données projet'!$B$12,Paramètres!$A$1:$I$89,5,0)</f>
        <v>29.442808220655269</v>
      </c>
      <c r="CA11" s="13">
        <f t="shared" si="39"/>
        <v>9.1525500533128419</v>
      </c>
      <c r="CB11" s="20">
        <f t="shared" si="10"/>
        <v>67.220248993827795</v>
      </c>
      <c r="CC11" s="59">
        <f t="shared" si="11"/>
        <v>259.55190387052403</v>
      </c>
      <c r="CD11" s="59">
        <f ca="1">AVERAGE(OFFSET($CC$3,0,0,'Données projet'!$E$12+1,1))-AVERAGE(OFFSET($H$3,0,0,'Données projet'!$E$12+1,1))</f>
        <v>170.04605856785227</v>
      </c>
      <c r="CE11" s="59">
        <f t="shared" si="40"/>
        <v>377.63973197638802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49.787421026977768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49.787421026977768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49.787421026977768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49.787421026977768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49.787421026977768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49.787421026977768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4.6500000000000004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17.05</v>
      </c>
      <c r="H12" s="66">
        <f t="shared" si="1"/>
        <v>188.46666666666667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50.138064083602856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2.5115384616666665</v>
      </c>
      <c r="N12" s="13">
        <f>IF('Données projet'!$A$36&gt;35,N11+M12-V11,IF(A12&lt;'Données projet'!$A$36,$K$205^A12,IF(A12='Données projet'!$A$36,'Données projet'!$B$36,N11+M12-V11)))</f>
        <v>3.6569441391116189</v>
      </c>
      <c r="O12" s="13">
        <f>N12*VLOOKUP('Données projet'!$B$9,Paramètres!$A$1:$I$89,3,0)*VLOOKUP('Données projet'!$B$9,Paramètres!$A$1:$I$89,5,0)</f>
        <v>3.3088030570681926</v>
      </c>
      <c r="P12" s="13">
        <f t="shared" si="33"/>
        <v>1.3265795200549755</v>
      </c>
      <c r="Q12" s="20">
        <f t="shared" si="2"/>
        <v>8.0732913218228504</v>
      </c>
      <c r="R12" s="59">
        <f t="shared" si="0"/>
        <v>202.91285962836668</v>
      </c>
      <c r="S12" s="59">
        <f ca="1">AVERAGE(OFFSET($R$3,0,0,'Données projet'!$E$9+1,1))-AVERAGE(OFFSET($H$3,0,0,'Données projet'!$E$9+1,1))</f>
        <v>664.27707313486087</v>
      </c>
      <c r="T12" s="59">
        <f t="shared" si="34"/>
        <v>206.64483278066874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50.138064083602856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4.8773333333333335</v>
      </c>
      <c r="AI12" s="13">
        <f>IF('Données projet'!$A$62&gt;35,AI11+AH12-AQ11,IF(A12&lt;'Données projet'!$A$62,$AF$205^A12,IF(A12='Données projet'!$A$62,'Données projet'!$B$62,AI11+AH12-AQ11)))</f>
        <v>4.4626323334682576</v>
      </c>
      <c r="AJ12" s="13">
        <f>AI12*VLOOKUP('Données projet'!$B$10,Paramètres!$A$1:$I$89,3,0)*VLOOKUP('Données projet'!$B$10,Paramètres!$A$1:$I$89,5,0)</f>
        <v>2.0885119320631444</v>
      </c>
      <c r="AK12" s="13">
        <f t="shared" si="35"/>
        <v>0.88340530602211986</v>
      </c>
      <c r="AL12" s="20">
        <f t="shared" si="4"/>
        <v>5.1760891896651691</v>
      </c>
      <c r="AM12" s="59">
        <f t="shared" si="5"/>
        <v>200.01565749620897</v>
      </c>
      <c r="AN12" s="59">
        <f ca="1">AVERAGE(OFFSET($AM$3,0,0,'Données projet'!$E$10+1,1))-AVERAGE(OFFSET($H$3,0,0,'Données projet'!$E$10+1,1))</f>
        <v>329.7518221182429</v>
      </c>
      <c r="AO12" s="59">
        <f t="shared" si="36"/>
        <v>207.30737400651807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50.138064083602856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7.5454545454545459</v>
      </c>
      <c r="BD12" s="12">
        <f>IF('Données projet'!$A$88&gt;35,BD11+BC12-BL11,IF(A12&lt;'Données projet'!$A$88,$BA$205^A12,IF(A12='Données projet'!$A$88,'Données projet'!$B$88,BD11+BC12-BL11)))</f>
        <v>37.166768522450475</v>
      </c>
      <c r="BE12" s="13">
        <f>BD12*VLOOKUP('Données projet'!$B$11,Paramètres!$A$1:$I$89,3,0)*VLOOKUP('Données projet'!$B$11,Paramètres!$A$1:$I$89,5,0)</f>
        <v>22.225727576425388</v>
      </c>
      <c r="BF12" s="13">
        <f t="shared" si="37"/>
        <v>7.1389446510425687</v>
      </c>
      <c r="BG12" s="20">
        <f t="shared" si="7"/>
        <v>51.143470796173354</v>
      </c>
      <c r="BH12" s="59">
        <f t="shared" si="8"/>
        <v>245.98303910271716</v>
      </c>
      <c r="BI12" s="59">
        <f ca="1">AVERAGE(OFFSET($BH$3,0,0,'Données projet'!$E$11+1,1))-AVERAGE(OFFSET($H$3,0,0,'Données projet'!$E$11+1,1))</f>
        <v>189.62971370839551</v>
      </c>
      <c r="BJ12" s="59">
        <f t="shared" si="38"/>
        <v>457.05149684588173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50.138064083602856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>
        <f>VLOOKUP(A12,'Données projet'!$A$113:$I$133,2,0)</f>
        <v>96.153846150000007</v>
      </c>
      <c r="BW12" s="12">
        <f>VLOOKUP(A12,'Données projet'!$A$113:$I$133,9,0)</f>
        <v>10.683760683333334</v>
      </c>
      <c r="BX12" s="12">
        <f t="array" ref="BX12">INDEX(BW:BW,MIN(IF(ISNUMBER(BW12:BW208),ROW(BW12:BW208),"")))</f>
        <v>10.683760683333334</v>
      </c>
      <c r="BY12" s="12">
        <f>IF('Données projet'!$A$114&gt;35,BY11+BX12-CG11,IF(A12&lt;'Données projet'!$A$114,$BV$205^A12,IF(A12='Données projet'!$A$114,'Données projet'!$B$114,BY11+BX12-CG11)))</f>
        <v>96.153846150000007</v>
      </c>
      <c r="BZ12" s="13">
        <f>BY12*VLOOKUP('Données projet'!$B$12,Paramètres!$A$1:$I$89,3,0)*VLOOKUP('Données projet'!$B$12,Paramètres!$A$1:$I$89,5,0)</f>
        <v>48.899999998044002</v>
      </c>
      <c r="CA12" s="13">
        <f t="shared" si="39"/>
        <v>14.329313117299405</v>
      </c>
      <c r="CB12" s="20">
        <f t="shared" si="10"/>
        <v>110.1243870092231</v>
      </c>
      <c r="CC12" s="59">
        <f t="shared" si="11"/>
        <v>304.9639553157669</v>
      </c>
      <c r="CD12" s="59">
        <f ca="1">AVERAGE(OFFSET($CC$3,0,0,'Données projet'!$E$12+1,1))-AVERAGE(OFFSET($H$3,0,0,'Données projet'!$E$12+1,1))</f>
        <v>170.04605856785227</v>
      </c>
      <c r="CE12" s="59">
        <f t="shared" si="40"/>
        <v>377.63973197638802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50.138064083602856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50.138064083602856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50.138064083602856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50.138064083602856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50.138064083602856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50.138064083602856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4.6500000000000004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17.05</v>
      </c>
      <c r="H13" s="66">
        <f t="shared" si="1"/>
        <v>188.46666666666667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50.482624267115931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2.5115384616666665</v>
      </c>
      <c r="N13" s="13">
        <f>IF('Données projet'!$A$36&gt;35,N12+M13-V12,IF(A13&lt;'Données projet'!$A$36,$K$205^A13,IF(A13='Données projet'!$A$36,'Données projet'!$B$36,N12+M13-V12)))</f>
        <v>4.2236413142231752</v>
      </c>
      <c r="O13" s="13">
        <f>N13*VLOOKUP('Données projet'!$B$9,Paramètres!$A$1:$I$89,3,0)*VLOOKUP('Données projet'!$B$9,Paramètres!$A$1:$I$89,5,0)</f>
        <v>3.821550661109129</v>
      </c>
      <c r="P13" s="13">
        <f t="shared" si="33"/>
        <v>1.5066729603057551</v>
      </c>
      <c r="Q13" s="20">
        <f t="shared" si="2"/>
        <v>9.279989473964255</v>
      </c>
      <c r="R13" s="59">
        <f t="shared" si="0"/>
        <v>206.60516734227824</v>
      </c>
      <c r="S13" s="59">
        <f ca="1">AVERAGE(OFFSET($R$3,0,0,'Données projet'!$E$9+1,1))-AVERAGE(OFFSET($H$3,0,0,'Données projet'!$E$9+1,1))</f>
        <v>664.27707313486087</v>
      </c>
      <c r="T13" s="59">
        <f t="shared" si="34"/>
        <v>206.64483278066874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50.482624267115931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4.8773333333333335</v>
      </c>
      <c r="AI13" s="13">
        <f>IF('Données projet'!$A$62&gt;35,AI12+AH13-AQ12,IF(A13&lt;'Données projet'!$A$62,$AF$205^A13,IF(A13='Données projet'!$A$62,'Données projet'!$B$62,AI12+AH13-AQ12)))</f>
        <v>5.2694816620086362</v>
      </c>
      <c r="AJ13" s="13">
        <f>AI13*VLOOKUP('Données projet'!$B$10,Paramètres!$A$1:$I$89,3,0)*VLOOKUP('Données projet'!$B$10,Paramètres!$A$1:$I$89,5,0)</f>
        <v>2.4661174178200418</v>
      </c>
      <c r="AK13" s="13">
        <f t="shared" si="35"/>
        <v>1.0231408268669981</v>
      </c>
      <c r="AL13" s="20">
        <f t="shared" si="4"/>
        <v>6.0771247761632603</v>
      </c>
      <c r="AM13" s="59">
        <f t="shared" si="5"/>
        <v>203.40230264447723</v>
      </c>
      <c r="AN13" s="59">
        <f ca="1">AVERAGE(OFFSET($AM$3,0,0,'Données projet'!$E$10+1,1))-AVERAGE(OFFSET($H$3,0,0,'Données projet'!$E$10+1,1))</f>
        <v>329.7518221182429</v>
      </c>
      <c r="AO13" s="59">
        <f t="shared" si="36"/>
        <v>207.30737400651807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50.482624267115931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7.5454545454545459</v>
      </c>
      <c r="BD13" s="12">
        <f>IF('Données projet'!$A$88&gt;35,BD12+BC13-BL12,IF(A13&lt;'Données projet'!$A$88,$BA$205^A13,IF(A13='Données projet'!$A$88,'Données projet'!$B$88,BD12+BC13-BL12)))</f>
        <v>55.541352048391744</v>
      </c>
      <c r="BE13" s="13">
        <f>BD13*VLOOKUP('Données projet'!$B$11,Paramètres!$A$1:$I$89,3,0)*VLOOKUP('Données projet'!$B$11,Paramètres!$A$1:$I$89,5,0)</f>
        <v>33.213728524938269</v>
      </c>
      <c r="BF13" s="13">
        <f t="shared" si="37"/>
        <v>10.180950459021789</v>
      </c>
      <c r="BG13" s="20">
        <f t="shared" si="7"/>
        <v>75.579065897063757</v>
      </c>
      <c r="BH13" s="59">
        <f t="shared" si="8"/>
        <v>272.90424376537771</v>
      </c>
      <c r="BI13" s="59">
        <f ca="1">AVERAGE(OFFSET($BH$3,0,0,'Données projet'!$E$11+1,1))-AVERAGE(OFFSET($H$3,0,0,'Données projet'!$E$11+1,1))</f>
        <v>189.62971370839551</v>
      </c>
      <c r="BJ13" s="59">
        <f t="shared" si="38"/>
        <v>457.05149684588173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50.482624267115931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35.256410250000002</v>
      </c>
      <c r="BY13" s="12">
        <f>IF('Données projet'!$A$114&gt;35,BY12+BX13-CG12,IF(A13&lt;'Données projet'!$A$114,$BV$205^A13,IF(A13='Données projet'!$A$114,'Données projet'!$B$114,BY12+BX13-CG12)))</f>
        <v>131.41025640000001</v>
      </c>
      <c r="BZ13" s="13">
        <f>BY13*VLOOKUP('Données projet'!$B$12,Paramètres!$A$1:$I$89,3,0)*VLOOKUP('Données projet'!$B$12,Paramètres!$A$1:$I$89,5,0)</f>
        <v>66.829999994784004</v>
      </c>
      <c r="CA13" s="13">
        <f t="shared" si="39"/>
        <v>18.884124190669901</v>
      </c>
      <c r="CB13" s="20">
        <f t="shared" si="10"/>
        <v>149.28543295633219</v>
      </c>
      <c r="CC13" s="59">
        <f t="shared" si="11"/>
        <v>346.61061082464619</v>
      </c>
      <c r="CD13" s="59">
        <f ca="1">AVERAGE(OFFSET($CC$3,0,0,'Données projet'!$E$12+1,1))-AVERAGE(OFFSET($H$3,0,0,'Données projet'!$E$12+1,1))</f>
        <v>170.04605856785227</v>
      </c>
      <c r="CE13" s="59">
        <f t="shared" si="40"/>
        <v>377.63973197638802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50.482624267115931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50.482624267115931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50.482624267115931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50.482624267115931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50.482624267115931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50.482624267115931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4.6500000000000004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17.05</v>
      </c>
      <c r="H14" s="66">
        <f t="shared" si="1"/>
        <v>188.46666666666667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50.821207101766227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2.5115384616666665</v>
      </c>
      <c r="N14" s="13">
        <f>IF('Données projet'!$A$36&gt;35,N13+M14-V13,IF(A14&lt;'Données projet'!$A$36,$K$205^A14,IF(A14='Données projet'!$A$36,'Données projet'!$B$36,N13+M14-V13)))</f>
        <v>4.8781565352394285</v>
      </c>
      <c r="O14" s="13">
        <f>N14*VLOOKUP('Données projet'!$B$9,Paramètres!$A$1:$I$89,3,0)*VLOOKUP('Données projet'!$B$9,Paramètres!$A$1:$I$89,5,0)</f>
        <v>4.4137560330846348</v>
      </c>
      <c r="P14" s="13">
        <f t="shared" si="33"/>
        <v>1.7112154793573418</v>
      </c>
      <c r="Q14" s="20">
        <f t="shared" si="2"/>
        <v>10.667658717503109</v>
      </c>
      <c r="R14" s="59">
        <f t="shared" si="0"/>
        <v>210.45652920175706</v>
      </c>
      <c r="S14" s="59">
        <f ca="1">AVERAGE(OFFSET($R$3,0,0,'Données projet'!$E$9+1,1))-AVERAGE(OFFSET($H$3,0,0,'Données projet'!$E$9+1,1))</f>
        <v>664.27707313486087</v>
      </c>
      <c r="T14" s="59">
        <f t="shared" si="34"/>
        <v>206.64483278066874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50.821207101766227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4.8773333333333335</v>
      </c>
      <c r="AI14" s="13">
        <f>IF('Données projet'!$A$62&gt;35,AI13+AH14-AQ13,IF(A14&lt;'Données projet'!$A$62,$AF$205^A14,IF(A14='Données projet'!$A$62,'Données projet'!$B$62,AI13+AH14-AQ13)))</f>
        <v>6.2222103259546522</v>
      </c>
      <c r="AJ14" s="13">
        <f>AI14*VLOOKUP('Données projet'!$B$10,Paramètres!$A$1:$I$89,3,0)*VLOOKUP('Données projet'!$B$10,Paramètres!$A$1:$I$89,5,0)</f>
        <v>2.911994432546777</v>
      </c>
      <c r="AK14" s="13">
        <f t="shared" si="35"/>
        <v>1.1849794703133387</v>
      </c>
      <c r="AL14" s="20">
        <f t="shared" si="4"/>
        <v>7.1355628808147005</v>
      </c>
      <c r="AM14" s="59">
        <f t="shared" si="5"/>
        <v>206.92443336506864</v>
      </c>
      <c r="AN14" s="59">
        <f ca="1">AVERAGE(OFFSET($AM$3,0,0,'Données projet'!$E$10+1,1))-AVERAGE(OFFSET($H$3,0,0,'Données projet'!$E$10+1,1))</f>
        <v>329.7518221182429</v>
      </c>
      <c r="AO14" s="59">
        <f t="shared" si="36"/>
        <v>207.30737400651807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50.821207101766227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>
        <f>VLOOKUP(A14,'Données projet'!$A$87:$I$107,2,0)</f>
        <v>83</v>
      </c>
      <c r="BB14" s="12">
        <f>VLOOKUP(A14,'Données projet'!$A$87:$I$107,9,0)</f>
        <v>7.5454545454545459</v>
      </c>
      <c r="BC14" s="12">
        <f t="array" ref="BC14">INDEX(BB:BB,MIN(IF(ISNUMBER(BB14:BB210),ROW(BB14:BB210),"")))</f>
        <v>7.5454545454545459</v>
      </c>
      <c r="BD14" s="12">
        <f>IF('Données projet'!$A$88&gt;35,BD13+BC14-BL13,IF(A14&lt;'Données projet'!$A$88,$BA$205^A14,IF(A14='Données projet'!$A$88,'Données projet'!$B$88,BD13+BC14-BL13)))</f>
        <v>83</v>
      </c>
      <c r="BE14" s="13">
        <f>BD14*VLOOKUP('Données projet'!$B$11,Paramètres!$A$1:$I$89,3,0)*VLOOKUP('Données projet'!$B$11,Paramètres!$A$1:$I$89,5,0)</f>
        <v>49.634</v>
      </c>
      <c r="BF14" s="13">
        <f t="shared" si="37"/>
        <v>14.519198189037462</v>
      </c>
      <c r="BG14" s="20">
        <f t="shared" si="7"/>
        <v>111.73348684590691</v>
      </c>
      <c r="BH14" s="59">
        <f t="shared" si="8"/>
        <v>311.52235733016084</v>
      </c>
      <c r="BI14" s="59">
        <f ca="1">AVERAGE(OFFSET($BH$3,0,0,'Données projet'!$E$11+1,1))-AVERAGE(OFFSET($H$3,0,0,'Données projet'!$E$11+1,1))</f>
        <v>189.62971370839551</v>
      </c>
      <c r="BJ14" s="59">
        <f t="shared" si="38"/>
        <v>457.05149684588173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50.821207101766227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35.256410250000002</v>
      </c>
      <c r="BY14" s="12">
        <f>IF('Données projet'!$A$114&gt;35,BY13+BX14-CG13,IF(A14&lt;'Données projet'!$A$114,$BV$205^A14,IF(A14='Données projet'!$A$114,'Données projet'!$B$114,BY13+BX14-CG13)))</f>
        <v>166.66666665000002</v>
      </c>
      <c r="BZ14" s="13">
        <f>BY14*VLOOKUP('Données projet'!$B$12,Paramètres!$A$1:$I$89,3,0)*VLOOKUP('Données projet'!$B$12,Paramètres!$A$1:$I$89,5,0)</f>
        <v>84.759999991524012</v>
      </c>
      <c r="CA14" s="13">
        <f t="shared" si="39"/>
        <v>23.297085123358535</v>
      </c>
      <c r="CB14" s="20">
        <f t="shared" si="10"/>
        <v>188.19942324175375</v>
      </c>
      <c r="CC14" s="59">
        <f t="shared" si="11"/>
        <v>387.98829372600767</v>
      </c>
      <c r="CD14" s="59">
        <f ca="1">AVERAGE(OFFSET($CC$3,0,0,'Données projet'!$E$12+1,1))-AVERAGE(OFFSET($H$3,0,0,'Données projet'!$E$12+1,1))</f>
        <v>170.04605856785227</v>
      </c>
      <c r="CE14" s="59">
        <f t="shared" si="40"/>
        <v>377.63973197638802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50.821207101766227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50.821207101766227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50.821207101766227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50.821207101766227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50.821207101766227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50.821207101766227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4.6500000000000004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17.05</v>
      </c>
      <c r="H15" s="66">
        <f t="shared" si="1"/>
        <v>188.46666666666667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51.153916281193155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2.5115384616666665</v>
      </c>
      <c r="N15" s="13">
        <f>IF('Données projet'!$A$36&gt;35,N14+M15-V14,IF(A15&lt;'Données projet'!$A$36,$K$205^A15,IF(A15='Données projet'!$A$36,'Données projet'!$B$36,N14+M15-V14)))</f>
        <v>5.6340984974657715</v>
      </c>
      <c r="O15" s="13">
        <f>N15*VLOOKUP('Données projet'!$B$9,Paramètres!$A$1:$I$89,3,0)*VLOOKUP('Données projet'!$B$9,Paramètres!$A$1:$I$89,5,0)</f>
        <v>5.0977323205070295</v>
      </c>
      <c r="P15" s="13">
        <f t="shared" si="33"/>
        <v>1.9435262289421678</v>
      </c>
      <c r="Q15" s="20">
        <f t="shared" si="2"/>
        <v>12.263525306957353</v>
      </c>
      <c r="R15" s="59">
        <f t="shared" si="0"/>
        <v>214.49455167133223</v>
      </c>
      <c r="S15" s="59">
        <f ca="1">AVERAGE(OFFSET($R$3,0,0,'Données projet'!$E$9+1,1))-AVERAGE(OFFSET($H$3,0,0,'Données projet'!$E$9+1,1))</f>
        <v>664.27707313486087</v>
      </c>
      <c r="T15" s="59">
        <f t="shared" si="34"/>
        <v>206.64483278066874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51.153916281193155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4.8773333333333335</v>
      </c>
      <c r="AI15" s="13">
        <f>IF('Données projet'!$A$62&gt;35,AI14+AH15-AQ14,IF(A15&lt;'Données projet'!$A$62,$AF$205^A15,IF(A15='Données projet'!$A$62,'Données projet'!$B$62,AI14+AH15-AQ14)))</f>
        <v>7.3471934857552688</v>
      </c>
      <c r="AJ15" s="13">
        <f>AI15*VLOOKUP('Données projet'!$B$10,Paramètres!$A$1:$I$89,3,0)*VLOOKUP('Données projet'!$B$10,Paramètres!$A$1:$I$89,5,0)</f>
        <v>3.4384865513334657</v>
      </c>
      <c r="AK15" s="13">
        <f t="shared" si="35"/>
        <v>1.3724174700015319</v>
      </c>
      <c r="AL15" s="20">
        <f t="shared" si="4"/>
        <v>8.378991170491787</v>
      </c>
      <c r="AM15" s="59">
        <f t="shared" si="5"/>
        <v>210.61001753486667</v>
      </c>
      <c r="AN15" s="59">
        <f ca="1">AVERAGE(OFFSET($AM$3,0,0,'Données projet'!$E$10+1,1))-AVERAGE(OFFSET($H$3,0,0,'Données projet'!$E$10+1,1))</f>
        <v>329.7518221182429</v>
      </c>
      <c r="AO15" s="59">
        <f t="shared" si="36"/>
        <v>207.30737400651807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51.153916281193155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>
        <f>VLOOKUP(A15,'Données projet'!$A$87:$I$107,2,0)</f>
        <v>106</v>
      </c>
      <c r="BB15" s="12">
        <f>VLOOKUP(A15,'Données projet'!$A$87:$I$107,9,0)</f>
        <v>23</v>
      </c>
      <c r="BC15" s="12">
        <f t="array" ref="BC15">INDEX(BB:BB,MIN(IF(ISNUMBER(BB15:BB211),ROW(BB15:BB211),"")))</f>
        <v>23</v>
      </c>
      <c r="BD15" s="12">
        <f>IF('Données projet'!$A$88&gt;35,BD14+BC15-BL14,IF(A15&lt;'Données projet'!$A$88,$BA$205^A15,IF(A15='Données projet'!$A$88,'Données projet'!$B$88,BD14+BC15-BL14)))</f>
        <v>106</v>
      </c>
      <c r="BE15" s="13">
        <f>BD15*VLOOKUP('Données projet'!$B$11,Paramètres!$A$1:$I$89,3,0)*VLOOKUP('Données projet'!$B$11,Paramètres!$A$1:$I$89,5,0)</f>
        <v>63.388000000000012</v>
      </c>
      <c r="BF15" s="13">
        <f t="shared" si="37"/>
        <v>18.022104085041263</v>
      </c>
      <c r="BG15" s="20">
        <f t="shared" si="7"/>
        <v>141.78926461478019</v>
      </c>
      <c r="BH15" s="59">
        <f t="shared" si="8"/>
        <v>344.02029097915511</v>
      </c>
      <c r="BI15" s="59">
        <f ca="1">AVERAGE(OFFSET($BH$3,0,0,'Données projet'!$E$11+1,1))-AVERAGE(OFFSET($H$3,0,0,'Données projet'!$E$11+1,1))</f>
        <v>189.62971370839551</v>
      </c>
      <c r="BJ15" s="59">
        <f t="shared" si="38"/>
        <v>457.05149684588173</v>
      </c>
      <c r="BK15" s="15">
        <f>IF(ISNA(VLOOKUP(A15,'Données projet'!$A$87:$I$107,3,0)),0,VLOOKUP(A15,'Données projet'!$A$87:$I$107,3,0))</f>
        <v>1</v>
      </c>
      <c r="BL15" s="15">
        <f>IF(ISNA(VLOOKUP(A15,'Données projet'!$A$87:$I$107,4,0)),0,VLOOKUP(A15,'Données projet'!$A$87:$I$107,4,0))</f>
        <v>34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1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23.020547073308105</v>
      </c>
      <c r="BS15" s="22">
        <f t="shared" si="9"/>
        <v>23.020547073308105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51.153916281193155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35.256410250000002</v>
      </c>
      <c r="BY15" s="12">
        <f>IF('Données projet'!$A$114&gt;35,BY14+BX15-CG14,IF(A15&lt;'Données projet'!$A$114,$BV$205^A15,IF(A15='Données projet'!$A$114,'Données projet'!$B$114,BY14+BX15-CG14)))</f>
        <v>201.92307690000001</v>
      </c>
      <c r="BZ15" s="13">
        <f>BY15*VLOOKUP('Données projet'!$B$12,Paramètres!$A$1:$I$89,3,0)*VLOOKUP('Données projet'!$B$12,Paramètres!$A$1:$I$89,5,0)</f>
        <v>102.68999998826402</v>
      </c>
      <c r="CA15" s="13">
        <f t="shared" si="39"/>
        <v>27.601859543895639</v>
      </c>
      <c r="CB15" s="20">
        <f t="shared" si="10"/>
        <v>226.92498868517808</v>
      </c>
      <c r="CC15" s="59">
        <f t="shared" si="11"/>
        <v>429.15601504955293</v>
      </c>
      <c r="CD15" s="59">
        <f ca="1">AVERAGE(OFFSET($CC$3,0,0,'Données projet'!$E$12+1,1))-AVERAGE(OFFSET($H$3,0,0,'Données projet'!$E$12+1,1))</f>
        <v>170.04605856785227</v>
      </c>
      <c r="CE15" s="59">
        <f t="shared" si="40"/>
        <v>377.63973197638802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51.153916281193155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51.153916281193155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51.153916281193155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51.153916281193155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51.153916281193155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51.153916281193155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4.6500000000000004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17.05</v>
      </c>
      <c r="H16" s="66">
        <f t="shared" si="1"/>
        <v>188.46666666666667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51.480853700183317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2.5115384616666665</v>
      </c>
      <c r="N16" s="13">
        <f>IF('Données projet'!$A$36&gt;35,N15+M16-V15,IF(A16&lt;'Données projet'!$A$36,$K$205^A16,IF(A16='Données projet'!$A$36,'Données projet'!$B$36,N15+M16-V15)))</f>
        <v>6.5071847633089641</v>
      </c>
      <c r="O16" s="13">
        <f>N16*VLOOKUP('Données projet'!$B$9,Paramètres!$A$1:$I$89,3,0)*VLOOKUP('Données projet'!$B$9,Paramètres!$A$1:$I$89,5,0)</f>
        <v>5.8877007738419502</v>
      </c>
      <c r="P16" s="13">
        <f t="shared" si="33"/>
        <v>2.2073749613372775</v>
      </c>
      <c r="Q16" s="20">
        <f t="shared" si="2"/>
        <v>14.098923572103821</v>
      </c>
      <c r="R16" s="59">
        <f t="shared" si="0"/>
        <v>218.75094269499823</v>
      </c>
      <c r="S16" s="59">
        <f ca="1">AVERAGE(OFFSET($R$3,0,0,'Données projet'!$E$9+1,1))-AVERAGE(OFFSET($H$3,0,0,'Données projet'!$E$9+1,1))</f>
        <v>664.27707313486087</v>
      </c>
      <c r="T16" s="59">
        <f t="shared" si="34"/>
        <v>206.64483278066874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51.480853700183317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4.8773333333333335</v>
      </c>
      <c r="AI16" s="13">
        <f>IF('Données projet'!$A$62&gt;35,AI15+AH16-AQ15,IF(A16&lt;'Données projet'!$A$62,$AF$205^A16,IF(A16='Données projet'!$A$62,'Données projet'!$B$62,AI15+AH16-AQ15)))</f>
        <v>8.6755749627994927</v>
      </c>
      <c r="AJ16" s="13">
        <f>AI16*VLOOKUP('Données projet'!$B$10,Paramètres!$A$1:$I$89,3,0)*VLOOKUP('Données projet'!$B$10,Paramètres!$A$1:$I$89,5,0)</f>
        <v>4.0601690825901624</v>
      </c>
      <c r="AK16" s="13">
        <f t="shared" si="35"/>
        <v>1.5895040877521298</v>
      </c>
      <c r="AL16" s="20">
        <f t="shared" si="4"/>
        <v>9.83984743834616</v>
      </c>
      <c r="AM16" s="59">
        <f t="shared" si="5"/>
        <v>214.49186656124058</v>
      </c>
      <c r="AN16" s="59">
        <f ca="1">AVERAGE(OFFSET($AM$3,0,0,'Données projet'!$E$10+1,1))-AVERAGE(OFFSET($H$3,0,0,'Données projet'!$E$10+1,1))</f>
        <v>329.7518221182429</v>
      </c>
      <c r="AO16" s="59">
        <f t="shared" si="36"/>
        <v>207.30737400651807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51.480853700183317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>
        <f>VLOOKUP(A16,'Données projet'!$A$87:$I$107,2,0)</f>
        <v>89</v>
      </c>
      <c r="BB16" s="12">
        <f>VLOOKUP(A16,'Données projet'!$A$87:$I$107,9,0)</f>
        <v>17</v>
      </c>
      <c r="BC16" s="12">
        <f t="array" ref="BC16">INDEX(BB:BB,MIN(IF(ISNUMBER(BB16:BB212),ROW(BB16:BB212),"")))</f>
        <v>17</v>
      </c>
      <c r="BD16" s="12">
        <f>IF('Données projet'!$A$88&gt;35,BD15+BC16-BL15,IF(A16&lt;'Données projet'!$A$88,$BA$205^A16,IF(A16='Données projet'!$A$88,'Données projet'!$B$88,BD15+BC16-BL15)))</f>
        <v>89</v>
      </c>
      <c r="BE16" s="13">
        <f>BD16*VLOOKUP('Données projet'!$B$11,Paramètres!$A$1:$I$89,3,0)*VLOOKUP('Données projet'!$B$11,Paramètres!$A$1:$I$89,5,0)</f>
        <v>53.222000000000008</v>
      </c>
      <c r="BF16" s="13">
        <f t="shared" si="37"/>
        <v>15.442806897867877</v>
      </c>
      <c r="BG16" s="20">
        <f t="shared" si="7"/>
        <v>119.59120534711991</v>
      </c>
      <c r="BH16" s="59">
        <f t="shared" si="8"/>
        <v>324.2432244700143</v>
      </c>
      <c r="BI16" s="59">
        <f ca="1">AVERAGE(OFFSET($BH$3,0,0,'Données projet'!$E$11+1,1))-AVERAGE(OFFSET($H$3,0,0,'Données projet'!$E$11+1,1))</f>
        <v>189.62971370839551</v>
      </c>
      <c r="BJ16" s="59">
        <f t="shared" si="38"/>
        <v>457.05149684588173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16.277984942160291</v>
      </c>
      <c r="BS16" s="22">
        <f t="shared" si="9"/>
        <v>16.277984942160291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51.480853700183317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35.256410250000002</v>
      </c>
      <c r="BY16" s="12">
        <f>IF('Données projet'!$A$114&gt;35,BY15+BX16-CG15,IF(A16&lt;'Données projet'!$A$114,$BV$205^A16,IF(A16='Données projet'!$A$114,'Données projet'!$B$114,BY15+BX16-CG15)))</f>
        <v>237.17948715</v>
      </c>
      <c r="BZ16" s="13">
        <f>BY16*VLOOKUP('Données projet'!$B$12,Paramètres!$A$1:$I$89,3,0)*VLOOKUP('Données projet'!$B$12,Paramètres!$A$1:$I$89,5,0)</f>
        <v>120.619999985004</v>
      </c>
      <c r="CA16" s="13">
        <f t="shared" si="39"/>
        <v>31.819560709778635</v>
      </c>
      <c r="CB16" s="20">
        <f t="shared" si="10"/>
        <v>265.49890154341307</v>
      </c>
      <c r="CC16" s="59">
        <f t="shared" si="11"/>
        <v>470.15092066630746</v>
      </c>
      <c r="CD16" s="59">
        <f ca="1">AVERAGE(OFFSET($CC$3,0,0,'Données projet'!$E$12+1,1))-AVERAGE(OFFSET($H$3,0,0,'Données projet'!$E$12+1,1))</f>
        <v>170.04605856785227</v>
      </c>
      <c r="CE16" s="59">
        <f t="shared" si="40"/>
        <v>377.63973197638802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51.480853700183317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51.480853700183317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51.480853700183317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51.480853700183317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51.480853700183317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51.480853700183317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4.6500000000000004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17.05</v>
      </c>
      <c r="H17" s="66">
        <f t="shared" si="1"/>
        <v>188.46666666666667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51.802119485876567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2.5115384616666665</v>
      </c>
      <c r="N17" s="13">
        <f>IF('Données projet'!$A$36&gt;35,N16+M17-V16,IF(A17&lt;'Données projet'!$A$36,$K$205^A17,IF(A17='Données projet'!$A$36,'Données projet'!$B$36,N16+M17-V16)))</f>
        <v>7.5155685621908308</v>
      </c>
      <c r="O17" s="13">
        <f>N17*VLOOKUP('Données projet'!$B$9,Paramètres!$A$1:$I$89,3,0)*VLOOKUP('Données projet'!$B$9,Paramètres!$A$1:$I$89,5,0)</f>
        <v>6.8000864350702628</v>
      </c>
      <c r="P17" s="13">
        <f t="shared" si="33"/>
        <v>2.5070432018768174</v>
      </c>
      <c r="Q17" s="20">
        <f t="shared" si="2"/>
        <v>16.209917451016164</v>
      </c>
      <c r="R17" s="59">
        <f t="shared" si="0"/>
        <v>223.26213334367469</v>
      </c>
      <c r="S17" s="59">
        <f ca="1">AVERAGE(OFFSET($R$3,0,0,'Données projet'!$E$9+1,1))-AVERAGE(OFFSET($H$3,0,0,'Données projet'!$E$9+1,1))</f>
        <v>664.27707313486087</v>
      </c>
      <c r="T17" s="59">
        <f t="shared" si="34"/>
        <v>206.64483278066874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51.802119485876567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4.8773333333333335</v>
      </c>
      <c r="AI17" s="13">
        <f>IF('Données projet'!$A$62&gt;35,AI16+AH17-AQ16,IF(A17&lt;'Données projet'!$A$62,$AF$205^A17,IF(A17='Données projet'!$A$62,'Données projet'!$B$62,AI16+AH17-AQ16)))</f>
        <v>10.244129419087479</v>
      </c>
      <c r="AJ17" s="13">
        <f>AI17*VLOOKUP('Données projet'!$B$10,Paramètres!$A$1:$I$89,3,0)*VLOOKUP('Données projet'!$B$10,Paramètres!$A$1:$I$89,5,0)</f>
        <v>4.79425256813294</v>
      </c>
      <c r="AK17" s="13">
        <f t="shared" si="35"/>
        <v>1.8409290906052886</v>
      </c>
      <c r="AL17" s="20">
        <f t="shared" si="4"/>
        <v>11.556274722302414</v>
      </c>
      <c r="AM17" s="59">
        <f t="shared" si="5"/>
        <v>218.60849061496094</v>
      </c>
      <c r="AN17" s="59">
        <f ca="1">AVERAGE(OFFSET($AM$3,0,0,'Données projet'!$E$10+1,1))-AVERAGE(OFFSET($H$3,0,0,'Données projet'!$E$10+1,1))</f>
        <v>329.7518221182429</v>
      </c>
      <c r="AO17" s="59">
        <f t="shared" si="36"/>
        <v>207.30737400651807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51.802119485876567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>
        <f>VLOOKUP(A17,'Données projet'!$A$87:$I$107,2,0)</f>
        <v>110</v>
      </c>
      <c r="BB17" s="12">
        <f>VLOOKUP(A17,'Données projet'!$A$87:$I$107,9,0)</f>
        <v>21</v>
      </c>
      <c r="BC17" s="12">
        <f t="array" ref="BC17">INDEX(BB:BB,MIN(IF(ISNUMBER(BB17:BB213),ROW(BB17:BB213),"")))</f>
        <v>21</v>
      </c>
      <c r="BD17" s="12">
        <f>IF('Données projet'!$A$88&gt;35,BD16+BC17-BL16,IF(A17&lt;'Données projet'!$A$88,$BA$205^A17,IF(A17='Données projet'!$A$88,'Données projet'!$B$88,BD16+BC17-BL16)))</f>
        <v>110</v>
      </c>
      <c r="BE17" s="13">
        <f>BD17*VLOOKUP('Données projet'!$B$11,Paramètres!$A$1:$I$89,3,0)*VLOOKUP('Données projet'!$B$11,Paramètres!$A$1:$I$89,5,0)</f>
        <v>65.78</v>
      </c>
      <c r="BF17" s="13">
        <f t="shared" si="37"/>
        <v>18.621720661480644</v>
      </c>
      <c r="BG17" s="20">
        <f t="shared" si="7"/>
        <v>146.99966348541213</v>
      </c>
      <c r="BH17" s="59">
        <f t="shared" si="8"/>
        <v>354.05187937807068</v>
      </c>
      <c r="BI17" s="59">
        <f ca="1">AVERAGE(OFFSET($BH$3,0,0,'Données projet'!$E$11+1,1))-AVERAGE(OFFSET($H$3,0,0,'Données projet'!$E$11+1,1))</f>
        <v>189.62971370839551</v>
      </c>
      <c r="BJ17" s="59">
        <f t="shared" si="38"/>
        <v>457.05149684588173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11.510273536654053</v>
      </c>
      <c r="BS17" s="22">
        <f t="shared" si="9"/>
        <v>11.510273536654053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51.802119485876567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>
        <f>VLOOKUP(A17,'Données projet'!$A$113:$I$133,2,0)</f>
        <v>272.43589739999999</v>
      </c>
      <c r="BW17" s="12">
        <f>VLOOKUP(A17,'Données projet'!$A$113:$I$133,9,0)</f>
        <v>35.256410250000002</v>
      </c>
      <c r="BX17" s="12">
        <f t="array" ref="BX17">INDEX(BW:BW,MIN(IF(ISNUMBER(BW17:BW213),ROW(BW17:BW213),"")))</f>
        <v>35.256410250000002</v>
      </c>
      <c r="BY17" s="12">
        <f>IF('Données projet'!$A$114&gt;35,BY16+BX17-CG16,IF(A17&lt;'Données projet'!$A$114,$BV$205^A17,IF(A17='Données projet'!$A$114,'Données projet'!$B$114,BY16+BX17-CG16)))</f>
        <v>272.43589739999999</v>
      </c>
      <c r="BZ17" s="13">
        <f>BY17*VLOOKUP('Données projet'!$B$12,Paramètres!$A$1:$I$89,3,0)*VLOOKUP('Données projet'!$B$12,Paramètres!$A$1:$I$89,5,0)</f>
        <v>138.54999998174401</v>
      </c>
      <c r="CA17" s="13">
        <f t="shared" si="39"/>
        <v>35.964629846272047</v>
      </c>
      <c r="CB17" s="20">
        <f t="shared" si="10"/>
        <v>303.94631361712794</v>
      </c>
      <c r="CC17" s="59">
        <f t="shared" si="11"/>
        <v>510.99852950978647</v>
      </c>
      <c r="CD17" s="59">
        <f ca="1">AVERAGE(OFFSET($CC$3,0,0,'Données projet'!$E$12+1,1))-AVERAGE(OFFSET($H$3,0,0,'Données projet'!$E$12+1,1))</f>
        <v>170.04605856785227</v>
      </c>
      <c r="CE17" s="59">
        <f t="shared" si="40"/>
        <v>377.63973197638802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51.802119485876567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51.802119485876567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51.802119485876567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51.802119485876567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51.802119485876567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51.802119485876567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4.6500000000000004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17.05</v>
      </c>
      <c r="H18" s="66">
        <f t="shared" si="1"/>
        <v>188.46666666666667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52.117812028430741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2.5115384616666665</v>
      </c>
      <c r="N18" s="13">
        <f>IF('Données projet'!$A$36&gt;35,N17+M18-V17,IF(A18&lt;'Données projet'!$A$36,$K$205^A18,IF(A18='Données projet'!$A$36,'Données projet'!$B$36,N17+M18-V17)))</f>
        <v>8.6802162329057069</v>
      </c>
      <c r="O18" s="13">
        <f>N18*VLOOKUP('Données projet'!$B$9,Paramètres!$A$1:$I$89,3,0)*VLOOKUP('Données projet'!$B$9,Paramètres!$A$1:$I$89,5,0)</f>
        <v>7.8538596475330831</v>
      </c>
      <c r="P18" s="13">
        <f t="shared" si="33"/>
        <v>2.8473937261066919</v>
      </c>
      <c r="Q18" s="20">
        <f t="shared" si="2"/>
        <v>18.638016292422606</v>
      </c>
      <c r="R18" s="59">
        <f t="shared" si="0"/>
        <v>228.06999373000198</v>
      </c>
      <c r="S18" s="59">
        <f ca="1">AVERAGE(OFFSET($R$3,0,0,'Données projet'!$E$9+1,1))-AVERAGE(OFFSET($H$3,0,0,'Données projet'!$E$9+1,1))</f>
        <v>664.27707313486087</v>
      </c>
      <c r="T18" s="59">
        <f t="shared" si="34"/>
        <v>206.64483278066874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52.117812028430741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4.8773333333333335</v>
      </c>
      <c r="AI18" s="13">
        <f>IF('Données projet'!$A$62&gt;35,AI17+AH18-AQ17,IF(A18&lt;'Données projet'!$A$62,$AF$205^A18,IF(A18='Données projet'!$A$62,'Données projet'!$B$62,AI17+AH18-AQ17)))</f>
        <v>12.096280420029951</v>
      </c>
      <c r="AJ18" s="13">
        <f>AI18*VLOOKUP('Données projet'!$B$10,Paramètres!$A$1:$I$89,3,0)*VLOOKUP('Données projet'!$B$10,Paramètres!$A$1:$I$89,5,0)</f>
        <v>5.6610592365740171</v>
      </c>
      <c r="AK18" s="13">
        <f t="shared" si="35"/>
        <v>2.1321240648267561</v>
      </c>
      <c r="AL18" s="20">
        <f t="shared" si="4"/>
        <v>13.573127583273013</v>
      </c>
      <c r="AM18" s="59">
        <f t="shared" si="5"/>
        <v>223.0051050208524</v>
      </c>
      <c r="AN18" s="59">
        <f ca="1">AVERAGE(OFFSET($AM$3,0,0,'Données projet'!$E$10+1,1))-AVERAGE(OFFSET($H$3,0,0,'Données projet'!$E$10+1,1))</f>
        <v>329.7518221182429</v>
      </c>
      <c r="AO18" s="59">
        <f t="shared" si="36"/>
        <v>207.30737400651807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52.117812028430741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131</v>
      </c>
      <c r="BB18" s="12">
        <f>VLOOKUP(A18,'Données projet'!$A$87:$I$107,9,0)</f>
        <v>21</v>
      </c>
      <c r="BC18" s="12">
        <f t="array" ref="BC18">INDEX(BB:BB,MIN(IF(ISNUMBER(BB18:BB214),ROW(BB18:BB214),"")))</f>
        <v>21</v>
      </c>
      <c r="BD18" s="12">
        <f>IF('Données projet'!$A$88&gt;35,BD17+BC18-BL17,IF(A18&lt;'Données projet'!$A$88,$BA$205^A18,IF(A18='Données projet'!$A$88,'Données projet'!$B$88,BD17+BC18-BL17)))</f>
        <v>131</v>
      </c>
      <c r="BE18" s="13">
        <f>BD18*VLOOKUP('Données projet'!$B$11,Paramètres!$A$1:$I$89,3,0)*VLOOKUP('Données projet'!$B$11,Paramètres!$A$1:$I$89,5,0)</f>
        <v>78.338000000000008</v>
      </c>
      <c r="BF18" s="13">
        <f t="shared" si="37"/>
        <v>21.730321306378922</v>
      </c>
      <c r="BG18" s="20">
        <f t="shared" si="7"/>
        <v>174.28565960860999</v>
      </c>
      <c r="BH18" s="59">
        <f t="shared" si="8"/>
        <v>383.71763704618934</v>
      </c>
      <c r="BI18" s="59">
        <f ca="1">AVERAGE(OFFSET($BH$3,0,0,'Données projet'!$E$11+1,1))-AVERAGE(OFFSET($H$3,0,0,'Données projet'!$E$11+1,1))</f>
        <v>189.62971370839551</v>
      </c>
      <c r="BJ18" s="59">
        <f t="shared" si="38"/>
        <v>457.05149684588173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8.1389924710801456</v>
      </c>
      <c r="BS18" s="22">
        <f t="shared" si="9"/>
        <v>8.1389924710801456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52.117812028430741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7.0512820600000055</v>
      </c>
      <c r="BY18" s="12">
        <f>IF('Données projet'!$A$114&gt;35,BY17+BX18-CG17,IF(A18&lt;'Données projet'!$A$114,$BV$205^A18,IF(A18='Données projet'!$A$114,'Données projet'!$B$114,BY17+BX18-CG17)))</f>
        <v>279.48717945999999</v>
      </c>
      <c r="BZ18" s="13">
        <f>BY18*VLOOKUP('Données projet'!$B$12,Paramètres!$A$1:$I$89,3,0)*VLOOKUP('Données projet'!$B$12,Paramètres!$A$1:$I$89,5,0)</f>
        <v>142.13599998617761</v>
      </c>
      <c r="CA18" s="13">
        <f t="shared" si="39"/>
        <v>36.785901038276975</v>
      </c>
      <c r="CB18" s="20">
        <f t="shared" si="10"/>
        <v>311.62231095092511</v>
      </c>
      <c r="CC18" s="59">
        <f t="shared" si="11"/>
        <v>521.05428838850446</v>
      </c>
      <c r="CD18" s="59">
        <f ca="1">AVERAGE(OFFSET($CC$3,0,0,'Données projet'!$E$12+1,1))-AVERAGE(OFFSET($H$3,0,0,'Données projet'!$E$12+1,1))</f>
        <v>170.04605856785227</v>
      </c>
      <c r="CE18" s="59">
        <f t="shared" si="40"/>
        <v>377.63973197638802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52.117812028430741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52.117812028430741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52.117812028430741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52.117812028430741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52.117812028430741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52.117812028430741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4.6500000000000004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17.05</v>
      </c>
      <c r="H19" s="66">
        <f t="shared" si="1"/>
        <v>188.46666666666667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52.428028011154382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2.5115384616666665</v>
      </c>
      <c r="N19" s="13">
        <f>IF('Données projet'!$A$36&gt;35,N18+M19-V18,IF(A19&lt;'Données projet'!$A$36,$K$205^A19,IF(A19='Données projet'!$A$36,'Données projet'!$B$36,N18+M19-V18)))</f>
        <v>10.025343156211713</v>
      </c>
      <c r="O19" s="13">
        <f>N19*VLOOKUP('Données projet'!$B$9,Paramètres!$A$1:$I$89,3,0)*VLOOKUP('Données projet'!$B$9,Paramètres!$A$1:$I$89,5,0)</f>
        <v>9.0709304877403572</v>
      </c>
      <c r="P19" s="13">
        <f t="shared" si="33"/>
        <v>3.2339494690008594</v>
      </c>
      <c r="Q19" s="20">
        <f t="shared" si="2"/>
        <v>21.430999257990951</v>
      </c>
      <c r="R19" s="59">
        <f t="shared" si="0"/>
        <v>233.22265752111255</v>
      </c>
      <c r="S19" s="59">
        <f ca="1">AVERAGE(OFFSET($R$3,0,0,'Données projet'!$E$9+1,1))-AVERAGE(OFFSET($H$3,0,0,'Données projet'!$E$9+1,1))</f>
        <v>664.27707313486087</v>
      </c>
      <c r="T19" s="59">
        <f t="shared" si="34"/>
        <v>206.64483278066874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52.428028011154382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4.8773333333333335</v>
      </c>
      <c r="AI19" s="13">
        <f>IF('Données projet'!$A$62&gt;35,AI18+AH19-AQ18,IF(A19&lt;'Données projet'!$A$62,$AF$205^A19,IF(A19='Données projet'!$A$62,'Données projet'!$B$62,AI18+AH19-AQ18)))</f>
        <v>14.283302564234273</v>
      </c>
      <c r="AJ19" s="13">
        <f>AI19*VLOOKUP('Données projet'!$B$10,Paramètres!$A$1:$I$89,3,0)*VLOOKUP('Données projet'!$B$10,Paramètres!$A$1:$I$89,5,0)</f>
        <v>6.6845856000616397</v>
      </c>
      <c r="AK19" s="13">
        <f t="shared" si="35"/>
        <v>2.4693797555878043</v>
      </c>
      <c r="AL19" s="20">
        <f t="shared" si="4"/>
        <v>15.943156327756114</v>
      </c>
      <c r="AM19" s="59">
        <f t="shared" si="5"/>
        <v>227.7348145908777</v>
      </c>
      <c r="AN19" s="59">
        <f ca="1">AVERAGE(OFFSET($AM$3,0,0,'Données projet'!$E$10+1,1))-AVERAGE(OFFSET($H$3,0,0,'Données projet'!$E$10+1,1))</f>
        <v>329.7518221182429</v>
      </c>
      <c r="AO19" s="59">
        <f t="shared" si="36"/>
        <v>207.30737400651807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52.428028011154382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>
        <f>VLOOKUP(A19,'Données projet'!$A$87:$I$107,2,0)</f>
        <v>153</v>
      </c>
      <c r="BB19" s="12">
        <f>VLOOKUP(A19,'Données projet'!$A$87:$I$107,9,0)</f>
        <v>22</v>
      </c>
      <c r="BC19" s="12">
        <f t="array" ref="BC19">INDEX(BB:BB,MIN(IF(ISNUMBER(BB19:BB215),ROW(BB19:BB215),"")))</f>
        <v>22</v>
      </c>
      <c r="BD19" s="12">
        <f>IF('Données projet'!$A$88&gt;35,BD18+BC19-BL18,IF(A19&lt;'Données projet'!$A$88,$BA$205^A19,IF(A19='Données projet'!$A$88,'Données projet'!$B$88,BD18+BC19-BL18)))</f>
        <v>153</v>
      </c>
      <c r="BE19" s="13">
        <f>BD19*VLOOKUP('Données projet'!$B$11,Paramètres!$A$1:$I$89,3,0)*VLOOKUP('Données projet'!$B$11,Paramètres!$A$1:$I$89,5,0)</f>
        <v>91.494000000000014</v>
      </c>
      <c r="BF19" s="13">
        <f t="shared" si="37"/>
        <v>24.925195840896542</v>
      </c>
      <c r="BG19" s="20">
        <f t="shared" si="7"/>
        <v>202.76343275622813</v>
      </c>
      <c r="BH19" s="59">
        <f t="shared" si="8"/>
        <v>414.55509101934973</v>
      </c>
      <c r="BI19" s="59">
        <f ca="1">AVERAGE(OFFSET($BH$3,0,0,'Données projet'!$E$11+1,1))-AVERAGE(OFFSET($H$3,0,0,'Données projet'!$E$11+1,1))</f>
        <v>189.62971370839551</v>
      </c>
      <c r="BJ19" s="59">
        <f t="shared" si="38"/>
        <v>457.05149684588173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5.7551367683270263</v>
      </c>
      <c r="BS19" s="22">
        <f t="shared" si="9"/>
        <v>5.7551367683270263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52.428028011154382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7.0512820600000055</v>
      </c>
      <c r="BY19" s="12">
        <f>IF('Données projet'!$A$114&gt;35,BY18+BX19-CG18,IF(A19&lt;'Données projet'!$A$114,$BV$205^A19,IF(A19='Données projet'!$A$114,'Données projet'!$B$114,BY18+BX19-CG18)))</f>
        <v>286.53846152</v>
      </c>
      <c r="BZ19" s="13">
        <f>BY19*VLOOKUP('Données projet'!$B$12,Paramètres!$A$1:$I$89,3,0)*VLOOKUP('Données projet'!$B$12,Paramètres!$A$1:$I$89,5,0)</f>
        <v>145.72199999061121</v>
      </c>
      <c r="CA19" s="13">
        <f t="shared" si="39"/>
        <v>37.604763673333217</v>
      </c>
      <c r="CB19" s="20">
        <f t="shared" si="10"/>
        <v>319.29411338136987</v>
      </c>
      <c r="CC19" s="59">
        <f t="shared" si="11"/>
        <v>531.0857716444915</v>
      </c>
      <c r="CD19" s="59">
        <f ca="1">AVERAGE(OFFSET($CC$3,0,0,'Données projet'!$E$12+1,1))-AVERAGE(OFFSET($H$3,0,0,'Données projet'!$E$12+1,1))</f>
        <v>170.04605856785227</v>
      </c>
      <c r="CE19" s="59">
        <f t="shared" si="40"/>
        <v>377.63973197638802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52.428028011154382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52.428028011154382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52.428028011154382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52.428028011154382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52.428028011154382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52.428028011154382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4.6500000000000004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17.05</v>
      </c>
      <c r="H20" s="66">
        <f t="shared" si="1"/>
        <v>188.46666666666667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52.732862440116818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2.5115384616666665</v>
      </c>
      <c r="N20" s="13">
        <f>IF('Données projet'!$A$36&gt;35,N19+M20-V19,IF(A20&lt;'Données projet'!$A$36,$K$205^A20,IF(A20='Données projet'!$A$36,'Données projet'!$B$36,N19+M20-V19)))</f>
        <v>11.578917241576145</v>
      </c>
      <c r="O20" s="13">
        <f>N20*VLOOKUP('Données projet'!$B$9,Paramètres!$A$1:$I$89,3,0)*VLOOKUP('Données projet'!$B$9,Paramètres!$A$1:$I$89,5,0)</f>
        <v>10.476604320178096</v>
      </c>
      <c r="P20" s="13">
        <f t="shared" si="33"/>
        <v>3.6729831467146621</v>
      </c>
      <c r="Q20" s="20">
        <f t="shared" si="2"/>
        <v>24.643864838171552</v>
      </c>
      <c r="R20" s="59">
        <f t="shared" si="0"/>
        <v>238.77547156304433</v>
      </c>
      <c r="S20" s="59">
        <f ca="1">AVERAGE(OFFSET($R$3,0,0,'Données projet'!$E$9+1,1))-AVERAGE(OFFSET($H$3,0,0,'Données projet'!$E$9+1,1))</f>
        <v>664.27707313486087</v>
      </c>
      <c r="T20" s="59">
        <f t="shared" si="34"/>
        <v>206.64483278066874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52.732862440116818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4.8773333333333335</v>
      </c>
      <c r="AI20" s="13">
        <f>IF('Données projet'!$A$62&gt;35,AI19+AH20-AQ19,IF(A20&lt;'Données projet'!$A$62,$AF$205^A20,IF(A20='Données projet'!$A$62,'Données projet'!$B$62,AI19+AH20-AQ19)))</f>
        <v>16.865740959811198</v>
      </c>
      <c r="AJ20" s="13">
        <f>AI20*VLOOKUP('Données projet'!$B$10,Paramètres!$A$1:$I$89,3,0)*VLOOKUP('Données projet'!$B$10,Paramètres!$A$1:$I$89,5,0)</f>
        <v>7.893166769191641</v>
      </c>
      <c r="AK20" s="13">
        <f t="shared" si="35"/>
        <v>2.8599819672324562</v>
      </c>
      <c r="AL20" s="20">
        <f t="shared" si="4"/>
        <v>18.728400715938637</v>
      </c>
      <c r="AM20" s="59">
        <f t="shared" si="5"/>
        <v>232.86000744081142</v>
      </c>
      <c r="AN20" s="59">
        <f ca="1">AVERAGE(OFFSET($AM$3,0,0,'Données projet'!$E$10+1,1))-AVERAGE(OFFSET($H$3,0,0,'Données projet'!$E$10+1,1))</f>
        <v>329.7518221182429</v>
      </c>
      <c r="AO20" s="59">
        <f t="shared" si="36"/>
        <v>207.30737400651807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52.732862440116818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>
        <f>VLOOKUP(A20,'Données projet'!$A$87:$I$107,2,0)</f>
        <v>176</v>
      </c>
      <c r="BB20" s="12">
        <f>VLOOKUP(A20,'Données projet'!$A$87:$I$107,9,0)</f>
        <v>23</v>
      </c>
      <c r="BC20" s="12">
        <f t="array" ref="BC20">INDEX(BB:BB,MIN(IF(ISNUMBER(BB20:BB216),ROW(BB20:BB216),"")))</f>
        <v>23</v>
      </c>
      <c r="BD20" s="12">
        <f>IF('Données projet'!$A$88&gt;35,BD19+BC20-BL19,IF(A20&lt;'Données projet'!$A$88,$BA$205^A20,IF(A20='Données projet'!$A$88,'Données projet'!$B$88,BD19+BC20-BL19)))</f>
        <v>176</v>
      </c>
      <c r="BE20" s="13">
        <f>BD20*VLOOKUP('Données projet'!$B$11,Paramètres!$A$1:$I$89,3,0)*VLOOKUP('Données projet'!$B$11,Paramètres!$A$1:$I$89,5,0)</f>
        <v>105.24800000000002</v>
      </c>
      <c r="BF20" s="13">
        <f t="shared" si="37"/>
        <v>28.208515027560551</v>
      </c>
      <c r="BG20" s="20">
        <f t="shared" si="7"/>
        <v>232.43676367300131</v>
      </c>
      <c r="BH20" s="59">
        <f t="shared" si="8"/>
        <v>446.56837039787411</v>
      </c>
      <c r="BI20" s="59">
        <f ca="1">AVERAGE(OFFSET($BH$3,0,0,'Données projet'!$E$11+1,1))-AVERAGE(OFFSET($H$3,0,0,'Données projet'!$E$11+1,1))</f>
        <v>189.62971370839551</v>
      </c>
      <c r="BJ20" s="59">
        <f t="shared" si="38"/>
        <v>457.05149684588173</v>
      </c>
      <c r="BK20" s="15">
        <f>IF(ISNA(VLOOKUP(A20,'Données projet'!$A$87:$I$107,3,0)),0,VLOOKUP(A20,'Données projet'!$A$87:$I$107,3,0))</f>
        <v>2</v>
      </c>
      <c r="BL20" s="15">
        <f>IF(ISNA(VLOOKUP(A20,'Données projet'!$A$87:$I$107,4,0)),0,VLOOKUP(A20,'Données projet'!$A$87:$I$107,4,0))</f>
        <v>43</v>
      </c>
      <c r="BM20" s="16">
        <f>IF(ISNA(VLOOKUP(A20,'Données projet'!$A$87:$I$107,5,0)),0%,VLOOKUP(A20,'Données projet'!$A$87:$I$107,5,0)*VLOOKUP('Données projet'!$B$11,Paramètres!$A$1:$I$89,7,0))</f>
        <v>0.1125</v>
      </c>
      <c r="BN20" s="16">
        <f>IF(ISNA(VLOOKUP(A20,'Données projet'!$A$87:$I$107,6,0)),0%,VLOOKUP(A20,'Données projet'!$A$87:$I$107,6,0)*VLOOKUP('Données projet'!$B$11,Paramètres!$A$1:$I$89,7,0))</f>
        <v>0.33750000000000002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3.837518820806888</v>
      </c>
      <c r="BQ20" s="21">
        <f>EXP(-LN(2)/25)*BQ19+(1-EXP(-LN(2)/25))/(LN(2)/25)*Calculateur!BL20*Calculateur!BN20*VLOOKUP('Données projet'!$B$11,Paramètres!$A$1:$I$89,3,0)*0.475*44/12</f>
        <v>11.467227141000196</v>
      </c>
      <c r="BR20" s="21">
        <f>EXP(-LN(2)/2)*BR19+(1-EXP(-LN(2)/2))/(LN(2)/2)*BL20*BO20*VLOOKUP('Données projet'!$B$11,Paramètres!$A$1:$I$89,3,0)*0.475*44/12</f>
        <v>4.0694962355400728</v>
      </c>
      <c r="BS20" s="22">
        <f t="shared" si="9"/>
        <v>19.374242197347158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52.732862440116818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7.0512820600000055</v>
      </c>
      <c r="BY20" s="12">
        <f>IF('Données projet'!$A$114&gt;35,BY19+BX20-CG19,IF(A20&lt;'Données projet'!$A$114,$BV$205^A20,IF(A20='Données projet'!$A$114,'Données projet'!$B$114,BY19+BX20-CG19)))</f>
        <v>293.58974358</v>
      </c>
      <c r="BZ20" s="13">
        <f>BY20*VLOOKUP('Données projet'!$B$12,Paramètres!$A$1:$I$89,3,0)*VLOOKUP('Données projet'!$B$12,Paramètres!$A$1:$I$89,5,0)</f>
        <v>149.30799999504481</v>
      </c>
      <c r="CA20" s="13">
        <f t="shared" si="39"/>
        <v>38.421283840371188</v>
      </c>
      <c r="CB20" s="20">
        <f t="shared" si="10"/>
        <v>326.96183601334951</v>
      </c>
      <c r="CC20" s="59">
        <f t="shared" si="11"/>
        <v>541.09344273822228</v>
      </c>
      <c r="CD20" s="59">
        <f ca="1">AVERAGE(OFFSET($CC$3,0,0,'Données projet'!$E$12+1,1))-AVERAGE(OFFSET($H$3,0,0,'Données projet'!$E$12+1,1))</f>
        <v>170.04605856785227</v>
      </c>
      <c r="CE20" s="59">
        <f t="shared" si="40"/>
        <v>377.63973197638802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52.732862440116818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52.732862440116818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52.732862440116818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52.732862440116818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52.732862440116818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52.732862440116818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4.6500000000000004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17.05</v>
      </c>
      <c r="H21" s="66">
        <f t="shared" si="1"/>
        <v>188.46666666666667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53.032408673244426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2.5115384616666665</v>
      </c>
      <c r="N21" s="13">
        <f>IF('Données projet'!$A$36&gt;35,N20+M21-V20,IF(A21&lt;'Données projet'!$A$36,$K$205^A21,IF(A21='Données projet'!$A$36,'Données projet'!$B$36,N20+M21-V20)))</f>
        <v>13.373240436582819</v>
      </c>
      <c r="O21" s="13">
        <f>N21*VLOOKUP('Données projet'!$B$9,Paramètres!$A$1:$I$89,3,0)*VLOOKUP('Données projet'!$B$9,Paramètres!$A$1:$I$89,5,0)</f>
        <v>12.100107947020135</v>
      </c>
      <c r="P21" s="13">
        <f t="shared" si="33"/>
        <v>4.1716190451850093</v>
      </c>
      <c r="Q21" s="20">
        <f t="shared" si="2"/>
        <v>28.339924511423959</v>
      </c>
      <c r="R21" s="59">
        <f t="shared" si="0"/>
        <v>244.79208964665349</v>
      </c>
      <c r="S21" s="59">
        <f ca="1">AVERAGE(OFFSET($R$3,0,0,'Données projet'!$E$9+1,1))-AVERAGE(OFFSET($H$3,0,0,'Données projet'!$E$9+1,1))</f>
        <v>664.27707313486087</v>
      </c>
      <c r="T21" s="59">
        <f t="shared" si="34"/>
        <v>206.64483278066874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53.032408673244426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4.8773333333333335</v>
      </c>
      <c r="AI21" s="13">
        <f>IF('Données projet'!$A$62&gt;35,AI20+AH21-AQ20,IF(A21&lt;'Données projet'!$A$62,$AF$205^A21,IF(A21='Données projet'!$A$62,'Données projet'!$B$62,AI20+AH21-AQ20)))</f>
        <v>19.915087343716348</v>
      </c>
      <c r="AJ21" s="13">
        <f>AI21*VLOOKUP('Données projet'!$B$10,Paramètres!$A$1:$I$89,3,0)*VLOOKUP('Données projet'!$B$10,Paramètres!$A$1:$I$89,5,0)</f>
        <v>9.3202608768592512</v>
      </c>
      <c r="AK21" s="13">
        <f t="shared" si="35"/>
        <v>3.3123689600135244</v>
      </c>
      <c r="AL21" s="20">
        <f t="shared" si="4"/>
        <v>22.001830299220078</v>
      </c>
      <c r="AM21" s="59">
        <f t="shared" si="5"/>
        <v>238.45399543444961</v>
      </c>
      <c r="AN21" s="59">
        <f ca="1">AVERAGE(OFFSET($AM$3,0,0,'Données projet'!$E$10+1,1))-AVERAGE(OFFSET($H$3,0,0,'Données projet'!$E$10+1,1))</f>
        <v>329.7518221182429</v>
      </c>
      <c r="AO21" s="59">
        <f t="shared" si="36"/>
        <v>207.30737400651807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53.032408673244426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>
        <f>VLOOKUP(A21,'Données projet'!$A$87:$I$107,2,0)</f>
        <v>151</v>
      </c>
      <c r="BB21" s="12">
        <f>VLOOKUP(A21,'Données projet'!$A$87:$I$107,9,0)</f>
        <v>18</v>
      </c>
      <c r="BC21" s="12">
        <f t="array" ref="BC21">INDEX(BB:BB,MIN(IF(ISNUMBER(BB21:BB217),ROW(BB21:BB217),"")))</f>
        <v>18</v>
      </c>
      <c r="BD21" s="12">
        <f>IF('Données projet'!$A$88&gt;35,BD20+BC21-BL20,IF(A21&lt;'Données projet'!$A$88,$BA$205^A21,IF(A21='Données projet'!$A$88,'Données projet'!$B$88,BD20+BC21-BL20)))</f>
        <v>151</v>
      </c>
      <c r="BE21" s="13">
        <f>BD21*VLOOKUP('Données projet'!$B$11,Paramètres!$A$1:$I$89,3,0)*VLOOKUP('Données projet'!$B$11,Paramètres!$A$1:$I$89,5,0)</f>
        <v>90.298000000000016</v>
      </c>
      <c r="BF21" s="13">
        <f t="shared" si="37"/>
        <v>24.637081585210524</v>
      </c>
      <c r="BG21" s="20">
        <f t="shared" si="7"/>
        <v>200.17860042757502</v>
      </c>
      <c r="BH21" s="59">
        <f t="shared" si="8"/>
        <v>416.63076556280453</v>
      </c>
      <c r="BI21" s="59">
        <f ca="1">AVERAGE(OFFSET($BH$3,0,0,'Données projet'!$E$11+1,1))-AVERAGE(OFFSET($H$3,0,0,'Données projet'!$E$11+1,1))</f>
        <v>189.62971370839551</v>
      </c>
      <c r="BJ21" s="59">
        <f t="shared" si="38"/>
        <v>457.05149684588173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3.7622674173862252</v>
      </c>
      <c r="BQ21" s="21">
        <f>EXP(-LN(2)/25)*BQ20+(1-EXP(-LN(2)/25))/(LN(2)/25)*Calculateur!BL21*Calculateur!BN21*VLOOKUP('Données projet'!$B$11,Paramètres!$A$1:$I$89,3,0)*0.475*44/12</f>
        <v>11.153655211794279</v>
      </c>
      <c r="BR21" s="21">
        <f>EXP(-LN(2)/2)*BR20+(1-EXP(-LN(2)/2))/(LN(2)/2)*BL21*BO21*VLOOKUP('Données projet'!$B$11,Paramètres!$A$1:$I$89,3,0)*0.475*44/12</f>
        <v>2.8775683841635131</v>
      </c>
      <c r="BS21" s="22">
        <f t="shared" si="9"/>
        <v>17.793491013344017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53.032408673244426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7.0512820600000055</v>
      </c>
      <c r="BY21" s="12">
        <f>IF('Données projet'!$A$114&gt;35,BY20+BX21-CG20,IF(A21&lt;'Données projet'!$A$114,$BV$205^A21,IF(A21='Données projet'!$A$114,'Données projet'!$B$114,BY20+BX21-CG20)))</f>
        <v>300.64102564000001</v>
      </c>
      <c r="BZ21" s="13">
        <f>BY21*VLOOKUP('Données projet'!$B$12,Paramètres!$A$1:$I$89,3,0)*VLOOKUP('Données projet'!$B$12,Paramètres!$A$1:$I$89,5,0)</f>
        <v>152.89399999947841</v>
      </c>
      <c r="CA21" s="13">
        <f t="shared" si="39"/>
        <v>39.235524272703238</v>
      </c>
      <c r="CB21" s="20">
        <f t="shared" si="10"/>
        <v>334.62558810738301</v>
      </c>
      <c r="CC21" s="59">
        <f t="shared" si="11"/>
        <v>551.07775324261252</v>
      </c>
      <c r="CD21" s="59">
        <f ca="1">AVERAGE(OFFSET($CC$3,0,0,'Données projet'!$E$12+1,1))-AVERAGE(OFFSET($H$3,0,0,'Données projet'!$E$12+1,1))</f>
        <v>170.04605856785227</v>
      </c>
      <c r="CE21" s="59">
        <f t="shared" si="40"/>
        <v>377.63973197638802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53.032408673244426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53.032408673244426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53.032408673244426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53.032408673244426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53.032408673244426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53.032408673244426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4.6500000000000004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17.05</v>
      </c>
      <c r="H22" s="66">
        <f t="shared" si="1"/>
        <v>188.46666666666667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53.326758448912337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2.5115384616666665</v>
      </c>
      <c r="N22" s="13">
        <f>IF('Données projet'!$A$36&gt;35,N21+M22-V21,IF(A22&lt;'Données projet'!$A$36,$K$205^A22,IF(A22='Données projet'!$A$36,'Données projet'!$B$36,N21+M22-V21)))</f>
        <v>15.445620349758135</v>
      </c>
      <c r="O22" s="13">
        <f>N22*VLOOKUP('Données projet'!$B$9,Paramètres!$A$1:$I$89,3,0)*VLOOKUP('Données projet'!$B$9,Paramètres!$A$1:$I$89,5,0)</f>
        <v>13.975197292461161</v>
      </c>
      <c r="P22" s="13">
        <f t="shared" si="33"/>
        <v>4.7379486273211082</v>
      </c>
      <c r="Q22" s="20">
        <f t="shared" si="2"/>
        <v>32.592062476954119</v>
      </c>
      <c r="R22" s="59">
        <f t="shared" si="0"/>
        <v>251.34573234518825</v>
      </c>
      <c r="S22" s="59">
        <f ca="1">AVERAGE(OFFSET($R$3,0,0,'Données projet'!$E$9+1,1))-AVERAGE(OFFSET($H$3,0,0,'Données projet'!$E$9+1,1))</f>
        <v>664.27707313486087</v>
      </c>
      <c r="T22" s="59">
        <f t="shared" si="34"/>
        <v>206.64483278066874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53.326758448912337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4.8773333333333335</v>
      </c>
      <c r="AI22" s="13">
        <f>IF('Données projet'!$A$62&gt;35,AI21+AH22-AQ21,IF(A22&lt;'Données projet'!$A$62,$AF$205^A22,IF(A22='Données projet'!$A$62,'Données projet'!$B$62,AI21+AH22-AQ21)))</f>
        <v>23.515759245497794</v>
      </c>
      <c r="AJ22" s="13">
        <f>AI22*VLOOKUP('Données projet'!$B$10,Paramètres!$A$1:$I$89,3,0)*VLOOKUP('Données projet'!$B$10,Paramètres!$A$1:$I$89,5,0)</f>
        <v>11.005375326892967</v>
      </c>
      <c r="AK22" s="13">
        <f t="shared" si="35"/>
        <v>3.8363137435716932</v>
      </c>
      <c r="AL22" s="20">
        <f t="shared" si="4"/>
        <v>25.849275131059283</v>
      </c>
      <c r="AM22" s="59">
        <f t="shared" si="5"/>
        <v>244.60294499929341</v>
      </c>
      <c r="AN22" s="59">
        <f ca="1">AVERAGE(OFFSET($AM$3,0,0,'Données projet'!$E$10+1,1))-AVERAGE(OFFSET($H$3,0,0,'Données projet'!$E$10+1,1))</f>
        <v>329.7518221182429</v>
      </c>
      <c r="AO22" s="59">
        <f t="shared" si="36"/>
        <v>207.30737400651807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53.326758448912337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>
        <f>VLOOKUP(A22,'Données projet'!$A$87:$I$107,2,0)</f>
        <v>171</v>
      </c>
      <c r="BB22" s="12">
        <f>VLOOKUP(A22,'Données projet'!$A$87:$I$107,9,0)</f>
        <v>20</v>
      </c>
      <c r="BC22" s="12">
        <f t="array" ref="BC22">INDEX(BB:BB,MIN(IF(ISNUMBER(BB22:BB218),ROW(BB22:BB218),"")))</f>
        <v>20</v>
      </c>
      <c r="BD22" s="12">
        <f>IF('Données projet'!$A$88&gt;35,BD21+BC22-BL21,IF(A22&lt;'Données projet'!$A$88,$BA$205^A22,IF(A22='Données projet'!$A$88,'Données projet'!$B$88,BD21+BC22-BL21)))</f>
        <v>171</v>
      </c>
      <c r="BE22" s="13">
        <f>BD22*VLOOKUP('Données projet'!$B$11,Paramètres!$A$1:$I$89,3,0)*VLOOKUP('Données projet'!$B$11,Paramètres!$A$1:$I$89,5,0)</f>
        <v>102.258</v>
      </c>
      <c r="BF22" s="13">
        <f t="shared" si="37"/>
        <v>27.499233847895859</v>
      </c>
      <c r="BG22" s="20">
        <f t="shared" si="7"/>
        <v>225.99384895175194</v>
      </c>
      <c r="BH22" s="59">
        <f t="shared" si="8"/>
        <v>444.74751881998611</v>
      </c>
      <c r="BI22" s="59">
        <f ca="1">AVERAGE(OFFSET($BH$3,0,0,'Données projet'!$E$11+1,1))-AVERAGE(OFFSET($H$3,0,0,'Données projet'!$E$11+1,1))</f>
        <v>189.62971370839551</v>
      </c>
      <c r="BJ22" s="59">
        <f t="shared" si="38"/>
        <v>457.05149684588173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3.6884916480878176</v>
      </c>
      <c r="BQ22" s="21">
        <f>EXP(-LN(2)/25)*BQ21+(1-EXP(-LN(2)/25))/(LN(2)/25)*Calculateur!BL22*Calculateur!BN22*VLOOKUP('Données projet'!$B$11,Paramètres!$A$1:$I$89,3,0)*0.475*44/12</f>
        <v>10.848657923482529</v>
      </c>
      <c r="BR22" s="21">
        <f>EXP(-LN(2)/2)*BR21+(1-EXP(-LN(2)/2))/(LN(2)/2)*BL22*BO22*VLOOKUP('Données projet'!$B$11,Paramètres!$A$1:$I$89,3,0)*0.475*44/12</f>
        <v>2.0347481177700364</v>
      </c>
      <c r="BS22" s="22">
        <f t="shared" si="9"/>
        <v>16.571897689340382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53.326758448912337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>
        <f>VLOOKUP(A22,'Données projet'!$A$113:$I$133,2,0)</f>
        <v>307.69230770000001</v>
      </c>
      <c r="BW22" s="12">
        <f>VLOOKUP(A22,'Données projet'!$A$113:$I$133,9,0)</f>
        <v>7.0512820600000055</v>
      </c>
      <c r="BX22" s="12">
        <f t="array" ref="BX22">INDEX(BW:BW,MIN(IF(ISNUMBER(BW22:BW218),ROW(BW22:BW218),"")))</f>
        <v>7.0512820600000055</v>
      </c>
      <c r="BY22" s="12">
        <f>IF('Données projet'!$A$114&gt;35,BY21+BX22-CG21,IF(A22&lt;'Données projet'!$A$114,$BV$205^A22,IF(A22='Données projet'!$A$114,'Données projet'!$B$114,BY21+BX22-CG21)))</f>
        <v>307.69230770000001</v>
      </c>
      <c r="BZ22" s="13">
        <f>BY22*VLOOKUP('Données projet'!$B$12,Paramètres!$A$1:$I$89,3,0)*VLOOKUP('Données projet'!$B$12,Paramètres!$A$1:$I$89,5,0)</f>
        <v>156.48000000391201</v>
      </c>
      <c r="CA22" s="13">
        <f t="shared" si="39"/>
        <v>40.047544593050084</v>
      </c>
      <c r="CB22" s="20">
        <f t="shared" si="10"/>
        <v>342.28547350637564</v>
      </c>
      <c r="CC22" s="59">
        <f t="shared" si="11"/>
        <v>561.03914337460981</v>
      </c>
      <c r="CD22" s="59">
        <f ca="1">AVERAGE(OFFSET($CC$3,0,0,'Données projet'!$E$12+1,1))-AVERAGE(OFFSET($H$3,0,0,'Données projet'!$E$12+1,1))</f>
        <v>170.04605856785227</v>
      </c>
      <c r="CE22" s="59">
        <f t="shared" si="40"/>
        <v>377.63973197638802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53.326758448912337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53.326758448912337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53.326758448912337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53.326758448912337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53.326758448912337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53.326758448912337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4.6500000000000004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17.05</v>
      </c>
      <c r="H23" s="66">
        <f t="shared" si="1"/>
        <v>188.46666666666667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53.616001914039913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2.5115384616666665</v>
      </c>
      <c r="N23" s="13">
        <f>IF('Données projet'!$A$36&gt;35,N22+M23-V22,IF(A23&lt;'Données projet'!$A$36,$K$205^A23,IF(A23='Données projet'!$A$36,'Données projet'!$B$36,N22+M23-V22)))</f>
        <v>17.839145951212871</v>
      </c>
      <c r="O23" s="13">
        <f>N23*VLOOKUP('Données projet'!$B$9,Paramètres!$A$1:$I$89,3,0)*VLOOKUP('Données projet'!$B$9,Paramètres!$A$1:$I$89,5,0)</f>
        <v>16.140859256657404</v>
      </c>
      <c r="P23" s="13">
        <f t="shared" si="33"/>
        <v>5.381161834766341</v>
      </c>
      <c r="Q23" s="20">
        <f t="shared" si="2"/>
        <v>37.484186734229688</v>
      </c>
      <c r="R23" s="59">
        <f t="shared" si="0"/>
        <v>258.52063819682047</v>
      </c>
      <c r="S23" s="59">
        <f ca="1">AVERAGE(OFFSET($R$3,0,0,'Données projet'!$E$9+1,1))-AVERAGE(OFFSET($H$3,0,0,'Données projet'!$E$9+1,1))</f>
        <v>664.27707313486087</v>
      </c>
      <c r="T23" s="59">
        <f t="shared" si="34"/>
        <v>206.64483278066874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53.616001914039913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4.8773333333333335</v>
      </c>
      <c r="AI23" s="13">
        <f>IF('Données projet'!$A$62&gt;35,AI22+AH23-AQ22,IF(A23&lt;'Données projet'!$A$62,$AF$205^A23,IF(A23='Données projet'!$A$62,'Données projet'!$B$62,AI22+AH23-AQ22)))</f>
        <v>27.767436986245297</v>
      </c>
      <c r="AJ23" s="13">
        <f>AI23*VLOOKUP('Données projet'!$B$10,Paramètres!$A$1:$I$89,3,0)*VLOOKUP('Données projet'!$B$10,Paramètres!$A$1:$I$89,5,0)</f>
        <v>12.995160509562799</v>
      </c>
      <c r="AK23" s="13">
        <f t="shared" si="35"/>
        <v>4.4431352052812878</v>
      </c>
      <c r="AL23" s="20">
        <f t="shared" si="4"/>
        <v>30.371698370020116</v>
      </c>
      <c r="AM23" s="59">
        <f t="shared" si="5"/>
        <v>251.40814983261089</v>
      </c>
      <c r="AN23" s="59">
        <f ca="1">AVERAGE(OFFSET($AM$3,0,0,'Données projet'!$E$10+1,1))-AVERAGE(OFFSET($H$3,0,0,'Données projet'!$E$10+1,1))</f>
        <v>329.7518221182429</v>
      </c>
      <c r="AO23" s="59">
        <f t="shared" si="36"/>
        <v>207.30737400651807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53.616001914039913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192</v>
      </c>
      <c r="BB23" s="12">
        <f>VLOOKUP(A23,'Données projet'!$A$87:$I$107,9,0)</f>
        <v>21</v>
      </c>
      <c r="BC23" s="12">
        <f t="array" ref="BC23">INDEX(BB:BB,MIN(IF(ISNUMBER(BB23:BB219),ROW(BB23:BB219),"")))</f>
        <v>21</v>
      </c>
      <c r="BD23" s="12">
        <f>IF('Données projet'!$A$88&gt;35,BD22+BC23-BL22,IF(A23&lt;'Données projet'!$A$88,$BA$205^A23,IF(A23='Données projet'!$A$88,'Données projet'!$B$88,BD22+BC23-BL22)))</f>
        <v>192</v>
      </c>
      <c r="BE23" s="13">
        <f>BD23*VLOOKUP('Données projet'!$B$11,Paramètres!$A$1:$I$89,3,0)*VLOOKUP('Données projet'!$B$11,Paramètres!$A$1:$I$89,5,0)</f>
        <v>114.81600000000002</v>
      </c>
      <c r="BF23" s="13">
        <f t="shared" si="37"/>
        <v>30.462826482209831</v>
      </c>
      <c r="BG23" s="20">
        <f t="shared" si="7"/>
        <v>253.02728945651543</v>
      </c>
      <c r="BH23" s="59">
        <f t="shared" si="8"/>
        <v>474.06374091910618</v>
      </c>
      <c r="BI23" s="59">
        <f ca="1">AVERAGE(OFFSET($BH$3,0,0,'Données projet'!$E$11+1,1))-AVERAGE(OFFSET($H$3,0,0,'Données projet'!$E$11+1,1))</f>
        <v>189.62971370839551</v>
      </c>
      <c r="BJ23" s="59">
        <f t="shared" si="38"/>
        <v>457.05149684588173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3.6161625766265759</v>
      </c>
      <c r="BQ23" s="21">
        <f>EXP(-LN(2)/25)*BQ22+(1-EXP(-LN(2)/25))/(LN(2)/25)*Calculateur!BL23*Calculateur!BN23*VLOOKUP('Données projet'!$B$11,Paramètres!$A$1:$I$89,3,0)*0.475*44/12</f>
        <v>10.552000802058775</v>
      </c>
      <c r="BR23" s="21">
        <f>EXP(-LN(2)/2)*BR22+(1-EXP(-LN(2)/2))/(LN(2)/2)*BL23*BO23*VLOOKUP('Données projet'!$B$11,Paramètres!$A$1:$I$89,3,0)*0.475*44/12</f>
        <v>1.4387841920817566</v>
      </c>
      <c r="BS23" s="22">
        <f t="shared" si="9"/>
        <v>15.606947570767106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53.616001914039913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310.25641030000003</v>
      </c>
      <c r="BW23" s="12">
        <f>VLOOKUP(A23,'Données projet'!$A$113:$I$133,9,0)</f>
        <v>2.5641026000000124</v>
      </c>
      <c r="BX23" s="12">
        <f t="array" ref="BX23">INDEX(BW:BW,MIN(IF(ISNUMBER(BW23:BW219),ROW(BW23:BW219),"")))</f>
        <v>2.5641026000000124</v>
      </c>
      <c r="BY23" s="12">
        <f>IF('Données projet'!$A$114&gt;35,BY22+BX23-CG22,IF(A23&lt;'Données projet'!$A$114,$BV$205^A23,IF(A23='Données projet'!$A$114,'Données projet'!$B$114,BY22+BX23-CG22)))</f>
        <v>310.25641030000003</v>
      </c>
      <c r="BZ23" s="13">
        <f>BY23*VLOOKUP('Données projet'!$B$12,Paramètres!$A$1:$I$89,3,0)*VLOOKUP('Données projet'!$B$12,Paramètres!$A$1:$I$89,5,0)</f>
        <v>157.78400002216802</v>
      </c>
      <c r="CA23" s="13">
        <f t="shared" si="39"/>
        <v>40.342285440299278</v>
      </c>
      <c r="CB23" s="20">
        <f t="shared" si="10"/>
        <v>345.06994718046388</v>
      </c>
      <c r="CC23" s="59">
        <f t="shared" si="11"/>
        <v>566.10639864305472</v>
      </c>
      <c r="CD23" s="59">
        <f ca="1">AVERAGE(OFFSET($CC$3,0,0,'Données projet'!$E$12+1,1))-AVERAGE(OFFSET($H$3,0,0,'Données projet'!$E$12+1,1))</f>
        <v>170.04605856785227</v>
      </c>
      <c r="CE23" s="59">
        <f t="shared" si="40"/>
        <v>377.63973197638802</v>
      </c>
      <c r="CF23" s="15" t="str">
        <f>IF(ISNA(VLOOKUP(A23,'Données projet'!$A$113:$I$133,3,0)),0,VLOOKUP(A23,'Données projet'!$A$113:$I$133,3,0))</f>
        <v>CR</v>
      </c>
      <c r="CG23" s="15">
        <f>IF(ISNA(VLOOKUP(A23,'Données projet'!$A$113:$I$133,4,0)),0,VLOOKUP(A23,'Données projet'!$A$113:$I$133,4,0))</f>
        <v>310.25641030000003</v>
      </c>
      <c r="CH23" s="16">
        <f>IF(ISNA(VLOOKUP(A23,'Données projet'!$A$113:$I$133,5,0)),0%,VLOOKUP(A23,'Données projet'!$A$113:$I$133,5,0)*VLOOKUP('Données projet'!$B$12,Paramètres!$A$1:$I$89,7,0))</f>
        <v>0.46199999999999997</v>
      </c>
      <c r="CI23" s="16">
        <f>IF(ISNA(VLOOKUP(A23,'Données projet'!$A$113:$I$133,6,0)),0%,VLOOKUP(A23,'Données projet'!$A$113:$I$133,6,0)*VLOOKUP('Données projet'!$B$12,Paramètres!$A$1:$I$89,7,0))</f>
        <v>0.126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80.584598735594696</v>
      </c>
      <c r="CL23" s="21">
        <f>EXP(-LN(2)/25)*CL22+(1-EXP(-LN(2)/25))/(LN(2)/25)*Calculateur!CG23*Calculateur!CI23*VLOOKUP('Données projet'!$B$12,Paramètres!$A$1:$I$89,3,0)*0.475*44/12</f>
        <v>21.891083581427264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102.47568231702196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53.616001914039913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53.616001914039913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53.616001914039913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53.616001914039913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53.616001914039913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53.616001914039913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4.6500000000000004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17.05</v>
      </c>
      <c r="H24" s="66">
        <f t="shared" si="1"/>
        <v>188.46666666666667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53.900227651699048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2.5115384616666665</v>
      </c>
      <c r="N24" s="13">
        <f>IF('Données projet'!$A$36&gt;35,N23+M24-V23,IF(A24&lt;'Données projet'!$A$36,$K$205^A24,IF(A24='Données projet'!$A$36,'Données projet'!$B$36,N23+M24-V23)))</f>
        <v>20.603583479485028</v>
      </c>
      <c r="O24" s="13">
        <f>N24*VLOOKUP('Données projet'!$B$9,Paramètres!$A$1:$I$89,3,0)*VLOOKUP('Données projet'!$B$9,Paramètres!$A$1:$I$89,5,0)</f>
        <v>18.642122332238053</v>
      </c>
      <c r="P24" s="13">
        <f t="shared" si="33"/>
        <v>6.111696214890876</v>
      </c>
      <c r="Q24" s="20">
        <f t="shared" si="2"/>
        <v>43.112900636249549</v>
      </c>
      <c r="R24" s="59">
        <f t="shared" si="0"/>
        <v>266.41373535914607</v>
      </c>
      <c r="S24" s="59">
        <f ca="1">AVERAGE(OFFSET($R$3,0,0,'Données projet'!$E$9+1,1))-AVERAGE(OFFSET($H$3,0,0,'Données projet'!$E$9+1,1))</f>
        <v>664.27707313486087</v>
      </c>
      <c r="T24" s="59">
        <f t="shared" si="34"/>
        <v>206.64483278066874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53.900227651699048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4.8773333333333335</v>
      </c>
      <c r="AI24" s="13">
        <f>IF('Données projet'!$A$62&gt;35,AI23+AH24-AQ23,IF(A24&lt;'Données projet'!$A$62,$AF$205^A24,IF(A24='Données projet'!$A$62,'Données projet'!$B$62,AI23+AH24-AQ23)))</f>
        <v>32.787823209778814</v>
      </c>
      <c r="AJ24" s="13">
        <f>AI24*VLOOKUP('Données projet'!$B$10,Paramètres!$A$1:$I$89,3,0)*VLOOKUP('Données projet'!$B$10,Paramètres!$A$1:$I$89,5,0)</f>
        <v>15.344701262176484</v>
      </c>
      <c r="AK24" s="13">
        <f t="shared" si="35"/>
        <v>5.1459426345120232</v>
      </c>
      <c r="AL24" s="20">
        <f t="shared" si="4"/>
        <v>35.687871453399147</v>
      </c>
      <c r="AM24" s="59">
        <f t="shared" si="5"/>
        <v>258.98870617629569</v>
      </c>
      <c r="AN24" s="59">
        <f ca="1">AVERAGE(OFFSET($AM$3,0,0,'Données projet'!$E$10+1,1))-AVERAGE(OFFSET($H$3,0,0,'Données projet'!$E$10+1,1))</f>
        <v>329.7518221182429</v>
      </c>
      <c r="AO24" s="59">
        <f t="shared" si="36"/>
        <v>207.30737400651807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53.900227651699048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>
        <f>VLOOKUP(A24,'Données projet'!$A$87:$I$107,2,0)</f>
        <v>212</v>
      </c>
      <c r="BB24" s="12">
        <f>VLOOKUP(A24,'Données projet'!$A$87:$I$107,9,0)</f>
        <v>20</v>
      </c>
      <c r="BC24" s="12">
        <f t="array" ref="BC24">INDEX(BB:BB,MIN(IF(ISNUMBER(BB24:BB220),ROW(BB24:BB220),"")))</f>
        <v>20</v>
      </c>
      <c r="BD24" s="12">
        <f>IF('Données projet'!$A$88&gt;35,BD23+BC24-BL23,IF(A24&lt;'Données projet'!$A$88,$BA$205^A24,IF(A24='Données projet'!$A$88,'Données projet'!$B$88,BD23+BC24-BL23)))</f>
        <v>212</v>
      </c>
      <c r="BE24" s="13">
        <f>BD24*VLOOKUP('Données projet'!$B$11,Paramètres!$A$1:$I$89,3,0)*VLOOKUP('Données projet'!$B$11,Paramètres!$A$1:$I$89,5,0)</f>
        <v>126.77600000000002</v>
      </c>
      <c r="BF24" s="13">
        <f t="shared" si="37"/>
        <v>33.250302273150254</v>
      </c>
      <c r="BG24" s="20">
        <f t="shared" si="7"/>
        <v>278.7124764590701</v>
      </c>
      <c r="BH24" s="59">
        <f t="shared" si="8"/>
        <v>502.01331118196663</v>
      </c>
      <c r="BI24" s="59">
        <f ca="1">AVERAGE(OFFSET($BH$3,0,0,'Données projet'!$E$11+1,1))-AVERAGE(OFFSET($H$3,0,0,'Données projet'!$E$11+1,1))</f>
        <v>189.62971370839551</v>
      </c>
      <c r="BJ24" s="59">
        <f t="shared" si="38"/>
        <v>457.05149684588173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3.5452518341403114</v>
      </c>
      <c r="BQ24" s="21">
        <f>EXP(-LN(2)/25)*BQ23+(1-EXP(-LN(2)/25))/(LN(2)/25)*Calculateur!BL24*Calculateur!BN24*VLOOKUP('Données projet'!$B$11,Paramètres!$A$1:$I$89,3,0)*0.475*44/12</f>
        <v>10.263455785220872</v>
      </c>
      <c r="BR24" s="21">
        <f>EXP(-LN(2)/2)*BR23+(1-EXP(-LN(2)/2))/(LN(2)/2)*BL24*BO24*VLOOKUP('Données projet'!$B$11,Paramètres!$A$1:$I$89,3,0)*0.475*44/12</f>
        <v>1.0173740588850182</v>
      </c>
      <c r="BS24" s="22">
        <f t="shared" si="9"/>
        <v>14.826081678246201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53.900227651699048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>
        <f>BY24*VLOOKUP('Données projet'!$B$12,Paramètres!$A$1:$I$89,3,0)*VLOOKUP('Données projet'!$B$12,Paramètres!$A$1:$I$89,5,0)</f>
        <v>0</v>
      </c>
      <c r="CA24" s="13" t="e">
        <f t="shared" si="39"/>
        <v>#NUM!</v>
      </c>
      <c r="CB24" s="20" t="e">
        <f t="shared" si="10"/>
        <v>#NUM!</v>
      </c>
      <c r="CC24" s="59" t="e">
        <f t="shared" si="11"/>
        <v>#NUM!</v>
      </c>
      <c r="CD24" s="59">
        <f ca="1">AVERAGE(OFFSET($CC$3,0,0,'Données projet'!$E$12+1,1))-AVERAGE(OFFSET($H$3,0,0,'Données projet'!$E$12+1,1))</f>
        <v>170.04605856785227</v>
      </c>
      <c r="CE24" s="59">
        <f t="shared" si="40"/>
        <v>377.63973197638802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79.004383906141584</v>
      </c>
      <c r="CL24" s="21">
        <f>EXP(-LN(2)/25)*CL23+(1-EXP(-LN(2)/25))/(LN(2)/25)*Calculateur!CG24*Calculateur!CI24*VLOOKUP('Données projet'!$B$12,Paramètres!$A$1:$I$89,3,0)*0.475*44/12</f>
        <v>21.292470749691084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100.29685465583268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53.900227651699048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53.900227651699048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53.900227651699048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53.900227651699048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53.900227651699048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53.900227651699048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4.6500000000000004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17.05</v>
      </c>
      <c r="H25" s="66">
        <f t="shared" si="1"/>
        <v>188.46666666666667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54.17952270824334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2.5115384616666665</v>
      </c>
      <c r="N25" s="13">
        <f>IF('Données projet'!$A$36&gt;35,N24+M25-V24,IF(A25&lt;'Données projet'!$A$36,$K$205^A25,IF(A25='Données projet'!$A$36,'Données projet'!$B$36,N24+M25-V24)))</f>
        <v>23.796411182299146</v>
      </c>
      <c r="O25" s="13">
        <f>N25*VLOOKUP('Données projet'!$B$9,Paramètres!$A$1:$I$89,3,0)*VLOOKUP('Données projet'!$B$9,Paramètres!$A$1:$I$89,5,0)</f>
        <v>21.530992837744268</v>
      </c>
      <c r="P25" s="13">
        <f t="shared" si="33"/>
        <v>6.9414062929280762</v>
      </c>
      <c r="Q25" s="20">
        <f t="shared" si="2"/>
        <v>49.589428485920998</v>
      </c>
      <c r="R25" s="59">
        <f t="shared" si="0"/>
        <v>275.1365673050355</v>
      </c>
      <c r="S25" s="59">
        <f ca="1">AVERAGE(OFFSET($R$3,0,0,'Données projet'!$E$9+1,1))-AVERAGE(OFFSET($H$3,0,0,'Données projet'!$E$9+1,1))</f>
        <v>664.27707313486087</v>
      </c>
      <c r="T25" s="59">
        <f t="shared" si="34"/>
        <v>206.64483278066874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54.17952270824334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4.8773333333333335</v>
      </c>
      <c r="AI25" s="13">
        <f>IF('Données projet'!$A$62&gt;35,AI24+AH25-AQ24,IF(A25&lt;'Données projet'!$A$62,$AF$205^A25,IF(A25='Données projet'!$A$62,'Données projet'!$B$62,AI24+AH25-AQ24)))</f>
        <v>38.715901340416693</v>
      </c>
      <c r="AJ25" s="13">
        <f>AI25*VLOOKUP('Données projet'!$B$10,Paramètres!$A$1:$I$89,3,0)*VLOOKUP('Données projet'!$B$10,Paramètres!$A$1:$I$89,5,0)</f>
        <v>18.119041827315012</v>
      </c>
      <c r="AK25" s="13">
        <f t="shared" si="35"/>
        <v>5.9599189253148284</v>
      </c>
      <c r="AL25" s="20">
        <f t="shared" si="4"/>
        <v>41.937523310830301</v>
      </c>
      <c r="AM25" s="59">
        <f t="shared" si="5"/>
        <v>267.48466212994481</v>
      </c>
      <c r="AN25" s="59">
        <f ca="1">AVERAGE(OFFSET($AM$3,0,0,'Données projet'!$E$10+1,1))-AVERAGE(OFFSET($H$3,0,0,'Données projet'!$E$10+1,1))</f>
        <v>329.7518221182429</v>
      </c>
      <c r="AO25" s="59">
        <f t="shared" si="36"/>
        <v>207.30737400651807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54.17952270824334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>
        <f>VLOOKUP(A25,'Données projet'!$A$87:$I$107,2,0)</f>
        <v>232</v>
      </c>
      <c r="BB25" s="12">
        <f>VLOOKUP(A25,'Données projet'!$A$87:$I$107,9,0)</f>
        <v>20</v>
      </c>
      <c r="BC25" s="12">
        <f t="array" ref="BC25">INDEX(BB:BB,MIN(IF(ISNUMBER(BB25:BB221),ROW(BB25:BB221),"")))</f>
        <v>20</v>
      </c>
      <c r="BD25" s="12">
        <f>IF('Données projet'!$A$88&gt;35,BD24+BC25-BL24,IF(A25&lt;'Données projet'!$A$88,$BA$205^A25,IF(A25='Données projet'!$A$88,'Données projet'!$B$88,BD24+BC25-BL24)))</f>
        <v>232</v>
      </c>
      <c r="BE25" s="13">
        <f>BD25*VLOOKUP('Données projet'!$B$11,Paramètres!$A$1:$I$89,3,0)*VLOOKUP('Données projet'!$B$11,Paramètres!$A$1:$I$89,5,0)</f>
        <v>138.73599999999999</v>
      </c>
      <c r="BF25" s="13">
        <f t="shared" si="37"/>
        <v>36.007288175538044</v>
      </c>
      <c r="BG25" s="20">
        <f t="shared" si="7"/>
        <v>304.34456023906205</v>
      </c>
      <c r="BH25" s="59">
        <f t="shared" si="8"/>
        <v>529.89169905817653</v>
      </c>
      <c r="BI25" s="59">
        <f ca="1">AVERAGE(OFFSET($BH$3,0,0,'Données projet'!$E$11+1,1))-AVERAGE(OFFSET($H$3,0,0,'Données projet'!$E$11+1,1))</f>
        <v>189.62971370839551</v>
      </c>
      <c r="BJ25" s="59">
        <f t="shared" si="38"/>
        <v>457.05149684588173</v>
      </c>
      <c r="BK25" s="15">
        <f>IF(ISNA(VLOOKUP(A25,'Données projet'!$A$87:$I$107,3,0)),0,VLOOKUP(A25,'Données projet'!$A$87:$I$107,3,0))</f>
        <v>3</v>
      </c>
      <c r="BL25" s="15">
        <f>IF(ISNA(VLOOKUP(A25,'Données projet'!$A$87:$I$107,4,0)),0,VLOOKUP(A25,'Données projet'!$A$87:$I$107,4,0))</f>
        <v>56</v>
      </c>
      <c r="BM25" s="16">
        <f>IF(ISNA(VLOOKUP(A25,'Données projet'!$A$87:$I$107,5,0)),0%,VLOOKUP(A25,'Données projet'!$A$87:$I$107,5,0)*VLOOKUP('Données projet'!$B$11,Paramètres!$A$1:$I$89,7,0))</f>
        <v>0.27</v>
      </c>
      <c r="BN25" s="16">
        <f>IF(ISNA(VLOOKUP(A25,'Données projet'!$A$87:$I$107,6,0)),0%,VLOOKUP(A25,'Données projet'!$A$87:$I$107,6,0)*VLOOKUP('Données projet'!$B$11,Paramètres!$A$1:$I$89,7,0))</f>
        <v>0.18000000000000002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15.47020903867794</v>
      </c>
      <c r="BQ25" s="21">
        <f>EXP(-LN(2)/25)*BQ24+(1-EXP(-LN(2)/25))/(LN(2)/25)*Calculateur!BL25*Calculateur!BN25*VLOOKUP('Données projet'!$B$11,Paramètres!$A$1:$I$89,3,0)*0.475*44/12</f>
        <v>17.947634782186647</v>
      </c>
      <c r="BR25" s="21">
        <f>EXP(-LN(2)/2)*BR24+(1-EXP(-LN(2)/2))/(LN(2)/2)*BL25*BO25*VLOOKUP('Données projet'!$B$11,Paramètres!$A$1:$I$89,3,0)*0.475*44/12</f>
        <v>0.71939209604087828</v>
      </c>
      <c r="BS25" s="22">
        <f t="shared" si="9"/>
        <v>34.137235916905468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54.17952270824334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>
        <f>BY25*VLOOKUP('Données projet'!$B$12,Paramètres!$A$1:$I$89,3,0)*VLOOKUP('Données projet'!$B$12,Paramètres!$A$1:$I$89,5,0)</f>
        <v>0</v>
      </c>
      <c r="CA25" s="13" t="e">
        <f t="shared" si="39"/>
        <v>#NUM!</v>
      </c>
      <c r="CB25" s="20" t="e">
        <f t="shared" si="10"/>
        <v>#NUM!</v>
      </c>
      <c r="CC25" s="59" t="e">
        <f t="shared" si="11"/>
        <v>#NUM!</v>
      </c>
      <c r="CD25" s="59">
        <f ca="1">AVERAGE(OFFSET($CC$3,0,0,'Données projet'!$E$12+1,1))-AVERAGE(OFFSET($H$3,0,0,'Données projet'!$E$12+1,1))</f>
        <v>170.04605856785227</v>
      </c>
      <c r="CE25" s="59">
        <f t="shared" si="40"/>
        <v>377.63973197638802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77.455156125658164</v>
      </c>
      <c r="CL25" s="21">
        <f>EXP(-LN(2)/25)*CL24+(1-EXP(-LN(2)/25))/(LN(2)/25)*Calculateur!CG25*Calculateur!CI25*VLOOKUP('Données projet'!$B$12,Paramètres!$A$1:$I$89,3,0)*0.475*44/12</f>
        <v>20.71022701731841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98.165383142976566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54.17952270824334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54.17952270824334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54.17952270824334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54.17952270824334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54.17952270824334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54.17952270824334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4.6500000000000004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17.05</v>
      </c>
      <c r="H26" s="66">
        <f t="shared" si="1"/>
        <v>188.46666666666667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54.453972619966798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2.5115384616666665</v>
      </c>
      <c r="N26" s="13">
        <f>IF('Données projet'!$A$36&gt;35,N25+M26-V25,IF(A26&lt;'Données projet'!$A$36,$K$205^A26,IF(A26='Données projet'!$A$36,'Données projet'!$B$36,N25+M26-V25)))</f>
        <v>27.4840144055953</v>
      </c>
      <c r="O26" s="13">
        <f>N26*VLOOKUP('Données projet'!$B$9,Paramètres!$A$1:$I$89,3,0)*VLOOKUP('Données projet'!$B$9,Paramètres!$A$1:$I$89,5,0)</f>
        <v>24.867536234182626</v>
      </c>
      <c r="P26" s="13">
        <f t="shared" si="33"/>
        <v>7.8837559376896813</v>
      </c>
      <c r="Q26" s="20">
        <f t="shared" si="2"/>
        <v>57.041833866010933</v>
      </c>
      <c r="R26" s="59">
        <f t="shared" si="0"/>
        <v>284.81751125033361</v>
      </c>
      <c r="S26" s="59">
        <f ca="1">AVERAGE(OFFSET($R$3,0,0,'Données projet'!$E$9+1,1))-AVERAGE(OFFSET($H$3,0,0,'Données projet'!$E$9+1,1))</f>
        <v>664.27707313486087</v>
      </c>
      <c r="T26" s="59">
        <f t="shared" si="34"/>
        <v>206.64483278066874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54.453972619966798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4.8773333333333335</v>
      </c>
      <c r="AI26" s="13">
        <f>IF('Données projet'!$A$62&gt;35,AI25+AH26-AQ25,IF(A26&lt;'Données projet'!$A$62,$AF$205^A26,IF(A26='Données projet'!$A$62,'Données projet'!$B$62,AI25+AH26-AQ25)))</f>
        <v>45.71578317385319</v>
      </c>
      <c r="AJ26" s="13">
        <f>AI26*VLOOKUP('Données projet'!$B$10,Paramètres!$A$1:$I$89,3,0)*VLOOKUP('Données projet'!$B$10,Paramètres!$A$1:$I$89,5,0)</f>
        <v>21.394986525363294</v>
      </c>
      <c r="AK26" s="13">
        <f t="shared" si="35"/>
        <v>6.9026485756179028</v>
      </c>
      <c r="AL26" s="20">
        <f t="shared" si="4"/>
        <v>49.285047800875581</v>
      </c>
      <c r="AM26" s="59">
        <f t="shared" si="5"/>
        <v>277.06072518519824</v>
      </c>
      <c r="AN26" s="59">
        <f ca="1">AVERAGE(OFFSET($AM$3,0,0,'Données projet'!$E$10+1,1))-AVERAGE(OFFSET($H$3,0,0,'Données projet'!$E$10+1,1))</f>
        <v>329.7518221182429</v>
      </c>
      <c r="AO26" s="59">
        <f t="shared" si="36"/>
        <v>207.30737400651807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54.453972619966798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>
        <f>VLOOKUP(A26,'Données projet'!$A$87:$I$107,2,0)</f>
        <v>192</v>
      </c>
      <c r="BB26" s="12">
        <f>VLOOKUP(A26,'Données projet'!$A$87:$I$107,9,0)</f>
        <v>16</v>
      </c>
      <c r="BC26" s="12">
        <f t="array" ref="BC26">INDEX(BB:BB,MIN(IF(ISNUMBER(BB26:BB222),ROW(BB26:BB222),"")))</f>
        <v>16</v>
      </c>
      <c r="BD26" s="12">
        <f>IF('Données projet'!$A$88&gt;35,BD25+BC26-BL25,IF(A26&lt;'Données projet'!$A$88,$BA$205^A26,IF(A26='Données projet'!$A$88,'Données projet'!$B$88,BD25+BC26-BL25)))</f>
        <v>192</v>
      </c>
      <c r="BE26" s="13">
        <f>BD26*VLOOKUP('Données projet'!$B$11,Paramètres!$A$1:$I$89,3,0)*VLOOKUP('Données projet'!$B$11,Paramètres!$A$1:$I$89,5,0)</f>
        <v>114.81600000000002</v>
      </c>
      <c r="BF26" s="13">
        <f t="shared" si="37"/>
        <v>30.462826482209831</v>
      </c>
      <c r="BG26" s="20">
        <f t="shared" si="7"/>
        <v>253.02728945651543</v>
      </c>
      <c r="BH26" s="59">
        <f t="shared" si="8"/>
        <v>480.80296684083811</v>
      </c>
      <c r="BI26" s="59">
        <f ca="1">AVERAGE(OFFSET($BH$3,0,0,'Données projet'!$E$11+1,1))-AVERAGE(OFFSET($H$3,0,0,'Données projet'!$E$11+1,1))</f>
        <v>189.62971370839551</v>
      </c>
      <c r="BJ26" s="59">
        <f t="shared" si="38"/>
        <v>457.05149684588173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15.166847675325261</v>
      </c>
      <c r="BQ26" s="21">
        <f>EXP(-LN(2)/25)*BQ25+(1-EXP(-LN(2)/25))/(LN(2)/25)*Calculateur!BL26*Calculateur!BN26*VLOOKUP('Données projet'!$B$11,Paramètres!$A$1:$I$89,3,0)*0.475*44/12</f>
        <v>17.456855765242661</v>
      </c>
      <c r="BR26" s="21">
        <f>EXP(-LN(2)/2)*BR25+(1-EXP(-LN(2)/2))/(LN(2)/2)*BL26*BO26*VLOOKUP('Données projet'!$B$11,Paramètres!$A$1:$I$89,3,0)*0.475*44/12</f>
        <v>0.5086870294425091</v>
      </c>
      <c r="BS26" s="22">
        <f t="shared" si="9"/>
        <v>33.132390470010435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54.453972619966798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>
        <f>BY26*VLOOKUP('Données projet'!$B$12,Paramètres!$A$1:$I$89,3,0)*VLOOKUP('Données projet'!$B$12,Paramètres!$A$1:$I$89,5,0)</f>
        <v>0</v>
      </c>
      <c r="CA26" s="13" t="e">
        <f t="shared" si="39"/>
        <v>#NUM!</v>
      </c>
      <c r="CB26" s="20" t="e">
        <f t="shared" si="10"/>
        <v>#NUM!</v>
      </c>
      <c r="CC26" s="59" t="e">
        <f t="shared" si="11"/>
        <v>#NUM!</v>
      </c>
      <c r="CD26" s="59">
        <f ca="1">AVERAGE(OFFSET($CC$3,0,0,'Données projet'!$E$12+1,1))-AVERAGE(OFFSET($H$3,0,0,'Données projet'!$E$12+1,1))</f>
        <v>170.04605856785227</v>
      </c>
      <c r="CE26" s="59">
        <f t="shared" si="40"/>
        <v>377.63973197638802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75.93630775701439</v>
      </c>
      <c r="CL26" s="21">
        <f>EXP(-LN(2)/25)*CL25+(1-EXP(-LN(2)/25))/(LN(2)/25)*Calculateur!CG26*Calculateur!CI26*VLOOKUP('Données projet'!$B$12,Paramètres!$A$1:$I$89,3,0)*0.475*44/12</f>
        <v>20.143904770426332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96.080212527440722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54.453972619966798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54.453972619966798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54.453972619966798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54.453972619966798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54.453972619966798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54.453972619966798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4.6500000000000004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17.05</v>
      </c>
      <c r="H27" s="66">
        <f t="shared" si="1"/>
        <v>188.46666666666667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54.723661439299931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2.5115384616666665</v>
      </c>
      <c r="N27" s="13">
        <f>IF('Données projet'!$A$36&gt;35,N26+M27-V26,IF(A27&lt;'Données projet'!$A$36,$K$205^A27,IF(A27='Données projet'!$A$36,'Données projet'!$B$36,N26+M27-V26)))</f>
        <v>31.743065879146062</v>
      </c>
      <c r="O27" s="13">
        <f>N27*VLOOKUP('Données projet'!$B$9,Paramètres!$A$1:$I$89,3,0)*VLOOKUP('Données projet'!$B$9,Paramètres!$A$1:$I$89,5,0)</f>
        <v>28.721126007451357</v>
      </c>
      <c r="P27" s="13">
        <f t="shared" si="33"/>
        <v>8.9540368424161478</v>
      </c>
      <c r="Q27" s="20">
        <f t="shared" si="2"/>
        <v>65.617575296852564</v>
      </c>
      <c r="R27" s="59">
        <f t="shared" si="0"/>
        <v>295.60433390761898</v>
      </c>
      <c r="S27" s="59">
        <f ca="1">AVERAGE(OFFSET($R$3,0,0,'Données projet'!$E$9+1,1))-AVERAGE(OFFSET($H$3,0,0,'Données projet'!$E$9+1,1))</f>
        <v>664.27707313486087</v>
      </c>
      <c r="T27" s="59">
        <f t="shared" si="34"/>
        <v>206.64483278066874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54.723661439299931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4.8773333333333335</v>
      </c>
      <c r="AI27" s="13">
        <f>IF('Données projet'!$A$62&gt;35,AI26+AH27-AQ26,IF(A27&lt;'Données projet'!$A$62,$AF$205^A27,IF(A27='Données projet'!$A$62,'Données projet'!$B$62,AI26+AH27-AQ26)))</f>
        <v>53.981252117124654</v>
      </c>
      <c r="AJ27" s="13">
        <f>AI27*VLOOKUP('Données projet'!$B$10,Paramètres!$A$1:$I$89,3,0)*VLOOKUP('Données projet'!$B$10,Paramètres!$A$1:$I$89,5,0)</f>
        <v>25.263225990814338</v>
      </c>
      <c r="AK27" s="13">
        <f t="shared" si="35"/>
        <v>7.9944975687673434</v>
      </c>
      <c r="AL27" s="20">
        <f t="shared" si="4"/>
        <v>57.923868532938087</v>
      </c>
      <c r="AM27" s="59">
        <f t="shared" si="5"/>
        <v>287.91062714370446</v>
      </c>
      <c r="AN27" s="59">
        <f ca="1">AVERAGE(OFFSET($AM$3,0,0,'Données projet'!$E$10+1,1))-AVERAGE(OFFSET($H$3,0,0,'Données projet'!$E$10+1,1))</f>
        <v>329.7518221182429</v>
      </c>
      <c r="AO27" s="59">
        <f t="shared" si="36"/>
        <v>207.30737400651807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54.723661439299931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>
        <f>VLOOKUP(A27,'Données projet'!$A$87:$I$107,2,0)</f>
        <v>209</v>
      </c>
      <c r="BB27" s="12">
        <f>VLOOKUP(A27,'Données projet'!$A$87:$I$107,9,0)</f>
        <v>17</v>
      </c>
      <c r="BC27" s="12">
        <f t="array" ref="BC27">INDEX(BB:BB,MIN(IF(ISNUMBER(BB27:BB223),ROW(BB27:BB223),"")))</f>
        <v>17</v>
      </c>
      <c r="BD27" s="12">
        <f>IF('Données projet'!$A$88&gt;35,BD26+BC27-BL26,IF(A27&lt;'Données projet'!$A$88,$BA$205^A27,IF(A27='Données projet'!$A$88,'Données projet'!$B$88,BD26+BC27-BL26)))</f>
        <v>209</v>
      </c>
      <c r="BE27" s="13">
        <f>BD27*VLOOKUP('Données projet'!$B$11,Paramètres!$A$1:$I$89,3,0)*VLOOKUP('Données projet'!$B$11,Paramètres!$A$1:$I$89,5,0)</f>
        <v>124.982</v>
      </c>
      <c r="BF27" s="13">
        <f t="shared" si="37"/>
        <v>32.834203796212122</v>
      </c>
      <c r="BG27" s="20">
        <f t="shared" si="7"/>
        <v>274.86322161173604</v>
      </c>
      <c r="BH27" s="59">
        <f t="shared" si="8"/>
        <v>504.84998022250244</v>
      </c>
      <c r="BI27" s="59">
        <f ca="1">AVERAGE(OFFSET($BH$3,0,0,'Données projet'!$E$11+1,1))-AVERAGE(OFFSET($H$3,0,0,'Données projet'!$E$11+1,1))</f>
        <v>189.62971370839551</v>
      </c>
      <c r="BJ27" s="59">
        <f t="shared" si="38"/>
        <v>457.05149684588173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14.869435043275768</v>
      </c>
      <c r="BQ27" s="21">
        <f>EXP(-LN(2)/25)*BQ26+(1-EXP(-LN(2)/25))/(LN(2)/25)*Calculateur!BL27*Calculateur!BN27*VLOOKUP('Données projet'!$B$11,Paramètres!$A$1:$I$89,3,0)*0.475*44/12</f>
        <v>16.979497126325953</v>
      </c>
      <c r="BR27" s="21">
        <f>EXP(-LN(2)/2)*BR26+(1-EXP(-LN(2)/2))/(LN(2)/2)*BL27*BO27*VLOOKUP('Données projet'!$B$11,Paramètres!$A$1:$I$89,3,0)*0.475*44/12</f>
        <v>0.35969604802043914</v>
      </c>
      <c r="BS27" s="22">
        <f t="shared" si="9"/>
        <v>32.208628217622163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54.723661439299931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>
        <f>BY27*VLOOKUP('Données projet'!$B$12,Paramètres!$A$1:$I$89,3,0)*VLOOKUP('Données projet'!$B$12,Paramètres!$A$1:$I$89,5,0)</f>
        <v>0</v>
      </c>
      <c r="CA27" s="13" t="e">
        <f t="shared" si="39"/>
        <v>#NUM!</v>
      </c>
      <c r="CB27" s="20" t="e">
        <f t="shared" si="10"/>
        <v>#NUM!</v>
      </c>
      <c r="CC27" s="59" t="e">
        <f t="shared" si="11"/>
        <v>#NUM!</v>
      </c>
      <c r="CD27" s="59">
        <f ca="1">AVERAGE(OFFSET($CC$3,0,0,'Données projet'!$E$12+1,1))-AVERAGE(OFFSET($H$3,0,0,'Données projet'!$E$12+1,1))</f>
        <v>170.04605856785227</v>
      </c>
      <c r="CE27" s="59">
        <f t="shared" si="40"/>
        <v>377.63973197638802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74.44724307847369</v>
      </c>
      <c r="CL27" s="21">
        <f>EXP(-LN(2)/25)*CL26+(1-EXP(-LN(2)/25))/(LN(2)/25)*Calculateur!CG27*Calculateur!CI27*VLOOKUP('Données projet'!$B$12,Paramètres!$A$1:$I$89,3,0)*0.475*44/12</f>
        <v>19.59306863515711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94.0403117136308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54.723661439299931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54.723661439299931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54.723661439299931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54.723661439299931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54.723661439299931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54.723661439299931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4.6500000000000004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17.05</v>
      </c>
      <c r="H28" s="66">
        <f t="shared" si="1"/>
        <v>188.46666666666667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54.988671760551505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2.5115384616666665</v>
      </c>
      <c r="N28" s="13">
        <f>IF('Données projet'!$A$36&gt;35,N27+M28-V27,IF(A28&lt;'Données projet'!$A$36,$K$205^A28,IF(A28='Données projet'!$A$36,'Données projet'!$B$36,N27+M28-V27)))</f>
        <v>36.662119897691205</v>
      </c>
      <c r="O28" s="13">
        <f>N28*VLOOKUP('Données projet'!$B$9,Paramètres!$A$1:$I$89,3,0)*VLOOKUP('Données projet'!$B$9,Paramètres!$A$1:$I$89,5,0)</f>
        <v>33.171886083430998</v>
      </c>
      <c r="P28" s="13">
        <f t="shared" si="33"/>
        <v>10.169616666093907</v>
      </c>
      <c r="Q28" s="20">
        <f t="shared" si="2"/>
        <v>75.486450622089208</v>
      </c>
      <c r="R28" s="59">
        <f t="shared" si="0"/>
        <v>307.66713596633366</v>
      </c>
      <c r="S28" s="59">
        <f ca="1">AVERAGE(OFFSET($R$3,0,0,'Données projet'!$E$9+1,1))-AVERAGE(OFFSET($H$3,0,0,'Données projet'!$E$9+1,1))</f>
        <v>664.27707313486087</v>
      </c>
      <c r="T28" s="59">
        <f t="shared" si="34"/>
        <v>206.64483278066874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54.988671760551505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4.8773333333333335</v>
      </c>
      <c r="AI28" s="13">
        <f>IF('Données projet'!$A$62&gt;35,AI27+AH28-AQ27,IF(A28&lt;'Données projet'!$A$62,$AF$205^A28,IF(A28='Données projet'!$A$62,'Données projet'!$B$62,AI27+AH28-AQ27)))</f>
        <v>63.74112785186194</v>
      </c>
      <c r="AJ28" s="13">
        <f>AI28*VLOOKUP('Données projet'!$B$10,Paramètres!$A$1:$I$89,3,0)*VLOOKUP('Données projet'!$B$10,Paramètres!$A$1:$I$89,5,0)</f>
        <v>29.830847834671388</v>
      </c>
      <c r="AK28" s="13">
        <f t="shared" si="35"/>
        <v>9.2590533440717326</v>
      </c>
      <c r="AL28" s="20">
        <f t="shared" si="4"/>
        <v>68.081577886310939</v>
      </c>
      <c r="AM28" s="59">
        <f t="shared" si="5"/>
        <v>300.26226323055539</v>
      </c>
      <c r="AN28" s="59">
        <f ca="1">AVERAGE(OFFSET($AM$3,0,0,'Données projet'!$E$10+1,1))-AVERAGE(OFFSET($H$3,0,0,'Données projet'!$E$10+1,1))</f>
        <v>329.7518221182429</v>
      </c>
      <c r="AO28" s="59">
        <f t="shared" si="36"/>
        <v>207.30737400651807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54.988671760551505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226</v>
      </c>
      <c r="BB28" s="12">
        <f>VLOOKUP(A28,'Données projet'!$A$87:$I$107,9,0)</f>
        <v>17</v>
      </c>
      <c r="BC28" s="12">
        <f t="array" ref="BC28">INDEX(BB:BB,MIN(IF(ISNUMBER(BB28:BB224),ROW(BB28:BB224),"")))</f>
        <v>17</v>
      </c>
      <c r="BD28" s="12">
        <f>IF('Données projet'!$A$88&gt;35,BD27+BC28-BL27,IF(A28&lt;'Données projet'!$A$88,$BA$205^A28,IF(A28='Données projet'!$A$88,'Données projet'!$B$88,BD27+BC28-BL27)))</f>
        <v>226</v>
      </c>
      <c r="BE28" s="13">
        <f>BD28*VLOOKUP('Données projet'!$B$11,Paramètres!$A$1:$I$89,3,0)*VLOOKUP('Données projet'!$B$11,Paramètres!$A$1:$I$89,5,0)</f>
        <v>135.14800000000002</v>
      </c>
      <c r="BF28" s="13">
        <f t="shared" si="37"/>
        <v>35.183208974998173</v>
      </c>
      <c r="BG28" s="20">
        <f t="shared" si="7"/>
        <v>296.66018896478852</v>
      </c>
      <c r="BH28" s="59">
        <f t="shared" si="8"/>
        <v>528.84087430903298</v>
      </c>
      <c r="BI28" s="59">
        <f ca="1">AVERAGE(OFFSET($BH$3,0,0,'Données projet'!$E$11+1,1))-AVERAGE(OFFSET($H$3,0,0,'Données projet'!$E$11+1,1))</f>
        <v>189.62971370839551</v>
      </c>
      <c r="BJ28" s="59">
        <f t="shared" si="38"/>
        <v>457.05149684588173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14.577854491536971</v>
      </c>
      <c r="BQ28" s="21">
        <f>EXP(-LN(2)/25)*BQ27+(1-EXP(-LN(2)/25))/(LN(2)/25)*Calculateur!BL28*Calculateur!BN28*VLOOKUP('Données projet'!$B$11,Paramètres!$A$1:$I$89,3,0)*0.475*44/12</f>
        <v>16.515191884493621</v>
      </c>
      <c r="BR28" s="21">
        <f>EXP(-LN(2)/2)*BR27+(1-EXP(-LN(2)/2))/(LN(2)/2)*BL28*BO28*VLOOKUP('Données projet'!$B$11,Paramètres!$A$1:$I$89,3,0)*0.475*44/12</f>
        <v>0.25434351472125455</v>
      </c>
      <c r="BS28" s="22">
        <f t="shared" si="9"/>
        <v>31.347389890751849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54.988671760551505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>
        <f>BY28*VLOOKUP('Données projet'!$B$12,Paramètres!$A$1:$I$89,3,0)*VLOOKUP('Données projet'!$B$12,Paramètres!$A$1:$I$89,5,0)</f>
        <v>0</v>
      </c>
      <c r="CA28" s="13" t="e">
        <f t="shared" si="39"/>
        <v>#NUM!</v>
      </c>
      <c r="CB28" s="20" t="e">
        <f t="shared" si="10"/>
        <v>#NUM!</v>
      </c>
      <c r="CC28" s="59" t="e">
        <f t="shared" si="11"/>
        <v>#NUM!</v>
      </c>
      <c r="CD28" s="59">
        <f ca="1">AVERAGE(OFFSET($CC$3,0,0,'Données projet'!$E$12+1,1))-AVERAGE(OFFSET($H$3,0,0,'Données projet'!$E$12+1,1))</f>
        <v>170.04605856785227</v>
      </c>
      <c r="CE28" s="59">
        <f t="shared" si="40"/>
        <v>377.63973197638802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72.987378050039396</v>
      </c>
      <c r="CL28" s="21">
        <f>EXP(-LN(2)/25)*CL27+(1-EXP(-LN(2)/25))/(LN(2)/25)*Calculateur!CG28*Calculateur!CI28*VLOOKUP('Données projet'!$B$12,Paramètres!$A$1:$I$89,3,0)*0.475*44/12</f>
        <v>19.057295142974041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92.044673193013438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54.988671760551505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54.988671760551505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54.988671760551505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54.988671760551505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54.988671760551505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54.988671760551505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4.6500000000000004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17.05</v>
      </c>
      <c r="H29" s="66">
        <f t="shared" si="1"/>
        <v>188.46666666666667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55.249084745203696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2.5115384616666665</v>
      </c>
      <c r="N29" s="13">
        <f>IF('Données projet'!$A$36&gt;35,N28+M29-V28,IF(A29&lt;'Données projet'!$A$36,$K$205^A29,IF(A29='Données projet'!$A$36,'Données projet'!$B$36,N28+M29-V28)))</f>
        <v>42.343453543840354</v>
      </c>
      <c r="O29" s="13">
        <f>N29*VLOOKUP('Données projet'!$B$9,Paramètres!$A$1:$I$89,3,0)*VLOOKUP('Données projet'!$B$9,Paramètres!$A$1:$I$89,5,0)</f>
        <v>38.312356766466749</v>
      </c>
      <c r="P29" s="13">
        <f t="shared" si="33"/>
        <v>11.550220861877524</v>
      </c>
      <c r="Q29" s="20">
        <f t="shared" si="2"/>
        <v>86.84398936936627</v>
      </c>
      <c r="R29" s="59">
        <f t="shared" si="0"/>
        <v>321.20174454622423</v>
      </c>
      <c r="S29" s="59">
        <f ca="1">AVERAGE(OFFSET($R$3,0,0,'Données projet'!$E$9+1,1))-AVERAGE(OFFSET($H$3,0,0,'Données projet'!$E$9+1,1))</f>
        <v>664.27707313486087</v>
      </c>
      <c r="T29" s="59">
        <f t="shared" si="34"/>
        <v>206.64483278066874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55.249084745203696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4.8773333333333335</v>
      </c>
      <c r="AI29" s="13">
        <f>IF('Données projet'!$A$62&gt;35,AI28+AH29-AQ28,IF(A29&lt;'Données projet'!$A$62,$AF$205^A29,IF(A29='Données projet'!$A$62,'Données projet'!$B$62,AI28+AH29-AQ28)))</f>
        <v>75.265600935153429</v>
      </c>
      <c r="AJ29" s="13">
        <f>AI29*VLOOKUP('Données projet'!$B$10,Paramètres!$A$1:$I$89,3,0)*VLOOKUP('Données projet'!$B$10,Paramètres!$A$1:$I$89,5,0)</f>
        <v>35.224301237651801</v>
      </c>
      <c r="AK29" s="13">
        <f t="shared" si="35"/>
        <v>10.723634361125281</v>
      </c>
      <c r="AL29" s="20">
        <f t="shared" si="4"/>
        <v>80.025987834536735</v>
      </c>
      <c r="AM29" s="59">
        <f t="shared" si="5"/>
        <v>314.3837430113947</v>
      </c>
      <c r="AN29" s="59">
        <f ca="1">AVERAGE(OFFSET($AM$3,0,0,'Données projet'!$E$10+1,1))-AVERAGE(OFFSET($H$3,0,0,'Données projet'!$E$10+1,1))</f>
        <v>329.7518221182429</v>
      </c>
      <c r="AO29" s="59">
        <f t="shared" si="36"/>
        <v>207.30737400651807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55.249084745203696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>
        <f>VLOOKUP(A29,'Données projet'!$A$87:$I$107,2,0)</f>
        <v>244</v>
      </c>
      <c r="BB29" s="12">
        <f>VLOOKUP(A29,'Données projet'!$A$87:$I$107,9,0)</f>
        <v>18</v>
      </c>
      <c r="BC29" s="12">
        <f t="array" ref="BC29">INDEX(BB:BB,MIN(IF(ISNUMBER(BB29:BB225),ROW(BB29:BB225),"")))</f>
        <v>18</v>
      </c>
      <c r="BD29" s="12">
        <f>IF('Données projet'!$A$88&gt;35,BD28+BC29-BL28,IF(A29&lt;'Données projet'!$A$88,$BA$205^A29,IF(A29='Données projet'!$A$88,'Données projet'!$B$88,BD28+BC29-BL28)))</f>
        <v>244</v>
      </c>
      <c r="BE29" s="13">
        <f>BD29*VLOOKUP('Données projet'!$B$11,Paramètres!$A$1:$I$89,3,0)*VLOOKUP('Données projet'!$B$11,Paramètres!$A$1:$I$89,5,0)</f>
        <v>145.91200000000001</v>
      </c>
      <c r="BF29" s="13">
        <f t="shared" si="37"/>
        <v>37.648084239987625</v>
      </c>
      <c r="BG29" s="20">
        <f t="shared" si="7"/>
        <v>319.70048005131179</v>
      </c>
      <c r="BH29" s="59">
        <f t="shared" si="8"/>
        <v>554.05823522816979</v>
      </c>
      <c r="BI29" s="59">
        <f ca="1">AVERAGE(OFFSET($BH$3,0,0,'Données projet'!$E$11+1,1))-AVERAGE(OFFSET($H$3,0,0,'Données projet'!$E$11+1,1))</f>
        <v>189.62971370839551</v>
      </c>
      <c r="BJ29" s="59">
        <f t="shared" si="38"/>
        <v>457.05149684588173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14.291991656571197</v>
      </c>
      <c r="BQ29" s="21">
        <f>EXP(-LN(2)/25)*BQ28+(1-EXP(-LN(2)/25))/(LN(2)/25)*Calculateur!BL29*Calculateur!BN29*VLOOKUP('Données projet'!$B$11,Paramètres!$A$1:$I$89,3,0)*0.475*44/12</f>
        <v>16.063583093915948</v>
      </c>
      <c r="BR29" s="21">
        <f>EXP(-LN(2)/2)*BR28+(1-EXP(-LN(2)/2))/(LN(2)/2)*BL29*BO29*VLOOKUP('Données projet'!$B$11,Paramètres!$A$1:$I$89,3,0)*0.475*44/12</f>
        <v>0.17984802401021957</v>
      </c>
      <c r="BS29" s="22">
        <f t="shared" si="9"/>
        <v>30.535422774497363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55.249084745203696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>
        <f>BY29*VLOOKUP('Données projet'!$B$12,Paramètres!$A$1:$I$89,3,0)*VLOOKUP('Données projet'!$B$12,Paramètres!$A$1:$I$89,5,0)</f>
        <v>0</v>
      </c>
      <c r="CA29" s="13" t="e">
        <f t="shared" si="39"/>
        <v>#NUM!</v>
      </c>
      <c r="CB29" s="20" t="e">
        <f t="shared" si="10"/>
        <v>#NUM!</v>
      </c>
      <c r="CC29" s="59" t="e">
        <f t="shared" si="11"/>
        <v>#NUM!</v>
      </c>
      <c r="CD29" s="59">
        <f ca="1">AVERAGE(OFFSET($CC$3,0,0,'Données projet'!$E$12+1,1))-AVERAGE(OFFSET($H$3,0,0,'Données projet'!$E$12+1,1))</f>
        <v>170.04605856785227</v>
      </c>
      <c r="CE29" s="59">
        <f t="shared" si="40"/>
        <v>377.63973197638802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71.55614008438296</v>
      </c>
      <c r="CL29" s="21">
        <f>EXP(-LN(2)/25)*CL28+(1-EXP(-LN(2)/25))/(LN(2)/25)*Calculateur!CG29*Calculateur!CI29*VLOOKUP('Données projet'!$B$12,Paramètres!$A$1:$I$89,3,0)*0.475*44/12</f>
        <v>18.53617240510982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90.092312489492784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55.249084745203696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55.249084745203696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55.249084745203696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55.249084745203696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55.249084745203696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55.249084745203696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4.6500000000000004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17.05</v>
      </c>
      <c r="H30" s="66">
        <f t="shared" si="1"/>
        <v>188.46666666666667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55.504980146768382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2.5115384616666665</v>
      </c>
      <c r="N30" s="13">
        <f>IF('Données projet'!$A$36&gt;35,N29+M30-V29,IF(A30&lt;'Données projet'!$A$36,$K$205^A30,IF(A30='Données projet'!$A$36,'Données projet'!$B$36,N29+M30-V29)))</f>
        <v>48.90519323549205</v>
      </c>
      <c r="O30" s="13">
        <f>N30*VLOOKUP('Données projet'!$B$9,Paramètres!$A$1:$I$89,3,0)*VLOOKUP('Données projet'!$B$9,Paramètres!$A$1:$I$89,5,0)</f>
        <v>44.249418839473208</v>
      </c>
      <c r="P30" s="13">
        <f t="shared" si="33"/>
        <v>13.118252765902122</v>
      </c>
      <c r="Q30" s="20">
        <f t="shared" si="2"/>
        <v>99.915361379362025</v>
      </c>
      <c r="R30" s="59">
        <f t="shared" si="0"/>
        <v>336.43362191751282</v>
      </c>
      <c r="S30" s="59">
        <f ca="1">AVERAGE(OFFSET($R$3,0,0,'Données projet'!$E$9+1,1))-AVERAGE(OFFSET($H$3,0,0,'Données projet'!$E$9+1,1))</f>
        <v>664.27707313486087</v>
      </c>
      <c r="T30" s="59">
        <f t="shared" si="34"/>
        <v>206.64483278066874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55.504980146768382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4.8773333333333335</v>
      </c>
      <c r="AI30" s="13">
        <f>IF('Données projet'!$A$62&gt;35,AI29+AH30-AQ29,IF(A30&lt;'Données projet'!$A$62,$AF$205^A30,IF(A30='Données projet'!$A$62,'Données projet'!$B$62,AI29+AH30-AQ29)))</f>
        <v>88.873712703913057</v>
      </c>
      <c r="AJ30" s="13">
        <f>AI30*VLOOKUP('Données projet'!$B$10,Paramètres!$A$1:$I$89,3,0)*VLOOKUP('Données projet'!$B$10,Paramètres!$A$1:$I$89,5,0)</f>
        <v>41.592897545431306</v>
      </c>
      <c r="AK30" s="13">
        <f t="shared" si="35"/>
        <v>12.419880266132731</v>
      </c>
      <c r="AL30" s="20">
        <f t="shared" si="4"/>
        <v>94.072254688474018</v>
      </c>
      <c r="AM30" s="59">
        <f t="shared" si="5"/>
        <v>330.5905152266248</v>
      </c>
      <c r="AN30" s="59">
        <f ca="1">AVERAGE(OFFSET($AM$3,0,0,'Données projet'!$E$10+1,1))-AVERAGE(OFFSET($H$3,0,0,'Données projet'!$E$10+1,1))</f>
        <v>329.7518221182429</v>
      </c>
      <c r="AO30" s="59">
        <f t="shared" si="36"/>
        <v>207.30737400651807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55.504980146768382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>
        <f>VLOOKUP(A30,'Données projet'!$A$87:$I$107,2,0)</f>
        <v>261</v>
      </c>
      <c r="BB30" s="12">
        <f>VLOOKUP(A30,'Données projet'!$A$87:$I$107,9,0)</f>
        <v>17</v>
      </c>
      <c r="BC30" s="12">
        <f t="array" ref="BC30">INDEX(BB:BB,MIN(IF(ISNUMBER(BB30:BB226),ROW(BB30:BB226),"")))</f>
        <v>17</v>
      </c>
      <c r="BD30" s="12">
        <f>IF('Données projet'!$A$88&gt;35,BD29+BC30-BL29,IF(A30&lt;'Données projet'!$A$88,$BA$205^A30,IF(A30='Données projet'!$A$88,'Données projet'!$B$88,BD29+BC30-BL29)))</f>
        <v>261</v>
      </c>
      <c r="BE30" s="13">
        <f>BD30*VLOOKUP('Données projet'!$B$11,Paramètres!$A$1:$I$89,3,0)*VLOOKUP('Données projet'!$B$11,Paramètres!$A$1:$I$89,5,0)</f>
        <v>156.078</v>
      </c>
      <c r="BF30" s="13">
        <f t="shared" si="37"/>
        <v>39.956623674978466</v>
      </c>
      <c r="BG30" s="20">
        <f t="shared" si="7"/>
        <v>341.42696956725416</v>
      </c>
      <c r="BH30" s="59">
        <f t="shared" si="8"/>
        <v>577.9452301054049</v>
      </c>
      <c r="BI30" s="59">
        <f ca="1">AVERAGE(OFFSET($BH$3,0,0,'Données projet'!$E$11+1,1))-AVERAGE(OFFSET($H$3,0,0,'Données projet'!$E$11+1,1))</f>
        <v>189.62971370839551</v>
      </c>
      <c r="BJ30" s="59">
        <f t="shared" si="38"/>
        <v>457.05149684588173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14.011734417439989</v>
      </c>
      <c r="BQ30" s="21">
        <f>EXP(-LN(2)/25)*BQ29+(1-EXP(-LN(2)/25))/(LN(2)/25)*Calculateur!BL30*Calculateur!BN30*VLOOKUP('Données projet'!$B$11,Paramètres!$A$1:$I$89,3,0)*0.475*44/12</f>
        <v>15.624323569465696</v>
      </c>
      <c r="BR30" s="21">
        <f>EXP(-LN(2)/2)*BR29+(1-EXP(-LN(2)/2))/(LN(2)/2)*BL30*BO30*VLOOKUP('Données projet'!$B$11,Paramètres!$A$1:$I$89,3,0)*0.475*44/12</f>
        <v>0.12717175736062727</v>
      </c>
      <c r="BS30" s="22">
        <f t="shared" si="9"/>
        <v>29.763229744266312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55.504980146768382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>
        <f>BY30*VLOOKUP('Données projet'!$B$12,Paramètres!$A$1:$I$89,3,0)*VLOOKUP('Données projet'!$B$12,Paramètres!$A$1:$I$89,5,0)</f>
        <v>0</v>
      </c>
      <c r="CA30" s="13" t="e">
        <f t="shared" si="39"/>
        <v>#NUM!</v>
      </c>
      <c r="CB30" s="20" t="e">
        <f t="shared" si="10"/>
        <v>#NUM!</v>
      </c>
      <c r="CC30" s="59" t="e">
        <f t="shared" si="11"/>
        <v>#NUM!</v>
      </c>
      <c r="CD30" s="59">
        <f ca="1">AVERAGE(OFFSET($CC$3,0,0,'Données projet'!$E$12+1,1))-AVERAGE(OFFSET($H$3,0,0,'Données projet'!$E$12+1,1))</f>
        <v>170.04605856785227</v>
      </c>
      <c r="CE30" s="59">
        <f t="shared" si="40"/>
        <v>377.63973197638802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70.152967822264088</v>
      </c>
      <c r="CL30" s="21">
        <f>EXP(-LN(2)/25)*CL29+(1-EXP(-LN(2)/25))/(LN(2)/25)*Calculateur!CG30*Calculateur!CI30*VLOOKUP('Données projet'!$B$12,Paramètres!$A$1:$I$89,3,0)*0.475*44/12</f>
        <v>18.029299795917151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88.182267618181243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55.504980146768382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55.504980146768382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55.504980146768382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55.504980146768382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55.504980146768382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55.504980146768382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4.6500000000000004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17.05</v>
      </c>
      <c r="H31" s="66">
        <f t="shared" si="1"/>
        <v>188.46666666666667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55.756436335212328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2.5115384616666665</v>
      </c>
      <c r="N31" s="13">
        <f>IF('Données projet'!$A$36&gt;35,N30+M31-V30,IF(A31&lt;'Données projet'!$A$36,$K$205^A31,IF(A31='Données projet'!$A$36,'Données projet'!$B$36,N30+M31-V30)))</f>
        <v>56.483770812991168</v>
      </c>
      <c r="O31" s="13">
        <f>N31*VLOOKUP('Données projet'!$B$9,Paramètres!$A$1:$I$89,3,0)*VLOOKUP('Données projet'!$B$9,Paramètres!$A$1:$I$89,5,0)</f>
        <v>51.1065158315944</v>
      </c>
      <c r="P31" s="13">
        <f t="shared" si="33"/>
        <v>14.899157140630228</v>
      </c>
      <c r="Q31" s="20">
        <f t="shared" si="2"/>
        <v>114.95988042662457</v>
      </c>
      <c r="R31" s="59">
        <f t="shared" si="0"/>
        <v>353.62236921129198</v>
      </c>
      <c r="S31" s="59">
        <f ca="1">AVERAGE(OFFSET($R$3,0,0,'Données projet'!$E$9+1,1))-AVERAGE(OFFSET($H$3,0,0,'Données projet'!$E$9+1,1))</f>
        <v>664.27707313486087</v>
      </c>
      <c r="T31" s="59">
        <f t="shared" si="34"/>
        <v>206.64483278066874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55.756436335212328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4.8773333333333335</v>
      </c>
      <c r="AI31" s="13">
        <f>IF('Données projet'!$A$62&gt;35,AI30+AH31-AQ30,IF(A31&lt;'Données projet'!$A$62,$AF$205^A31,IF(A31='Données projet'!$A$62,'Données projet'!$B$62,AI30+AH31-AQ30)))</f>
        <v>104.94218755501358</v>
      </c>
      <c r="AJ31" s="13">
        <f>AI31*VLOOKUP('Données projet'!$B$10,Paramètres!$A$1:$I$89,3,0)*VLOOKUP('Données projet'!$B$10,Paramètres!$A$1:$I$89,5,0)</f>
        <v>49.112943775746352</v>
      </c>
      <c r="AK31" s="13">
        <f t="shared" si="35"/>
        <v>14.384435409721176</v>
      </c>
      <c r="AL31" s="20">
        <f t="shared" si="4"/>
        <v>110.59126874802261</v>
      </c>
      <c r="AM31" s="59">
        <f t="shared" si="5"/>
        <v>349.25375753269003</v>
      </c>
      <c r="AN31" s="59">
        <f ca="1">AVERAGE(OFFSET($AM$3,0,0,'Données projet'!$E$10+1,1))-AVERAGE(OFFSET($H$3,0,0,'Données projet'!$E$10+1,1))</f>
        <v>329.7518221182429</v>
      </c>
      <c r="AO31" s="59">
        <f t="shared" si="36"/>
        <v>207.30737400651807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55.756436335212328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>
        <f>VLOOKUP(A31,'Données projet'!$A$87:$I$107,2,0)</f>
        <v>277</v>
      </c>
      <c r="BB31" s="12">
        <f>VLOOKUP(A31,'Données projet'!$A$87:$I$107,9,0)</f>
        <v>16</v>
      </c>
      <c r="BC31" s="12">
        <f t="array" ref="BC31">INDEX(BB:BB,MIN(IF(ISNUMBER(BB31:BB227),ROW(BB31:BB227),"")))</f>
        <v>16</v>
      </c>
      <c r="BD31" s="12">
        <f>IF('Données projet'!$A$88&gt;35,BD30+BC31-BL30,IF(A31&lt;'Données projet'!$A$88,$BA$205^A31,IF(A31='Données projet'!$A$88,'Données projet'!$B$88,BD30+BC31-BL30)))</f>
        <v>277</v>
      </c>
      <c r="BE31" s="13">
        <f>BD31*VLOOKUP('Données projet'!$B$11,Paramètres!$A$1:$I$89,3,0)*VLOOKUP('Données projet'!$B$11,Paramètres!$A$1:$I$89,5,0)</f>
        <v>165.64600000000002</v>
      </c>
      <c r="BF31" s="13">
        <f t="shared" si="37"/>
        <v>42.113404814327666</v>
      </c>
      <c r="BG31" s="20">
        <f t="shared" si="7"/>
        <v>361.84763005162068</v>
      </c>
      <c r="BH31" s="59">
        <f t="shared" si="8"/>
        <v>600.51011883628803</v>
      </c>
      <c r="BI31" s="59">
        <f ca="1">AVERAGE(OFFSET($BH$3,0,0,'Données projet'!$E$11+1,1))-AVERAGE(OFFSET($H$3,0,0,'Données projet'!$E$11+1,1))</f>
        <v>189.62971370839551</v>
      </c>
      <c r="BJ31" s="59">
        <f t="shared" si="38"/>
        <v>457.05149684588173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13.736972851828106</v>
      </c>
      <c r="BQ31" s="21">
        <f>EXP(-LN(2)/25)*BQ30+(1-EXP(-LN(2)/25))/(LN(2)/25)*Calculateur!BL31*Calculateur!BN31*VLOOKUP('Données projet'!$B$11,Paramètres!$A$1:$I$89,3,0)*0.475*44/12</f>
        <v>15.197075619811191</v>
      </c>
      <c r="BR31" s="21">
        <f>EXP(-LN(2)/2)*BR30+(1-EXP(-LN(2)/2))/(LN(2)/2)*BL31*BO31*VLOOKUP('Données projet'!$B$11,Paramètres!$A$1:$I$89,3,0)*0.475*44/12</f>
        <v>8.9924012005109785E-2</v>
      </c>
      <c r="BS31" s="22">
        <f t="shared" si="9"/>
        <v>29.023972483644407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55.756436335212328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>
        <f>BY31*VLOOKUP('Données projet'!$B$12,Paramètres!$A$1:$I$89,3,0)*VLOOKUP('Données projet'!$B$12,Paramètres!$A$1:$I$89,5,0)</f>
        <v>0</v>
      </c>
      <c r="CA31" s="13" t="e">
        <f t="shared" si="39"/>
        <v>#NUM!</v>
      </c>
      <c r="CB31" s="20" t="e">
        <f t="shared" si="10"/>
        <v>#NUM!</v>
      </c>
      <c r="CC31" s="59" t="e">
        <f t="shared" si="11"/>
        <v>#NUM!</v>
      </c>
      <c r="CD31" s="59">
        <f ca="1">AVERAGE(OFFSET($CC$3,0,0,'Données projet'!$E$12+1,1))-AVERAGE(OFFSET($H$3,0,0,'Données projet'!$E$12+1,1))</f>
        <v>170.04605856785227</v>
      </c>
      <c r="CE31" s="59">
        <f t="shared" si="40"/>
        <v>377.63973197638802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68.777310912354793</v>
      </c>
      <c r="CL31" s="21">
        <f>EXP(-LN(2)/25)*CL30+(1-EXP(-LN(2)/25))/(LN(2)/25)*Calculateur!CG31*Calculateur!CI31*VLOOKUP('Données projet'!$B$12,Paramètres!$A$1:$I$89,3,0)*0.475*44/12</f>
        <v>17.536287644878126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86.313598557232922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55.756436335212328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55.756436335212328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55.756436335212328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55.756436335212328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55.756436335212328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55.756436335212328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4.6500000000000004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17.05</v>
      </c>
      <c r="H32" s="66">
        <f t="shared" si="1"/>
        <v>188.46666666666667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56.003530320958596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2.5115384616666665</v>
      </c>
      <c r="N32" s="13">
        <f>IF('Données projet'!$A$36&gt;35,N31+M32-V31,IF(A32&lt;'Données projet'!$A$36,$K$205^A32,IF(A32='Données projet'!$A$36,'Données projet'!$B$36,N31+M32-V31)))</f>
        <v>65.236760233044663</v>
      </c>
      <c r="O32" s="13">
        <f>N32*VLOOKUP('Données projet'!$B$9,Paramètres!$A$1:$I$89,3,0)*VLOOKUP('Données projet'!$B$9,Paramètres!$A$1:$I$89,5,0)</f>
        <v>59.026220658858804</v>
      </c>
      <c r="P32" s="13">
        <f t="shared" si="33"/>
        <v>16.921833072022469</v>
      </c>
      <c r="Q32" s="20">
        <f t="shared" si="2"/>
        <v>132.2761935812849</v>
      </c>
      <c r="R32" s="59">
        <f t="shared" si="0"/>
        <v>373.06691586924421</v>
      </c>
      <c r="S32" s="59">
        <f ca="1">AVERAGE(OFFSET($R$3,0,0,'Données projet'!$E$9+1,1))-AVERAGE(OFFSET($H$3,0,0,'Données projet'!$E$9+1,1))</f>
        <v>664.27707313486087</v>
      </c>
      <c r="T32" s="59">
        <f t="shared" si="34"/>
        <v>206.64483278066874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56.003530320958596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4.8773333333333335</v>
      </c>
      <c r="AI32" s="13">
        <f>IF('Données projet'!$A$62&gt;35,AI31+AH32-AQ31,IF(A32&lt;'Données projet'!$A$62,$AF$205^A32,IF(A32='Données projet'!$A$62,'Données projet'!$B$62,AI31+AH32-AQ31)))</f>
        <v>123.91586211236064</v>
      </c>
      <c r="AJ32" s="13">
        <f>AI32*VLOOKUP('Données projet'!$B$10,Paramètres!$A$1:$I$89,3,0)*VLOOKUP('Données projet'!$B$10,Paramètres!$A$1:$I$89,5,0)</f>
        <v>57.992623468584782</v>
      </c>
      <c r="AK32" s="13">
        <f t="shared" si="35"/>
        <v>16.659740482415152</v>
      </c>
      <c r="AL32" s="20">
        <f t="shared" si="4"/>
        <v>130.01953388132486</v>
      </c>
      <c r="AM32" s="59">
        <f t="shared" si="5"/>
        <v>370.81025616928412</v>
      </c>
      <c r="AN32" s="59">
        <f ca="1">AVERAGE(OFFSET($AM$3,0,0,'Données projet'!$E$10+1,1))-AVERAGE(OFFSET($H$3,0,0,'Données projet'!$E$10+1,1))</f>
        <v>329.7518221182429</v>
      </c>
      <c r="AO32" s="59">
        <f t="shared" si="36"/>
        <v>207.30737400651807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56.003530320958596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>
        <f>VLOOKUP(A32,'Données projet'!$A$87:$I$107,2,0)</f>
        <v>293</v>
      </c>
      <c r="BB32" s="12">
        <f>VLOOKUP(A32,'Données projet'!$A$87:$I$107,9,0)</f>
        <v>16</v>
      </c>
      <c r="BC32" s="12">
        <f t="array" ref="BC32">INDEX(BB:BB,MIN(IF(ISNUMBER(BB32:BB228),ROW(BB32:BB228),"")))</f>
        <v>16</v>
      </c>
      <c r="BD32" s="12">
        <f>IF('Données projet'!$A$88&gt;35,BD31+BC32-BL31,IF(A32&lt;'Données projet'!$A$88,$BA$205^A32,IF(A32='Données projet'!$A$88,'Données projet'!$B$88,BD31+BC32-BL31)))</f>
        <v>293</v>
      </c>
      <c r="BE32" s="13">
        <f>BD32*VLOOKUP('Données projet'!$B$11,Paramètres!$A$1:$I$89,3,0)*VLOOKUP('Données projet'!$B$11,Paramètres!$A$1:$I$89,5,0)</f>
        <v>175.214</v>
      </c>
      <c r="BF32" s="13">
        <f t="shared" si="37"/>
        <v>44.255725061661991</v>
      </c>
      <c r="BG32" s="20">
        <f t="shared" si="7"/>
        <v>382.24310448239459</v>
      </c>
      <c r="BH32" s="59">
        <f t="shared" si="8"/>
        <v>623.03382677035393</v>
      </c>
      <c r="BI32" s="59">
        <f ca="1">AVERAGE(OFFSET($BH$3,0,0,'Données projet'!$E$11+1,1))-AVERAGE(OFFSET($H$3,0,0,'Données projet'!$E$11+1,1))</f>
        <v>189.62971370839551</v>
      </c>
      <c r="BJ32" s="59">
        <f t="shared" si="38"/>
        <v>457.05149684588173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13.467599192929866</v>
      </c>
      <c r="BQ32" s="21">
        <f>EXP(-LN(2)/25)*BQ31+(1-EXP(-LN(2)/25))/(LN(2)/25)*Calculateur!BL32*Calculateur!BN32*VLOOKUP('Données projet'!$B$11,Paramètres!$A$1:$I$89,3,0)*0.475*44/12</f>
        <v>14.78151078780798</v>
      </c>
      <c r="BR32" s="21">
        <f>EXP(-LN(2)/2)*BR31+(1-EXP(-LN(2)/2))/(LN(2)/2)*BL32*BO32*VLOOKUP('Données projet'!$B$11,Paramètres!$A$1:$I$89,3,0)*0.475*44/12</f>
        <v>6.3585878680313637E-2</v>
      </c>
      <c r="BS32" s="22">
        <f t="shared" si="9"/>
        <v>28.312695859418159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56.003530320958596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>
        <f>BY32*VLOOKUP('Données projet'!$B$12,Paramètres!$A$1:$I$89,3,0)*VLOOKUP('Données projet'!$B$12,Paramètres!$A$1:$I$89,5,0)</f>
        <v>0</v>
      </c>
      <c r="CA32" s="13" t="e">
        <f t="shared" si="39"/>
        <v>#NUM!</v>
      </c>
      <c r="CB32" s="20" t="e">
        <f t="shared" si="10"/>
        <v>#NUM!</v>
      </c>
      <c r="CC32" s="59" t="e">
        <f t="shared" si="11"/>
        <v>#NUM!</v>
      </c>
      <c r="CD32" s="59">
        <f ca="1">AVERAGE(OFFSET($CC$3,0,0,'Données projet'!$E$12+1,1))-AVERAGE(OFFSET($H$3,0,0,'Données projet'!$E$12+1,1))</f>
        <v>170.04605856785227</v>
      </c>
      <c r="CE32" s="59">
        <f t="shared" si="40"/>
        <v>377.63973197638802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67.428629795380957</v>
      </c>
      <c r="CL32" s="21">
        <f>EXP(-LN(2)/25)*CL31+(1-EXP(-LN(2)/25))/(LN(2)/25)*Calculateur!CG32*Calculateur!CI32*VLOOKUP('Données projet'!$B$12,Paramètres!$A$1:$I$89,3,0)*0.475*44/12</f>
        <v>17.056756937035647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84.4853867324166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56.003530320958596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56.003530320958596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56.003530320958596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56.003530320958596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56.003530320958596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56.003530320958596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4.6500000000000004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17.05</v>
      </c>
      <c r="H33" s="66">
        <f t="shared" si="1"/>
        <v>188.46666666666667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56.246337778471549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75.346153849999993</v>
      </c>
      <c r="L33" s="12">
        <f>VLOOKUP(A33,'Données projet'!$A$35:$I$55,9,0)</f>
        <v>2.5115384616666665</v>
      </c>
      <c r="M33" s="12">
        <f t="array" ref="M33">INDEX(L:L,MIN(IF(ISNUMBER(L33:L229),ROW(L33:L229),"")))</f>
        <v>2.5115384616666665</v>
      </c>
      <c r="N33" s="13">
        <f>IF('Données projet'!$A$36&gt;35,N32+M33-V32,IF(A33&lt;'Données projet'!$A$36,$K$205^A33,IF(A33='Données projet'!$A$36,'Données projet'!$B$36,N32+M33-V32)))</f>
        <v>75.346153849999993</v>
      </c>
      <c r="O33" s="13">
        <f>N33*VLOOKUP('Données projet'!$B$9,Paramètres!$A$1:$I$89,3,0)*VLOOKUP('Données projet'!$B$9,Paramètres!$A$1:$I$89,5,0)</f>
        <v>68.173200003479991</v>
      </c>
      <c r="P33" s="13">
        <f t="shared" si="33"/>
        <v>19.219102920695935</v>
      </c>
      <c r="Q33" s="20">
        <f t="shared" si="2"/>
        <v>152.20826092627306</v>
      </c>
      <c r="R33" s="59">
        <f t="shared" si="0"/>
        <v>395.1114994473354</v>
      </c>
      <c r="S33" s="59">
        <f ca="1">AVERAGE(OFFSET($R$3,0,0,'Données projet'!$E$9+1,1))-AVERAGE(OFFSET($H$3,0,0,'Données projet'!$E$9+1,1))</f>
        <v>664.27707313486087</v>
      </c>
      <c r="T33" s="59">
        <f t="shared" si="34"/>
        <v>206.64483278066874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56.246337778471549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146.32</v>
      </c>
      <c r="AG33" s="12">
        <f>VLOOKUP(A33,'Données projet'!$A$61:$I$81,9,0)</f>
        <v>4.8773333333333335</v>
      </c>
      <c r="AH33" s="12">
        <f t="array" ref="AH33">INDEX(AG:AG,MIN(IF(ISNUMBER(AG33:AG229),ROW(AG33:AG229),"")))</f>
        <v>4.8773333333333335</v>
      </c>
      <c r="AI33" s="13">
        <f>IF('Données projet'!$A$62&gt;35,AI32+AH33-AQ32,IF(A33&lt;'Données projet'!$A$62,$AF$205^A33,IF(A33='Données projet'!$A$62,'Données projet'!$B$62,AI32+AH33-AQ32)))</f>
        <v>146.32</v>
      </c>
      <c r="AJ33" s="13">
        <f>AI33*VLOOKUP('Données projet'!$B$10,Paramètres!$A$1:$I$89,3,0)*VLOOKUP('Données projet'!$B$10,Paramètres!$A$1:$I$89,5,0)</f>
        <v>68.477760000000004</v>
      </c>
      <c r="AK33" s="13">
        <f t="shared" si="35"/>
        <v>19.294949369639667</v>
      </c>
      <c r="AL33" s="20">
        <f t="shared" si="4"/>
        <v>152.87080215212242</v>
      </c>
      <c r="AM33" s="59">
        <f t="shared" si="5"/>
        <v>395.77404067318474</v>
      </c>
      <c r="AN33" s="59">
        <f ca="1">AVERAGE(OFFSET($AM$3,0,0,'Données projet'!$E$10+1,1))-AVERAGE(OFFSET($H$3,0,0,'Données projet'!$E$10+1,1))</f>
        <v>329.7518221182429</v>
      </c>
      <c r="AO33" s="59">
        <f t="shared" si="36"/>
        <v>207.30737400651807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56.246337778471549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309</v>
      </c>
      <c r="BB33" s="12">
        <f>VLOOKUP(A33,'Données projet'!$A$87:$I$107,9,0)</f>
        <v>16</v>
      </c>
      <c r="BC33" s="12">
        <f t="array" ref="BC33">INDEX(BB:BB,MIN(IF(ISNUMBER(BB33:BB229),ROW(BB33:BB229),"")))</f>
        <v>16</v>
      </c>
      <c r="BD33" s="12">
        <f>IF('Données projet'!$A$88&gt;35,BD32+BC33-BL32,IF(A33&lt;'Données projet'!$A$88,$BA$205^A33,IF(A33='Données projet'!$A$88,'Données projet'!$B$88,BD32+BC33-BL32)))</f>
        <v>309</v>
      </c>
      <c r="BE33" s="13">
        <f>BD33*VLOOKUP('Données projet'!$B$11,Paramètres!$A$1:$I$89,3,0)*VLOOKUP('Données projet'!$B$11,Paramètres!$A$1:$I$89,5,0)</f>
        <v>184.78200000000004</v>
      </c>
      <c r="BF33" s="13">
        <f t="shared" si="37"/>
        <v>46.384464109944147</v>
      </c>
      <c r="BG33" s="20">
        <f t="shared" si="7"/>
        <v>402.61492499148608</v>
      </c>
      <c r="BH33" s="59">
        <f t="shared" si="8"/>
        <v>645.51816351254843</v>
      </c>
      <c r="BI33" s="59">
        <f ca="1">AVERAGE(OFFSET($BH$3,0,0,'Données projet'!$E$11+1,1))-AVERAGE(OFFSET($H$3,0,0,'Données projet'!$E$11+1,1))</f>
        <v>189.62971370839551</v>
      </c>
      <c r="BJ33" s="59">
        <f t="shared" si="38"/>
        <v>457.05149684588173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309</v>
      </c>
      <c r="BM33" s="16">
        <f>IF(ISNA(VLOOKUP(A33,'Données projet'!$A$87:$I$107,5,0)),0%,VLOOKUP(A33,'Données projet'!$A$87:$I$107,5,0)*VLOOKUP('Données projet'!$B$11,Paramètres!$A$1:$I$89,7,0))</f>
        <v>0.45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123.50986272944402</v>
      </c>
      <c r="BQ33" s="21">
        <f>EXP(-LN(2)/25)*BQ32+(1-EXP(-LN(2)/25))/(LN(2)/25)*Calculateur!BL33*Calculateur!BN33*VLOOKUP('Données projet'!$B$11,Paramètres!$A$1:$I$89,3,0)*0.475*44/12</f>
        <v>14.377309597989502</v>
      </c>
      <c r="BR33" s="21">
        <f>EXP(-LN(2)/2)*BR32+(1-EXP(-LN(2)/2))/(LN(2)/2)*BL33*BO33*VLOOKUP('Données projet'!$B$11,Paramètres!$A$1:$I$89,3,0)*0.475*44/12</f>
        <v>4.4962006002554893E-2</v>
      </c>
      <c r="BS33" s="22">
        <f t="shared" si="9"/>
        <v>137.93213433343607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56.246337778471549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>
        <f>BY33*VLOOKUP('Données projet'!$B$12,Paramètres!$A$1:$I$89,3,0)*VLOOKUP('Données projet'!$B$12,Paramètres!$A$1:$I$89,5,0)</f>
        <v>0</v>
      </c>
      <c r="CA33" s="13" t="e">
        <f t="shared" si="39"/>
        <v>#NUM!</v>
      </c>
      <c r="CB33" s="20" t="e">
        <f t="shared" si="10"/>
        <v>#NUM!</v>
      </c>
      <c r="CC33" s="59" t="e">
        <f t="shared" si="11"/>
        <v>#NUM!</v>
      </c>
      <c r="CD33" s="59">
        <f ca="1">AVERAGE(OFFSET($CC$3,0,0,'Données projet'!$E$12+1,1))-AVERAGE(OFFSET($H$3,0,0,'Données projet'!$E$12+1,1))</f>
        <v>170.04605856785227</v>
      </c>
      <c r="CE33" s="59">
        <f t="shared" si="40"/>
        <v>377.63973197638802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66.106395492496716</v>
      </c>
      <c r="CL33" s="21">
        <f>EXP(-LN(2)/25)*CL32+(1-EXP(-LN(2)/25))/(LN(2)/25)*Calculateur!CG33*Calculateur!CI33*VLOOKUP('Données projet'!$B$12,Paramètres!$A$1:$I$89,3,0)*0.475*44/12</f>
        <v>16.590339021616543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82.69673451411326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56.246337778471549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56.246337778471549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56.246337778471549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56.246337778471549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56.246337778471549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56.246337778471549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4.6500000000000004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17.05</v>
      </c>
      <c r="H34" s="66">
        <f t="shared" si="1"/>
        <v>188.46666666666667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56.484933069432813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8.0511538458333352</v>
      </c>
      <c r="N34" s="13">
        <f>IF('Données projet'!$A$36&gt;35,N33+M34-V33,IF(A34&lt;'Données projet'!$A$36,$K$205^A34,IF(A34='Données projet'!$A$36,'Données projet'!$B$36,N33+M34-V33)))</f>
        <v>83.397307695833334</v>
      </c>
      <c r="O34" s="13">
        <f>N34*VLOOKUP('Données projet'!$B$9,Paramètres!$A$1:$I$89,3,0)*VLOOKUP('Données projet'!$B$9,Paramètres!$A$1:$I$89,5,0)</f>
        <v>75.457884003190003</v>
      </c>
      <c r="P34" s="13">
        <f t="shared" si="33"/>
        <v>21.022863444231653</v>
      </c>
      <c r="Q34" s="20">
        <f t="shared" si="2"/>
        <v>168.03730180425939</v>
      </c>
      <c r="R34" s="59">
        <f t="shared" si="0"/>
        <v>411.81538972551306</v>
      </c>
      <c r="S34" s="59">
        <f ca="1">AVERAGE(OFFSET($R$3,0,0,'Données projet'!$E$9+1,1))-AVERAGE(OFFSET($H$3,0,0,'Données projet'!$E$9+1,1))</f>
        <v>664.27707313486087</v>
      </c>
      <c r="T34" s="59">
        <f t="shared" si="34"/>
        <v>206.64483278066874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56.484933069432813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16.511666666666667</v>
      </c>
      <c r="AI34" s="13">
        <f>IF('Données projet'!$A$62&gt;35,AI33+AH34-AQ33,IF(A34&lt;'Données projet'!$A$62,$AF$205^A34,IF(A34='Données projet'!$A$62,'Données projet'!$B$62,AI33+AH34-AQ33)))</f>
        <v>162.83166666666665</v>
      </c>
      <c r="AJ34" s="13">
        <f>AI34*VLOOKUP('Données projet'!$B$10,Paramètres!$A$1:$I$89,3,0)*VLOOKUP('Données projet'!$B$10,Paramètres!$A$1:$I$89,5,0)</f>
        <v>76.205219999999997</v>
      </c>
      <c r="AK34" s="13">
        <f t="shared" si="35"/>
        <v>21.206732805864224</v>
      </c>
      <c r="AL34" s="20">
        <f t="shared" si="4"/>
        <v>169.65915113688018</v>
      </c>
      <c r="AM34" s="59">
        <f t="shared" si="5"/>
        <v>413.43723905813385</v>
      </c>
      <c r="AN34" s="59">
        <f ca="1">AVERAGE(OFFSET($AM$3,0,0,'Données projet'!$E$10+1,1))-AVERAGE(OFFSET($H$3,0,0,'Données projet'!$E$10+1,1))</f>
        <v>329.7518221182429</v>
      </c>
      <c r="AO34" s="59">
        <f t="shared" si="36"/>
        <v>207.30737400651807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56.484933069432813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189.62971370839551</v>
      </c>
      <c r="BJ34" s="59">
        <f t="shared" si="38"/>
        <v>457.05149684588173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121.08790965489732</v>
      </c>
      <c r="BQ34" s="21">
        <f>EXP(-LN(2)/25)*BQ33+(1-EXP(-LN(2)/25))/(LN(2)/25)*Calculateur!BL34*Calculateur!BN34*VLOOKUP('Données projet'!$B$11,Paramètres!$A$1:$I$89,3,0)*0.475*44/12</f>
        <v>13.984161310962627</v>
      </c>
      <c r="BR34" s="21">
        <f>EXP(-LN(2)/2)*BR33+(1-EXP(-LN(2)/2))/(LN(2)/2)*BL34*BO34*VLOOKUP('Données projet'!$B$11,Paramètres!$A$1:$I$89,3,0)*0.475*44/12</f>
        <v>3.1792939340156819E-2</v>
      </c>
      <c r="BS34" s="22">
        <f t="shared" si="9"/>
        <v>135.10386390520011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56.484933069432813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>
        <f>BY34*VLOOKUP('Données projet'!$B$12,Paramètres!$A$1:$I$89,3,0)*VLOOKUP('Données projet'!$B$12,Paramètres!$A$1:$I$89,5,0)</f>
        <v>0</v>
      </c>
      <c r="CA34" s="13" t="e">
        <f t="shared" si="39"/>
        <v>#NUM!</v>
      </c>
      <c r="CB34" s="20" t="e">
        <f t="shared" si="10"/>
        <v>#NUM!</v>
      </c>
      <c r="CC34" s="59" t="e">
        <f t="shared" si="11"/>
        <v>#NUM!</v>
      </c>
      <c r="CD34" s="59">
        <f ca="1">AVERAGE(OFFSET($CC$3,0,0,'Données projet'!$E$12+1,1))-AVERAGE(OFFSET($H$3,0,0,'Données projet'!$E$12+1,1))</f>
        <v>170.04605856785227</v>
      </c>
      <c r="CE34" s="59">
        <f t="shared" si="40"/>
        <v>377.63973197638802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64.810089397808753</v>
      </c>
      <c r="CL34" s="21">
        <f>EXP(-LN(2)/25)*CL33+(1-EXP(-LN(2)/25))/(LN(2)/25)*Calculateur!CG34*Calculateur!CI34*VLOOKUP('Données projet'!$B$12,Paramètres!$A$1:$I$89,3,0)*0.475*44/12</f>
        <v>16.136675328622427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80.946764726431184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56.484933069432813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56.484933069432813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56.484933069432813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56.484933069432813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56.484933069432813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56.484933069432813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4.6500000000000004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17.05</v>
      </c>
      <c r="H35" s="66">
        <f t="shared" si="1"/>
        <v>188.46666666666667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56.719389265515055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8.0511538458333352</v>
      </c>
      <c r="N35" s="13">
        <f>IF('Données projet'!$A$36&gt;35,N34+M35-V34,IF(A35&lt;'Données projet'!$A$36,$K$205^A35,IF(A35='Données projet'!$A$36,'Données projet'!$B$36,N34+M35-V34)))</f>
        <v>91.448461541666674</v>
      </c>
      <c r="O35" s="13">
        <f>N35*VLOOKUP('Données projet'!$B$9,Paramètres!$A$1:$I$89,3,0)*VLOOKUP('Données projet'!$B$9,Paramètres!$A$1:$I$89,5,0)</f>
        <v>82.742568002900001</v>
      </c>
      <c r="P35" s="13">
        <f t="shared" si="33"/>
        <v>22.806435091035883</v>
      </c>
      <c r="Q35" s="20">
        <f t="shared" ref="Q35:Q66" si="53">(O35+P35)*0.475*44/12</f>
        <v>183.83118038860502</v>
      </c>
      <c r="R35" s="59">
        <f t="shared" si="0"/>
        <v>428.46894102882686</v>
      </c>
      <c r="S35" s="59">
        <f ca="1">AVERAGE(OFFSET($R$3,0,0,'Données projet'!$E$9+1,1))-AVERAGE(OFFSET($H$3,0,0,'Données projet'!$E$9+1,1))</f>
        <v>664.27707313486087</v>
      </c>
      <c r="T35" s="59">
        <f t="shared" si="34"/>
        <v>206.64483278066874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56.719389265515055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16.511666666666667</v>
      </c>
      <c r="AI35" s="13">
        <f>IF('Données projet'!$A$62&gt;35,AI34+AH35-AQ34,IF(A35&lt;'Données projet'!$A$62,$AF$205^A35,IF(A35='Données projet'!$A$62,'Données projet'!$B$62,AI34+AH35-AQ34)))</f>
        <v>179.34333333333331</v>
      </c>
      <c r="AJ35" s="13">
        <f>AI35*VLOOKUP('Données projet'!$B$10,Paramètres!$A$1:$I$89,3,0)*VLOOKUP('Données projet'!$B$10,Paramètres!$A$1:$I$89,5,0)</f>
        <v>83.932679999999991</v>
      </c>
      <c r="AK35" s="13">
        <f t="shared" si="35"/>
        <v>23.096042840744811</v>
      </c>
      <c r="AL35" s="20">
        <f t="shared" si="4"/>
        <v>186.40835894763052</v>
      </c>
      <c r="AM35" s="59">
        <f t="shared" si="5"/>
        <v>431.04611958785233</v>
      </c>
      <c r="AN35" s="59">
        <f ca="1">AVERAGE(OFFSET($AM$3,0,0,'Données projet'!$E$10+1,1))-AVERAGE(OFFSET($H$3,0,0,'Données projet'!$E$10+1,1))</f>
        <v>329.7518221182429</v>
      </c>
      <c r="AO35" s="59">
        <f t="shared" si="36"/>
        <v>207.30737400651807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56.719389265515055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189.62971370839551</v>
      </c>
      <c r="BJ35" s="59">
        <f t="shared" si="38"/>
        <v>457.05149684588173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118.71344960289696</v>
      </c>
      <c r="BQ35" s="21">
        <f>EXP(-LN(2)/25)*BQ34+(1-EXP(-LN(2)/25))/(LN(2)/25)*Calculateur!BL35*Calculateur!BN35*VLOOKUP('Données projet'!$B$11,Paramètres!$A$1:$I$89,3,0)*0.475*44/12</f>
        <v>13.601763684519272</v>
      </c>
      <c r="BR35" s="21">
        <f>EXP(-LN(2)/2)*BR34+(1-EXP(-LN(2)/2))/(LN(2)/2)*BL35*BO35*VLOOKUP('Données projet'!$B$11,Paramètres!$A$1:$I$89,3,0)*0.475*44/12</f>
        <v>2.2481003001277446E-2</v>
      </c>
      <c r="BS35" s="22">
        <f t="shared" si="9"/>
        <v>132.33769429041752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56.719389265515055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>
        <f>BY35*VLOOKUP('Données projet'!$B$12,Paramètres!$A$1:$I$89,3,0)*VLOOKUP('Données projet'!$B$12,Paramètres!$A$1:$I$89,5,0)</f>
        <v>0</v>
      </c>
      <c r="CA35" s="13" t="e">
        <f t="shared" si="39"/>
        <v>#NUM!</v>
      </c>
      <c r="CB35" s="20" t="e">
        <f t="shared" si="10"/>
        <v>#NUM!</v>
      </c>
      <c r="CC35" s="59" t="e">
        <f t="shared" si="11"/>
        <v>#NUM!</v>
      </c>
      <c r="CD35" s="59">
        <f ca="1">AVERAGE(OFFSET($CC$3,0,0,'Données projet'!$E$12+1,1))-AVERAGE(OFFSET($H$3,0,0,'Données projet'!$E$12+1,1))</f>
        <v>170.04605856785227</v>
      </c>
      <c r="CE35" s="59">
        <f t="shared" si="40"/>
        <v>377.63973197638802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63.539203074968967</v>
      </c>
      <c r="CL35" s="21">
        <f>EXP(-LN(2)/25)*CL34+(1-EXP(-LN(2)/25))/(LN(2)/25)*Calculateur!CG35*Calculateur!CI35*VLOOKUP('Données projet'!$B$12,Paramètres!$A$1:$I$89,3,0)*0.475*44/12</f>
        <v>15.695417093170372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79.234620168139344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56.719389265515055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56.719389265515055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56.719389265515055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56.719389265515055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56.719389265515055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56.719389265515055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4.6500000000000004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17.05</v>
      </c>
      <c r="H36" s="66">
        <f t="shared" si="1"/>
        <v>188.46666666666667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56.949778170760794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8.0511538458333352</v>
      </c>
      <c r="N36" s="13">
        <f>IF('Données projet'!$A$36&gt;35,N35+M36-V35,IF(A36&lt;'Données projet'!$A$36,$K$205^A36,IF(A36='Données projet'!$A$36,'Données projet'!$B$36,N35+M36-V35)))</f>
        <v>99.499615387500015</v>
      </c>
      <c r="O36" s="13">
        <f>N36*VLOOKUP('Données projet'!$B$9,Paramètres!$A$1:$I$89,3,0)*VLOOKUP('Données projet'!$B$9,Paramètres!$A$1:$I$89,5,0)</f>
        <v>90.027252002610012</v>
      </c>
      <c r="P36" s="13">
        <f t="shared" si="33"/>
        <v>24.571797404897811</v>
      </c>
      <c r="Q36" s="20">
        <f t="shared" si="53"/>
        <v>199.59334438474278</v>
      </c>
      <c r="R36" s="59">
        <f t="shared" si="0"/>
        <v>445.07586434419903</v>
      </c>
      <c r="S36" s="59">
        <f ca="1">AVERAGE(OFFSET($R$3,0,0,'Données projet'!$E$9+1,1))-AVERAGE(OFFSET($H$3,0,0,'Données projet'!$E$9+1,1))</f>
        <v>664.27707313486087</v>
      </c>
      <c r="T36" s="59">
        <f t="shared" si="34"/>
        <v>206.64483278066874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56.949778170760794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16.511666666666667</v>
      </c>
      <c r="AI36" s="13">
        <f>IF('Données projet'!$A$62&gt;35,AI35+AH36-AQ35,IF(A36&lt;'Données projet'!$A$62,$AF$205^A36,IF(A36='Données projet'!$A$62,'Données projet'!$B$62,AI35+AH36-AQ35)))</f>
        <v>195.85499999999996</v>
      </c>
      <c r="AJ36" s="13">
        <f>AI36*VLOOKUP('Données projet'!$B$10,Paramètres!$A$1:$I$89,3,0)*VLOOKUP('Données projet'!$B$10,Paramètres!$A$1:$I$89,5,0)</f>
        <v>91.660139999999984</v>
      </c>
      <c r="AK36" s="13">
        <f t="shared" si="35"/>
        <v>24.96518387086504</v>
      </c>
      <c r="AL36" s="20">
        <f t="shared" si="4"/>
        <v>203.12243907508991</v>
      </c>
      <c r="AM36" s="59">
        <f t="shared" si="5"/>
        <v>448.60495903454614</v>
      </c>
      <c r="AN36" s="59">
        <f ca="1">AVERAGE(OFFSET($AM$3,0,0,'Données projet'!$E$10+1,1))-AVERAGE(OFFSET($H$3,0,0,'Données projet'!$E$10+1,1))</f>
        <v>329.7518221182429</v>
      </c>
      <c r="AO36" s="59">
        <f t="shared" si="36"/>
        <v>207.30737400651807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56.949778170760794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189.62971370839551</v>
      </c>
      <c r="BJ36" s="59">
        <f t="shared" si="38"/>
        <v>457.05149684588173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116.3855512642387</v>
      </c>
      <c r="BQ36" s="21">
        <f>EXP(-LN(2)/25)*BQ35+(1-EXP(-LN(2)/25))/(LN(2)/25)*Calculateur!BL36*Calculateur!BN36*VLOOKUP('Données projet'!$B$11,Paramètres!$A$1:$I$89,3,0)*0.475*44/12</f>
        <v>13.229822741280428</v>
      </c>
      <c r="BR36" s="21">
        <f>EXP(-LN(2)/2)*BR35+(1-EXP(-LN(2)/2))/(LN(2)/2)*BL36*BO36*VLOOKUP('Données projet'!$B$11,Paramètres!$A$1:$I$89,3,0)*0.475*44/12</f>
        <v>1.5896469670078409E-2</v>
      </c>
      <c r="BS36" s="22">
        <f t="shared" si="9"/>
        <v>129.63127047518921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56.949778170760794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>
        <f>BY36*VLOOKUP('Données projet'!$B$12,Paramètres!$A$1:$I$89,3,0)*VLOOKUP('Données projet'!$B$12,Paramètres!$A$1:$I$89,5,0)</f>
        <v>0</v>
      </c>
      <c r="CA36" s="13" t="e">
        <f t="shared" si="39"/>
        <v>#NUM!</v>
      </c>
      <c r="CB36" s="20" t="e">
        <f t="shared" si="10"/>
        <v>#NUM!</v>
      </c>
      <c r="CC36" s="59" t="e">
        <f t="shared" si="11"/>
        <v>#NUM!</v>
      </c>
      <c r="CD36" s="59">
        <f ca="1">AVERAGE(OFFSET($CC$3,0,0,'Données projet'!$E$12+1,1))-AVERAGE(OFFSET($H$3,0,0,'Données projet'!$E$12+1,1))</f>
        <v>170.04605856785227</v>
      </c>
      <c r="CE36" s="59">
        <f t="shared" si="40"/>
        <v>377.63973197638802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62.293238057755957</v>
      </c>
      <c r="CL36" s="21">
        <f>EXP(-LN(2)/25)*CL35+(1-EXP(-LN(2)/25))/(LN(2)/25)*Calculateur!CG36*Calculateur!CI36*VLOOKUP('Données projet'!$B$12,Paramètres!$A$1:$I$89,3,0)*0.475*44/12</f>
        <v>15.266225087371515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77.559463145127467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56.949778170760794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56.949778170760794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56.949778170760794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56.949778170760794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56.949778170760794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56.949778170760794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4.6500000000000004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17.05</v>
      </c>
      <c r="H37" s="66">
        <f t="shared" si="1"/>
        <v>188.46666666666667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57.176170343572963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8.0511538458333352</v>
      </c>
      <c r="N37" s="13">
        <f>IF('Données projet'!$A$36&gt;35,N36+M37-V36,IF(A37&lt;'Données projet'!$A$36,$K$205^A37,IF(A37='Données projet'!$A$36,'Données projet'!$B$36,N36+M37-V36)))</f>
        <v>107.55076923333336</v>
      </c>
      <c r="O37" s="13">
        <f>N37*VLOOKUP('Données projet'!$B$9,Paramètres!$A$1:$I$89,3,0)*VLOOKUP('Données projet'!$B$9,Paramètres!$A$1:$I$89,5,0)</f>
        <v>97.31193600232001</v>
      </c>
      <c r="P37" s="13">
        <f t="shared" si="33"/>
        <v>26.32059133482085</v>
      </c>
      <c r="Q37" s="20">
        <f t="shared" si="53"/>
        <v>215.32665177885363</v>
      </c>
      <c r="R37" s="59">
        <f t="shared" si="0"/>
        <v>461.63927637195445</v>
      </c>
      <c r="S37" s="59">
        <f ca="1">AVERAGE(OFFSET($R$3,0,0,'Données projet'!$E$9+1,1))-AVERAGE(OFFSET($H$3,0,0,'Données projet'!$E$9+1,1))</f>
        <v>664.27707313486087</v>
      </c>
      <c r="T37" s="59">
        <f t="shared" si="34"/>
        <v>206.64483278066874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57.176170343572963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16.511666666666667</v>
      </c>
      <c r="AI37" s="13">
        <f>IF('Données projet'!$A$62&gt;35,AI36+AH37-AQ36,IF(A37&lt;'Données projet'!$A$62,$AF$205^A37,IF(A37='Données projet'!$A$62,'Données projet'!$B$62,AI36+AH37-AQ36)))</f>
        <v>212.36666666666662</v>
      </c>
      <c r="AJ37" s="13">
        <f>AI37*VLOOKUP('Données projet'!$B$10,Paramètres!$A$1:$I$89,3,0)*VLOOKUP('Données projet'!$B$10,Paramètres!$A$1:$I$89,5,0)</f>
        <v>99.387599999999978</v>
      </c>
      <c r="AK37" s="13">
        <f t="shared" si="35"/>
        <v>26.816049574516668</v>
      </c>
      <c r="AL37" s="20">
        <f t="shared" si="4"/>
        <v>219.80468967561649</v>
      </c>
      <c r="AM37" s="59">
        <f t="shared" si="5"/>
        <v>466.11731426871734</v>
      </c>
      <c r="AN37" s="59">
        <f ca="1">AVERAGE(OFFSET($AM$3,0,0,'Données projet'!$E$10+1,1))-AVERAGE(OFFSET($H$3,0,0,'Données projet'!$E$10+1,1))</f>
        <v>329.7518221182429</v>
      </c>
      <c r="AO37" s="59">
        <f t="shared" si="36"/>
        <v>207.30737400651807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57.176170343572963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189.62971370839551</v>
      </c>
      <c r="BJ37" s="59">
        <f t="shared" si="38"/>
        <v>457.05149684588173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114.10330159212376</v>
      </c>
      <c r="BQ37" s="21">
        <f>EXP(-LN(2)/25)*BQ36+(1-EXP(-LN(2)/25))/(LN(2)/25)*Calculateur!BL37*Calculateur!BN37*VLOOKUP('Données projet'!$B$11,Paramètres!$A$1:$I$89,3,0)*0.475*44/12</f>
        <v>12.868052542693974</v>
      </c>
      <c r="BR37" s="21">
        <f>EXP(-LN(2)/2)*BR36+(1-EXP(-LN(2)/2))/(LN(2)/2)*BL37*BO37*VLOOKUP('Données projet'!$B$11,Paramètres!$A$1:$I$89,3,0)*0.475*44/12</f>
        <v>1.1240501500638723E-2</v>
      </c>
      <c r="BS37" s="22">
        <f t="shared" si="9"/>
        <v>126.98259463631837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57.176170343572963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>
        <f>BY37*VLOOKUP('Données projet'!$B$12,Paramètres!$A$1:$I$89,3,0)*VLOOKUP('Données projet'!$B$12,Paramètres!$A$1:$I$89,5,0)</f>
        <v>0</v>
      </c>
      <c r="CA37" s="13" t="e">
        <f t="shared" si="39"/>
        <v>#NUM!</v>
      </c>
      <c r="CB37" s="20" t="e">
        <f t="shared" si="10"/>
        <v>#NUM!</v>
      </c>
      <c r="CC37" s="59" t="e">
        <f t="shared" si="11"/>
        <v>#NUM!</v>
      </c>
      <c r="CD37" s="59">
        <f ca="1">AVERAGE(OFFSET($CC$3,0,0,'Données projet'!$E$12+1,1))-AVERAGE(OFFSET($H$3,0,0,'Données projet'!$E$12+1,1))</f>
        <v>170.04605856785227</v>
      </c>
      <c r="CE37" s="59">
        <f t="shared" si="40"/>
        <v>377.63973197638802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61.07170565456687</v>
      </c>
      <c r="CL37" s="21">
        <f>EXP(-LN(2)/25)*CL36+(1-EXP(-LN(2)/25))/(LN(2)/25)*Calculateur!CG37*Calculateur!CI37*VLOOKUP('Données projet'!$B$12,Paramètres!$A$1:$I$89,3,0)*0.475*44/12</f>
        <v>14.848769359541455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75.92047501410832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57.176170343572963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57.176170343572963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57.176170343572963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57.176170343572963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57.176170343572963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57.176170343572963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4.6500000000000004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17.05</v>
      </c>
      <c r="H38" s="66">
        <f t="shared" si="1"/>
        <v>188.46666666666667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57.398635118323895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8.0511538458333352</v>
      </c>
      <c r="N38" s="13">
        <f>IF('Données projet'!$A$36&gt;35,N37+M38-V37,IF(A38&lt;'Données projet'!$A$36,$K$205^A38,IF(A38='Données projet'!$A$36,'Données projet'!$B$36,N37+M38-V37)))</f>
        <v>115.6019230791667</v>
      </c>
      <c r="O38" s="13">
        <f>N38*VLOOKUP('Données projet'!$B$9,Paramètres!$A$1:$I$89,3,0)*VLOOKUP('Données projet'!$B$9,Paramètres!$A$1:$I$89,5,0)</f>
        <v>104.59662000203002</v>
      </c>
      <c r="P38" s="13">
        <f t="shared" si="33"/>
        <v>28.054198207933389</v>
      </c>
      <c r="Q38" s="20">
        <f t="shared" si="53"/>
        <v>231.03350838235292</v>
      </c>
      <c r="R38" s="59">
        <f t="shared" si="0"/>
        <v>478.16183714954059</v>
      </c>
      <c r="S38" s="59">
        <f ca="1">AVERAGE(OFFSET($R$3,0,0,'Données projet'!$E$9+1,1))-AVERAGE(OFFSET($H$3,0,0,'Données projet'!$E$9+1,1))</f>
        <v>664.27707313486087</v>
      </c>
      <c r="T38" s="59">
        <f t="shared" si="34"/>
        <v>206.64483278066874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57.398635118323895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16.511666666666667</v>
      </c>
      <c r="AI38" s="13">
        <f>IF('Données projet'!$A$62&gt;35,AI37+AH38-AQ37,IF(A38&lt;'Données projet'!$A$62,$AF$205^A38,IF(A38='Données projet'!$A$62,'Données projet'!$B$62,AI37+AH38-AQ37)))</f>
        <v>228.87833333333327</v>
      </c>
      <c r="AJ38" s="13">
        <f>AI38*VLOOKUP('Données projet'!$B$10,Paramètres!$A$1:$I$89,3,0)*VLOOKUP('Données projet'!$B$10,Paramètres!$A$1:$I$89,5,0)</f>
        <v>107.11505999999997</v>
      </c>
      <c r="AK38" s="13">
        <f t="shared" si="35"/>
        <v>28.650222425077892</v>
      </c>
      <c r="AL38" s="20">
        <f t="shared" si="4"/>
        <v>236.45786689034392</v>
      </c>
      <c r="AM38" s="59">
        <f t="shared" si="5"/>
        <v>483.58619565753156</v>
      </c>
      <c r="AN38" s="59">
        <f ca="1">AVERAGE(OFFSET($AM$3,0,0,'Données projet'!$E$10+1,1))-AVERAGE(OFFSET($H$3,0,0,'Données projet'!$E$10+1,1))</f>
        <v>329.7518221182429</v>
      </c>
      <c r="AO38" s="59">
        <f t="shared" si="36"/>
        <v>207.30737400651807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57.398635118323895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189.62971370839551</v>
      </c>
      <c r="BJ38" s="59">
        <f t="shared" si="38"/>
        <v>457.05149684588173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111.86580544404413</v>
      </c>
      <c r="BQ38" s="21">
        <f>EXP(-LN(2)/25)*BQ37+(1-EXP(-LN(2)/25))/(LN(2)/25)*Calculateur!BL38*Calculateur!BN38*VLOOKUP('Données projet'!$B$11,Paramètres!$A$1:$I$89,3,0)*0.475*44/12</f>
        <v>12.516174969212534</v>
      </c>
      <c r="BR38" s="21">
        <f>EXP(-LN(2)/2)*BR37+(1-EXP(-LN(2)/2))/(LN(2)/2)*BL38*BO38*VLOOKUP('Données projet'!$B$11,Paramètres!$A$1:$I$89,3,0)*0.475*44/12</f>
        <v>7.9482348350392047E-3</v>
      </c>
      <c r="BS38" s="22">
        <f t="shared" si="9"/>
        <v>124.3899286480917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57.398635118323895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9" t="e">
        <f t="shared" si="11"/>
        <v>#NUM!</v>
      </c>
      <c r="CD38" s="59">
        <f ca="1">AVERAGE(OFFSET($CC$3,0,0,'Données projet'!$E$12+1,1))-AVERAGE(OFFSET($H$3,0,0,'Données projet'!$E$12+1,1))</f>
        <v>170.04605856785227</v>
      </c>
      <c r="CE38" s="59">
        <f t="shared" si="40"/>
        <v>377.63973197638802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59.874126756743124</v>
      </c>
      <c r="CL38" s="21">
        <f>EXP(-LN(2)/25)*CL37+(1-EXP(-LN(2)/25))/(LN(2)/25)*Calculateur!CG38*Calculateur!CI38*VLOOKUP('Données projet'!$B$12,Paramètres!$A$1:$I$89,3,0)*0.475*44/12</f>
        <v>14.442728980541951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74.316855737285067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57.398635118323895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57.398635118323895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57.398635118323895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57.398635118323895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57.398635118323895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57.398635118323895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4.6500000000000004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17.05</v>
      </c>
      <c r="H39" s="66">
        <f t="shared" si="1"/>
        <v>188.46666666666667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57.617240626589641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8.0511538458333352</v>
      </c>
      <c r="N39" s="13">
        <f>IF('Données projet'!$A$36&gt;35,N38+M39-V38,IF(A39&lt;'Données projet'!$A$36,$K$205^A39,IF(A39='Données projet'!$A$36,'Données projet'!$B$36,N38+M39-V38)))</f>
        <v>123.65307692500004</v>
      </c>
      <c r="O39" s="13">
        <f>N39*VLOOKUP('Données projet'!$B$9,Paramètres!$A$1:$I$89,3,0)*VLOOKUP('Données projet'!$B$9,Paramètres!$A$1:$I$89,5,0)</f>
        <v>111.88130400174003</v>
      </c>
      <c r="P39" s="13">
        <f t="shared" si="33"/>
        <v>29.77379604943637</v>
      </c>
      <c r="Q39" s="20">
        <f t="shared" si="53"/>
        <v>246.71596592246559</v>
      </c>
      <c r="R39" s="59">
        <f t="shared" si="0"/>
        <v>494.64584821996095</v>
      </c>
      <c r="S39" s="59">
        <f ca="1">AVERAGE(OFFSET($R$3,0,0,'Données projet'!$E$9+1,1))-AVERAGE(OFFSET($H$3,0,0,'Données projet'!$E$9+1,1))</f>
        <v>664.27707313486087</v>
      </c>
      <c r="T39" s="59">
        <f t="shared" si="34"/>
        <v>206.64483278066874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57.617240626589641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16.511666666666667</v>
      </c>
      <c r="AI39" s="13">
        <f>IF('Données projet'!$A$62&gt;35,AI38+AH39-AQ38,IF(A39&lt;'Données projet'!$A$62,$AF$205^A39,IF(A39='Données projet'!$A$62,'Données projet'!$B$62,AI38+AH39-AQ38)))</f>
        <v>245.38999999999993</v>
      </c>
      <c r="AJ39" s="13">
        <f>AI39*VLOOKUP('Données projet'!$B$10,Paramètres!$A$1:$I$89,3,0)*VLOOKUP('Données projet'!$B$10,Paramètres!$A$1:$I$89,5,0)</f>
        <v>114.84251999999996</v>
      </c>
      <c r="AK39" s="13">
        <f t="shared" si="35"/>
        <v>30.469043629741822</v>
      </c>
      <c r="AL39" s="20">
        <f t="shared" si="4"/>
        <v>253.08430665513359</v>
      </c>
      <c r="AM39" s="59">
        <f t="shared" si="5"/>
        <v>501.01418895262896</v>
      </c>
      <c r="AN39" s="59">
        <f ca="1">AVERAGE(OFFSET($AM$3,0,0,'Données projet'!$E$10+1,1))-AVERAGE(OFFSET($H$3,0,0,'Données projet'!$E$10+1,1))</f>
        <v>329.7518221182429</v>
      </c>
      <c r="AO39" s="59">
        <f t="shared" si="36"/>
        <v>207.30737400651807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57.617240626589641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189.62971370839551</v>
      </c>
      <c r="BJ39" s="59">
        <f t="shared" si="38"/>
        <v>457.05149684588173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109.67218523069045</v>
      </c>
      <c r="BQ39" s="21">
        <f>EXP(-LN(2)/25)*BQ38+(1-EXP(-LN(2)/25))/(LN(2)/25)*Calculateur!BL39*Calculateur!BN39*VLOOKUP('Données projet'!$B$11,Paramètres!$A$1:$I$89,3,0)*0.475*44/12</f>
        <v>12.173919506482381</v>
      </c>
      <c r="BR39" s="21">
        <f>EXP(-LN(2)/2)*BR38+(1-EXP(-LN(2)/2))/(LN(2)/2)*BL39*BO39*VLOOKUP('Données projet'!$B$11,Paramètres!$A$1:$I$89,3,0)*0.475*44/12</f>
        <v>5.6202507503193616E-3</v>
      </c>
      <c r="BS39" s="22">
        <f t="shared" si="9"/>
        <v>121.85172498792315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57.617240626589641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9" t="e">
        <f t="shared" si="11"/>
        <v>#NUM!</v>
      </c>
      <c r="CD39" s="59">
        <f ca="1">AVERAGE(OFFSET($CC$3,0,0,'Données projet'!$E$12+1,1))-AVERAGE(OFFSET($H$3,0,0,'Données projet'!$E$12+1,1))</f>
        <v>170.04605856785227</v>
      </c>
      <c r="CE39" s="59">
        <f t="shared" si="40"/>
        <v>377.63973197638802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58.700031650654701</v>
      </c>
      <c r="CL39" s="21">
        <f>EXP(-LN(2)/25)*CL38+(1-EXP(-LN(2)/25))/(LN(2)/25)*Calculateur!CG39*Calculateur!CI39*VLOOKUP('Données projet'!$B$12,Paramètres!$A$1:$I$89,3,0)*0.475*44/12</f>
        <v>14.047791797058924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72.747823447713628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57.617240626589641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57.617240626589641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57.617240626589641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57.617240626589641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57.617240626589641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57.617240626589641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4.6500000000000004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17.05</v>
      </c>
      <c r="H40" s="66">
        <f t="shared" si="1"/>
        <v>188.46666666666667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57.832053818015673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8.0511538458333352</v>
      </c>
      <c r="N40" s="13">
        <f>IF('Données projet'!$A$36&gt;35,N39+M40-V39,IF(A40&lt;'Données projet'!$A$36,$K$205^A40,IF(A40='Données projet'!$A$36,'Données projet'!$B$36,N39+M40-V39)))</f>
        <v>131.70423077083336</v>
      </c>
      <c r="O40" s="13">
        <f>N40*VLOOKUP('Données projet'!$B$9,Paramètres!$A$1:$I$89,3,0)*VLOOKUP('Données projet'!$B$9,Paramètres!$A$1:$I$89,5,0)</f>
        <v>119.16598800145002</v>
      </c>
      <c r="P40" s="13">
        <f t="shared" si="33"/>
        <v>31.480400804874247</v>
      </c>
      <c r="Q40" s="20">
        <f t="shared" si="53"/>
        <v>262.37579383768139</v>
      </c>
      <c r="R40" s="59">
        <f t="shared" si="0"/>
        <v>511.09332450373893</v>
      </c>
      <c r="S40" s="59">
        <f ca="1">AVERAGE(OFFSET($R$3,0,0,'Données projet'!$E$9+1,1))-AVERAGE(OFFSET($H$3,0,0,'Données projet'!$E$9+1,1))</f>
        <v>664.27707313486087</v>
      </c>
      <c r="T40" s="59">
        <f t="shared" si="34"/>
        <v>206.64483278066874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57.832053818015673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16.511666666666667</v>
      </c>
      <c r="AI40" s="13">
        <f>IF('Données projet'!$A$62&gt;35,AI39+AH40-AQ39,IF(A40&lt;'Données projet'!$A$62,$AF$205^A40,IF(A40='Données projet'!$A$62,'Données projet'!$B$62,AI39+AH40-AQ39)))</f>
        <v>261.90166666666659</v>
      </c>
      <c r="AJ40" s="13">
        <f>AI40*VLOOKUP('Données projet'!$B$10,Paramètres!$A$1:$I$89,3,0)*VLOOKUP('Données projet'!$B$10,Paramètres!$A$1:$I$89,5,0)</f>
        <v>122.56997999999996</v>
      </c>
      <c r="AK40" s="13">
        <f t="shared" si="35"/>
        <v>32.27366368975963</v>
      </c>
      <c r="AL40" s="20">
        <f t="shared" si="4"/>
        <v>269.68601275966461</v>
      </c>
      <c r="AM40" s="59">
        <f t="shared" si="5"/>
        <v>518.40354342572209</v>
      </c>
      <c r="AN40" s="59">
        <f ca="1">AVERAGE(OFFSET($AM$3,0,0,'Données projet'!$E$10+1,1))-AVERAGE(OFFSET($H$3,0,0,'Données projet'!$E$10+1,1))</f>
        <v>329.7518221182429</v>
      </c>
      <c r="AO40" s="59">
        <f t="shared" si="36"/>
        <v>207.30737400651807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57.832053818015673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189.62971370839551</v>
      </c>
      <c r="BJ40" s="59">
        <f t="shared" si="38"/>
        <v>457.05149684588173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107.52158057174442</v>
      </c>
      <c r="BQ40" s="21">
        <f>EXP(-LN(2)/25)*BQ39+(1-EXP(-LN(2)/25))/(LN(2)/25)*Calculateur!BL40*Calculateur!BN40*VLOOKUP('Données projet'!$B$11,Paramètres!$A$1:$I$89,3,0)*0.475*44/12</f>
        <v>11.841023037379017</v>
      </c>
      <c r="BR40" s="21">
        <f>EXP(-LN(2)/2)*BR39+(1-EXP(-LN(2)/2))/(LN(2)/2)*BL40*BO40*VLOOKUP('Données projet'!$B$11,Paramètres!$A$1:$I$89,3,0)*0.475*44/12</f>
        <v>3.9741174175196023E-3</v>
      </c>
      <c r="BS40" s="22">
        <f t="shared" si="9"/>
        <v>119.36657772654095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57.832053818015673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9" t="e">
        <f t="shared" si="11"/>
        <v>#NUM!</v>
      </c>
      <c r="CD40" s="59">
        <f ca="1">AVERAGE(OFFSET($CC$3,0,0,'Données projet'!$E$12+1,1))-AVERAGE(OFFSET($H$3,0,0,'Données projet'!$E$12+1,1))</f>
        <v>170.04605856785227</v>
      </c>
      <c r="CE40" s="59">
        <f t="shared" si="40"/>
        <v>377.63973197638802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57.548959833469368</v>
      </c>
      <c r="CL40" s="21">
        <f>EXP(-LN(2)/25)*CL39+(1-EXP(-LN(2)/25))/(LN(2)/25)*Calculateur!CG40*Calculateur!CI40*VLOOKUP('Données projet'!$B$12,Paramètres!$A$1:$I$89,3,0)*0.475*44/12</f>
        <v>13.663654191627083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71.212614025096457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57.832053818015673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57.832053818015673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57.832053818015673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57.832053818015673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57.832053818015673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57.832053818015673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4.6500000000000004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17.05</v>
      </c>
      <c r="H41" s="66">
        <f t="shared" si="1"/>
        <v>188.46666666666667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58.04314048082081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8.0511538458333352</v>
      </c>
      <c r="N41" s="13">
        <f>IF('Données projet'!$A$36&gt;35,N40+M41-V40,IF(A41&lt;'Données projet'!$A$36,$K$205^A41,IF(A41='Données projet'!$A$36,'Données projet'!$B$36,N40+M41-V40)))</f>
        <v>139.7553846166667</v>
      </c>
      <c r="O41" s="13">
        <f>N41*VLOOKUP('Données projet'!$B$9,Paramètres!$A$1:$I$89,3,0)*VLOOKUP('Données projet'!$B$9,Paramètres!$A$1:$I$89,5,0)</f>
        <v>126.45067200116003</v>
      </c>
      <c r="P41" s="13">
        <f t="shared" si="33"/>
        <v>33.174897190349434</v>
      </c>
      <c r="Q41" s="20">
        <f t="shared" si="53"/>
        <v>278.01453300854564</v>
      </c>
      <c r="R41" s="59">
        <f t="shared" si="0"/>
        <v>527.50604810488858</v>
      </c>
      <c r="S41" s="59">
        <f ca="1">AVERAGE(OFFSET($R$3,0,0,'Données projet'!$E$9+1,1))-AVERAGE(OFFSET($H$3,0,0,'Données projet'!$E$9+1,1))</f>
        <v>664.27707313486087</v>
      </c>
      <c r="T41" s="59">
        <f t="shared" si="34"/>
        <v>206.64483278066874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58.04314048082081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16.511666666666667</v>
      </c>
      <c r="AI41" s="13">
        <f>IF('Données projet'!$A$62&gt;35,AI40+AH41-AQ40,IF(A41&lt;'Données projet'!$A$62,$AF$205^A41,IF(A41='Données projet'!$A$62,'Données projet'!$B$62,AI40+AH41-AQ40)))</f>
        <v>278.41333333333324</v>
      </c>
      <c r="AJ41" s="13">
        <f>AI41*VLOOKUP('Données projet'!$B$10,Paramètres!$A$1:$I$89,3,0)*VLOOKUP('Données projet'!$B$10,Paramètres!$A$1:$I$89,5,0)</f>
        <v>130.29743999999997</v>
      </c>
      <c r="AK41" s="13">
        <f t="shared" si="35"/>
        <v>34.06507983892925</v>
      </c>
      <c r="AL41" s="20">
        <f t="shared" si="4"/>
        <v>286.26472205280169</v>
      </c>
      <c r="AM41" s="59">
        <f t="shared" si="5"/>
        <v>535.75623714914468</v>
      </c>
      <c r="AN41" s="59">
        <f ca="1">AVERAGE(OFFSET($AM$3,0,0,'Données projet'!$E$10+1,1))-AVERAGE(OFFSET($H$3,0,0,'Données projet'!$E$10+1,1))</f>
        <v>329.7518221182429</v>
      </c>
      <c r="AO41" s="59">
        <f t="shared" si="36"/>
        <v>207.30737400651807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58.04314048082081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189.62971370839551</v>
      </c>
      <c r="BJ41" s="59">
        <f t="shared" si="38"/>
        <v>457.05149684588173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105.41314795842101</v>
      </c>
      <c r="BQ41" s="21">
        <f>EXP(-LN(2)/25)*BQ40+(1-EXP(-LN(2)/25))/(LN(2)/25)*Calculateur!BL41*Calculateur!BN41*VLOOKUP('Données projet'!$B$11,Paramètres!$A$1:$I$89,3,0)*0.475*44/12</f>
        <v>11.51722963972955</v>
      </c>
      <c r="BR41" s="21">
        <f>EXP(-LN(2)/2)*BR40+(1-EXP(-LN(2)/2))/(LN(2)/2)*BL41*BO41*VLOOKUP('Données projet'!$B$11,Paramètres!$A$1:$I$89,3,0)*0.475*44/12</f>
        <v>2.8101253751596808E-3</v>
      </c>
      <c r="BS41" s="22">
        <f t="shared" si="9"/>
        <v>116.93318772352572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58.04314048082081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9" t="e">
        <f t="shared" si="11"/>
        <v>#NUM!</v>
      </c>
      <c r="CD41" s="59">
        <f ca="1">AVERAGE(OFFSET($CC$3,0,0,'Données projet'!$E$12+1,1))-AVERAGE(OFFSET($H$3,0,0,'Données projet'!$E$12+1,1))</f>
        <v>170.04605856785227</v>
      </c>
      <c r="CE41" s="59">
        <f t="shared" si="40"/>
        <v>377.63973197638802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56.420459832534554</v>
      </c>
      <c r="CL41" s="21">
        <f>EXP(-LN(2)/25)*CL40+(1-EXP(-LN(2)/25))/(LN(2)/25)*Calculateur!CG41*Calculateur!CI41*VLOOKUP('Données projet'!$B$12,Paramètres!$A$1:$I$89,3,0)*0.475*44/12</f>
        <v>13.290020849216695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69.71048068175125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58.04314048082081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58.04314048082081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58.04314048082081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58.04314048082081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58.04314048082081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58.04314048082081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4.6500000000000004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17.05</v>
      </c>
      <c r="H42" s="66">
        <f t="shared" si="1"/>
        <v>188.46666666666667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58.250565261945361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8.0511538458333352</v>
      </c>
      <c r="N42" s="13">
        <f>IF('Données projet'!$A$36&gt;35,N41+M42-V41,IF(A42&lt;'Données projet'!$A$36,$K$205^A42,IF(A42='Données projet'!$A$36,'Données projet'!$B$36,N41+M42-V41)))</f>
        <v>147.80653846250004</v>
      </c>
      <c r="O42" s="13">
        <f>N42*VLOOKUP('Données projet'!$B$9,Paramètres!$A$1:$I$89,3,0)*VLOOKUP('Données projet'!$B$9,Paramètres!$A$1:$I$89,5,0)</f>
        <v>133.73535600087004</v>
      </c>
      <c r="P42" s="13">
        <f t="shared" si="33"/>
        <v>34.858062229144778</v>
      </c>
      <c r="Q42" s="20">
        <f t="shared" si="53"/>
        <v>293.63353675060915</v>
      </c>
      <c r="R42" s="59">
        <f t="shared" si="0"/>
        <v>543.88560937774218</v>
      </c>
      <c r="S42" s="59">
        <f ca="1">AVERAGE(OFFSET($R$3,0,0,'Données projet'!$E$9+1,1))-AVERAGE(OFFSET($H$3,0,0,'Données projet'!$E$9+1,1))</f>
        <v>664.27707313486087</v>
      </c>
      <c r="T42" s="59">
        <f t="shared" si="34"/>
        <v>206.64483278066874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58.250565261945361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16.511666666666667</v>
      </c>
      <c r="AI42" s="13">
        <f>IF('Données projet'!$A$62&gt;35,AI41+AH42-AQ41,IF(A42&lt;'Données projet'!$A$62,$AF$205^A42,IF(A42='Données projet'!$A$62,'Données projet'!$B$62,AI41+AH42-AQ41)))</f>
        <v>294.9249999999999</v>
      </c>
      <c r="AJ42" s="13">
        <f>AI42*VLOOKUP('Données projet'!$B$10,Paramètres!$A$1:$I$89,3,0)*VLOOKUP('Données projet'!$B$10,Paramètres!$A$1:$I$89,5,0)</f>
        <v>138.02489999999995</v>
      </c>
      <c r="AK42" s="13">
        <f t="shared" si="35"/>
        <v>35.844164344221397</v>
      </c>
      <c r="AL42" s="20">
        <f t="shared" si="4"/>
        <v>302.82195373285214</v>
      </c>
      <c r="AM42" s="59">
        <f t="shared" si="5"/>
        <v>553.07402635998506</v>
      </c>
      <c r="AN42" s="59">
        <f ca="1">AVERAGE(OFFSET($AM$3,0,0,'Données projet'!$E$10+1,1))-AVERAGE(OFFSET($H$3,0,0,'Données projet'!$E$10+1,1))</f>
        <v>329.7518221182429</v>
      </c>
      <c r="AO42" s="59">
        <f t="shared" si="36"/>
        <v>207.30737400651807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58.250565261945361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189.62971370839551</v>
      </c>
      <c r="BJ42" s="59">
        <f t="shared" si="38"/>
        <v>457.05149684588173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103.34606042262796</v>
      </c>
      <c r="BQ42" s="21">
        <f>EXP(-LN(2)/25)*BQ41+(1-EXP(-LN(2)/25))/(LN(2)/25)*Calculateur!BL42*Calculateur!BN42*VLOOKUP('Données projet'!$B$11,Paramètres!$A$1:$I$89,3,0)*0.475*44/12</f>
        <v>11.202290389566361</v>
      </c>
      <c r="BR42" s="21">
        <f>EXP(-LN(2)/2)*BR41+(1-EXP(-LN(2)/2))/(LN(2)/2)*BL42*BO42*VLOOKUP('Données projet'!$B$11,Paramètres!$A$1:$I$89,3,0)*0.475*44/12</f>
        <v>1.9870587087598012E-3</v>
      </c>
      <c r="BS42" s="22">
        <f t="shared" si="9"/>
        <v>114.55033787090308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58.250565261945361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9" t="e">
        <f t="shared" si="11"/>
        <v>#NUM!</v>
      </c>
      <c r="CD42" s="59">
        <f ca="1">AVERAGE(OFFSET($CC$3,0,0,'Données projet'!$E$12+1,1))-AVERAGE(OFFSET($H$3,0,0,'Données projet'!$E$12+1,1))</f>
        <v>170.04605856785227</v>
      </c>
      <c r="CE42" s="59">
        <f t="shared" si="40"/>
        <v>377.63973197638802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55.314089028301041</v>
      </c>
      <c r="CL42" s="21">
        <f>EXP(-LN(2)/25)*CL41+(1-EXP(-LN(2)/25))/(LN(2)/25)*Calculateur!CG42*Calculateur!CI42*VLOOKUP('Données projet'!$B$12,Paramètres!$A$1:$I$89,3,0)*0.475*44/12</f>
        <v>12.926604530203043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68.240693558504091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58.250565261945361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58.250565261945361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58.250565261945361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58.250565261945361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58.250565261945361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58.250565261945361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4.6500000000000004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17.05</v>
      </c>
      <c r="H43" s="66">
        <f t="shared" si="1"/>
        <v>188.46666666666667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58.454391686849739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8.0511538458333352</v>
      </c>
      <c r="N43" s="13">
        <f>IF('Données projet'!$A$36&gt;35,N42+M43-V42,IF(A43&lt;'Données projet'!$A$36,$K$205^A43,IF(A43='Données projet'!$A$36,'Données projet'!$B$36,N42+M43-V42)))</f>
        <v>155.85769230833338</v>
      </c>
      <c r="O43" s="13">
        <f>N43*VLOOKUP('Données projet'!$B$9,Paramètres!$A$1:$I$89,3,0)*VLOOKUP('Données projet'!$B$9,Paramètres!$A$1:$I$89,5,0)</f>
        <v>141.02004000058002</v>
      </c>
      <c r="P43" s="13">
        <f t="shared" si="33"/>
        <v>36.530583513362636</v>
      </c>
      <c r="Q43" s="20">
        <f t="shared" si="53"/>
        <v>309.23400262011683</v>
      </c>
      <c r="R43" s="59">
        <f t="shared" si="0"/>
        <v>560.23343880523248</v>
      </c>
      <c r="S43" s="59">
        <f ca="1">AVERAGE(OFFSET($R$3,0,0,'Données projet'!$E$9+1,1))-AVERAGE(OFFSET($H$3,0,0,'Données projet'!$E$9+1,1))</f>
        <v>664.27707313486087</v>
      </c>
      <c r="T43" s="59">
        <f t="shared" si="34"/>
        <v>206.64483278066874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58.454391686849739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16.511666666666667</v>
      </c>
      <c r="AI43" s="13">
        <f>IF('Données projet'!$A$62&gt;35,AI42+AH43-AQ42,IF(A43&lt;'Données projet'!$A$62,$AF$205^A43,IF(A43='Données projet'!$A$62,'Données projet'!$B$62,AI42+AH43-AQ42)))</f>
        <v>311.43666666666655</v>
      </c>
      <c r="AJ43" s="13">
        <f>AI43*VLOOKUP('Données projet'!$B$10,Paramètres!$A$1:$I$89,3,0)*VLOOKUP('Données projet'!$B$10,Paramètres!$A$1:$I$89,5,0)</f>
        <v>145.75235999999995</v>
      </c>
      <c r="AK43" s="13">
        <f t="shared" si="35"/>
        <v>37.611686286811327</v>
      </c>
      <c r="AL43" s="20">
        <f t="shared" si="4"/>
        <v>319.359047282863</v>
      </c>
      <c r="AM43" s="59">
        <f t="shared" si="5"/>
        <v>570.35848346797866</v>
      </c>
      <c r="AN43" s="59">
        <f ca="1">AVERAGE(OFFSET($AM$3,0,0,'Données projet'!$E$10+1,1))-AVERAGE(OFFSET($H$3,0,0,'Données projet'!$E$10+1,1))</f>
        <v>329.7518221182429</v>
      </c>
      <c r="AO43" s="59">
        <f t="shared" si="36"/>
        <v>207.30737400651807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58.454391686849739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189.62971370839551</v>
      </c>
      <c r="BJ43" s="59">
        <f t="shared" si="38"/>
        <v>457.05149684588173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101.3195072126129</v>
      </c>
      <c r="BQ43" s="21">
        <f>EXP(-LN(2)/25)*BQ42+(1-EXP(-LN(2)/25))/(LN(2)/25)*Calculateur!BL43*Calculateur!BN43*VLOOKUP('Données projet'!$B$11,Paramètres!$A$1:$I$89,3,0)*0.475*44/12</f>
        <v>10.895963169760821</v>
      </c>
      <c r="BR43" s="21">
        <f>EXP(-LN(2)/2)*BR42+(1-EXP(-LN(2)/2))/(LN(2)/2)*BL43*BO43*VLOOKUP('Données projet'!$B$11,Paramètres!$A$1:$I$89,3,0)*0.475*44/12</f>
        <v>1.4050626875798404E-3</v>
      </c>
      <c r="BS43" s="22">
        <f t="shared" si="9"/>
        <v>112.21687544506131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58.454391686849739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9" t="e">
        <f t="shared" si="11"/>
        <v>#NUM!</v>
      </c>
      <c r="CD43" s="59">
        <f ca="1">AVERAGE(OFFSET($CC$3,0,0,'Données projet'!$E$12+1,1))-AVERAGE(OFFSET($H$3,0,0,'Données projet'!$E$12+1,1))</f>
        <v>170.04605856785227</v>
      </c>
      <c r="CE43" s="59">
        <f t="shared" si="40"/>
        <v>377.63973197638802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54.229413480718989</v>
      </c>
      <c r="CL43" s="21">
        <f>EXP(-LN(2)/25)*CL42+(1-EXP(-LN(2)/25))/(LN(2)/25)*Calculateur!CG43*Calculateur!CI43*VLOOKUP('Données projet'!$B$12,Paramètres!$A$1:$I$89,3,0)*0.475*44/12</f>
        <v>12.573125849544054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66.802539330263045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58.454391686849739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58.454391686849739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58.454391686849739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58.454391686849739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58.454391686849739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58.454391686849739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4.6500000000000004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17.05</v>
      </c>
      <c r="H44" s="66">
        <f t="shared" si="1"/>
        <v>188.46666666666667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58.654682178969637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8.0511538458333352</v>
      </c>
      <c r="N44" s="13">
        <f>IF('Données projet'!$A$36&gt;35,N43+M44-V43,IF(A44&lt;'Données projet'!$A$36,$K$205^A44,IF(A44='Données projet'!$A$36,'Données projet'!$B$36,N43+M44-V43)))</f>
        <v>163.90884615416672</v>
      </c>
      <c r="O44" s="13">
        <f>N44*VLOOKUP('Données projet'!$B$9,Paramètres!$A$1:$I$89,3,0)*VLOOKUP('Données projet'!$B$9,Paramètres!$A$1:$I$89,5,0)</f>
        <v>148.30472400029004</v>
      </c>
      <c r="P44" s="13">
        <f t="shared" si="33"/>
        <v>38.193073584705921</v>
      </c>
      <c r="Q44" s="20">
        <f t="shared" si="53"/>
        <v>324.81699746053465</v>
      </c>
      <c r="R44" s="59">
        <f t="shared" si="0"/>
        <v>576.55083211675662</v>
      </c>
      <c r="S44" s="59">
        <f ca="1">AVERAGE(OFFSET($R$3,0,0,'Données projet'!$E$9+1,1))-AVERAGE(OFFSET($H$3,0,0,'Données projet'!$E$9+1,1))</f>
        <v>664.27707313486087</v>
      </c>
      <c r="T44" s="59">
        <f t="shared" si="34"/>
        <v>206.64483278066874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58.654682178969637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16.511666666666667</v>
      </c>
      <c r="AI44" s="13">
        <f>IF('Données projet'!$A$62&gt;35,AI43+AH44-AQ43,IF(A44&lt;'Données projet'!$A$62,$AF$205^A44,IF(A44='Données projet'!$A$62,'Données projet'!$B$62,AI43+AH44-AQ43)))</f>
        <v>327.94833333333321</v>
      </c>
      <c r="AJ44" s="13">
        <f>AI44*VLOOKUP('Données projet'!$B$10,Paramètres!$A$1:$I$89,3,0)*VLOOKUP('Données projet'!$B$10,Paramètres!$A$1:$I$89,5,0)</f>
        <v>153.47981999999993</v>
      </c>
      <c r="AK44" s="13">
        <f t="shared" si="35"/>
        <v>39.368328592132521</v>
      </c>
      <c r="AL44" s="20">
        <f t="shared" si="4"/>
        <v>335.87719213129731</v>
      </c>
      <c r="AM44" s="59">
        <f t="shared" si="5"/>
        <v>587.61102678751934</v>
      </c>
      <c r="AN44" s="59">
        <f ca="1">AVERAGE(OFFSET($AM$3,0,0,'Données projet'!$E$10+1,1))-AVERAGE(OFFSET($H$3,0,0,'Données projet'!$E$10+1,1))</f>
        <v>329.7518221182429</v>
      </c>
      <c r="AO44" s="59">
        <f t="shared" si="36"/>
        <v>207.30737400651807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58.654682178969637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189.62971370839551</v>
      </c>
      <c r="BJ44" s="59">
        <f t="shared" si="38"/>
        <v>457.05149684588173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99.332693474970839</v>
      </c>
      <c r="BQ44" s="21">
        <f>EXP(-LN(2)/25)*BQ43+(1-EXP(-LN(2)/25))/(LN(2)/25)*Calculateur!BL44*Calculateur!BN44*VLOOKUP('Données projet'!$B$11,Paramètres!$A$1:$I$89,3,0)*0.475*44/12</f>
        <v>10.59801248388991</v>
      </c>
      <c r="BR44" s="21">
        <f>EXP(-LN(2)/2)*BR43+(1-EXP(-LN(2)/2))/(LN(2)/2)*BL44*BO44*VLOOKUP('Données projet'!$B$11,Paramètres!$A$1:$I$89,3,0)*0.475*44/12</f>
        <v>9.9352935437990058E-4</v>
      </c>
      <c r="BS44" s="22">
        <f t="shared" si="9"/>
        <v>109.93169948821513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58.654682178969637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9" t="e">
        <f t="shared" si="11"/>
        <v>#NUM!</v>
      </c>
      <c r="CD44" s="59">
        <f ca="1">AVERAGE(OFFSET($CC$3,0,0,'Données projet'!$E$12+1,1))-AVERAGE(OFFSET($H$3,0,0,'Données projet'!$E$12+1,1))</f>
        <v>170.04605856785227</v>
      </c>
      <c r="CE44" s="59">
        <f t="shared" si="40"/>
        <v>377.63973197638802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53.166007759038266</v>
      </c>
      <c r="CL44" s="21">
        <f>EXP(-LN(2)/25)*CL43+(1-EXP(-LN(2)/25))/(LN(2)/25)*Calculateur!CG44*Calculateur!CI44*VLOOKUP('Données projet'!$B$12,Paramètres!$A$1:$I$89,3,0)*0.475*44/12</f>
        <v>12.22931306199632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65.395320821034588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58.654682178969637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58.654682178969637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58.654682178969637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58.654682178969637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58.654682178969637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58.654682178969637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4.6500000000000004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17.05</v>
      </c>
      <c r="H45" s="66">
        <f t="shared" si="1"/>
        <v>188.46666666666667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58.851498078833714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171.96</v>
      </c>
      <c r="L45" s="12">
        <f>VLOOKUP(A45,'Données projet'!$A$35:$I$55,9,0)</f>
        <v>8.0511538458333352</v>
      </c>
      <c r="M45" s="12">
        <f t="array" ref="M45">INDEX(L:L,MIN(IF(ISNUMBER(L45:L241),ROW(L45:L241),"")))</f>
        <v>8.0511538458333352</v>
      </c>
      <c r="N45" s="13">
        <f>IF('Données projet'!$A$36&gt;35,N44+M45-V44,IF(A45&lt;'Données projet'!$A$36,$K$205^A45,IF(A45='Données projet'!$A$36,'Données projet'!$B$36,N44+M45-V44)))</f>
        <v>171.96000000000006</v>
      </c>
      <c r="O45" s="13">
        <f>N45*VLOOKUP('Données projet'!$B$9,Paramètres!$A$1:$I$89,3,0)*VLOOKUP('Données projet'!$B$9,Paramètres!$A$1:$I$89,5,0)</f>
        <v>155.58940800000005</v>
      </c>
      <c r="P45" s="13">
        <f t="shared" si="33"/>
        <v>39.846081409537106</v>
      </c>
      <c r="Q45" s="20">
        <f t="shared" si="53"/>
        <v>340.38347738827719</v>
      </c>
      <c r="R45" s="59">
        <f t="shared" si="0"/>
        <v>592.83897034400081</v>
      </c>
      <c r="S45" s="59">
        <f ca="1">AVERAGE(OFFSET($R$3,0,0,'Données projet'!$E$9+1,1))-AVERAGE(OFFSET($H$3,0,0,'Données projet'!$E$9+1,1))</f>
        <v>664.27707313486087</v>
      </c>
      <c r="T45" s="59">
        <f t="shared" si="34"/>
        <v>206.64483278066874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43.21</v>
      </c>
      <c r="W45" s="16">
        <f>IF(ISNA(VLOOKUP(A45,'Données projet'!$A$35:$I$55,5,0)),0%,VLOOKUP(A45,'Données projet'!$A$35:$I$55,5,0)*VLOOKUP('Données projet'!$B$9,Paramètres!$A$1:$I$89,7,0))</f>
        <v>0.43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18.584566025758079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18.584566025758079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58.851498078833714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344.46</v>
      </c>
      <c r="AG45" s="12">
        <f>VLOOKUP(A45,'Données projet'!$A$61:$I$81,9,0)</f>
        <v>16.511666666666667</v>
      </c>
      <c r="AH45" s="12">
        <f t="array" ref="AH45">INDEX(AG:AG,MIN(IF(ISNUMBER(AG45:AG241),ROW(AG45:AG241),"")))</f>
        <v>16.511666666666667</v>
      </c>
      <c r="AI45" s="13">
        <f>IF('Données projet'!$A$62&gt;35,AI44+AH45-AQ44,IF(A45&lt;'Données projet'!$A$62,$AF$205^A45,IF(A45='Données projet'!$A$62,'Données projet'!$B$62,AI44+AH45-AQ44)))</f>
        <v>344.45999999999987</v>
      </c>
      <c r="AJ45" s="13">
        <f>AI45*VLOOKUP('Données projet'!$B$10,Paramètres!$A$1:$I$89,3,0)*VLOOKUP('Données projet'!$B$10,Paramètres!$A$1:$I$89,5,0)</f>
        <v>161.20727999999994</v>
      </c>
      <c r="AK45" s="13">
        <f t="shared" si="35"/>
        <v>41.114701532674296</v>
      </c>
      <c r="AL45" s="20">
        <f t="shared" si="4"/>
        <v>352.37745116940761</v>
      </c>
      <c r="AM45" s="59">
        <f t="shared" si="5"/>
        <v>604.83294412513123</v>
      </c>
      <c r="AN45" s="59">
        <f ca="1">AVERAGE(OFFSET($AM$3,0,0,'Données projet'!$E$10+1,1))-AVERAGE(OFFSET($H$3,0,0,'Données projet'!$E$10+1,1))</f>
        <v>329.7518221182429</v>
      </c>
      <c r="AO45" s="59">
        <f t="shared" si="36"/>
        <v>207.30737400651807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105.41</v>
      </c>
      <c r="AR45" s="16">
        <f>IF(ISNA(VLOOKUP(A45,'Données projet'!$A$61:$I$81,5,0)),0%,VLOOKUP(A45,'Données projet'!$A$61:$I$81,5,0)*VLOOKUP('Données projet'!$B$10,Paramètres!$A$1:$I$89,7,0))</f>
        <v>0.55000000000000004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35.99305519040481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35.99305519040481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58.851498078833714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189.62971370839551</v>
      </c>
      <c r="BJ45" s="59">
        <f t="shared" si="38"/>
        <v>457.05149684588173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97.384839942887211</v>
      </c>
      <c r="BQ45" s="21">
        <f>EXP(-LN(2)/25)*BQ44+(1-EXP(-LN(2)/25))/(LN(2)/25)*Calculateur!BL45*Calculateur!BN45*VLOOKUP('Données projet'!$B$11,Paramètres!$A$1:$I$89,3,0)*0.475*44/12</f>
        <v>10.308209275192686</v>
      </c>
      <c r="BR45" s="21">
        <f>EXP(-LN(2)/2)*BR44+(1-EXP(-LN(2)/2))/(LN(2)/2)*BL45*BO45*VLOOKUP('Données projet'!$B$11,Paramètres!$A$1:$I$89,3,0)*0.475*44/12</f>
        <v>7.025313437899202E-4</v>
      </c>
      <c r="BS45" s="22">
        <f t="shared" si="9"/>
        <v>107.69375174942368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58.851498078833714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9" t="e">
        <f t="shared" si="11"/>
        <v>#NUM!</v>
      </c>
      <c r="CD45" s="59">
        <f ca="1">AVERAGE(OFFSET($CC$3,0,0,'Données projet'!$E$12+1,1))-AVERAGE(OFFSET($H$3,0,0,'Données projet'!$E$12+1,1))</f>
        <v>170.04605856785227</v>
      </c>
      <c r="CE45" s="59">
        <f t="shared" si="40"/>
        <v>377.63973197638802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52.123454774946254</v>
      </c>
      <c r="CL45" s="21">
        <f>EXP(-LN(2)/25)*CL44+(1-EXP(-LN(2)/25))/(LN(2)/25)*Calculateur!CG45*Calculateur!CI45*VLOOKUP('Données projet'!$B$12,Paramètres!$A$1:$I$89,3,0)*0.475*44/12</f>
        <v>11.894901853204408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64.018356628150656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58.851498078833714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58.851498078833714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58.851498078833714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58.851498078833714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58.851498078833714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58.851498078833714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4.6500000000000004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17.05</v>
      </c>
      <c r="H46" s="66">
        <f t="shared" si="1"/>
        <v>188.46666666666667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59.044899662849581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9.9475000000000016</v>
      </c>
      <c r="N46" s="13">
        <f>IF('Données projet'!$A$36&gt;35,N45+M46-V45,IF(A46&lt;'Données projet'!$A$36,$K$205^A46,IF(A46='Données projet'!$A$36,'Données projet'!$B$36,N45+M46-V45)))</f>
        <v>138.69750000000005</v>
      </c>
      <c r="O46" s="13">
        <f>N46*VLOOKUP('Données projet'!$B$9,Paramètres!$A$1:$I$89,3,0)*VLOOKUP('Données projet'!$B$9,Paramètres!$A$1:$I$89,5,0)</f>
        <v>125.49349800000003</v>
      </c>
      <c r="P46" s="13">
        <f t="shared" si="33"/>
        <v>32.952910533336784</v>
      </c>
      <c r="Q46" s="20">
        <f t="shared" si="53"/>
        <v>275.96082819556159</v>
      </c>
      <c r="R46" s="59">
        <f t="shared" si="0"/>
        <v>529.12546029267673</v>
      </c>
      <c r="S46" s="59">
        <f ca="1">AVERAGE(OFFSET($R$3,0,0,'Données projet'!$E$9+1,1))-AVERAGE(OFFSET($H$3,0,0,'Données projet'!$E$9+1,1))</f>
        <v>664.27707313486087</v>
      </c>
      <c r="T46" s="59">
        <f t="shared" si="34"/>
        <v>206.64483278066874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18.220134021458954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18.220134021458954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59.044899662849581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17.080000000000002</v>
      </c>
      <c r="AI46" s="13">
        <f>IF('Données projet'!$A$62&gt;35,AI45+AH46-AQ45,IF(A46&lt;'Données projet'!$A$62,$AF$205^A46,IF(A46='Données projet'!$A$62,'Données projet'!$B$62,AI45+AH46-AQ45)))</f>
        <v>256.12999999999988</v>
      </c>
      <c r="AJ46" s="13">
        <f>AI46*VLOOKUP('Données projet'!$B$10,Paramètres!$A$1:$I$89,3,0)*VLOOKUP('Données projet'!$B$10,Paramètres!$A$1:$I$89,5,0)</f>
        <v>119.86883999999995</v>
      </c>
      <c r="AK46" s="13">
        <f t="shared" si="35"/>
        <v>31.644406431255067</v>
      </c>
      <c r="AL46" s="20">
        <f t="shared" si="4"/>
        <v>263.88557086776916</v>
      </c>
      <c r="AM46" s="59">
        <f t="shared" si="5"/>
        <v>517.05020296488431</v>
      </c>
      <c r="AN46" s="59">
        <f ca="1">AVERAGE(OFFSET($AM$3,0,0,'Données projet'!$E$10+1,1))-AVERAGE(OFFSET($H$3,0,0,'Données projet'!$E$10+1,1))</f>
        <v>329.7518221182429</v>
      </c>
      <c r="AO46" s="59">
        <f t="shared" si="36"/>
        <v>207.30737400651807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35.287253331716897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35.287253331716897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59.044899662849581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189.62971370839551</v>
      </c>
      <c r="BJ46" s="59">
        <f t="shared" si="38"/>
        <v>457.05149684588173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95.475182630494402</v>
      </c>
      <c r="BQ46" s="21">
        <f>EXP(-LN(2)/25)*BQ45+(1-EXP(-LN(2)/25))/(LN(2)/25)*Calculateur!BL46*Calculateur!BN46*VLOOKUP('Données projet'!$B$11,Paramètres!$A$1:$I$89,3,0)*0.475*44/12</f>
        <v>10.026330750477376</v>
      </c>
      <c r="BR46" s="21">
        <f>EXP(-LN(2)/2)*BR45+(1-EXP(-LN(2)/2))/(LN(2)/2)*BL46*BO46*VLOOKUP('Données projet'!$B$11,Paramètres!$A$1:$I$89,3,0)*0.475*44/12</f>
        <v>4.9676467718995029E-4</v>
      </c>
      <c r="BS46" s="22">
        <f t="shared" si="9"/>
        <v>105.50201014564897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59.044899662849581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170.04605856785227</v>
      </c>
      <c r="CE46" s="59">
        <f t="shared" si="40"/>
        <v>377.63973197638802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51.101345618977753</v>
      </c>
      <c r="CL46" s="21">
        <f>EXP(-LN(2)/25)*CL45+(1-EXP(-LN(2)/25))/(LN(2)/25)*Calculateur!CG46*Calculateur!CI46*VLOOKUP('Données projet'!$B$12,Paramètres!$A$1:$I$89,3,0)*0.475*44/12</f>
        <v>11.56963513650283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62.670980755480585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59.044899662849581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59.044899662849581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59.044899662849581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59.044899662849581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59.044899662849581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59.044899662849581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4.6500000000000004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17.05</v>
      </c>
      <c r="H47" s="66">
        <f t="shared" si="1"/>
        <v>188.46666666666667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59.234946161763943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9.9475000000000016</v>
      </c>
      <c r="N47" s="13">
        <f>IF('Données projet'!$A$36&gt;35,N46+M47-V46,IF(A47&lt;'Données projet'!$A$36,$K$205^A47,IF(A47='Données projet'!$A$36,'Données projet'!$B$36,N46+M47-V46)))</f>
        <v>148.64500000000004</v>
      </c>
      <c r="O47" s="13">
        <f>N47*VLOOKUP('Données projet'!$B$9,Paramètres!$A$1:$I$89,3,0)*VLOOKUP('Données projet'!$B$9,Paramètres!$A$1:$I$89,5,0)</f>
        <v>134.49399600000004</v>
      </c>
      <c r="P47" s="13">
        <f t="shared" si="33"/>
        <v>35.032727009666296</v>
      </c>
      <c r="Q47" s="20">
        <f t="shared" si="53"/>
        <v>295.25904257516885</v>
      </c>
      <c r="R47" s="59">
        <f t="shared" si="0"/>
        <v>549.12051183496999</v>
      </c>
      <c r="S47" s="59">
        <f ca="1">AVERAGE(OFFSET($R$3,0,0,'Données projet'!$E$9+1,1))-AVERAGE(OFFSET($H$3,0,0,'Données projet'!$E$9+1,1))</f>
        <v>664.27707313486087</v>
      </c>
      <c r="T47" s="59">
        <f t="shared" si="34"/>
        <v>206.64483278066874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17.862848306482562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17.862848306482562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59.234946161763943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17.080000000000002</v>
      </c>
      <c r="AI47" s="13">
        <f>IF('Données projet'!$A$62&gt;35,AI46+AH47-AQ46,IF(A47&lt;'Données projet'!$A$62,$AF$205^A47,IF(A47='Données projet'!$A$62,'Données projet'!$B$62,AI46+AH47-AQ46)))</f>
        <v>273.20999999999987</v>
      </c>
      <c r="AJ47" s="13">
        <f>AI47*VLOOKUP('Données projet'!$B$10,Paramètres!$A$1:$I$89,3,0)*VLOOKUP('Données projet'!$B$10,Paramètres!$A$1:$I$89,5,0)</f>
        <v>127.86227999999994</v>
      </c>
      <c r="AK47" s="13">
        <f t="shared" si="35"/>
        <v>33.501919343017299</v>
      </c>
      <c r="AL47" s="20">
        <f t="shared" si="4"/>
        <v>281.04264718908837</v>
      </c>
      <c r="AM47" s="59">
        <f t="shared" si="5"/>
        <v>534.90411644888945</v>
      </c>
      <c r="AN47" s="59">
        <f ca="1">AVERAGE(OFFSET($AM$3,0,0,'Données projet'!$E$10+1,1))-AVERAGE(OFFSET($H$3,0,0,'Données projet'!$E$10+1,1))</f>
        <v>329.7518221182429</v>
      </c>
      <c r="AO47" s="59">
        <f t="shared" si="36"/>
        <v>207.30737400651807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34.595291816981231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34.595291816981231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59.234946161763943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189.62971370839551</v>
      </c>
      <c r="BJ47" s="59">
        <f t="shared" si="38"/>
        <v>457.05149684588173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93.602972533221674</v>
      </c>
      <c r="BQ47" s="21">
        <f>EXP(-LN(2)/25)*BQ46+(1-EXP(-LN(2)/25))/(LN(2)/25)*Calculateur!BL47*Calculateur!BN47*VLOOKUP('Données projet'!$B$11,Paramètres!$A$1:$I$89,3,0)*0.475*44/12</f>
        <v>9.7521602088437529</v>
      </c>
      <c r="BR47" s="21">
        <f>EXP(-LN(2)/2)*BR46+(1-EXP(-LN(2)/2))/(LN(2)/2)*BL47*BO47*VLOOKUP('Données projet'!$B$11,Paramètres!$A$1:$I$89,3,0)*0.475*44/12</f>
        <v>3.512656718949601E-4</v>
      </c>
      <c r="BS47" s="22">
        <f t="shared" si="9"/>
        <v>103.35548400773732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59.234946161763943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170.04605856785227</v>
      </c>
      <c r="CE47" s="59">
        <f t="shared" si="40"/>
        <v>377.63973197638802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50.099279400132772</v>
      </c>
      <c r="CL47" s="21">
        <f>EXP(-LN(2)/25)*CL46+(1-EXP(-LN(2)/25))/(LN(2)/25)*Calculateur!CG47*Calculateur!CI47*VLOOKUP('Données projet'!$B$12,Paramètres!$A$1:$I$89,3,0)*0.475*44/12</f>
        <v>11.253262855274491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61.352542255407265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59.234946161763943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59.234946161763943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59.234946161763943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59.234946161763943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59.234946161763943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59.234946161763943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4.6500000000000004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17.05</v>
      </c>
      <c r="H48" s="66">
        <f t="shared" si="1"/>
        <v>188.46666666666667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59.421695778802466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9.9475000000000016</v>
      </c>
      <c r="N48" s="13">
        <f>IF('Données projet'!$A$36&gt;35,N47+M48-V47,IF(A48&lt;'Données projet'!$A$36,$K$205^A48,IF(A48='Données projet'!$A$36,'Données projet'!$B$36,N47+M48-V47)))</f>
        <v>158.59250000000003</v>
      </c>
      <c r="O48" s="13">
        <f>N48*VLOOKUP('Données projet'!$B$9,Paramètres!$A$1:$I$89,3,0)*VLOOKUP('Données projet'!$B$9,Paramètres!$A$1:$I$89,5,0)</f>
        <v>143.49449400000003</v>
      </c>
      <c r="P48" s="13">
        <f t="shared" si="33"/>
        <v>37.096392708339906</v>
      </c>
      <c r="Q48" s="20">
        <f t="shared" si="53"/>
        <v>314.52912768369208</v>
      </c>
      <c r="R48" s="59">
        <f t="shared" si="0"/>
        <v>569.07534553930111</v>
      </c>
      <c r="S48" s="59">
        <f ca="1">AVERAGE(OFFSET($R$3,0,0,'Données projet'!$E$9+1,1))-AVERAGE(OFFSET($H$3,0,0,'Données projet'!$E$9+1,1))</f>
        <v>664.27707313486087</v>
      </c>
      <c r="T48" s="59">
        <f t="shared" si="34"/>
        <v>206.64483278066874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17.51256874645409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17.51256874645409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59.421695778802466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17.080000000000002</v>
      </c>
      <c r="AI48" s="13">
        <f>IF('Données projet'!$A$62&gt;35,AI47+AH48-AQ47,IF(A48&lt;'Données projet'!$A$62,$AF$205^A48,IF(A48='Données projet'!$A$62,'Données projet'!$B$62,AI47+AH48-AQ47)))</f>
        <v>290.28999999999985</v>
      </c>
      <c r="AJ48" s="13">
        <f>AI48*VLOOKUP('Données projet'!$B$10,Paramètres!$A$1:$I$89,3,0)*VLOOKUP('Données projet'!$B$10,Paramètres!$A$1:$I$89,5,0)</f>
        <v>135.85571999999993</v>
      </c>
      <c r="AK48" s="13">
        <f t="shared" si="35"/>
        <v>35.345955182590913</v>
      </c>
      <c r="AL48" s="20">
        <f t="shared" si="4"/>
        <v>298.17625094301241</v>
      </c>
      <c r="AM48" s="59">
        <f t="shared" si="5"/>
        <v>552.72246879862143</v>
      </c>
      <c r="AN48" s="59">
        <f ca="1">AVERAGE(OFFSET($AM$3,0,0,'Données projet'!$E$10+1,1))-AVERAGE(OFFSET($H$3,0,0,'Données projet'!$E$10+1,1))</f>
        <v>329.7518221182429</v>
      </c>
      <c r="AO48" s="59">
        <f t="shared" si="36"/>
        <v>207.30737400651807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33.916899245494683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33.916899245494683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59.421695778802466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189.62971370839551</v>
      </c>
      <c r="BJ48" s="59">
        <f t="shared" si="38"/>
        <v>457.05149684588173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91.767475334021057</v>
      </c>
      <c r="BQ48" s="21">
        <f>EXP(-LN(2)/25)*BQ47+(1-EXP(-LN(2)/25))/(LN(2)/25)*Calculateur!BL48*Calculateur!BN48*VLOOKUP('Données projet'!$B$11,Paramètres!$A$1:$I$89,3,0)*0.475*44/12</f>
        <v>9.4854868750891033</v>
      </c>
      <c r="BR48" s="21">
        <f>EXP(-LN(2)/2)*BR47+(1-EXP(-LN(2)/2))/(LN(2)/2)*BL48*BO48*VLOOKUP('Données projet'!$B$11,Paramètres!$A$1:$I$89,3,0)*0.475*44/12</f>
        <v>2.4838233859497515E-4</v>
      </c>
      <c r="BS48" s="22">
        <f t="shared" si="9"/>
        <v>101.25321059144876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59.421695778802466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170.04605856785227</v>
      </c>
      <c r="CE48" s="59">
        <f t="shared" si="40"/>
        <v>377.63973197638802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49.116863088639299</v>
      </c>
      <c r="CL48" s="21">
        <f>EXP(-LN(2)/25)*CL47+(1-EXP(-LN(2)/25))/(LN(2)/25)*Calculateur!CG48*Calculateur!CI48*VLOOKUP('Données projet'!$B$12,Paramètres!$A$1:$I$89,3,0)*0.475*44/12</f>
        <v>10.945541790713635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60.062404879352933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59.421695778802466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59.421695778802466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59.421695778802466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59.421695778802466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59.421695778802466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59.421695778802466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4.6500000000000004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17.05</v>
      </c>
      <c r="H49" s="66">
        <f t="shared" si="1"/>
        <v>188.46666666666667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59.605205707494967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9.9475000000000016</v>
      </c>
      <c r="N49" s="13">
        <f>IF('Données projet'!$A$36&gt;35,N48+M49-V48,IF(A49&lt;'Données projet'!$A$36,$K$205^A49,IF(A49='Données projet'!$A$36,'Données projet'!$B$36,N48+M49-V48)))</f>
        <v>168.54000000000002</v>
      </c>
      <c r="O49" s="13">
        <f>N49*VLOOKUP('Données projet'!$B$9,Paramètres!$A$1:$I$89,3,0)*VLOOKUP('Données projet'!$B$9,Paramètres!$A$1:$I$89,5,0)</f>
        <v>152.49499200000002</v>
      </c>
      <c r="P49" s="13">
        <f t="shared" si="33"/>
        <v>39.145035989405642</v>
      </c>
      <c r="Q49" s="20">
        <f t="shared" si="53"/>
        <v>333.77304874821488</v>
      </c>
      <c r="R49" s="59">
        <f t="shared" si="0"/>
        <v>588.9921363423631</v>
      </c>
      <c r="S49" s="59">
        <f ca="1">AVERAGE(OFFSET($R$3,0,0,'Données projet'!$E$9+1,1))-AVERAGE(OFFSET($H$3,0,0,'Données projet'!$E$9+1,1))</f>
        <v>664.27707313486087</v>
      </c>
      <c r="T49" s="59">
        <f t="shared" si="34"/>
        <v>206.64483278066874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17.169157954948339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17.169157954948339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59.605205707494967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17.080000000000002</v>
      </c>
      <c r="AI49" s="13">
        <f>IF('Données projet'!$A$62&gt;35,AI48+AH49-AQ48,IF(A49&lt;'Données projet'!$A$62,$AF$205^A49,IF(A49='Données projet'!$A$62,'Données projet'!$B$62,AI48+AH49-AQ48)))</f>
        <v>307.36999999999983</v>
      </c>
      <c r="AJ49" s="13">
        <f>AI49*VLOOKUP('Données projet'!$B$10,Paramètres!$A$1:$I$89,3,0)*VLOOKUP('Données projet'!$B$10,Paramètres!$A$1:$I$89,5,0)</f>
        <v>143.84915999999993</v>
      </c>
      <c r="AK49" s="13">
        <f t="shared" si="35"/>
        <v>37.177397234767412</v>
      </c>
      <c r="AL49" s="20">
        <f t="shared" si="4"/>
        <v>315.28792051721973</v>
      </c>
      <c r="AM49" s="59">
        <f t="shared" si="5"/>
        <v>570.50700811136801</v>
      </c>
      <c r="AN49" s="59">
        <f ca="1">AVERAGE(OFFSET($AM$3,0,0,'Données projet'!$E$10+1,1))-AVERAGE(OFFSET($H$3,0,0,'Données projet'!$E$10+1,1))</f>
        <v>329.7518221182429</v>
      </c>
      <c r="AO49" s="59">
        <f t="shared" si="36"/>
        <v>207.30737400651807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33.251809538556373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33.251809538556373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59.605205707494967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189.62971370839551</v>
      </c>
      <c r="BJ49" s="59">
        <f t="shared" si="38"/>
        <v>457.05149684588173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89.967971115354018</v>
      </c>
      <c r="BQ49" s="21">
        <f>EXP(-LN(2)/25)*BQ48+(1-EXP(-LN(2)/25))/(LN(2)/25)*Calculateur!BL49*Calculateur!BN49*VLOOKUP('Données projet'!$B$11,Paramètres!$A$1:$I$89,3,0)*0.475*44/12</f>
        <v>9.226105737669716</v>
      </c>
      <c r="BR49" s="21">
        <f>EXP(-LN(2)/2)*BR48+(1-EXP(-LN(2)/2))/(LN(2)/2)*BL49*BO49*VLOOKUP('Données projet'!$B$11,Paramètres!$A$1:$I$89,3,0)*0.475*44/12</f>
        <v>1.7563283594748005E-4</v>
      </c>
      <c r="BS49" s="22">
        <f t="shared" si="9"/>
        <v>99.194252485859678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59.605205707494967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170.04605856785227</v>
      </c>
      <c r="CE49" s="59">
        <f t="shared" si="40"/>
        <v>377.63973197638802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48.153711361799424</v>
      </c>
      <c r="CL49" s="21">
        <f>EXP(-LN(2)/25)*CL48+(1-EXP(-LN(2)/25))/(LN(2)/25)*Calculateur!CG49*Calculateur!CI49*VLOOKUP('Données projet'!$B$12,Paramètres!$A$1:$I$89,3,0)*0.475*44/12</f>
        <v>10.646235374845544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58.799946736644969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59.605205707494967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59.605205707494967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59.605205707494967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59.605205707494967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59.605205707494967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59.605205707494967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4.6500000000000004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17.05</v>
      </c>
      <c r="H50" s="66">
        <f t="shared" si="1"/>
        <v>188.46666666666667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59.785532149191383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9.9475000000000016</v>
      </c>
      <c r="N50" s="13">
        <f>IF('Données projet'!$A$36&gt;35,N49+M50-V49,IF(A50&lt;'Données projet'!$A$36,$K$205^A50,IF(A50='Données projet'!$A$36,'Données projet'!$B$36,N49+M50-V49)))</f>
        <v>178.48750000000001</v>
      </c>
      <c r="O50" s="13">
        <f>N50*VLOOKUP('Données projet'!$B$9,Paramètres!$A$1:$I$89,3,0)*VLOOKUP('Données projet'!$B$9,Paramètres!$A$1:$I$89,5,0)</f>
        <v>161.49549000000002</v>
      </c>
      <c r="P50" s="13">
        <f t="shared" si="33"/>
        <v>41.179644493238747</v>
      </c>
      <c r="Q50" s="20">
        <f t="shared" si="53"/>
        <v>352.99252590905752</v>
      </c>
      <c r="R50" s="59">
        <f t="shared" si="0"/>
        <v>608.87281045609257</v>
      </c>
      <c r="S50" s="59">
        <f ca="1">AVERAGE(OFFSET($R$3,0,0,'Données projet'!$E$9+1,1))-AVERAGE(OFFSET($H$3,0,0,'Données projet'!$E$9+1,1))</f>
        <v>664.27707313486087</v>
      </c>
      <c r="T50" s="59">
        <f t="shared" si="34"/>
        <v>206.64483278066874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16.832481239604117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16.832481239604117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59.785532149191383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17.080000000000002</v>
      </c>
      <c r="AI50" s="13">
        <f>IF('Données projet'!$A$62&gt;35,AI49+AH50-AQ49,IF(A50&lt;'Données projet'!$A$62,$AF$205^A50,IF(A50='Données projet'!$A$62,'Données projet'!$B$62,AI49+AH50-AQ49)))</f>
        <v>324.44999999999982</v>
      </c>
      <c r="AJ50" s="13">
        <f>AI50*VLOOKUP('Données projet'!$B$10,Paramètres!$A$1:$I$89,3,0)*VLOOKUP('Données projet'!$B$10,Paramètres!$A$1:$I$89,5,0)</f>
        <v>151.84259999999992</v>
      </c>
      <c r="AK50" s="13">
        <f t="shared" si="35"/>
        <v>38.997025074969166</v>
      </c>
      <c r="AL50" s="20">
        <f t="shared" si="4"/>
        <v>332.37901367223782</v>
      </c>
      <c r="AM50" s="59">
        <f t="shared" si="5"/>
        <v>588.25929821927286</v>
      </c>
      <c r="AN50" s="59">
        <f ca="1">AVERAGE(OFFSET($AM$3,0,0,'Données projet'!$E$10+1,1))-AVERAGE(OFFSET($H$3,0,0,'Données projet'!$E$10+1,1))</f>
        <v>329.7518221182429</v>
      </c>
      <c r="AO50" s="59">
        <f t="shared" si="36"/>
        <v>207.30737400651807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32.599761835106456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32.599761835106456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59.785532149191383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189.62971370839551</v>
      </c>
      <c r="BJ50" s="59">
        <f t="shared" si="38"/>
        <v>457.05149684588173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88.203754076825845</v>
      </c>
      <c r="BQ50" s="21">
        <f>EXP(-LN(2)/25)*BQ49+(1-EXP(-LN(2)/25))/(LN(2)/25)*Calculateur!BL50*Calculateur!BN50*VLOOKUP('Données projet'!$B$11,Paramètres!$A$1:$I$89,3,0)*0.475*44/12</f>
        <v>8.9738173910933234</v>
      </c>
      <c r="BR50" s="21">
        <f>EXP(-LN(2)/2)*BR49+(1-EXP(-LN(2)/2))/(LN(2)/2)*BL50*BO50*VLOOKUP('Données projet'!$B$11,Paramètres!$A$1:$I$89,3,0)*0.475*44/12</f>
        <v>1.2419116929748757E-4</v>
      </c>
      <c r="BS50" s="22">
        <f t="shared" si="9"/>
        <v>97.177695659088457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59.785532149191383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170.04605856785227</v>
      </c>
      <c r="CE50" s="59">
        <f t="shared" si="40"/>
        <v>377.63973197638802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47.209446452858337</v>
      </c>
      <c r="CL50" s="21">
        <f>EXP(-LN(2)/25)*CL49+(1-EXP(-LN(2)/25))/(LN(2)/25)*Calculateur!CG50*Calculateur!CI50*VLOOKUP('Données projet'!$B$12,Paramètres!$A$1:$I$89,3,0)*0.475*44/12</f>
        <v>10.355113508659207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57.564559961517546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59.785532149191383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59.785532149191383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59.785532149191383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59.785532149191383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59.785532149191383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59.785532149191383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4.6500000000000004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17.05</v>
      </c>
      <c r="H51" s="66">
        <f t="shared" si="1"/>
        <v>188.46666666666667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59.962730330273899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9.9475000000000016</v>
      </c>
      <c r="N51" s="13">
        <f>IF('Données projet'!$A$36&gt;35,N50+M51-V50,IF(A51&lt;'Données projet'!$A$36,$K$205^A51,IF(A51='Données projet'!$A$36,'Données projet'!$B$36,N50+M51-V50)))</f>
        <v>188.435</v>
      </c>
      <c r="O51" s="13">
        <f>N51*VLOOKUP('Données projet'!$B$9,Paramètres!$A$1:$I$89,3,0)*VLOOKUP('Données projet'!$B$9,Paramètres!$A$1:$I$89,5,0)</f>
        <v>170.49598800000001</v>
      </c>
      <c r="P51" s="13">
        <f t="shared" si="33"/>
        <v>43.201089555869402</v>
      </c>
      <c r="Q51" s="20">
        <f t="shared" si="53"/>
        <v>372.1890767431392</v>
      </c>
      <c r="R51" s="59">
        <f t="shared" si="0"/>
        <v>628.71908795414356</v>
      </c>
      <c r="S51" s="59">
        <f ca="1">AVERAGE(OFFSET($R$3,0,0,'Données projet'!$E$9+1,1))-AVERAGE(OFFSET($H$3,0,0,'Données projet'!$E$9+1,1))</f>
        <v>664.27707313486087</v>
      </c>
      <c r="T51" s="59">
        <f t="shared" si="34"/>
        <v>206.64483278066874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16.502406549295273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16.502406549295273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59.962730330273899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17.080000000000002</v>
      </c>
      <c r="AI51" s="13">
        <f>IF('Données projet'!$A$62&gt;35,AI50+AH51-AQ50,IF(A51&lt;'Données projet'!$A$62,$AF$205^A51,IF(A51='Données projet'!$A$62,'Données projet'!$B$62,AI50+AH51-AQ50)))</f>
        <v>341.5299999999998</v>
      </c>
      <c r="AJ51" s="13">
        <f>AI51*VLOOKUP('Données projet'!$B$10,Paramètres!$A$1:$I$89,3,0)*VLOOKUP('Données projet'!$B$10,Paramètres!$A$1:$I$89,5,0)</f>
        <v>159.83603999999991</v>
      </c>
      <c r="AK51" s="13">
        <f t="shared" si="35"/>
        <v>40.805531564585834</v>
      </c>
      <c r="AL51" s="20">
        <f t="shared" si="4"/>
        <v>349.45073714165352</v>
      </c>
      <c r="AM51" s="59">
        <f t="shared" si="5"/>
        <v>605.98074835265788</v>
      </c>
      <c r="AN51" s="59">
        <f ca="1">AVERAGE(OFFSET($AM$3,0,0,'Données projet'!$E$10+1,1))-AVERAGE(OFFSET($H$3,0,0,'Données projet'!$E$10+1,1))</f>
        <v>329.7518221182429</v>
      </c>
      <c r="AO51" s="59">
        <f t="shared" si="36"/>
        <v>207.30737400651807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31.960500389411365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31.960500389411365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59.962730330273899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189.62971370839551</v>
      </c>
      <c r="BJ51" s="59">
        <f t="shared" si="38"/>
        <v>457.05149684588173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86.474132258357074</v>
      </c>
      <c r="BQ51" s="21">
        <f>EXP(-LN(2)/25)*BQ50+(1-EXP(-LN(2)/25))/(LN(2)/25)*Calculateur!BL51*Calculateur!BN51*VLOOKUP('Données projet'!$B$11,Paramètres!$A$1:$I$89,3,0)*0.475*44/12</f>
        <v>8.7284278826213306</v>
      </c>
      <c r="BR51" s="21">
        <f>EXP(-LN(2)/2)*BR50+(1-EXP(-LN(2)/2))/(LN(2)/2)*BL51*BO51*VLOOKUP('Données projet'!$B$11,Paramètres!$A$1:$I$89,3,0)*0.475*44/12</f>
        <v>8.7816417973740025E-5</v>
      </c>
      <c r="BS51" s="22">
        <f t="shared" si="9"/>
        <v>95.20264795739638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59.962730330273899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170.04605856785227</v>
      </c>
      <c r="CE51" s="59">
        <f t="shared" si="40"/>
        <v>377.63973197638802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46.283698002836857</v>
      </c>
      <c r="CL51" s="21">
        <f>EXP(-LN(2)/25)*CL50+(1-EXP(-LN(2)/25))/(LN(2)/25)*Calculateur!CG51*Calculateur!CI51*VLOOKUP('Données projet'!$B$12,Paramètres!$A$1:$I$89,3,0)*0.475*44/12</f>
        <v>10.071952385213168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56.355650388050023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59.962730330273899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59.962730330273899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59.962730330273899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59.962730330273899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59.962730330273899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59.962730330273899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4.6500000000000004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17.05</v>
      </c>
      <c r="H52" s="66">
        <f t="shared" si="1"/>
        <v>188.46666666666667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60.136854519070411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9.9475000000000016</v>
      </c>
      <c r="N52" s="13">
        <f>IF('Données projet'!$A$36&gt;35,N51+M52-V51,IF(A52&lt;'Données projet'!$A$36,$K$205^A52,IF(A52='Données projet'!$A$36,'Données projet'!$B$36,N51+M52-V51)))</f>
        <v>198.38249999999999</v>
      </c>
      <c r="O52" s="13">
        <f>N52*VLOOKUP('Données projet'!$B$9,Paramètres!$A$1:$I$89,3,0)*VLOOKUP('Données projet'!$B$9,Paramètres!$A$1:$I$89,5,0)</f>
        <v>179.496486</v>
      </c>
      <c r="P52" s="13">
        <f t="shared" si="33"/>
        <v>45.210145321648348</v>
      </c>
      <c r="Q52" s="20">
        <f t="shared" si="53"/>
        <v>391.36404955187089</v>
      </c>
      <c r="R52" s="59">
        <f t="shared" si="0"/>
        <v>648.53251612179577</v>
      </c>
      <c r="S52" s="59">
        <f ca="1">AVERAGE(OFFSET($R$3,0,0,'Données projet'!$E$9+1,1))-AVERAGE(OFFSET($H$3,0,0,'Données projet'!$E$9+1,1))</f>
        <v>664.27707313486087</v>
      </c>
      <c r="T52" s="59">
        <f t="shared" si="34"/>
        <v>206.64483278066874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16.178804422337706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16.178804422337706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60.136854519070411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17.080000000000002</v>
      </c>
      <c r="AI52" s="13">
        <f>IF('Données projet'!$A$62&gt;35,AI51+AH52-AQ51,IF(A52&lt;'Données projet'!$A$62,$AF$205^A52,IF(A52='Données projet'!$A$62,'Données projet'!$B$62,AI51+AH52-AQ51)))</f>
        <v>358.60999999999979</v>
      </c>
      <c r="AJ52" s="13">
        <f>AI52*VLOOKUP('Données projet'!$B$10,Paramètres!$A$1:$I$89,3,0)*VLOOKUP('Données projet'!$B$10,Paramètres!$A$1:$I$89,5,0)</f>
        <v>167.8294799999999</v>
      </c>
      <c r="AK52" s="13">
        <f t="shared" si="35"/>
        <v>42.603536349929698</v>
      </c>
      <c r="AL52" s="20">
        <f t="shared" si="4"/>
        <v>366.50417014279401</v>
      </c>
      <c r="AM52" s="59">
        <f t="shared" si="5"/>
        <v>623.67263671271894</v>
      </c>
      <c r="AN52" s="59">
        <f ca="1">AVERAGE(OFFSET($AM$3,0,0,'Données projet'!$E$10+1,1))-AVERAGE(OFFSET($H$3,0,0,'Données projet'!$E$10+1,1))</f>
        <v>329.7518221182429</v>
      </c>
      <c r="AO52" s="59">
        <f t="shared" si="36"/>
        <v>207.30737400651807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31.333774470755376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31.333774470755376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60.136854519070411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189.62971370839551</v>
      </c>
      <c r="BJ52" s="59">
        <f t="shared" si="38"/>
        <v>457.05149684588173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84.778427268783332</v>
      </c>
      <c r="BQ52" s="21">
        <f>EXP(-LN(2)/25)*BQ51+(1-EXP(-LN(2)/25))/(LN(2)/25)*Calculateur!BL52*Calculateur!BN52*VLOOKUP('Données projet'!$B$11,Paramètres!$A$1:$I$89,3,0)*0.475*44/12</f>
        <v>8.4897485631629763</v>
      </c>
      <c r="BR52" s="21">
        <f>EXP(-LN(2)/2)*BR51+(1-EXP(-LN(2)/2))/(LN(2)/2)*BL52*BO52*VLOOKUP('Données projet'!$B$11,Paramètres!$A$1:$I$89,3,0)*0.475*44/12</f>
        <v>6.2095584648743786E-5</v>
      </c>
      <c r="BS52" s="22">
        <f t="shared" si="9"/>
        <v>93.268237927530961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60.136854519070411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170.04605856785227</v>
      </c>
      <c r="CE52" s="59">
        <f t="shared" si="40"/>
        <v>377.63973197638802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45.376102915269499</v>
      </c>
      <c r="CL52" s="21">
        <f>EXP(-LN(2)/25)*CL51+(1-EXP(-LN(2)/25))/(LN(2)/25)*Calculateur!CG52*Calculateur!CI52*VLOOKUP('Données projet'!$B$12,Paramètres!$A$1:$I$89,3,0)*0.475*44/12</f>
        <v>9.7965343175785566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55.172637232848054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60.136854519070411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60.136854519070411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60.136854519070411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60.136854519070411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60.136854519070411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60.136854519070411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4.6500000000000004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17.05</v>
      </c>
      <c r="H53" s="66">
        <f t="shared" si="1"/>
        <v>188.46666666666667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60.307958042474688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208.33</v>
      </c>
      <c r="L53" s="12">
        <f>VLOOKUP(A53,'Données projet'!$A$35:$I$55,9,0)</f>
        <v>9.9475000000000016</v>
      </c>
      <c r="M53" s="12">
        <f t="array" ref="M53">INDEX(L:L,MIN(IF(ISNUMBER(L53:L249),ROW(L53:L249),"")))</f>
        <v>9.9475000000000016</v>
      </c>
      <c r="N53" s="13">
        <f>IF('Données projet'!$A$36&gt;35,N52+M53-V52,IF(A53&lt;'Données projet'!$A$36,$K$205^A53,IF(A53='Données projet'!$A$36,'Données projet'!$B$36,N52+M53-V52)))</f>
        <v>208.32999999999998</v>
      </c>
      <c r="O53" s="13">
        <f>N53*VLOOKUP('Données projet'!$B$9,Paramètres!$A$1:$I$89,3,0)*VLOOKUP('Données projet'!$B$9,Paramètres!$A$1:$I$89,5,0)</f>
        <v>188.496984</v>
      </c>
      <c r="P53" s="13">
        <f t="shared" si="33"/>
        <v>47.207503913482903</v>
      </c>
      <c r="Q53" s="20">
        <f t="shared" si="53"/>
        <v>410.51864978264933</v>
      </c>
      <c r="R53" s="59">
        <f t="shared" si="0"/>
        <v>668.31449593838988</v>
      </c>
      <c r="S53" s="59">
        <f ca="1">AVERAGE(OFFSET($R$3,0,0,'Données projet'!$E$9+1,1))-AVERAGE(OFFSET($H$3,0,0,'Données projet'!$E$9+1,1))</f>
        <v>664.27707313486087</v>
      </c>
      <c r="T53" s="59">
        <f t="shared" si="34"/>
        <v>206.64483278066874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35.58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31.16446066879395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31.16446066879395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60.307958042474688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375.69</v>
      </c>
      <c r="AG53" s="12">
        <f>VLOOKUP(A53,'Données projet'!$A$61:$I$81,9,0)</f>
        <v>17.080000000000002</v>
      </c>
      <c r="AH53" s="12">
        <f t="array" ref="AH53">INDEX(AG:AG,MIN(IF(ISNUMBER(AG53:AG249),ROW(AG53:AG249),"")))</f>
        <v>17.080000000000002</v>
      </c>
      <c r="AI53" s="13">
        <f>IF('Données projet'!$A$62&gt;35,AI52+AH53-AQ52,IF(A53&lt;'Données projet'!$A$62,$AF$205^A53,IF(A53='Données projet'!$A$62,'Données projet'!$B$62,AI52+AH53-AQ52)))</f>
        <v>375.68999999999977</v>
      </c>
      <c r="AJ53" s="13">
        <f>AI53*VLOOKUP('Données projet'!$B$10,Paramètres!$A$1:$I$89,3,0)*VLOOKUP('Données projet'!$B$10,Paramètres!$A$1:$I$89,5,0)</f>
        <v>175.8229199999999</v>
      </c>
      <c r="AK53" s="13">
        <f t="shared" si="35"/>
        <v>44.391596716593241</v>
      </c>
      <c r="AL53" s="20">
        <f t="shared" si="4"/>
        <v>383.5402832813997</v>
      </c>
      <c r="AM53" s="59">
        <f t="shared" si="5"/>
        <v>641.33612943714024</v>
      </c>
      <c r="AN53" s="59">
        <f ca="1">AVERAGE(OFFSET($AM$3,0,0,'Données projet'!$E$10+1,1))-AVERAGE(OFFSET($H$3,0,0,'Données projet'!$E$10+1,1))</f>
        <v>329.7518221182429</v>
      </c>
      <c r="AO53" s="59">
        <f t="shared" si="36"/>
        <v>207.30737400651807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106.51</v>
      </c>
      <c r="AR53" s="16">
        <f>IF(ISNA(VLOOKUP(A53,'Données projet'!$A$61:$I$81,5,0)),0%,VLOOKUP(A53,'Données projet'!$A$61:$I$81,5,0)*VLOOKUP('Données projet'!$B$10,Paramètres!$A$1:$I$89,7,0))</f>
        <v>0.55000000000000004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67.087996915417122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67.087996915417122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60.307958042474688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189.62971370839551</v>
      </c>
      <c r="BJ53" s="59">
        <f t="shared" si="38"/>
        <v>457.05149684588173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83.115974019777212</v>
      </c>
      <c r="BQ53" s="21">
        <f>EXP(-LN(2)/25)*BQ52+(1-EXP(-LN(2)/25))/(LN(2)/25)*Calculateur!BL53*Calculateur!BN53*VLOOKUP('Données projet'!$B$11,Paramètres!$A$1:$I$89,3,0)*0.475*44/12</f>
        <v>8.2575959422468106</v>
      </c>
      <c r="BR53" s="21">
        <f>EXP(-LN(2)/2)*BR52+(1-EXP(-LN(2)/2))/(LN(2)/2)*BL53*BO53*VLOOKUP('Données projet'!$B$11,Paramètres!$A$1:$I$89,3,0)*0.475*44/12</f>
        <v>4.3908208986870012E-5</v>
      </c>
      <c r="BS53" s="22">
        <f t="shared" si="9"/>
        <v>91.373613870233001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60.307958042474688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170.04605856785227</v>
      </c>
      <c r="CE53" s="59">
        <f t="shared" si="40"/>
        <v>377.63973197638802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44.486305213790999</v>
      </c>
      <c r="CL53" s="21">
        <f>EXP(-LN(2)/25)*CL52+(1-EXP(-LN(2)/25))/(LN(2)/25)*Calculateur!CG53*Calculateur!CI53*VLOOKUP('Données projet'!$B$12,Paramètres!$A$1:$I$89,3,0)*0.475*44/12</f>
        <v>9.5286475714870207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54.01495278527802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60.307958042474688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60.307958042474688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60.307958042474688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60.307958042474688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60.307958042474688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60.307958042474688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4.6500000000000004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17.05</v>
      </c>
      <c r="H54" s="66">
        <f t="shared" si="1"/>
        <v>188.46666666666667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60.476093302278059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10.118749999999999</v>
      </c>
      <c r="N54" s="13">
        <f>IF('Données projet'!$A$36&gt;35,N53+M54-V53,IF(A54&lt;'Données projet'!$A$36,$K$205^A54,IF(A54='Données projet'!$A$36,'Données projet'!$B$36,N53+M54-V53)))</f>
        <v>182.86874999999998</v>
      </c>
      <c r="O54" s="13">
        <f>N54*VLOOKUP('Données projet'!$B$9,Paramètres!$A$1:$I$89,3,0)*VLOOKUP('Données projet'!$B$9,Paramètres!$A$1:$I$89,5,0)</f>
        <v>165.45964499999997</v>
      </c>
      <c r="P54" s="13">
        <f t="shared" si="33"/>
        <v>42.071538511965834</v>
      </c>
      <c r="Q54" s="20">
        <f t="shared" si="53"/>
        <v>361.45014461667375</v>
      </c>
      <c r="R54" s="59">
        <f t="shared" si="0"/>
        <v>619.86248672502666</v>
      </c>
      <c r="S54" s="59">
        <f ca="1">AVERAGE(OFFSET($R$3,0,0,'Données projet'!$E$9+1,1))-AVERAGE(OFFSET($H$3,0,0,'Données projet'!$E$9+1,1))</f>
        <v>664.27707313486087</v>
      </c>
      <c r="T54" s="59">
        <f t="shared" si="34"/>
        <v>206.64483278066874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30.55334460352298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30.55334460352298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60.476093302278059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16.366250000000001</v>
      </c>
      <c r="AI54" s="13">
        <f>IF('Données projet'!$A$62&gt;35,AI53+AH54-AQ53,IF(A54&lt;'Données projet'!$A$62,$AF$205^A54,IF(A54='Données projet'!$A$62,'Données projet'!$B$62,AI53+AH54-AQ53)))</f>
        <v>285.54624999999976</v>
      </c>
      <c r="AJ54" s="13">
        <f>AI54*VLOOKUP('Données projet'!$B$10,Paramètres!$A$1:$I$89,3,0)*VLOOKUP('Données projet'!$B$10,Paramètres!$A$1:$I$89,5,0)</f>
        <v>133.6356449999999</v>
      </c>
      <c r="AK54" s="13">
        <f t="shared" si="35"/>
        <v>34.835096796276105</v>
      </c>
      <c r="AL54" s="20">
        <f t="shared" si="4"/>
        <v>293.4198752951807</v>
      </c>
      <c r="AM54" s="59">
        <f t="shared" si="5"/>
        <v>551.8322174035336</v>
      </c>
      <c r="AN54" s="59">
        <f ca="1">AVERAGE(OFFSET($AM$3,0,0,'Données projet'!$E$10+1,1))-AVERAGE(OFFSET($H$3,0,0,'Données projet'!$E$10+1,1))</f>
        <v>329.7518221182429</v>
      </c>
      <c r="AO54" s="59">
        <f t="shared" si="36"/>
        <v>207.30737400651807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65.772442215543435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65.772442215543435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60.476093302278059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189.62971370839551</v>
      </c>
      <c r="BJ54" s="59">
        <f t="shared" si="38"/>
        <v>457.05149684588173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81.486120464987749</v>
      </c>
      <c r="BQ54" s="21">
        <f>EXP(-LN(2)/25)*BQ53+(1-EXP(-LN(2)/25))/(LN(2)/25)*Calculateur!BL54*Calculateur!BN54*VLOOKUP('Données projet'!$B$11,Paramètres!$A$1:$I$89,3,0)*0.475*44/12</f>
        <v>8.0317915469579741</v>
      </c>
      <c r="BR54" s="21">
        <f>EXP(-LN(2)/2)*BR53+(1-EXP(-LN(2)/2))/(LN(2)/2)*BL54*BO54*VLOOKUP('Données projet'!$B$11,Paramètres!$A$1:$I$89,3,0)*0.475*44/12</f>
        <v>3.1047792324371893E-5</v>
      </c>
      <c r="BS54" s="22">
        <f t="shared" si="9"/>
        <v>89.517943059738045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60.476093302278059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170.04605856785227</v>
      </c>
      <c r="CE54" s="59">
        <f t="shared" si="40"/>
        <v>377.63973197638802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43.613955902515478</v>
      </c>
      <c r="CL54" s="21">
        <f>EXP(-LN(2)/25)*CL53+(1-EXP(-LN(2)/25))/(LN(2)/25)*Calculateur!CG54*Calculateur!CI54*VLOOKUP('Données projet'!$B$12,Paramètres!$A$1:$I$89,3,0)*0.475*44/12</f>
        <v>9.26808620255491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52.88204210507039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60.476093302278059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60.476093302278059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60.476093302278059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60.476093302278059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60.476093302278059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60.476093302278059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4.6500000000000004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17.05</v>
      </c>
      <c r="H55" s="66">
        <f t="shared" si="1"/>
        <v>188.46666666666667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60.641311791217966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10.118749999999999</v>
      </c>
      <c r="N55" s="13">
        <f>IF('Données projet'!$A$36&gt;35,N54+M55-V54,IF(A55&lt;'Données projet'!$A$36,$K$205^A55,IF(A55='Données projet'!$A$36,'Données projet'!$B$36,N54+M55-V54)))</f>
        <v>192.98749999999998</v>
      </c>
      <c r="O55" s="13">
        <f>N55*VLOOKUP('Données projet'!$B$9,Paramètres!$A$1:$I$89,3,0)*VLOOKUP('Données projet'!$B$9,Paramètres!$A$1:$I$89,5,0)</f>
        <v>174.61508999999998</v>
      </c>
      <c r="P55" s="13">
        <f t="shared" si="33"/>
        <v>44.122033367563922</v>
      </c>
      <c r="Q55" s="20">
        <f t="shared" si="53"/>
        <v>380.96715653184043</v>
      </c>
      <c r="R55" s="59">
        <f t="shared" si="0"/>
        <v>639.9852997663063</v>
      </c>
      <c r="S55" s="59">
        <f ca="1">AVERAGE(OFFSET($R$3,0,0,'Données projet'!$E$9+1,1))-AVERAGE(OFFSET($H$3,0,0,'Données projet'!$E$9+1,1))</f>
        <v>664.27707313486087</v>
      </c>
      <c r="T55" s="59">
        <f t="shared" si="34"/>
        <v>206.64483278066874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29.954212151547981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29.954212151547981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60.641311791217966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16.366250000000001</v>
      </c>
      <c r="AI55" s="13">
        <f>IF('Données projet'!$A$62&gt;35,AI54+AH55-AQ54,IF(A55&lt;'Données projet'!$A$62,$AF$205^A55,IF(A55='Données projet'!$A$62,'Données projet'!$B$62,AI54+AH55-AQ54)))</f>
        <v>301.91249999999974</v>
      </c>
      <c r="AJ55" s="13">
        <f>AI55*VLOOKUP('Données projet'!$B$10,Paramètres!$A$1:$I$89,3,0)*VLOOKUP('Données projet'!$B$10,Paramètres!$A$1:$I$89,5,0)</f>
        <v>141.29504999999989</v>
      </c>
      <c r="AK55" s="13">
        <f t="shared" si="35"/>
        <v>36.593524088822633</v>
      </c>
      <c r="AL55" s="20">
        <f t="shared" si="4"/>
        <v>309.82259987136587</v>
      </c>
      <c r="AM55" s="59">
        <f t="shared" si="5"/>
        <v>568.84074310583173</v>
      </c>
      <c r="AN55" s="59">
        <f ca="1">AVERAGE(OFFSET($AM$3,0,0,'Données projet'!$E$10+1,1))-AVERAGE(OFFSET($H$3,0,0,'Données projet'!$E$10+1,1))</f>
        <v>329.7518221182429</v>
      </c>
      <c r="AO55" s="59">
        <f t="shared" si="36"/>
        <v>207.30737400651807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64.482684740925137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64.482684740925137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60.641311791217966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189.62971370839551</v>
      </c>
      <c r="BJ55" s="59">
        <f t="shared" si="38"/>
        <v>457.05149684588173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79.888227344295188</v>
      </c>
      <c r="BQ55" s="21">
        <f>EXP(-LN(2)/25)*BQ54+(1-EXP(-LN(2)/25))/(LN(2)/25)*Calculateur!BL55*Calculateur!BN55*VLOOKUP('Données projet'!$B$11,Paramètres!$A$1:$I$89,3,0)*0.475*44/12</f>
        <v>7.8121617847328482</v>
      </c>
      <c r="BR55" s="21">
        <f>EXP(-LN(2)/2)*BR54+(1-EXP(-LN(2)/2))/(LN(2)/2)*BL55*BO55*VLOOKUP('Données projet'!$B$11,Paramètres!$A$1:$I$89,3,0)*0.475*44/12</f>
        <v>2.1954104493435006E-5</v>
      </c>
      <c r="BS55" s="22">
        <f t="shared" si="9"/>
        <v>87.700411083132536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60.641311791217966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170.04605856785227</v>
      </c>
      <c r="CE55" s="59">
        <f t="shared" si="40"/>
        <v>377.63973197638802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42.758712829153531</v>
      </c>
      <c r="CL55" s="21">
        <f>EXP(-LN(2)/25)*CL54+(1-EXP(-LN(2)/25))/(LN(2)/25)*Calculateur!CG55*Calculateur!CI55*VLOOKUP('Données projet'!$B$12,Paramètres!$A$1:$I$89,3,0)*0.475*44/12</f>
        <v>9.0146498979585754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51.773362727112108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60.641311791217966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60.641311791217966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60.641311791217966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60.641311791217966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60.641311791217966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60.641311791217966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4.6500000000000004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17.05</v>
      </c>
      <c r="H56" s="66">
        <f t="shared" si="1"/>
        <v>188.46666666666667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60.803664108747974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10.118749999999999</v>
      </c>
      <c r="N56" s="13">
        <f>IF('Données projet'!$A$36&gt;35,N55+M56-V55,IF(A56&lt;'Données projet'!$A$36,$K$205^A56,IF(A56='Données projet'!$A$36,'Données projet'!$B$36,N55+M56-V55)))</f>
        <v>203.10624999999999</v>
      </c>
      <c r="O56" s="13">
        <f>N56*VLOOKUP('Données projet'!$B$9,Paramètres!$A$1:$I$89,3,0)*VLOOKUP('Données projet'!$B$9,Paramètres!$A$1:$I$89,5,0)</f>
        <v>183.770535</v>
      </c>
      <c r="P56" s="13">
        <f t="shared" si="33"/>
        <v>46.160045915833102</v>
      </c>
      <c r="Q56" s="20">
        <f t="shared" si="53"/>
        <v>400.46242842840928</v>
      </c>
      <c r="R56" s="59">
        <f t="shared" si="0"/>
        <v>660.07586349381847</v>
      </c>
      <c r="S56" s="59">
        <f ca="1">AVERAGE(OFFSET($R$3,0,0,'Données projet'!$E$9+1,1))-AVERAGE(OFFSET($H$3,0,0,'Données projet'!$E$9+1,1))</f>
        <v>664.27707313486087</v>
      </c>
      <c r="T56" s="59">
        <f t="shared" si="34"/>
        <v>206.64483278066874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29.366828321521499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29.366828321521499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60.803664108747974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16.366250000000001</v>
      </c>
      <c r="AI56" s="13">
        <f>IF('Données projet'!$A$62&gt;35,AI55+AH56-AQ55,IF(A56&lt;'Données projet'!$A$62,$AF$205^A56,IF(A56='Données projet'!$A$62,'Données projet'!$B$62,AI55+AH56-AQ55)))</f>
        <v>318.27874999999972</v>
      </c>
      <c r="AJ56" s="13">
        <f>AI56*VLOOKUP('Données projet'!$B$10,Paramètres!$A$1:$I$89,3,0)*VLOOKUP('Données projet'!$B$10,Paramètres!$A$1:$I$89,5,0)</f>
        <v>148.95445499999988</v>
      </c>
      <c r="AK56" s="13">
        <f t="shared" si="35"/>
        <v>38.340885127757794</v>
      </c>
      <c r="AL56" s="20">
        <f t="shared" si="4"/>
        <v>326.20605072251124</v>
      </c>
      <c r="AM56" s="59">
        <f t="shared" si="5"/>
        <v>585.81948578792048</v>
      </c>
      <c r="AN56" s="59">
        <f ca="1">AVERAGE(OFFSET($AM$3,0,0,'Données projet'!$E$10+1,1))-AVERAGE(OFFSET($H$3,0,0,'Données projet'!$E$10+1,1))</f>
        <v>329.7518221182429</v>
      </c>
      <c r="AO56" s="59">
        <f t="shared" si="36"/>
        <v>207.30737400651807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63.218218623709717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63.218218623709717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60.803664108747974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189.62971370839551</v>
      </c>
      <c r="BJ56" s="59">
        <f t="shared" si="38"/>
        <v>457.05149684588173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78.321667933080846</v>
      </c>
      <c r="BQ56" s="21">
        <f>EXP(-LN(2)/25)*BQ55+(1-EXP(-LN(2)/25))/(LN(2)/25)*Calculateur!BL56*Calculateur!BN56*VLOOKUP('Données projet'!$B$11,Paramètres!$A$1:$I$89,3,0)*0.475*44/12</f>
        <v>7.5985378099055954</v>
      </c>
      <c r="BR56" s="21">
        <f>EXP(-LN(2)/2)*BR55+(1-EXP(-LN(2)/2))/(LN(2)/2)*BL56*BO56*VLOOKUP('Données projet'!$B$11,Paramètres!$A$1:$I$89,3,0)*0.475*44/12</f>
        <v>1.5523896162185947E-5</v>
      </c>
      <c r="BS56" s="22">
        <f t="shared" si="9"/>
        <v>85.920221266882606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60.803664108747974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170.04605856785227</v>
      </c>
      <c r="CE56" s="59">
        <f t="shared" si="40"/>
        <v>377.63973197638802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41.920240550813446</v>
      </c>
      <c r="CL56" s="21">
        <f>EXP(-LN(2)/25)*CL55+(1-EXP(-LN(2)/25))/(LN(2)/25)*Calculateur!CG56*Calculateur!CI56*VLOOKUP('Données projet'!$B$12,Paramètres!$A$1:$I$89,3,0)*0.475*44/12</f>
        <v>8.7681438224390629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50.688384373252511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60.803664108747974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60.803664108747974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60.803664108747974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60.803664108747974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60.803664108747974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60.803664108747974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4.6500000000000004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17.05</v>
      </c>
      <c r="H57" s="66">
        <f t="shared" si="1"/>
        <v>188.46666666666667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60.963199976534241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10.118749999999999</v>
      </c>
      <c r="N57" s="13">
        <f>IF('Données projet'!$A$36&gt;35,N56+M57-V56,IF(A57&lt;'Données projet'!$A$36,$K$205^A57,IF(A57='Données projet'!$A$36,'Données projet'!$B$36,N56+M57-V56)))</f>
        <v>213.22499999999999</v>
      </c>
      <c r="O57" s="13">
        <f>N57*VLOOKUP('Données projet'!$B$9,Paramètres!$A$1:$I$89,3,0)*VLOOKUP('Données projet'!$B$9,Paramètres!$A$1:$I$89,5,0)</f>
        <v>192.92597999999998</v>
      </c>
      <c r="P57" s="13">
        <f t="shared" si="33"/>
        <v>48.186268988440077</v>
      </c>
      <c r="Q57" s="20">
        <f t="shared" si="53"/>
        <v>419.93716698819981</v>
      </c>
      <c r="R57" s="59">
        <f t="shared" si="0"/>
        <v>680.13556690215864</v>
      </c>
      <c r="S57" s="59">
        <f ca="1">AVERAGE(OFFSET($R$3,0,0,'Données projet'!$E$9+1,1))-AVERAGE(OFFSET($H$3,0,0,'Données projet'!$E$9+1,1))</f>
        <v>664.27707313486087</v>
      </c>
      <c r="T57" s="59">
        <f t="shared" si="34"/>
        <v>206.64483278066874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28.790962730133074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28.790962730133074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60.963199976534241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16.366250000000001</v>
      </c>
      <c r="AI57" s="13">
        <f>IF('Données projet'!$A$62&gt;35,AI56+AH57-AQ56,IF(A57&lt;'Données projet'!$A$62,$AF$205^A57,IF(A57='Données projet'!$A$62,'Données projet'!$B$62,AI56+AH57-AQ56)))</f>
        <v>334.6449999999997</v>
      </c>
      <c r="AJ57" s="13">
        <f>AI57*VLOOKUP('Données projet'!$B$10,Paramètres!$A$1:$I$89,3,0)*VLOOKUP('Données projet'!$B$10,Paramètres!$A$1:$I$89,5,0)</f>
        <v>156.61385999999985</v>
      </c>
      <c r="AK57" s="13">
        <f t="shared" si="35"/>
        <v>40.077813863626993</v>
      </c>
      <c r="AL57" s="20">
        <f t="shared" si="4"/>
        <v>342.5713319791501</v>
      </c>
      <c r="AM57" s="59">
        <f t="shared" si="5"/>
        <v>602.769731893109</v>
      </c>
      <c r="AN57" s="59">
        <f ca="1">AVERAGE(OFFSET($AM$3,0,0,'Données projet'!$E$10+1,1))-AVERAGE(OFFSET($H$3,0,0,'Données projet'!$E$10+1,1))</f>
        <v>329.7518221182429</v>
      </c>
      <c r="AO57" s="59">
        <f t="shared" si="36"/>
        <v>207.30737400651807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61.978547915804718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61.978547915804718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60.963199976534241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189.62971370839551</v>
      </c>
      <c r="BJ57" s="59">
        <f t="shared" si="38"/>
        <v>457.05149684588173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76.785827796413528</v>
      </c>
      <c r="BQ57" s="21">
        <f>EXP(-LN(2)/25)*BQ56+(1-EXP(-LN(2)/25))/(LN(2)/25)*Calculateur!BL57*Calculateur!BN57*VLOOKUP('Données projet'!$B$11,Paramètres!$A$1:$I$89,3,0)*0.475*44/12</f>
        <v>7.3907553939039898</v>
      </c>
      <c r="BR57" s="21">
        <f>EXP(-LN(2)/2)*BR56+(1-EXP(-LN(2)/2))/(LN(2)/2)*BL57*BO57*VLOOKUP('Données projet'!$B$11,Paramètres!$A$1:$I$89,3,0)*0.475*44/12</f>
        <v>1.0977052246717503E-5</v>
      </c>
      <c r="BS57" s="22">
        <f t="shared" si="9"/>
        <v>84.176594167369757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60.963199976534241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170.04605856785227</v>
      </c>
      <c r="CE57" s="59">
        <f t="shared" si="40"/>
        <v>377.63973197638802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41.098210202434018</v>
      </c>
      <c r="CL57" s="21">
        <f>EXP(-LN(2)/25)*CL56+(1-EXP(-LN(2)/25))/(LN(2)/25)*Calculateur!CG57*Calculateur!CI57*VLOOKUP('Données projet'!$B$12,Paramètres!$A$1:$I$89,3,0)*0.475*44/12</f>
        <v>8.5283784685178237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49.62658867095184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60.963199976534241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60.963199976534241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60.963199976534241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60.963199976534241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60.963199976534241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60.963199976534241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4.6500000000000004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17.05</v>
      </c>
      <c r="H58" s="66">
        <f t="shared" si="1"/>
        <v>188.46666666666667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61.11996825368319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10.118749999999999</v>
      </c>
      <c r="N58" s="13">
        <f>IF('Données projet'!$A$36&gt;35,N57+M58-V57,IF(A58&lt;'Données projet'!$A$36,$K$205^A58,IF(A58='Données projet'!$A$36,'Données projet'!$B$36,N57+M58-V57)))</f>
        <v>223.34375</v>
      </c>
      <c r="O58" s="13">
        <f>N58*VLOOKUP('Données projet'!$B$9,Paramètres!$A$1:$I$89,3,0)*VLOOKUP('Données projet'!$B$9,Paramètres!$A$1:$I$89,5,0)</f>
        <v>202.08142499999997</v>
      </c>
      <c r="P58" s="13">
        <f t="shared" si="33"/>
        <v>50.201325943605198</v>
      </c>
      <c r="Q58" s="20">
        <f t="shared" si="53"/>
        <v>439.39245789344562</v>
      </c>
      <c r="R58" s="59">
        <f t="shared" si="0"/>
        <v>700.16567482361734</v>
      </c>
      <c r="S58" s="59">
        <f ca="1">AVERAGE(OFFSET($R$3,0,0,'Données projet'!$E$9+1,1))-AVERAGE(OFFSET($H$3,0,0,'Données projet'!$E$9+1,1))</f>
        <v>664.27707313486087</v>
      </c>
      <c r="T58" s="59">
        <f t="shared" si="34"/>
        <v>206.64483278066874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28.226389511748451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28.226389511748451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61.11996825368319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16.366250000000001</v>
      </c>
      <c r="AI58" s="13">
        <f>IF('Données projet'!$A$62&gt;35,AI57+AH58-AQ57,IF(A58&lt;'Données projet'!$A$62,$AF$205^A58,IF(A58='Données projet'!$A$62,'Données projet'!$B$62,AI57+AH58-AQ57)))</f>
        <v>351.01124999999968</v>
      </c>
      <c r="AJ58" s="13">
        <f>AI58*VLOOKUP('Données projet'!$B$10,Paramètres!$A$1:$I$89,3,0)*VLOOKUP('Données projet'!$B$10,Paramètres!$A$1:$I$89,5,0)</f>
        <v>164.27326499999984</v>
      </c>
      <c r="AK58" s="13">
        <f t="shared" si="35"/>
        <v>41.804878735392727</v>
      </c>
      <c r="AL58" s="20">
        <f t="shared" si="4"/>
        <v>358.91943367247535</v>
      </c>
      <c r="AM58" s="59">
        <f t="shared" si="5"/>
        <v>619.69265060264706</v>
      </c>
      <c r="AN58" s="59">
        <f ca="1">AVERAGE(OFFSET($AM$3,0,0,'Données projet'!$E$10+1,1))-AVERAGE(OFFSET($H$3,0,0,'Données projet'!$E$10+1,1))</f>
        <v>329.7518221182429</v>
      </c>
      <c r="AO58" s="59">
        <f t="shared" si="36"/>
        <v>207.30737400651807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60.763186394357263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60.763186394357263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61.11996825368319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189.62971370839551</v>
      </c>
      <c r="BJ58" s="59">
        <f t="shared" si="38"/>
        <v>457.05149684588173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75.280104548056272</v>
      </c>
      <c r="BQ58" s="21">
        <f>EXP(-LN(2)/25)*BQ57+(1-EXP(-LN(2)/25))/(LN(2)/25)*Calculateur!BL58*Calculateur!BN58*VLOOKUP('Données projet'!$B$11,Paramètres!$A$1:$I$89,3,0)*0.475*44/12</f>
        <v>7.1886547989947509</v>
      </c>
      <c r="BR58" s="21">
        <f>EXP(-LN(2)/2)*BR57+(1-EXP(-LN(2)/2))/(LN(2)/2)*BL58*BO58*VLOOKUP('Données projet'!$B$11,Paramètres!$A$1:$I$89,3,0)*0.475*44/12</f>
        <v>7.7619480810929733E-6</v>
      </c>
      <c r="BS58" s="22">
        <f t="shared" si="9"/>
        <v>82.468767108999103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61.11996825368319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170.04605856785227</v>
      </c>
      <c r="CE58" s="59">
        <f t="shared" si="40"/>
        <v>377.63973197638802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40.292299367797305</v>
      </c>
      <c r="CL58" s="21">
        <f>EXP(-LN(2)/25)*CL57+(1-EXP(-LN(2)/25))/(LN(2)/25)*Calculateur!CG58*Calculateur!CI58*VLOOKUP('Données projet'!$B$12,Paramètres!$A$1:$I$89,3,0)*0.475*44/12</f>
        <v>8.2951695108082717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48.587468878605577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61.11996825368319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61.11996825368319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61.11996825368319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61.11996825368319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61.11996825368319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61.11996825368319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4.6500000000000004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17.05</v>
      </c>
      <c r="H59" s="66">
        <f t="shared" si="1"/>
        <v>188.46666666666667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61.274016951704965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10.118749999999999</v>
      </c>
      <c r="N59" s="13">
        <f>IF('Données projet'!$A$36&gt;35,N58+M59-V58,IF(A59&lt;'Données projet'!$A$36,$K$205^A59,IF(A59='Données projet'!$A$36,'Données projet'!$B$36,N58+M59-V58)))</f>
        <v>233.46250000000001</v>
      </c>
      <c r="O59" s="13">
        <f>N59*VLOOKUP('Données projet'!$B$9,Paramètres!$A$1:$I$89,3,0)*VLOOKUP('Données projet'!$B$9,Paramètres!$A$1:$I$89,5,0)</f>
        <v>211.23686999999998</v>
      </c>
      <c r="P59" s="13">
        <f t="shared" si="33"/>
        <v>52.205780463272028</v>
      </c>
      <c r="Q59" s="20">
        <f t="shared" si="53"/>
        <v>458.82928289019873</v>
      </c>
      <c r="R59" s="59">
        <f t="shared" si="0"/>
        <v>720.16734504645024</v>
      </c>
      <c r="S59" s="59">
        <f ca="1">AVERAGE(OFFSET($R$3,0,0,'Données projet'!$E$9+1,1))-AVERAGE(OFFSET($H$3,0,0,'Données projet'!$E$9+1,1))</f>
        <v>664.27707313486087</v>
      </c>
      <c r="T59" s="59">
        <f t="shared" si="34"/>
        <v>206.64483278066874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27.672887229820688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27.672887229820688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61.274016951704965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16.366250000000001</v>
      </c>
      <c r="AI59" s="13">
        <f>IF('Données projet'!$A$62&gt;35,AI58+AH59-AQ58,IF(A59&lt;'Données projet'!$A$62,$AF$205^A59,IF(A59='Données projet'!$A$62,'Données projet'!$B$62,AI58+AH59-AQ58)))</f>
        <v>367.37749999999966</v>
      </c>
      <c r="AJ59" s="13">
        <f>AI59*VLOOKUP('Données projet'!$B$10,Paramètres!$A$1:$I$89,3,0)*VLOOKUP('Données projet'!$B$10,Paramètres!$A$1:$I$89,5,0)</f>
        <v>171.93266999999986</v>
      </c>
      <c r="AK59" s="13">
        <f t="shared" si="35"/>
        <v>43.522592178230106</v>
      </c>
      <c r="AL59" s="20">
        <f t="shared" si="4"/>
        <v>375.25124829375051</v>
      </c>
      <c r="AM59" s="59">
        <f t="shared" si="5"/>
        <v>636.58931045000202</v>
      </c>
      <c r="AN59" s="59">
        <f ca="1">AVERAGE(OFFSET($AM$3,0,0,'Données projet'!$E$10+1,1))-AVERAGE(OFFSET($H$3,0,0,'Données projet'!$E$10+1,1))</f>
        <v>329.7518221182429</v>
      </c>
      <c r="AO59" s="59">
        <f t="shared" si="36"/>
        <v>207.30737400651807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59.571657371048062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59.571657371048062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61.274016951704965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189.62971370839551</v>
      </c>
      <c r="BJ59" s="59">
        <f t="shared" si="38"/>
        <v>457.05149684588173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73.803907614198806</v>
      </c>
      <c r="BQ59" s="21">
        <f>EXP(-LN(2)/25)*BQ58+(1-EXP(-LN(2)/25))/(LN(2)/25)*Calculateur!BL59*Calculateur!BN59*VLOOKUP('Données projet'!$B$11,Paramètres!$A$1:$I$89,3,0)*0.475*44/12</f>
        <v>6.9920806554813133</v>
      </c>
      <c r="BR59" s="21">
        <f>EXP(-LN(2)/2)*BR58+(1-EXP(-LN(2)/2))/(LN(2)/2)*BL59*BO59*VLOOKUP('Données projet'!$B$11,Paramètres!$A$1:$I$89,3,0)*0.475*44/12</f>
        <v>5.4885261233587515E-6</v>
      </c>
      <c r="BS59" s="22">
        <f t="shared" si="9"/>
        <v>80.795993758206251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61.274016951704965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170.04605856785227</v>
      </c>
      <c r="CE59" s="59">
        <f t="shared" si="40"/>
        <v>377.63973197638802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39.502191953070749</v>
      </c>
      <c r="CL59" s="21">
        <f>EXP(-LN(2)/25)*CL58+(1-EXP(-LN(2)/25))/(LN(2)/25)*Calculateur!CG59*Calculateur!CI59*VLOOKUP('Données projet'!$B$12,Paramètres!$A$1:$I$89,3,0)*0.475*44/12</f>
        <v>8.0683376643112137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47.570529617381965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61.274016951704965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61.274016951704965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61.274016951704965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61.274016951704965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61.274016951704965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61.274016951704965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4.6500000000000004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17.05</v>
      </c>
      <c r="H60" s="66">
        <f t="shared" si="1"/>
        <v>188.46666666666667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61.42539324921735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10.118749999999999</v>
      </c>
      <c r="N60" s="13">
        <f>IF('Données projet'!$A$36&gt;35,N59+M60-V59,IF(A60&lt;'Données projet'!$A$36,$K$205^A60,IF(A60='Données projet'!$A$36,'Données projet'!$B$36,N59+M60-V59)))</f>
        <v>243.58125000000001</v>
      </c>
      <c r="O60" s="13">
        <f>N60*VLOOKUP('Données projet'!$B$9,Paramètres!$A$1:$I$89,3,0)*VLOOKUP('Données projet'!$B$9,Paramètres!$A$1:$I$89,5,0)</f>
        <v>220.392315</v>
      </c>
      <c r="P60" s="13">
        <f t="shared" si="33"/>
        <v>54.200144603836982</v>
      </c>
      <c r="Q60" s="20">
        <f t="shared" si="53"/>
        <v>478.24853381001611</v>
      </c>
      <c r="R60" s="59">
        <f t="shared" si="0"/>
        <v>740.14164239047977</v>
      </c>
      <c r="S60" s="59">
        <f ca="1">AVERAGE(OFFSET($R$3,0,0,'Données projet'!$E$9+1,1))-AVERAGE(OFFSET($H$3,0,0,'Données projet'!$E$9+1,1))</f>
        <v>664.27707313486087</v>
      </c>
      <c r="T60" s="59">
        <f t="shared" si="34"/>
        <v>206.64483278066874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27.130238790038472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27.130238790038472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61.42539324921735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16.366250000000001</v>
      </c>
      <c r="AI60" s="13">
        <f>IF('Données projet'!$A$62&gt;35,AI59+AH60-AQ59,IF(A60&lt;'Données projet'!$A$62,$AF$205^A60,IF(A60='Données projet'!$A$62,'Données projet'!$B$62,AI59+AH60-AQ59)))</f>
        <v>383.74374999999964</v>
      </c>
      <c r="AJ60" s="13">
        <f>AI60*VLOOKUP('Données projet'!$B$10,Paramètres!$A$1:$I$89,3,0)*VLOOKUP('Données projet'!$B$10,Paramètres!$A$1:$I$89,5,0)</f>
        <v>179.59207499999982</v>
      </c>
      <c r="AK60" s="13">
        <f t="shared" si="35"/>
        <v>45.231418389225027</v>
      </c>
      <c r="AL60" s="20">
        <f t="shared" si="4"/>
        <v>391.56758431956655</v>
      </c>
      <c r="AM60" s="59">
        <f t="shared" si="5"/>
        <v>653.46069290003015</v>
      </c>
      <c r="AN60" s="59">
        <f ca="1">AVERAGE(OFFSET($AM$3,0,0,'Données projet'!$E$10+1,1))-AVERAGE(OFFSET($H$3,0,0,'Données projet'!$E$10+1,1))</f>
        <v>329.7518221182429</v>
      </c>
      <c r="AO60" s="59">
        <f t="shared" si="36"/>
        <v>207.30737400651807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58.403493505125013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58.403493505125013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61.42539324921735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189.62971370839551</v>
      </c>
      <c r="BJ60" s="59">
        <f t="shared" si="38"/>
        <v>457.05149684588173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72.356658001823064</v>
      </c>
      <c r="BQ60" s="21">
        <f>EXP(-LN(2)/25)*BQ59+(1-EXP(-LN(2)/25))/(LN(2)/25)*Calculateur!BL60*Calculateur!BN60*VLOOKUP('Données projet'!$B$11,Paramètres!$A$1:$I$89,3,0)*0.475*44/12</f>
        <v>6.8008818422596358</v>
      </c>
      <c r="BR60" s="21">
        <f>EXP(-LN(2)/2)*BR59+(1-EXP(-LN(2)/2))/(LN(2)/2)*BL60*BO60*VLOOKUP('Données projet'!$B$11,Paramètres!$A$1:$I$89,3,0)*0.475*44/12</f>
        <v>3.8809740405464866E-6</v>
      </c>
      <c r="BS60" s="22">
        <f t="shared" si="9"/>
        <v>79.15754372505674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61.42539324921735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170.04605856785227</v>
      </c>
      <c r="CE60" s="59">
        <f t="shared" si="40"/>
        <v>377.63973197638802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38.727578062829039</v>
      </c>
      <c r="CL60" s="21">
        <f>EXP(-LN(2)/25)*CL59+(1-EXP(-LN(2)/25))/(LN(2)/25)*Calculateur!CG60*Calculateur!CI60*VLOOKUP('Données projet'!$B$12,Paramètres!$A$1:$I$89,3,0)*0.475*44/12</f>
        <v>7.8477085465851859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46.575286609414228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61.42539324921735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61.42539324921735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61.42539324921735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61.42539324921735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61.42539324921735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61.42539324921735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4.6500000000000004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17.05</v>
      </c>
      <c r="H61" s="66">
        <f t="shared" si="1"/>
        <v>188.46666666666667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61.574143506394599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253.7</v>
      </c>
      <c r="L61" s="12">
        <f>VLOOKUP(A61,'Données projet'!$A$35:$I$55,9,0)</f>
        <v>10.118749999999999</v>
      </c>
      <c r="M61" s="12">
        <f t="array" ref="M61">INDEX(L:L,MIN(IF(ISNUMBER(L61:L257),ROW(L61:L257),"")))</f>
        <v>10.118749999999999</v>
      </c>
      <c r="N61" s="13">
        <f>IF('Données projet'!$A$36&gt;35,N60+M61-V60,IF(A61&lt;'Données projet'!$A$36,$K$205^A61,IF(A61='Données projet'!$A$36,'Données projet'!$B$36,N60+M61-V60)))</f>
        <v>253.70000000000002</v>
      </c>
      <c r="O61" s="13">
        <f>N61*VLOOKUP('Données projet'!$B$9,Paramètres!$A$1:$I$89,3,0)*VLOOKUP('Données projet'!$B$9,Paramètres!$A$1:$I$89,5,0)</f>
        <v>229.54775999999998</v>
      </c>
      <c r="P61" s="13">
        <f t="shared" si="33"/>
        <v>56.184885471425709</v>
      </c>
      <c r="Q61" s="20">
        <f t="shared" si="53"/>
        <v>497.65102419606643</v>
      </c>
      <c r="R61" s="59">
        <f t="shared" si="0"/>
        <v>760.08955038617989</v>
      </c>
      <c r="S61" s="59">
        <f ca="1">AVERAGE(OFFSET($R$3,0,0,'Données projet'!$E$9+1,1))-AVERAGE(OFFSET($H$3,0,0,'Données projet'!$E$9+1,1))</f>
        <v>664.27707313486087</v>
      </c>
      <c r="T61" s="59">
        <f t="shared" si="34"/>
        <v>206.64483278066874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44.93</v>
      </c>
      <c r="W61" s="16">
        <f>IF(ISNA(VLOOKUP(A61,'Données projet'!$A$35:$I$55,5,0)),0%,VLOOKUP(A61,'Données projet'!$A$35:$I$55,5,0)*VLOOKUP('Données projet'!$B$9,Paramètres!$A$1:$I$89,7,0))</f>
        <v>0.43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45.922567192652878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45.922567192652878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61.574143506394599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400.11</v>
      </c>
      <c r="AG61" s="12">
        <f>VLOOKUP(A61,'Données projet'!$A$61:$I$81,9,0)</f>
        <v>16.366250000000001</v>
      </c>
      <c r="AH61" s="12">
        <f t="array" ref="AH61">INDEX(AG:AG,MIN(IF(ISNUMBER(AG61:AG257),ROW(AG61:AG257),"")))</f>
        <v>16.366250000000001</v>
      </c>
      <c r="AI61" s="13">
        <f>IF('Données projet'!$A$62&gt;35,AI60+AH61-AQ60,IF(A61&lt;'Données projet'!$A$62,$AF$205^A61,IF(A61='Données projet'!$A$62,'Données projet'!$B$62,AI60+AH61-AQ60)))</f>
        <v>400.10999999999962</v>
      </c>
      <c r="AJ61" s="13">
        <f>AI61*VLOOKUP('Données projet'!$B$10,Paramètres!$A$1:$I$89,3,0)*VLOOKUP('Données projet'!$B$10,Paramètres!$A$1:$I$89,5,0)</f>
        <v>187.25147999999984</v>
      </c>
      <c r="AK61" s="13">
        <f t="shared" si="35"/>
        <v>46.931779730921761</v>
      </c>
      <c r="AL61" s="20">
        <f t="shared" si="4"/>
        <v>407.86917736468848</v>
      </c>
      <c r="AM61" s="59">
        <f t="shared" si="5"/>
        <v>670.30770355480195</v>
      </c>
      <c r="AN61" s="59">
        <f ca="1">AVERAGE(OFFSET($AM$3,0,0,'Données projet'!$E$10+1,1))-AVERAGE(OFFSET($H$3,0,0,'Données projet'!$E$10+1,1))</f>
        <v>329.7518221182429</v>
      </c>
      <c r="AO61" s="59">
        <f t="shared" si="36"/>
        <v>207.30737400651807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87.34</v>
      </c>
      <c r="AR61" s="16">
        <f>IF(ISNA(VLOOKUP(A61,'Données projet'!$A$61:$I$81,5,0)),0%,VLOOKUP(A61,'Données projet'!$A$61:$I$81,5,0)*VLOOKUP('Données projet'!$B$10,Paramètres!$A$1:$I$89,7,0))</f>
        <v>0.55000000000000004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87.081151337207331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87.081151337207331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61.574143506394599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189.62971370839551</v>
      </c>
      <c r="BJ61" s="59">
        <f t="shared" si="38"/>
        <v>457.05149684588173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70.937788071610896</v>
      </c>
      <c r="BQ61" s="21">
        <f>EXP(-LN(2)/25)*BQ60+(1-EXP(-LN(2)/25))/(LN(2)/25)*Calculateur!BL61*Calculateur!BN61*VLOOKUP('Données projet'!$B$11,Paramètres!$A$1:$I$89,3,0)*0.475*44/12</f>
        <v>6.6149113706402138</v>
      </c>
      <c r="BR61" s="21">
        <f>EXP(-LN(2)/2)*BR60+(1-EXP(-LN(2)/2))/(LN(2)/2)*BL61*BO61*VLOOKUP('Données projet'!$B$11,Paramètres!$A$1:$I$89,3,0)*0.475*44/12</f>
        <v>2.7442630616793758E-6</v>
      </c>
      <c r="BS61" s="22">
        <f t="shared" si="9"/>
        <v>77.552702186514168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61.574143506394599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170.04605856785227</v>
      </c>
      <c r="CE61" s="59">
        <f t="shared" si="40"/>
        <v>377.63973197638802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37.968153878507152</v>
      </c>
      <c r="CL61" s="21">
        <f>EXP(-LN(2)/25)*CL60+(1-EXP(-LN(2)/25))/(LN(2)/25)*Calculateur!CG61*Calculateur!CI61*VLOOKUP('Données projet'!$B$12,Paramètres!$A$1:$I$89,3,0)*0.475*44/12</f>
        <v>7.6331125436857574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45.601266422192907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61.574143506394599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61.574143506394599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61.574143506394599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61.574143506394599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61.574143506394599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61.574143506394599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4.6500000000000004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17.05</v>
      </c>
      <c r="H62" s="66">
        <f t="shared" si="1"/>
        <v>188.46666666666667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61.72031327916558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9.75</v>
      </c>
      <c r="N62" s="13">
        <f>IF('Données projet'!$A$36&gt;35,N61+M62-V61,IF(A62&lt;'Données projet'!$A$36,$K$205^A62,IF(A62='Données projet'!$A$36,'Données projet'!$B$36,N61+M62-V61)))</f>
        <v>218.52000000000004</v>
      </c>
      <c r="O62" s="13">
        <f>N62*VLOOKUP('Données projet'!$B$9,Paramètres!$A$1:$I$89,3,0)*VLOOKUP('Données projet'!$B$9,Paramètres!$A$1:$I$89,5,0)</f>
        <v>197.71689600000005</v>
      </c>
      <c r="P62" s="13">
        <f t="shared" si="33"/>
        <v>49.242075785054176</v>
      </c>
      <c r="Q62" s="20">
        <f t="shared" si="53"/>
        <v>430.12020919230275</v>
      </c>
      <c r="R62" s="59">
        <f t="shared" si="0"/>
        <v>693.09469121590985</v>
      </c>
      <c r="S62" s="59">
        <f ca="1">AVERAGE(OFFSET($R$3,0,0,'Données projet'!$E$9+1,1))-AVERAGE(OFFSET($H$3,0,0,'Données projet'!$E$9+1,1))</f>
        <v>664.27707313486087</v>
      </c>
      <c r="T62" s="59">
        <f t="shared" si="34"/>
        <v>206.64483278066874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45.022053660005184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45.022053660005184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61.72031327916558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15.928750000000001</v>
      </c>
      <c r="AI62" s="13">
        <f>IF('Données projet'!$A$62&gt;35,AI61+AH62-AQ61,IF(A62&lt;'Données projet'!$A$62,$AF$205^A62,IF(A62='Données projet'!$A$62,'Données projet'!$B$62,AI61+AH62-AQ61)))</f>
        <v>328.69874999999956</v>
      </c>
      <c r="AJ62" s="13">
        <f>AI62*VLOOKUP('Données projet'!$B$10,Paramètres!$A$1:$I$89,3,0)*VLOOKUP('Données projet'!$B$10,Paramètres!$A$1:$I$89,5,0)</f>
        <v>153.83101499999978</v>
      </c>
      <c r="AK62" s="13">
        <f t="shared" si="35"/>
        <v>39.447915555701208</v>
      </c>
      <c r="AL62" s="20">
        <f t="shared" si="4"/>
        <v>336.62747071784582</v>
      </c>
      <c r="AM62" s="59">
        <f t="shared" si="5"/>
        <v>599.60195274145292</v>
      </c>
      <c r="AN62" s="59">
        <f ca="1">AVERAGE(OFFSET($AM$3,0,0,'Données projet'!$E$10+1,1))-AVERAGE(OFFSET($H$3,0,0,'Données projet'!$E$10+1,1))</f>
        <v>329.7518221182429</v>
      </c>
      <c r="AO62" s="59">
        <f t="shared" si="36"/>
        <v>207.30737400651807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85.373543073742411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85.373543073742411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61.72031327916558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189.62971370839551</v>
      </c>
      <c r="BJ62" s="59">
        <f t="shared" si="38"/>
        <v>457.05149684588173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69.546741315304999</v>
      </c>
      <c r="BQ62" s="21">
        <f>EXP(-LN(2)/25)*BQ61+(1-EXP(-LN(2)/25))/(LN(2)/25)*Calculateur!BL62*Calculateur!BN62*VLOOKUP('Données projet'!$B$11,Paramètres!$A$1:$I$89,3,0)*0.475*44/12</f>
        <v>6.4340262713469869</v>
      </c>
      <c r="BR62" s="21">
        <f>EXP(-LN(2)/2)*BR61+(1-EXP(-LN(2)/2))/(LN(2)/2)*BL62*BO62*VLOOKUP('Données projet'!$B$11,Paramètres!$A$1:$I$89,3,0)*0.475*44/12</f>
        <v>1.9404870202732433E-6</v>
      </c>
      <c r="BS62" s="22">
        <f t="shared" si="9"/>
        <v>75.980769527139003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61.72031327916558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170.04605856785227</v>
      </c>
      <c r="CE62" s="59">
        <f t="shared" si="40"/>
        <v>377.63973197638802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37.223621539236802</v>
      </c>
      <c r="CL62" s="21">
        <f>EXP(-LN(2)/25)*CL61+(1-EXP(-LN(2)/25))/(LN(2)/25)*Calculateur!CG62*Calculateur!CI62*VLOOKUP('Données projet'!$B$12,Paramètres!$A$1:$I$89,3,0)*0.475*44/12</f>
        <v>7.4243846797707276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44.648006219007527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61.72031327916558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61.72031327916558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61.72031327916558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61.72031327916558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61.72031327916558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61.72031327916558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4.6500000000000004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17.05</v>
      </c>
      <c r="H63" s="66">
        <f t="shared" si="1"/>
        <v>188.46666666666667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61.863947333165648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9.75</v>
      </c>
      <c r="N63" s="13">
        <f>IF('Données projet'!$A$36&gt;35,N62+M63-V62,IF(A63&lt;'Données projet'!$A$36,$K$205^A63,IF(A63='Données projet'!$A$36,'Données projet'!$B$36,N62+M63-V62)))</f>
        <v>228.27000000000004</v>
      </c>
      <c r="O63" s="13">
        <f>N63*VLOOKUP('Données projet'!$B$9,Paramètres!$A$1:$I$89,3,0)*VLOOKUP('Données projet'!$B$9,Paramètres!$A$1:$I$89,5,0)</f>
        <v>206.53869600000002</v>
      </c>
      <c r="P63" s="13">
        <f t="shared" si="33"/>
        <v>51.178473620632914</v>
      </c>
      <c r="Q63" s="20">
        <f t="shared" si="53"/>
        <v>448.85740375593576</v>
      </c>
      <c r="R63" s="59">
        <f t="shared" si="0"/>
        <v>712.35854397754315</v>
      </c>
      <c r="S63" s="59">
        <f ca="1">AVERAGE(OFFSET($R$3,0,0,'Données projet'!$E$9+1,1))-AVERAGE(OFFSET($H$3,0,0,'Données projet'!$E$9+1,1))</f>
        <v>664.27707313486087</v>
      </c>
      <c r="T63" s="59">
        <f t="shared" si="34"/>
        <v>206.64483278066874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44.139198648473695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44.139198648473695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61.863947333165648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15.928750000000001</v>
      </c>
      <c r="AI63" s="13">
        <f>IF('Données projet'!$A$62&gt;35,AI62+AH63-AQ62,IF(A63&lt;'Données projet'!$A$62,$AF$205^A63,IF(A63='Données projet'!$A$62,'Données projet'!$B$62,AI62+AH63-AQ62)))</f>
        <v>344.62749999999954</v>
      </c>
      <c r="AJ63" s="13">
        <f>AI63*VLOOKUP('Données projet'!$B$10,Paramètres!$A$1:$I$89,3,0)*VLOOKUP('Données projet'!$B$10,Paramètres!$A$1:$I$89,5,0)</f>
        <v>161.28566999999978</v>
      </c>
      <c r="AK63" s="13">
        <f t="shared" si="35"/>
        <v>41.132366651958954</v>
      </c>
      <c r="AL63" s="20">
        <f t="shared" si="4"/>
        <v>352.54474716882811</v>
      </c>
      <c r="AM63" s="59">
        <f t="shared" si="5"/>
        <v>616.04588739043538</v>
      </c>
      <c r="AN63" s="59">
        <f ca="1">AVERAGE(OFFSET($AM$3,0,0,'Données projet'!$E$10+1,1))-AVERAGE(OFFSET($H$3,0,0,'Données projet'!$E$10+1,1))</f>
        <v>329.7518221182429</v>
      </c>
      <c r="AO63" s="59">
        <f t="shared" si="36"/>
        <v>207.30737400651807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83.69941996678584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83.69941996678584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61.863947333165648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189.62971370839551</v>
      </c>
      <c r="BJ63" s="59">
        <f t="shared" si="38"/>
        <v>457.05149684588173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68.182972137435513</v>
      </c>
      <c r="BQ63" s="21">
        <f>EXP(-LN(2)/25)*BQ62+(1-EXP(-LN(2)/25))/(LN(2)/25)*Calculateur!BL63*Calculateur!BN63*VLOOKUP('Données projet'!$B$11,Paramètres!$A$1:$I$89,3,0)*0.475*44/12</f>
        <v>6.2580874846062668</v>
      </c>
      <c r="BR63" s="21">
        <f>EXP(-LN(2)/2)*BR62+(1-EXP(-LN(2)/2))/(LN(2)/2)*BL63*BO63*VLOOKUP('Données projet'!$B$11,Paramètres!$A$1:$I$89,3,0)*0.475*44/12</f>
        <v>1.3721315308396879E-6</v>
      </c>
      <c r="BS63" s="22">
        <f t="shared" si="9"/>
        <v>74.441060994173313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61.863947333165648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170.04605856785227</v>
      </c>
      <c r="CE63" s="59">
        <f t="shared" si="40"/>
        <v>377.63973197638802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36.493689025019656</v>
      </c>
      <c r="CL63" s="21">
        <f>EXP(-LN(2)/25)*CL62+(1-EXP(-LN(2)/25))/(LN(2)/25)*Calculateur!CG63*Calculateur!CI63*VLOOKUP('Données projet'!$B$12,Paramètres!$A$1:$I$89,3,0)*0.475*44/12</f>
        <v>7.2213644902709753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43.715053515290634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61.863947333165648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61.863947333165648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61.863947333165648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61.863947333165648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61.863947333165648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61.863947333165648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4.6500000000000004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17.05</v>
      </c>
      <c r="H64" s="66">
        <f t="shared" si="1"/>
        <v>188.46666666666667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62.00508965744644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9.75</v>
      </c>
      <c r="N64" s="13">
        <f>IF('Données projet'!$A$36&gt;35,N63+M64-V63,IF(A64&lt;'Données projet'!$A$36,$K$205^A64,IF(A64='Données projet'!$A$36,'Données projet'!$B$36,N63+M64-V63)))</f>
        <v>238.02000000000004</v>
      </c>
      <c r="O64" s="13">
        <f>N64*VLOOKUP('Données projet'!$B$9,Paramètres!$A$1:$I$89,3,0)*VLOOKUP('Données projet'!$B$9,Paramètres!$A$1:$I$89,5,0)</f>
        <v>215.36049600000001</v>
      </c>
      <c r="P64" s="13">
        <f t="shared" si="33"/>
        <v>53.105264989839284</v>
      </c>
      <c r="Q64" s="20">
        <f t="shared" si="53"/>
        <v>467.57786705730337</v>
      </c>
      <c r="R64" s="59">
        <f t="shared" si="0"/>
        <v>731.59652913460695</v>
      </c>
      <c r="S64" s="59">
        <f ca="1">AVERAGE(OFFSET($R$3,0,0,'Données projet'!$E$9+1,1))-AVERAGE(OFFSET($H$3,0,0,'Données projet'!$E$9+1,1))</f>
        <v>664.27707313486087</v>
      </c>
      <c r="T64" s="59">
        <f t="shared" si="34"/>
        <v>206.64483278066874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43.27365588522995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43.27365588522995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62.00508965744644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15.928750000000001</v>
      </c>
      <c r="AI64" s="13">
        <f>IF('Données projet'!$A$62&gt;35,AI63+AH64-AQ63,IF(A64&lt;'Données projet'!$A$62,$AF$205^A64,IF(A64='Données projet'!$A$62,'Données projet'!$B$62,AI63+AH64-AQ63)))</f>
        <v>360.55624999999952</v>
      </c>
      <c r="AJ64" s="13">
        <f>AI64*VLOOKUP('Données projet'!$B$10,Paramètres!$A$1:$I$89,3,0)*VLOOKUP('Données projet'!$B$10,Paramètres!$A$1:$I$89,5,0)</f>
        <v>168.74032499999979</v>
      </c>
      <c r="AK64" s="13">
        <f t="shared" si="35"/>
        <v>42.807776284897514</v>
      </c>
      <c r="AL64" s="20">
        <f t="shared" si="4"/>
        <v>368.44627640452944</v>
      </c>
      <c r="AM64" s="59">
        <f t="shared" si="5"/>
        <v>632.46493848183309</v>
      </c>
      <c r="AN64" s="59">
        <f ca="1">AVERAGE(OFFSET($AM$3,0,0,'Données projet'!$E$10+1,1))-AVERAGE(OFFSET($H$3,0,0,'Données projet'!$E$10+1,1))</f>
        <v>329.7518221182429</v>
      </c>
      <c r="AO64" s="59">
        <f t="shared" si="36"/>
        <v>207.30737400651807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82.058125392842427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82.058125392842427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62.00508965744644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189.62971370839551</v>
      </c>
      <c r="BJ64" s="59">
        <f t="shared" si="38"/>
        <v>457.05149684588173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66.845945641326978</v>
      </c>
      <c r="BQ64" s="21">
        <f>EXP(-LN(2)/25)*BQ63+(1-EXP(-LN(2)/25))/(LN(2)/25)*Calculateur!BL64*Calculateur!BN64*VLOOKUP('Données projet'!$B$11,Paramètres!$A$1:$I$89,3,0)*0.475*44/12</f>
        <v>6.0869597532411905</v>
      </c>
      <c r="BR64" s="21">
        <f>EXP(-LN(2)/2)*BR63+(1-EXP(-LN(2)/2))/(LN(2)/2)*BL64*BO64*VLOOKUP('Données projet'!$B$11,Paramètres!$A$1:$I$89,3,0)*0.475*44/12</f>
        <v>9.7024351013662166E-7</v>
      </c>
      <c r="BS64" s="22">
        <f t="shared" si="9"/>
        <v>72.932906364811672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62.00508965744644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170.04605856785227</v>
      </c>
      <c r="CE64" s="59">
        <f t="shared" si="40"/>
        <v>377.63973197638802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35.778070042191437</v>
      </c>
      <c r="CL64" s="21">
        <f>EXP(-LN(2)/25)*CL63+(1-EXP(-LN(2)/25))/(LN(2)/25)*Calculateur!CG64*Calculateur!CI64*VLOOKUP('Données projet'!$B$12,Paramètres!$A$1:$I$89,3,0)*0.475*44/12</f>
        <v>7.0238958985294619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42.801965940720898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62.00508965744644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62.00508965744644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62.00508965744644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62.00508965744644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62.00508965744644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62.00508965744644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4.6500000000000004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17.05</v>
      </c>
      <c r="H65" s="66">
        <f t="shared" si="1"/>
        <v>188.46666666666667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62.143783477947927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9.75</v>
      </c>
      <c r="N65" s="13">
        <f>IF('Données projet'!$A$36&gt;35,N64+M65-V64,IF(A65&lt;'Données projet'!$A$36,$K$205^A65,IF(A65='Données projet'!$A$36,'Données projet'!$B$36,N64+M65-V64)))</f>
        <v>247.77000000000004</v>
      </c>
      <c r="O65" s="13">
        <f>N65*VLOOKUP('Données projet'!$B$9,Paramètres!$A$1:$I$89,3,0)*VLOOKUP('Données projet'!$B$9,Paramètres!$A$1:$I$89,5,0)</f>
        <v>224.18229600000001</v>
      </c>
      <c r="P65" s="13">
        <f t="shared" si="33"/>
        <v>55.022888410638771</v>
      </c>
      <c r="Q65" s="20">
        <f t="shared" si="53"/>
        <v>486.28236284852915</v>
      </c>
      <c r="R65" s="59">
        <f t="shared" si="0"/>
        <v>750.80956893433813</v>
      </c>
      <c r="S65" s="59">
        <f ca="1">AVERAGE(OFFSET($R$3,0,0,'Données projet'!$E$9+1,1))-AVERAGE(OFFSET($H$3,0,0,'Données projet'!$E$9+1,1))</f>
        <v>664.27707313486087</v>
      </c>
      <c r="T65" s="59">
        <f t="shared" si="34"/>
        <v>206.64483278066874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42.425085887644457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42.425085887644457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62.143783477947927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15.928750000000001</v>
      </c>
      <c r="AI65" s="13">
        <f>IF('Données projet'!$A$62&gt;35,AI64+AH65-AQ64,IF(A65&lt;'Données projet'!$A$62,$AF$205^A65,IF(A65='Données projet'!$A$62,'Données projet'!$B$62,AI64+AH65-AQ64)))</f>
        <v>376.4849999999995</v>
      </c>
      <c r="AJ65" s="13">
        <f>AI65*VLOOKUP('Données projet'!$B$10,Paramètres!$A$1:$I$89,3,0)*VLOOKUP('Données projet'!$B$10,Paramètres!$A$1:$I$89,5,0)</f>
        <v>176.19497999999976</v>
      </c>
      <c r="AK65" s="13">
        <f t="shared" si="35"/>
        <v>44.474589536115268</v>
      </c>
      <c r="AL65" s="20">
        <f t="shared" si="4"/>
        <v>384.33283360873367</v>
      </c>
      <c r="AM65" s="59">
        <f t="shared" si="5"/>
        <v>648.86003969454271</v>
      </c>
      <c r="AN65" s="59">
        <f ca="1">AVERAGE(OFFSET($AM$3,0,0,'Données projet'!$E$10+1,1))-AVERAGE(OFFSET($H$3,0,0,'Données projet'!$E$10+1,1))</f>
        <v>329.7518221182429</v>
      </c>
      <c r="AO65" s="59">
        <f t="shared" si="36"/>
        <v>207.30737400651807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80.449015604403201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80.449015604403201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62.143783477947927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189.62971370839551</v>
      </c>
      <c r="BJ65" s="59">
        <f t="shared" si="38"/>
        <v>457.05149684588173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65.535137419301492</v>
      </c>
      <c r="BQ65" s="21">
        <f>EXP(-LN(2)/25)*BQ64+(1-EXP(-LN(2)/25))/(LN(2)/25)*Calculateur!BL65*Calculateur!BN65*VLOOKUP('Données projet'!$B$11,Paramètres!$A$1:$I$89,3,0)*0.475*44/12</f>
        <v>5.9205115186895085</v>
      </c>
      <c r="BR65" s="21">
        <f>EXP(-LN(2)/2)*BR64+(1-EXP(-LN(2)/2))/(LN(2)/2)*BL65*BO65*VLOOKUP('Données projet'!$B$11,Paramètres!$A$1:$I$89,3,0)*0.475*44/12</f>
        <v>6.8606576541984394E-7</v>
      </c>
      <c r="BS65" s="22">
        <f t="shared" si="9"/>
        <v>71.455649624056761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62.143783477947927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170.04605856785227</v>
      </c>
      <c r="CE65" s="59">
        <f t="shared" si="40"/>
        <v>377.63973197638802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35.076483911132001</v>
      </c>
      <c r="CL65" s="21">
        <f>EXP(-LN(2)/25)*CL64+(1-EXP(-LN(2)/25))/(LN(2)/25)*Calculateur!CG65*Calculateur!CI65*VLOOKUP('Données projet'!$B$12,Paramètres!$A$1:$I$89,3,0)*0.475*44/12</f>
        <v>6.8318270958135416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41.908311006945546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62.143783477947927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62.143783477947927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62.143783477947927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62.143783477947927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62.143783477947927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62.143783477947927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4.6500000000000004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17.05</v>
      </c>
      <c r="H66" s="66">
        <f t="shared" si="1"/>
        <v>188.46666666666667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62.280071270736642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9.75</v>
      </c>
      <c r="N66" s="13">
        <f>IF('Données projet'!$A$36&gt;35,N65+M66-V65,IF(A66&lt;'Données projet'!$A$36,$K$205^A66,IF(A66='Données projet'!$A$36,'Données projet'!$B$36,N65+M66-V65)))</f>
        <v>257.52000000000004</v>
      </c>
      <c r="O66" s="13">
        <f>N66*VLOOKUP('Données projet'!$B$9,Paramètres!$A$1:$I$89,3,0)*VLOOKUP('Données projet'!$B$9,Paramètres!$A$1:$I$89,5,0)</f>
        <v>233.00409600000003</v>
      </c>
      <c r="P66" s="13">
        <f t="shared" si="33"/>
        <v>56.931745934845914</v>
      </c>
      <c r="Q66" s="20">
        <f t="shared" si="53"/>
        <v>504.9715913698567</v>
      </c>
      <c r="R66" s="59">
        <f t="shared" si="0"/>
        <v>769.99851936255777</v>
      </c>
      <c r="S66" s="59">
        <f ca="1">AVERAGE(OFFSET($R$3,0,0,'Données projet'!$E$9+1,1))-AVERAGE(OFFSET($H$3,0,0,'Données projet'!$E$9+1,1))</f>
        <v>664.27707313486087</v>
      </c>
      <c r="T66" s="59">
        <f t="shared" si="34"/>
        <v>206.64483278066874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41.593155830135025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41.593155830135025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62.280071270736642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15.928750000000001</v>
      </c>
      <c r="AI66" s="13">
        <f>IF('Données projet'!$A$62&gt;35,AI65+AH66-AQ65,IF(A66&lt;'Données projet'!$A$62,$AF$205^A66,IF(A66='Données projet'!$A$62,'Données projet'!$B$62,AI65+AH66-AQ65)))</f>
        <v>392.41374999999948</v>
      </c>
      <c r="AJ66" s="13">
        <f>AI66*VLOOKUP('Données projet'!$B$10,Paramètres!$A$1:$I$89,3,0)*VLOOKUP('Données projet'!$B$10,Paramètres!$A$1:$I$89,5,0)</f>
        <v>183.64963499999976</v>
      </c>
      <c r="AK66" s="13">
        <f t="shared" si="35"/>
        <v>46.133211694785324</v>
      </c>
      <c r="AL66" s="20">
        <f t="shared" si="4"/>
        <v>400.20512466008404</v>
      </c>
      <c r="AM66" s="59">
        <f t="shared" si="5"/>
        <v>665.23205265278511</v>
      </c>
      <c r="AN66" s="59">
        <f ca="1">AVERAGE(OFFSET($AM$3,0,0,'Données projet'!$E$10+1,1))-AVERAGE(OFFSET($H$3,0,0,'Données projet'!$E$10+1,1))</f>
        <v>329.7518221182429</v>
      </c>
      <c r="AO66" s="59">
        <f t="shared" si="36"/>
        <v>207.30737400651807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78.871459477455204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78.871459477455204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62.280071270736642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189.62971370839551</v>
      </c>
      <c r="BJ66" s="59">
        <f t="shared" si="38"/>
        <v>457.05149684588173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64.250033346995863</v>
      </c>
      <c r="BQ66" s="21">
        <f>EXP(-LN(2)/25)*BQ65+(1-EXP(-LN(2)/25))/(LN(2)/25)*Calculateur!BL66*Calculateur!BN66*VLOOKUP('Données projet'!$B$11,Paramètres!$A$1:$I$89,3,0)*0.475*44/12</f>
        <v>5.7586148198647749</v>
      </c>
      <c r="BR66" s="21">
        <f>EXP(-LN(2)/2)*BR65+(1-EXP(-LN(2)/2))/(LN(2)/2)*BL66*BO66*VLOOKUP('Données projet'!$B$11,Paramètres!$A$1:$I$89,3,0)*0.475*44/12</f>
        <v>4.8512175506831083E-7</v>
      </c>
      <c r="BS66" s="22">
        <f t="shared" si="9"/>
        <v>70.008648651982398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62.280071270736642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170.04605856785227</v>
      </c>
      <c r="CE66" s="59">
        <f t="shared" si="40"/>
        <v>377.63973197638802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34.388655456177354</v>
      </c>
      <c r="CL66" s="21">
        <f>EXP(-LN(2)/25)*CL65+(1-EXP(-LN(2)/25))/(LN(2)/25)*Calculateur!CG66*Calculateur!CI66*VLOOKUP('Données projet'!$B$12,Paramètres!$A$1:$I$89,3,0)*0.475*44/12</f>
        <v>6.6450104246083477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41.033665880785705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62.280071270736642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62.280071270736642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62.280071270736642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62.280071270736642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62.280071270736642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62.280071270736642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4.6500000000000004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17.05</v>
      </c>
      <c r="H67" s="66">
        <f t="shared" si="1"/>
        <v>188.46666666666667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62.413994775014338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9.75</v>
      </c>
      <c r="N67" s="13">
        <f>IF('Données projet'!$A$36&gt;35,N66+M67-V66,IF(A67&lt;'Données projet'!$A$36,$K$205^A67,IF(A67='Données projet'!$A$36,'Données projet'!$B$36,N66+M67-V66)))</f>
        <v>267.27000000000004</v>
      </c>
      <c r="O67" s="13">
        <f>N67*VLOOKUP('Données projet'!$B$9,Paramètres!$A$1:$I$89,3,0)*VLOOKUP('Données projet'!$B$9,Paramètres!$A$1:$I$89,5,0)</f>
        <v>241.82589600000003</v>
      </c>
      <c r="P67" s="13">
        <f t="shared" si="33"/>
        <v>58.832207445542991</v>
      </c>
      <c r="Q67" s="20">
        <f t="shared" ref="Q67:Q98" si="54">(O67+P67)*0.475*44/12</f>
        <v>523.64619683432079</v>
      </c>
      <c r="R67" s="59">
        <f t="shared" ref="R67:R130" si="55">Q67+(I67+J67)*44/12</f>
        <v>789.16417767604003</v>
      </c>
      <c r="S67" s="59">
        <f ca="1">AVERAGE(OFFSET($R$3,0,0,'Données projet'!$E$9+1,1))-AVERAGE(OFFSET($H$3,0,0,'Données projet'!$E$9+1,1))</f>
        <v>664.27707313486087</v>
      </c>
      <c r="T67" s="59">
        <f t="shared" si="34"/>
        <v>206.64483278066874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40.777539413626123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40.777539413626123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62.413994775014338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15.928750000000001</v>
      </c>
      <c r="AI67" s="13">
        <f>IF('Données projet'!$A$62&gt;35,AI66+AH67-AQ66,IF(A67&lt;'Données projet'!$A$62,$AF$205^A67,IF(A67='Données projet'!$A$62,'Données projet'!$B$62,AI66+AH67-AQ66)))</f>
        <v>408.34249999999946</v>
      </c>
      <c r="AJ67" s="13">
        <f>AI67*VLOOKUP('Données projet'!$B$10,Paramètres!$A$1:$I$89,3,0)*VLOOKUP('Données projet'!$B$10,Paramètres!$A$1:$I$89,5,0)</f>
        <v>191.10428999999974</v>
      </c>
      <c r="AK67" s="13">
        <f t="shared" si="35"/>
        <v>47.784013285238458</v>
      </c>
      <c r="AL67" s="20">
        <f t="shared" si="4"/>
        <v>416.06379488845647</v>
      </c>
      <c r="AM67" s="59">
        <f t="shared" si="5"/>
        <v>681.58177573017576</v>
      </c>
      <c r="AN67" s="59">
        <f ca="1">AVERAGE(OFFSET($AM$3,0,0,'Données projet'!$E$10+1,1))-AVERAGE(OFFSET($H$3,0,0,'Données projet'!$E$10+1,1))</f>
        <v>329.7518221182429</v>
      </c>
      <c r="AO67" s="59">
        <f t="shared" si="36"/>
        <v>207.30737400651807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77.324838263942439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77.324838263942439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62.413994775014338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189.62971370839551</v>
      </c>
      <c r="BJ67" s="59">
        <f t="shared" si="38"/>
        <v>457.05149684588173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62.990129381712059</v>
      </c>
      <c r="BQ67" s="21">
        <f>EXP(-LN(2)/25)*BQ66+(1-EXP(-LN(2)/25))/(LN(2)/25)*Calculateur!BL67*Calculateur!BN67*VLOOKUP('Données projet'!$B$11,Paramètres!$A$1:$I$89,3,0)*0.475*44/12</f>
        <v>5.6011451947831805</v>
      </c>
      <c r="BR67" s="21">
        <f>EXP(-LN(2)/2)*BR66+(1-EXP(-LN(2)/2))/(LN(2)/2)*BL67*BO67*VLOOKUP('Données projet'!$B$11,Paramètres!$A$1:$I$89,3,0)*0.475*44/12</f>
        <v>3.4303288270992197E-7</v>
      </c>
      <c r="BS67" s="22">
        <f t="shared" si="9"/>
        <v>68.591274919528118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62.413994775014338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170.04605856785227</v>
      </c>
      <c r="CE67" s="59">
        <f t="shared" si="40"/>
        <v>377.63973197638802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33.714314897690436</v>
      </c>
      <c r="CL67" s="21">
        <f>EXP(-LN(2)/25)*CL66+(1-EXP(-LN(2)/25))/(LN(2)/25)*Calculateur!CG67*Calculateur!CI67*VLOOKUP('Données projet'!$B$12,Paramètres!$A$1:$I$89,3,0)*0.475*44/12</f>
        <v>6.4633022651015217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40.177617162791961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62.413994775014338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62.413994775014338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62.413994775014338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62.413994775014338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62.413994775014338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62.413994775014338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4.6500000000000004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17.05</v>
      </c>
      <c r="H68" s="66">
        <f t="shared" ref="H68:H131" si="56">(B68+E68+F68)*44/12+(C68+D68)*0.475*44/12</f>
        <v>188.46666666666667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62.545595005900907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9.75</v>
      </c>
      <c r="N68" s="13">
        <f>IF('Données projet'!$A$36&gt;35,N67+M68-V67,IF(A68&lt;'Données projet'!$A$36,$K$205^A68,IF(A68='Données projet'!$A$36,'Données projet'!$B$36,N67+M68-V67)))</f>
        <v>277.02000000000004</v>
      </c>
      <c r="O68" s="13">
        <f>N68*VLOOKUP('Données projet'!$B$9,Paramètres!$A$1:$I$89,3,0)*VLOOKUP('Données projet'!$B$9,Paramètres!$A$1:$I$89,5,0)</f>
        <v>250.64769600000002</v>
      </c>
      <c r="P68" s="13">
        <f t="shared" si="33"/>
        <v>60.724614309795427</v>
      </c>
      <c r="Q68" s="20">
        <f t="shared" si="54"/>
        <v>542.30677378956045</v>
      </c>
      <c r="R68" s="59">
        <f t="shared" si="55"/>
        <v>808.30728881119717</v>
      </c>
      <c r="S68" s="59">
        <f ca="1">AVERAGE(OFFSET($R$3,0,0,'Données projet'!$E$9+1,1))-AVERAGE(OFFSET($H$3,0,0,'Données projet'!$E$9+1,1))</f>
        <v>664.27707313486087</v>
      </c>
      <c r="T68" s="59">
        <f t="shared" si="34"/>
        <v>206.64483278066874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39.977916737568066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39.977916737568066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62.545595005900907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15.928750000000001</v>
      </c>
      <c r="AI68" s="13">
        <f>IF('Données projet'!$A$62&gt;35,AI67+AH68-AQ67,IF(A68&lt;'Données projet'!$A$62,$AF$205^A68,IF(A68='Données projet'!$A$62,'Données projet'!$B$62,AI67+AH68-AQ67)))</f>
        <v>424.27124999999944</v>
      </c>
      <c r="AJ68" s="13">
        <f>AI68*VLOOKUP('Données projet'!$B$10,Paramètres!$A$1:$I$89,3,0)*VLOOKUP('Données projet'!$B$10,Paramètres!$A$1:$I$89,5,0)</f>
        <v>198.55894499999974</v>
      </c>
      <c r="AK68" s="13">
        <f t="shared" si="35"/>
        <v>49.427334288005518</v>
      </c>
      <c r="AL68" s="20">
        <f t="shared" ref="AL68:AL131" si="58">(AJ68+AK68)*0.475*44/12</f>
        <v>431.90943642660909</v>
      </c>
      <c r="AM68" s="59">
        <f t="shared" ref="AM68:AM131" si="59">AL68+(AD68+AE68)*44/12</f>
        <v>697.90995144824569</v>
      </c>
      <c r="AN68" s="59">
        <f ca="1">AVERAGE(OFFSET($AM$3,0,0,'Données projet'!$E$10+1,1))-AVERAGE(OFFSET($H$3,0,0,'Données projet'!$E$10+1,1))</f>
        <v>329.7518221182429</v>
      </c>
      <c r="AO68" s="59">
        <f t="shared" si="36"/>
        <v>207.30737400651807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75.808545349080859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75.808545349080859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62.545595005900907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189.62971370839551</v>
      </c>
      <c r="BJ68" s="59">
        <f t="shared" si="38"/>
        <v>457.05149684588173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61.754931364721934</v>
      </c>
      <c r="BQ68" s="21">
        <f>EXP(-LN(2)/25)*BQ67+(1-EXP(-LN(2)/25))/(LN(2)/25)*Calculateur!BL68*Calculateur!BN68*VLOOKUP('Données projet'!$B$11,Paramètres!$A$1:$I$89,3,0)*0.475*44/12</f>
        <v>5.4479815848804103</v>
      </c>
      <c r="BR68" s="21">
        <f>EXP(-LN(2)/2)*BR67+(1-EXP(-LN(2)/2))/(LN(2)/2)*BL68*BO68*VLOOKUP('Données projet'!$B$11,Paramètres!$A$1:$I$89,3,0)*0.475*44/12</f>
        <v>2.4256087753415542E-7</v>
      </c>
      <c r="BS68" s="22">
        <f t="shared" ref="BS68:BS131" si="63">SUM(BP68:BR68)</f>
        <v>67.202913192163223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62.545595005900907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170.04605856785227</v>
      </c>
      <c r="CE68" s="59">
        <f t="shared" si="40"/>
        <v>377.63973197638802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33.053197746248316</v>
      </c>
      <c r="CL68" s="21">
        <f>EXP(-LN(2)/25)*CL67+(1-EXP(-LN(2)/25))/(LN(2)/25)*Calculateur!CG68*Calculateur!CI68*VLOOKUP('Données projet'!$B$12,Paramètres!$A$1:$I$89,3,0)*0.475*44/12</f>
        <v>6.2865629247720269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39.339760671020343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62.545595005900907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62.545595005900907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62.545595005900907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62.545595005900907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62.545595005900907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62.545595005900907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4.6500000000000004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17.05</v>
      </c>
      <c r="H69" s="66">
        <f t="shared" si="56"/>
        <v>188.46666666666667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62.674912266995641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286.77</v>
      </c>
      <c r="L69" s="12">
        <f>VLOOKUP(A69,'Données projet'!$A$35:$I$55,9,0)</f>
        <v>9.75</v>
      </c>
      <c r="M69" s="12">
        <f t="array" ref="M69">INDEX(L:L,MIN(IF(ISNUMBER(L69:L265),ROW(L69:L265),"")))</f>
        <v>9.75</v>
      </c>
      <c r="N69" s="13">
        <f>IF('Données projet'!$A$36&gt;35,N68+M69-V68,IF(A69&lt;'Données projet'!$A$36,$K$205^A69,IF(A69='Données projet'!$A$36,'Données projet'!$B$36,N68+M69-V68)))</f>
        <v>286.77000000000004</v>
      </c>
      <c r="O69" s="13">
        <f>N69*VLOOKUP('Données projet'!$B$9,Paramètres!$A$1:$I$89,3,0)*VLOOKUP('Données projet'!$B$9,Paramètres!$A$1:$I$89,5,0)</f>
        <v>259.46949600000005</v>
      </c>
      <c r="P69" s="13">
        <f t="shared" ref="P69:P132" si="87">EXP(-1.0587+0.8836*LN(O69)+0.284)</f>
        <v>62.609282502673445</v>
      </c>
      <c r="Q69" s="20">
        <f t="shared" si="54"/>
        <v>560.95387255882304</v>
      </c>
      <c r="R69" s="59">
        <f t="shared" si="55"/>
        <v>827.42855087114049</v>
      </c>
      <c r="S69" s="59">
        <f ca="1">AVERAGE(OFFSET($R$3,0,0,'Données projet'!$E$9+1,1))-AVERAGE(OFFSET($H$3,0,0,'Données projet'!$E$9+1,1))</f>
        <v>664.27707313486087</v>
      </c>
      <c r="T69" s="59">
        <f t="shared" ref="T69:T132" si="88">$T$3</f>
        <v>206.64483278066874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49.91</v>
      </c>
      <c r="W69" s="16">
        <f>IF(ISNA(VLOOKUP(A69,'Données projet'!$A$35:$I$55,5,0)),0%,VLOOKUP(A69,'Données projet'!$A$35:$I$55,5,0)*VLOOKUP('Données projet'!$B$9,Paramètres!$A$1:$I$89,7,0))</f>
        <v>0.43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60.660201676099391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60.660201676099391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62.674912266995641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440.2</v>
      </c>
      <c r="AG69" s="12">
        <f>VLOOKUP(A69,'Données projet'!$A$61:$I$81,9,0)</f>
        <v>15.928750000000001</v>
      </c>
      <c r="AH69" s="12">
        <f t="array" ref="AH69">INDEX(AG:AG,MIN(IF(ISNUMBER(AG69:AG265),ROW(AG69:AG265),"")))</f>
        <v>15.928750000000001</v>
      </c>
      <c r="AI69" s="13">
        <f>IF('Données projet'!$A$62&gt;35,AI68+AH69-AQ68,IF(A69&lt;'Données projet'!$A$62,$AF$205^A69,IF(A69='Données projet'!$A$62,'Données projet'!$B$62,AI68+AH69-AQ68)))</f>
        <v>440.19999999999942</v>
      </c>
      <c r="AJ69" s="13">
        <f>AI69*VLOOKUP('Données projet'!$B$10,Paramètres!$A$1:$I$89,3,0)*VLOOKUP('Données projet'!$B$10,Paramètres!$A$1:$I$89,5,0)</f>
        <v>206.01359999999971</v>
      </c>
      <c r="AK69" s="13">
        <f t="shared" ref="AK69:AK132" si="89">EXP(-1.0587+0.8836*LN(AJ69)+0.284)</f>
        <v>51.063487709141434</v>
      </c>
      <c r="AL69" s="20">
        <f t="shared" si="58"/>
        <v>447.74259442675412</v>
      </c>
      <c r="AM69" s="59">
        <f t="shared" si="59"/>
        <v>714.21727273907152</v>
      </c>
      <c r="AN69" s="59">
        <f ca="1">AVERAGE(OFFSET($AM$3,0,0,'Données projet'!$E$10+1,1))-AVERAGE(OFFSET($H$3,0,0,'Données projet'!$E$10+1,1))</f>
        <v>329.7518221182429</v>
      </c>
      <c r="AO69" s="59">
        <f t="shared" ref="AO69:AO132" si="90">$AO$3</f>
        <v>207.30737400651807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87.73</v>
      </c>
      <c r="AR69" s="16">
        <f>IF(ISNA(VLOOKUP(A69,'Données projet'!$A$61:$I$81,5,0)),0%,VLOOKUP(A69,'Données projet'!$A$61:$I$81,5,0)*VLOOKUP('Données projet'!$B$10,Paramètres!$A$1:$I$89,7,0))</f>
        <v>0.55000000000000004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104.27806922996035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104.27806922996035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62.674912266995641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189.62971370839551</v>
      </c>
      <c r="BJ69" s="59">
        <f t="shared" ref="BJ69:BJ132" si="92">$BJ$3</f>
        <v>457.05149684588173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60.54395482744858</v>
      </c>
      <c r="BQ69" s="21">
        <f>EXP(-LN(2)/25)*BQ68+(1-EXP(-LN(2)/25))/(LN(2)/25)*Calculateur!BL69*Calculateur!BN69*VLOOKUP('Données projet'!$B$11,Paramètres!$A$1:$I$89,3,0)*0.475*44/12</f>
        <v>5.2990062419449551</v>
      </c>
      <c r="BR69" s="21">
        <f>EXP(-LN(2)/2)*BR68+(1-EXP(-LN(2)/2))/(LN(2)/2)*BL69*BO69*VLOOKUP('Données projet'!$B$11,Paramètres!$A$1:$I$89,3,0)*0.475*44/12</f>
        <v>1.7151644135496099E-7</v>
      </c>
      <c r="BS69" s="22">
        <f t="shared" si="63"/>
        <v>65.842961240909986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62.674912266995641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170.04605856785227</v>
      </c>
      <c r="CE69" s="59">
        <f t="shared" ref="CE69:CE132" si="94">$CE$3</f>
        <v>377.63973197638802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32.405044698904334</v>
      </c>
      <c r="CL69" s="21">
        <f>EXP(-LN(2)/25)*CL68+(1-EXP(-LN(2)/25))/(LN(2)/25)*Calculateur!CG69*Calculateur!CI69*VLOOKUP('Données projet'!$B$12,Paramètres!$A$1:$I$89,3,0)*0.475*44/12</f>
        <v>6.1146565309981602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38.519701229902495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62.674912266995641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62.674912266995641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62.674912266995641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62.674912266995641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62.674912266995641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62.674912266995641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4.6500000000000004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17.05</v>
      </c>
      <c r="H70" s="66">
        <f t="shared" si="56"/>
        <v>188.46666666666667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62.801986162720468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9.2624999999999993</v>
      </c>
      <c r="N70" s="13">
        <f>IF('Données projet'!$A$36&gt;35,N69+M70-V69,IF(A70&lt;'Données projet'!$A$36,$K$205^A70,IF(A70='Données projet'!$A$36,'Données projet'!$B$36,N69+M70-V69)))</f>
        <v>246.12250000000003</v>
      </c>
      <c r="O70" s="13">
        <f>N70*VLOOKUP('Données projet'!$B$9,Paramètres!$A$1:$I$89,3,0)*VLOOKUP('Données projet'!$B$9,Paramètres!$A$1:$I$89,5,0)</f>
        <v>222.69163800000004</v>
      </c>
      <c r="P70" s="13">
        <f t="shared" si="87"/>
        <v>54.699485259875743</v>
      </c>
      <c r="Q70" s="20">
        <f t="shared" si="54"/>
        <v>483.12287301095034</v>
      </c>
      <c r="R70" s="59">
        <f t="shared" si="55"/>
        <v>750.06348894092548</v>
      </c>
      <c r="S70" s="59">
        <f ca="1">AVERAGE(OFFSET($R$3,0,0,'Données projet'!$E$9+1,1))-AVERAGE(OFFSET($H$3,0,0,'Données projet'!$E$9+1,1))</f>
        <v>664.27707313486087</v>
      </c>
      <c r="T70" s="59">
        <f t="shared" si="88"/>
        <v>206.64483278066874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59.470692120300747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59.470692120300747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62.801986162720468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15.211111111111116</v>
      </c>
      <c r="AI70" s="13">
        <f>IF('Données projet'!$A$62&gt;35,AI69+AH70-AQ69,IF(A70&lt;'Données projet'!$A$62,$AF$205^A70,IF(A70='Données projet'!$A$62,'Données projet'!$B$62,AI69+AH70-AQ69)))</f>
        <v>367.68111111111051</v>
      </c>
      <c r="AJ70" s="13">
        <f>AI70*VLOOKUP('Données projet'!$B$10,Paramètres!$A$1:$I$89,3,0)*VLOOKUP('Données projet'!$B$10,Paramètres!$A$1:$I$89,5,0)</f>
        <v>172.07475999999974</v>
      </c>
      <c r="AK70" s="13">
        <f t="shared" si="89"/>
        <v>43.554372236184811</v>
      </c>
      <c r="AL70" s="20">
        <f t="shared" si="58"/>
        <v>375.55407197802145</v>
      </c>
      <c r="AM70" s="59">
        <f t="shared" si="59"/>
        <v>642.49468790799654</v>
      </c>
      <c r="AN70" s="59">
        <f ca="1">AVERAGE(OFFSET($AM$3,0,0,'Données projet'!$E$10+1,1))-AVERAGE(OFFSET($H$3,0,0,'Données projet'!$E$10+1,1))</f>
        <v>329.7518221182429</v>
      </c>
      <c r="AO70" s="59">
        <f t="shared" si="90"/>
        <v>207.30737400651807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102.23323989570275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102.23323989570275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62.801986162720468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189.62971370839551</v>
      </c>
      <c r="BJ70" s="59">
        <f t="shared" si="92"/>
        <v>457.05149684588173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59.356724801448408</v>
      </c>
      <c r="BQ70" s="21">
        <f>EXP(-LN(2)/25)*BQ69+(1-EXP(-LN(2)/25))/(LN(2)/25)*Calculateur!BL70*Calculateur!BN70*VLOOKUP('Données projet'!$B$11,Paramètres!$A$1:$I$89,3,0)*0.475*44/12</f>
        <v>5.1541046375963431</v>
      </c>
      <c r="BR70" s="21">
        <f>EXP(-LN(2)/2)*BR69+(1-EXP(-LN(2)/2))/(LN(2)/2)*BL70*BO70*VLOOKUP('Données projet'!$B$11,Paramètres!$A$1:$I$89,3,0)*0.475*44/12</f>
        <v>1.2128043876707771E-7</v>
      </c>
      <c r="BS70" s="22">
        <f t="shared" si="63"/>
        <v>64.510829560325192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62.801986162720468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170.04605856785227</v>
      </c>
      <c r="CE70" s="59">
        <f t="shared" si="94"/>
        <v>377.63973197638802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31.769601537484441</v>
      </c>
      <c r="CL70" s="21">
        <f>EXP(-LN(2)/25)*CL69+(1-EXP(-LN(2)/25))/(LN(2)/25)*Calculateur!CG70*Calculateur!CI70*VLOOKUP('Données projet'!$B$12,Paramètres!$A$1:$I$89,3,0)*0.475*44/12</f>
        <v>5.9474509266022038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37.717052464086642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62.801986162720468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62.801986162720468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62.801986162720468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62.801986162720468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62.801986162720468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62.801986162720468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4.6500000000000004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17.05</v>
      </c>
      <c r="H71" s="66">
        <f t="shared" si="56"/>
        <v>188.46666666666667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62.926855610449131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9.2624999999999993</v>
      </c>
      <c r="N71" s="13">
        <f>IF('Données projet'!$A$36&gt;35,N70+M71-V70,IF(A71&lt;'Données projet'!$A$36,$K$205^A71,IF(A71='Données projet'!$A$36,'Données projet'!$B$36,N70+M71-V70)))</f>
        <v>255.38500000000002</v>
      </c>
      <c r="O71" s="13">
        <f>N71*VLOOKUP('Données projet'!$B$9,Paramètres!$A$1:$I$89,3,0)*VLOOKUP('Données projet'!$B$9,Paramètres!$A$1:$I$89,5,0)</f>
        <v>231.07234800000001</v>
      </c>
      <c r="P71" s="13">
        <f t="shared" si="87"/>
        <v>56.514485431949744</v>
      </c>
      <c r="Q71" s="20">
        <f t="shared" si="54"/>
        <v>500.88040156064579</v>
      </c>
      <c r="R71" s="59">
        <f t="shared" si="55"/>
        <v>768.27887213229269</v>
      </c>
      <c r="S71" s="59">
        <f ca="1">AVERAGE(OFFSET($R$3,0,0,'Données projet'!$E$9+1,1))-AVERAGE(OFFSET($H$3,0,0,'Données projet'!$E$9+1,1))</f>
        <v>664.27707313486087</v>
      </c>
      <c r="T71" s="59">
        <f t="shared" si="88"/>
        <v>206.64483278066874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58.304508121362126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58.304508121362126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62.926855610449131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15.211111111111116</v>
      </c>
      <c r="AI71" s="13">
        <f>IF('Données projet'!$A$62&gt;35,AI70+AH71-AQ70,IF(A71&lt;'Données projet'!$A$62,$AF$205^A71,IF(A71='Données projet'!$A$62,'Données projet'!$B$62,AI70+AH71-AQ70)))</f>
        <v>382.89222222222162</v>
      </c>
      <c r="AJ71" s="13">
        <f>AI71*VLOOKUP('Données projet'!$B$10,Paramètres!$A$1:$I$89,3,0)*VLOOKUP('Données projet'!$B$10,Paramètres!$A$1:$I$89,5,0)</f>
        <v>179.19355999999974</v>
      </c>
      <c r="AK71" s="13">
        <f t="shared" si="89"/>
        <v>45.14272126309222</v>
      </c>
      <c r="AL71" s="20">
        <f t="shared" si="58"/>
        <v>390.71902319988516</v>
      </c>
      <c r="AM71" s="59">
        <f t="shared" si="59"/>
        <v>658.11749377153205</v>
      </c>
      <c r="AN71" s="59">
        <f ca="1">AVERAGE(OFFSET($AM$3,0,0,'Données projet'!$E$10+1,1))-AVERAGE(OFFSET($H$3,0,0,'Données projet'!$E$10+1,1))</f>
        <v>329.7518221182429</v>
      </c>
      <c r="AO71" s="59">
        <f t="shared" si="90"/>
        <v>207.30737400651807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100.2285084174672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100.2285084174672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62.926855610449131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189.62971370839551</v>
      </c>
      <c r="BJ71" s="59">
        <f t="shared" si="92"/>
        <v>457.05149684588173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58.192775632119286</v>
      </c>
      <c r="BQ71" s="21">
        <f>EXP(-LN(2)/25)*BQ70+(1-EXP(-LN(2)/25))/(LN(2)/25)*Calculateur!BL71*Calculateur!BN71*VLOOKUP('Données projet'!$B$11,Paramètres!$A$1:$I$89,3,0)*0.475*44/12</f>
        <v>5.013165375238688</v>
      </c>
      <c r="BR71" s="21">
        <f>EXP(-LN(2)/2)*BR70+(1-EXP(-LN(2)/2))/(LN(2)/2)*BL71*BO71*VLOOKUP('Données projet'!$B$11,Paramètres!$A$1:$I$89,3,0)*0.475*44/12</f>
        <v>8.5758220677480493E-8</v>
      </c>
      <c r="BS71" s="22">
        <f t="shared" si="63"/>
        <v>63.205941093116195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62.926855610449131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170.04605856785227</v>
      </c>
      <c r="CE71" s="59">
        <f t="shared" si="94"/>
        <v>377.63973197638802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31.146619028877936</v>
      </c>
      <c r="CL71" s="21">
        <f>EXP(-LN(2)/25)*CL70+(1-EXP(-LN(2)/25))/(LN(2)/25)*Calculateur!CG71*Calculateur!CI71*VLOOKUP('Données projet'!$B$12,Paramètres!$A$1:$I$89,3,0)*0.475*44/12</f>
        <v>5.7848175682514151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36.931436597129348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62.926855610449131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62.926855610449131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62.926855610449131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62.926855610449131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62.926855610449131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62.926855610449131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4.6500000000000004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17.05</v>
      </c>
      <c r="H72" s="66">
        <f t="shared" si="56"/>
        <v>188.46666666666667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63.049558852425974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9.2624999999999993</v>
      </c>
      <c r="N72" s="13">
        <f>IF('Données projet'!$A$36&gt;35,N71+M72-V71,IF(A72&lt;'Données projet'!$A$36,$K$205^A72,IF(A72='Données projet'!$A$36,'Données projet'!$B$36,N71+M72-V71)))</f>
        <v>264.64750000000004</v>
      </c>
      <c r="O72" s="13">
        <f>N72*VLOOKUP('Données projet'!$B$9,Paramètres!$A$1:$I$89,3,0)*VLOOKUP('Données projet'!$B$9,Paramètres!$A$1:$I$89,5,0)</f>
        <v>239.45305800000003</v>
      </c>
      <c r="P72" s="13">
        <f t="shared" si="87"/>
        <v>58.321837625357126</v>
      </c>
      <c r="Q72" s="20">
        <f t="shared" si="54"/>
        <v>518.62460988083035</v>
      </c>
      <c r="R72" s="59">
        <f t="shared" si="55"/>
        <v>786.47299233972558</v>
      </c>
      <c r="S72" s="59">
        <f ca="1">AVERAGE(OFFSET($R$3,0,0,'Données projet'!$E$9+1,1))-AVERAGE(OFFSET($H$3,0,0,'Données projet'!$E$9+1,1))</f>
        <v>664.27707313486087</v>
      </c>
      <c r="T72" s="59">
        <f t="shared" si="88"/>
        <v>206.64483278066874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57.161192279340689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57.161192279340689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63.049558852425974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15.211111111111116</v>
      </c>
      <c r="AI72" s="13">
        <f>IF('Données projet'!$A$62&gt;35,AI71+AH72-AQ71,IF(A72&lt;'Données projet'!$A$62,$AF$205^A72,IF(A72='Données projet'!$A$62,'Données projet'!$B$62,AI71+AH72-AQ71)))</f>
        <v>398.10333333333273</v>
      </c>
      <c r="AJ72" s="13">
        <f>AI72*VLOOKUP('Données projet'!$B$10,Paramètres!$A$1:$I$89,3,0)*VLOOKUP('Données projet'!$B$10,Paramètres!$A$1:$I$89,5,0)</f>
        <v>186.31235999999973</v>
      </c>
      <c r="AK72" s="13">
        <f t="shared" si="89"/>
        <v>46.723740353090498</v>
      </c>
      <c r="AL72" s="20">
        <f t="shared" si="58"/>
        <v>405.87120811496544</v>
      </c>
      <c r="AM72" s="59">
        <f t="shared" si="59"/>
        <v>673.71959057386061</v>
      </c>
      <c r="AN72" s="59">
        <f ca="1">AVERAGE(OFFSET($AM$3,0,0,'Données projet'!$E$10+1,1))-AVERAGE(OFFSET($H$3,0,0,'Données projet'!$E$10+1,1))</f>
        <v>329.7518221182429</v>
      </c>
      <c r="AO72" s="59">
        <f t="shared" si="90"/>
        <v>207.30737400651807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98.263088500754378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98.263088500754378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63.049558852425974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189.62971370839551</v>
      </c>
      <c r="BJ72" s="59">
        <f t="shared" si="92"/>
        <v>457.05149684588173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57.051650796061814</v>
      </c>
      <c r="BQ72" s="21">
        <f>EXP(-LN(2)/25)*BQ71+(1-EXP(-LN(2)/25))/(LN(2)/25)*Calculateur!BL72*Calculateur!BN72*VLOOKUP('Données projet'!$B$11,Paramètres!$A$1:$I$89,3,0)*0.475*44/12</f>
        <v>4.8760801044218764</v>
      </c>
      <c r="BR72" s="21">
        <f>EXP(-LN(2)/2)*BR71+(1-EXP(-LN(2)/2))/(LN(2)/2)*BL72*BO72*VLOOKUP('Données projet'!$B$11,Paramètres!$A$1:$I$89,3,0)*0.475*44/12</f>
        <v>6.0640219383538854E-8</v>
      </c>
      <c r="BS72" s="22">
        <f t="shared" si="63"/>
        <v>61.927730961123906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63.049558852425974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170.04605856785227</v>
      </c>
      <c r="CE72" s="59">
        <f t="shared" si="94"/>
        <v>377.63973197638802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30.535852827283392</v>
      </c>
      <c r="CL72" s="21">
        <f>EXP(-LN(2)/25)*CL71+(1-EXP(-LN(2)/25))/(LN(2)/25)*Calculateur!CG72*Calculateur!CI72*VLOOKUP('Données projet'!$B$12,Paramètres!$A$1:$I$89,3,0)*0.475*44/12</f>
        <v>5.6266314276372453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36.162484254920635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63.049558852425974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63.049558852425974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63.049558852425974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63.049558852425974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63.049558852425974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63.049558852425974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4.6500000000000004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17.05</v>
      </c>
      <c r="H73" s="66">
        <f t="shared" si="56"/>
        <v>188.46666666666667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63.170133467477868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9.2624999999999993</v>
      </c>
      <c r="N73" s="13">
        <f>IF('Données projet'!$A$36&gt;35,N72+M73-V72,IF(A73&lt;'Données projet'!$A$36,$K$205^A73,IF(A73='Données projet'!$A$36,'Données projet'!$B$36,N72+M73-V72)))</f>
        <v>273.91000000000003</v>
      </c>
      <c r="O73" s="13">
        <f>N73*VLOOKUP('Données projet'!$B$9,Paramètres!$A$1:$I$89,3,0)*VLOOKUP('Données projet'!$B$9,Paramètres!$A$1:$I$89,5,0)</f>
        <v>247.83376800000002</v>
      </c>
      <c r="P73" s="13">
        <f t="shared" si="87"/>
        <v>60.121840187909477</v>
      </c>
      <c r="Q73" s="20">
        <f t="shared" si="54"/>
        <v>536.3560175939424</v>
      </c>
      <c r="R73" s="59">
        <f t="shared" si="55"/>
        <v>804.6465069746946</v>
      </c>
      <c r="S73" s="59">
        <f ca="1">AVERAGE(OFFSET($R$3,0,0,'Données projet'!$E$9+1,1))-AVERAGE(OFFSET($H$3,0,0,'Données projet'!$E$9+1,1))</f>
        <v>664.27707313486087</v>
      </c>
      <c r="T73" s="59">
        <f t="shared" si="88"/>
        <v>206.64483278066874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56.040296163627488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56.040296163627488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63.170133467477868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15.211111111111116</v>
      </c>
      <c r="AI73" s="13">
        <f>IF('Données projet'!$A$62&gt;35,AI72+AH73-AQ72,IF(A73&lt;'Données projet'!$A$62,$AF$205^A73,IF(A73='Données projet'!$A$62,'Données projet'!$B$62,AI72+AH73-AQ72)))</f>
        <v>413.31444444444384</v>
      </c>
      <c r="AJ73" s="13">
        <f>AI73*VLOOKUP('Données projet'!$B$10,Paramètres!$A$1:$I$89,3,0)*VLOOKUP('Données projet'!$B$10,Paramètres!$A$1:$I$89,5,0)</f>
        <v>193.43115999999972</v>
      </c>
      <c r="AK73" s="13">
        <f t="shared" si="89"/>
        <v>48.297741635801991</v>
      </c>
      <c r="AL73" s="20">
        <f t="shared" si="58"/>
        <v>421.01117034902131</v>
      </c>
      <c r="AM73" s="59">
        <f t="shared" si="59"/>
        <v>689.30165972977352</v>
      </c>
      <c r="AN73" s="59">
        <f ca="1">AVERAGE(OFFSET($AM$3,0,0,'Données projet'!$E$10+1,1))-AVERAGE(OFFSET($H$3,0,0,'Données projet'!$E$10+1,1))</f>
        <v>329.7518221182429</v>
      </c>
      <c r="AO73" s="59">
        <f t="shared" si="90"/>
        <v>207.30737400651807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96.336209269820529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96.336209269820529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63.170133467477868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189.62971370839551</v>
      </c>
      <c r="BJ73" s="59">
        <f t="shared" si="92"/>
        <v>457.05149684588173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55.932902722022007</v>
      </c>
      <c r="BQ73" s="21">
        <f>EXP(-LN(2)/25)*BQ72+(1-EXP(-LN(2)/25))/(LN(2)/25)*Calculateur!BL73*Calculateur!BN73*VLOOKUP('Données projet'!$B$11,Paramètres!$A$1:$I$89,3,0)*0.475*44/12</f>
        <v>4.7427434375445516</v>
      </c>
      <c r="BR73" s="21">
        <f>EXP(-LN(2)/2)*BR72+(1-EXP(-LN(2)/2))/(LN(2)/2)*BL73*BO73*VLOOKUP('Données projet'!$B$11,Paramètres!$A$1:$I$89,3,0)*0.475*44/12</f>
        <v>4.2879110338740246E-8</v>
      </c>
      <c r="BS73" s="22">
        <f t="shared" si="63"/>
        <v>60.67564620244567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63.170133467477868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170.04605856785227</v>
      </c>
      <c r="CE73" s="59">
        <f t="shared" si="94"/>
        <v>377.63973197638802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29.937063378371519</v>
      </c>
      <c r="CL73" s="21">
        <f>EXP(-LN(2)/25)*CL72+(1-EXP(-LN(2)/25))/(LN(2)/25)*Calculateur!CG73*Calculateur!CI73*VLOOKUP('Données projet'!$B$12,Paramètres!$A$1:$I$89,3,0)*0.475*44/12</f>
        <v>5.4727708953568177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35.409834273728336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63.170133467477868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63.170133467477868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63.170133467477868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63.170133467477868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63.170133467477868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63.170133467477868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4.6500000000000004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17.05</v>
      </c>
      <c r="H74" s="66">
        <f t="shared" si="56"/>
        <v>188.46666666666667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63.288616382523067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9.2624999999999993</v>
      </c>
      <c r="N74" s="13">
        <f>IF('Données projet'!$A$36&gt;35,N73+M74-V73,IF(A74&lt;'Données projet'!$A$36,$K$205^A74,IF(A74='Données projet'!$A$36,'Données projet'!$B$36,N73+M74-V73)))</f>
        <v>283.17250000000001</v>
      </c>
      <c r="O74" s="13">
        <f>N74*VLOOKUP('Données projet'!$B$9,Paramètres!$A$1:$I$89,3,0)*VLOOKUP('Données projet'!$B$9,Paramètres!$A$1:$I$89,5,0)</f>
        <v>256.21447799999999</v>
      </c>
      <c r="P74" s="13">
        <f t="shared" si="87"/>
        <v>61.914770144905688</v>
      </c>
      <c r="Q74" s="20">
        <f t="shared" si="54"/>
        <v>554.07510718571075</v>
      </c>
      <c r="R74" s="59">
        <f t="shared" si="55"/>
        <v>822.80003392162871</v>
      </c>
      <c r="S74" s="59">
        <f ca="1">AVERAGE(OFFSET($R$3,0,0,'Données projet'!$E$9+1,1))-AVERAGE(OFFSET($H$3,0,0,'Données projet'!$E$9+1,1))</f>
        <v>664.27707313486087</v>
      </c>
      <c r="T74" s="59">
        <f t="shared" si="88"/>
        <v>206.64483278066874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54.9413801370643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54.9413801370643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63.288616382523067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15.211111111111116</v>
      </c>
      <c r="AI74" s="13">
        <f>IF('Données projet'!$A$62&gt;35,AI73+AH74-AQ73,IF(A74&lt;'Données projet'!$A$62,$AF$205^A74,IF(A74='Données projet'!$A$62,'Données projet'!$B$62,AI73+AH74-AQ73)))</f>
        <v>428.52555555555494</v>
      </c>
      <c r="AJ74" s="13">
        <f>AI74*VLOOKUP('Données projet'!$B$10,Paramètres!$A$1:$I$89,3,0)*VLOOKUP('Données projet'!$B$10,Paramètres!$A$1:$I$89,5,0)</f>
        <v>200.54995999999971</v>
      </c>
      <c r="AK74" s="13">
        <f t="shared" si="89"/>
        <v>49.865012964548107</v>
      </c>
      <c r="AL74" s="20">
        <f t="shared" si="58"/>
        <v>436.13941124658749</v>
      </c>
      <c r="AM74" s="59">
        <f t="shared" si="59"/>
        <v>704.86433798250539</v>
      </c>
      <c r="AN74" s="59">
        <f ca="1">AVERAGE(OFFSET($AM$3,0,0,'Données projet'!$E$10+1,1))-AVERAGE(OFFSET($H$3,0,0,'Données projet'!$E$10+1,1))</f>
        <v>329.7518221182429</v>
      </c>
      <c r="AO74" s="59">
        <f t="shared" si="90"/>
        <v>207.30737400651807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94.447114965325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94.447114965325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63.288616382523067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189.62971370839551</v>
      </c>
      <c r="BJ74" s="59">
        <f t="shared" si="92"/>
        <v>457.05149684588173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54.836092615345173</v>
      </c>
      <c r="BQ74" s="21">
        <f>EXP(-LN(2)/25)*BQ73+(1-EXP(-LN(2)/25))/(LN(2)/25)*Calculateur!BL74*Calculateur!BN74*VLOOKUP('Données projet'!$B$11,Paramètres!$A$1:$I$89,3,0)*0.475*44/12</f>
        <v>4.613052868834858</v>
      </c>
      <c r="BR74" s="21">
        <f>EXP(-LN(2)/2)*BR73+(1-EXP(-LN(2)/2))/(LN(2)/2)*BL74*BO74*VLOOKUP('Données projet'!$B$11,Paramètres!$A$1:$I$89,3,0)*0.475*44/12</f>
        <v>3.0320109691769427E-8</v>
      </c>
      <c r="BS74" s="22">
        <f t="shared" si="63"/>
        <v>59.449145514500138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63.288616382523067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170.04605856785227</v>
      </c>
      <c r="CE74" s="59">
        <f t="shared" si="94"/>
        <v>377.63973197638802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29.350015825327308</v>
      </c>
      <c r="CL74" s="21">
        <f>EXP(-LN(2)/25)*CL73+(1-EXP(-LN(2)/25))/(LN(2)/25)*Calculateur!CG74*Calculateur!CI74*VLOOKUP('Données projet'!$B$12,Paramètres!$A$1:$I$89,3,0)*0.475*44/12</f>
        <v>5.3231176874227719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34.673133512750077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63.288616382523067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63.288616382523067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63.288616382523067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63.288616382523067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63.288616382523067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63.288616382523067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4.6500000000000004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17.05</v>
      </c>
      <c r="H75" s="66">
        <f t="shared" si="56"/>
        <v>188.46666666666667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63.405043883880346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9.2624999999999993</v>
      </c>
      <c r="N75" s="13">
        <f>IF('Données projet'!$A$36&gt;35,N74+M75-V74,IF(A75&lt;'Données projet'!$A$36,$K$205^A75,IF(A75='Données projet'!$A$36,'Données projet'!$B$36,N74+M75-V74)))</f>
        <v>292.435</v>
      </c>
      <c r="O75" s="13">
        <f>N75*VLOOKUP('Données projet'!$B$9,Paramètres!$A$1:$I$89,3,0)*VLOOKUP('Données projet'!$B$9,Paramètres!$A$1:$I$89,5,0)</f>
        <v>264.59518799999995</v>
      </c>
      <c r="P75" s="13">
        <f t="shared" si="87"/>
        <v>63.700885370125405</v>
      </c>
      <c r="Q75" s="20">
        <f t="shared" si="54"/>
        <v>571.78232778630161</v>
      </c>
      <c r="R75" s="59">
        <f t="shared" si="55"/>
        <v>840.93415536052953</v>
      </c>
      <c r="S75" s="59">
        <f ca="1">AVERAGE(OFFSET($R$3,0,0,'Données projet'!$E$9+1,1))-AVERAGE(OFFSET($H$3,0,0,'Données projet'!$E$9+1,1))</f>
        <v>664.27707313486087</v>
      </c>
      <c r="T75" s="59">
        <f t="shared" si="88"/>
        <v>206.64483278066874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53.864013183509421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53.864013183509421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63.405043883880346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15.211111111111116</v>
      </c>
      <c r="AI75" s="13">
        <f>IF('Données projet'!$A$62&gt;35,AI74+AH75-AQ74,IF(A75&lt;'Données projet'!$A$62,$AF$205^A75,IF(A75='Données projet'!$A$62,'Données projet'!$B$62,AI74+AH75-AQ74)))</f>
        <v>443.73666666666605</v>
      </c>
      <c r="AJ75" s="13">
        <f>AI75*VLOOKUP('Données projet'!$B$10,Paramètres!$A$1:$I$89,3,0)*VLOOKUP('Données projet'!$B$10,Paramètres!$A$1:$I$89,5,0)</f>
        <v>207.66875999999974</v>
      </c>
      <c r="AK75" s="13">
        <f t="shared" si="89"/>
        <v>51.425820598587329</v>
      </c>
      <c r="AL75" s="20">
        <f t="shared" si="58"/>
        <v>451.25639454253911</v>
      </c>
      <c r="AM75" s="59">
        <f t="shared" si="59"/>
        <v>720.40822211676709</v>
      </c>
      <c r="AN75" s="59">
        <f ca="1">AVERAGE(OFFSET($AM$3,0,0,'Données projet'!$E$10+1,1))-AVERAGE(OFFSET($H$3,0,0,'Données projet'!$E$10+1,1))</f>
        <v>329.7518221182429</v>
      </c>
      <c r="AO75" s="59">
        <f t="shared" si="90"/>
        <v>207.30737400651807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92.595064647906881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92.595064647906881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63.405043883880346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189.62971370839551</v>
      </c>
      <c r="BJ75" s="59">
        <f t="shared" si="92"/>
        <v>457.05149684588173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53.760790285872162</v>
      </c>
      <c r="BQ75" s="21">
        <f>EXP(-LN(2)/25)*BQ74+(1-EXP(-LN(2)/25))/(LN(2)/25)*Calculateur!BL75*Calculateur!BN75*VLOOKUP('Données projet'!$B$11,Paramètres!$A$1:$I$89,3,0)*0.475*44/12</f>
        <v>4.4869086955466617</v>
      </c>
      <c r="BR75" s="21">
        <f>EXP(-LN(2)/2)*BR74+(1-EXP(-LN(2)/2))/(LN(2)/2)*BL75*BO75*VLOOKUP('Données projet'!$B$11,Paramètres!$A$1:$I$89,3,0)*0.475*44/12</f>
        <v>2.1439555169370123E-8</v>
      </c>
      <c r="BS75" s="22">
        <f t="shared" si="63"/>
        <v>58.247699002858376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63.405043883880346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170.04605856785227</v>
      </c>
      <c r="CE75" s="59">
        <f t="shared" si="94"/>
        <v>377.63973197638802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28.774479916734641</v>
      </c>
      <c r="CL75" s="21">
        <f>EXP(-LN(2)/25)*CL74+(1-EXP(-LN(2)/25))/(LN(2)/25)*Calculateur!CG75*Calculateur!CI75*VLOOKUP('Données projet'!$B$12,Paramètres!$A$1:$I$89,3,0)*0.475*44/12</f>
        <v>5.1775567543296033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33.952036671064242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63.405043883880346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63.405043883880346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63.405043883880346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63.405043883880346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63.405043883880346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63.405043883880346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4.6500000000000004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17.05</v>
      </c>
      <c r="H76" s="66">
        <f t="shared" si="56"/>
        <v>188.46666666666667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63.519451628381972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9.2624999999999993</v>
      </c>
      <c r="N76" s="13">
        <f>IF('Données projet'!$A$36&gt;35,N75+M76-V75,IF(A76&lt;'Données projet'!$A$36,$K$205^A76,IF(A76='Données projet'!$A$36,'Données projet'!$B$36,N75+M76-V75)))</f>
        <v>301.69749999999999</v>
      </c>
      <c r="O76" s="13">
        <f>N76*VLOOKUP('Données projet'!$B$9,Paramètres!$A$1:$I$89,3,0)*VLOOKUP('Données projet'!$B$9,Paramètres!$A$1:$I$89,5,0)</f>
        <v>272.97589799999997</v>
      </c>
      <c r="P76" s="13">
        <f t="shared" si="87"/>
        <v>65.480426474043128</v>
      </c>
      <c r="Q76" s="20">
        <f t="shared" si="54"/>
        <v>589.47809845895836</v>
      </c>
      <c r="R76" s="59">
        <f t="shared" si="55"/>
        <v>859.04942109635886</v>
      </c>
      <c r="S76" s="59">
        <f ca="1">AVERAGE(OFFSET($R$3,0,0,'Données projet'!$E$9+1,1))-AVERAGE(OFFSET($H$3,0,0,'Données projet'!$E$9+1,1))</f>
        <v>664.27707313486087</v>
      </c>
      <c r="T76" s="59">
        <f t="shared" si="88"/>
        <v>206.64483278066874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52.807772738784799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52.807772738784799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63.519451628381972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15.211111111111116</v>
      </c>
      <c r="AI76" s="13">
        <f>IF('Données projet'!$A$62&gt;35,AI75+AH76-AQ75,IF(A76&lt;'Données projet'!$A$62,$AF$205^A76,IF(A76='Données projet'!$A$62,'Données projet'!$B$62,AI75+AH76-AQ75)))</f>
        <v>458.94777777777716</v>
      </c>
      <c r="AJ76" s="13">
        <f>AI76*VLOOKUP('Données projet'!$B$10,Paramètres!$A$1:$I$89,3,0)*VLOOKUP('Données projet'!$B$10,Paramètres!$A$1:$I$89,5,0)</f>
        <v>214.78755999999973</v>
      </c>
      <c r="AK76" s="13">
        <f t="shared" si="89"/>
        <v>52.980411507236902</v>
      </c>
      <c r="AL76" s="20">
        <f t="shared" si="58"/>
        <v>466.36255037510381</v>
      </c>
      <c r="AM76" s="59">
        <f t="shared" si="59"/>
        <v>735.93387301250436</v>
      </c>
      <c r="AN76" s="59">
        <f ca="1">AVERAGE(OFFSET($AM$3,0,0,'Données projet'!$E$10+1,1))-AVERAGE(OFFSET($H$3,0,0,'Données projet'!$E$10+1,1))</f>
        <v>329.7518221182429</v>
      </c>
      <c r="AO76" s="59">
        <f t="shared" si="90"/>
        <v>207.30737400651807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90.779331907574175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90.779331907574175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63.519451628381972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189.62971370839551</v>
      </c>
      <c r="BJ76" s="59">
        <f t="shared" si="92"/>
        <v>457.05149684588173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52.706573979210454</v>
      </c>
      <c r="BQ76" s="21">
        <f>EXP(-LN(2)/25)*BQ75+(1-EXP(-LN(2)/25))/(LN(2)/25)*Calculateur!BL76*Calculateur!BN76*VLOOKUP('Données projet'!$B$11,Paramètres!$A$1:$I$89,3,0)*0.475*44/12</f>
        <v>4.3642139413106653</v>
      </c>
      <c r="BR76" s="21">
        <f>EXP(-LN(2)/2)*BR75+(1-EXP(-LN(2)/2))/(LN(2)/2)*BL76*BO76*VLOOKUP('Données projet'!$B$11,Paramètres!$A$1:$I$89,3,0)*0.475*44/12</f>
        <v>1.5160054845884713E-8</v>
      </c>
      <c r="BS76" s="22">
        <f t="shared" si="63"/>
        <v>57.070787935681174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63.519451628381972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170.04605856785227</v>
      </c>
      <c r="CE76" s="59">
        <f t="shared" si="94"/>
        <v>377.63973197638802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28.210229916267238</v>
      </c>
      <c r="CL76" s="21">
        <f>EXP(-LN(2)/25)*CL75+(1-EXP(-LN(2)/25))/(LN(2)/25)*Calculateur!CG76*Calculateur!CI76*VLOOKUP('Données projet'!$B$12,Paramètres!$A$1:$I$89,3,0)*0.475*44/12</f>
        <v>5.0359761926065838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33.246206108873821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63.519451628381972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63.519451628381972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63.519451628381972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63.519451628381972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63.519451628381972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63.519451628381972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4.6500000000000004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17.05</v>
      </c>
      <c r="H77" s="66">
        <f t="shared" si="56"/>
        <v>188.46666666666667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63.631874654293888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310.95999999999998</v>
      </c>
      <c r="L77" s="12">
        <f>VLOOKUP(A77,'Données projet'!$A$35:$I$55,9,0)</f>
        <v>9.2624999999999993</v>
      </c>
      <c r="M77" s="12">
        <f t="array" ref="M77">INDEX(L:L,MIN(IF(ISNUMBER(L77:L273),ROW(L77:L273),"")))</f>
        <v>9.2624999999999993</v>
      </c>
      <c r="N77" s="13">
        <f>IF('Données projet'!$A$36&gt;35,N76+M77-V76,IF(A77&lt;'Données projet'!$A$36,$K$205^A77,IF(A77='Données projet'!$A$36,'Données projet'!$B$36,N76+M77-V76)))</f>
        <v>310.95999999999998</v>
      </c>
      <c r="O77" s="13">
        <f>N77*VLOOKUP('Données projet'!$B$9,Paramètres!$A$1:$I$89,3,0)*VLOOKUP('Données projet'!$B$9,Paramètres!$A$1:$I$89,5,0)</f>
        <v>281.35660799999994</v>
      </c>
      <c r="P77" s="13">
        <f t="shared" si="87"/>
        <v>67.253618453644194</v>
      </c>
      <c r="Q77" s="20">
        <f t="shared" si="54"/>
        <v>607.16281107343025</v>
      </c>
      <c r="R77" s="59">
        <f t="shared" si="55"/>
        <v>877.14635147250783</v>
      </c>
      <c r="S77" s="59">
        <f ca="1">AVERAGE(OFFSET($R$3,0,0,'Données projet'!$E$9+1,1))-AVERAGE(OFFSET($H$3,0,0,'Données projet'!$E$9+1,1))</f>
        <v>664.27707313486087</v>
      </c>
      <c r="T77" s="59">
        <f t="shared" si="88"/>
        <v>206.64483278066874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47.4</v>
      </c>
      <c r="W77" s="16">
        <f>IF(ISNA(VLOOKUP(A77,'Données projet'!$A$35:$I$55,5,0)),0%,VLOOKUP(A77,'Données projet'!$A$35:$I$55,5,0)*VLOOKUP('Données projet'!$B$9,Paramètres!$A$1:$I$89,7,0))</f>
        <v>0.43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72.158924219937774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72.158924219937774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63.631874654293888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15.211111111111116</v>
      </c>
      <c r="AI77" s="13">
        <f>IF('Données projet'!$A$62&gt;35,AI76+AH77-AQ76,IF(A77&lt;'Données projet'!$A$62,$AF$205^A77,IF(A77='Données projet'!$A$62,'Données projet'!$B$62,AI76+AH77-AQ76)))</f>
        <v>474.15888888888827</v>
      </c>
      <c r="AJ77" s="13">
        <f>AI77*VLOOKUP('Données projet'!$B$10,Paramètres!$A$1:$I$89,3,0)*VLOOKUP('Données projet'!$B$10,Paramètres!$A$1:$I$89,5,0)</f>
        <v>221.90635999999972</v>
      </c>
      <c r="AK77" s="13">
        <f t="shared" si="89"/>
        <v>54.529015359947387</v>
      </c>
      <c r="AL77" s="20">
        <f t="shared" si="58"/>
        <v>481.45827875190781</v>
      </c>
      <c r="AM77" s="59">
        <f t="shared" si="59"/>
        <v>751.44181915098534</v>
      </c>
      <c r="AN77" s="59">
        <f ca="1">AVERAGE(OFFSET($AM$3,0,0,'Données projet'!$E$10+1,1))-AVERAGE(OFFSET($H$3,0,0,'Données projet'!$E$10+1,1))</f>
        <v>329.7518221182429</v>
      </c>
      <c r="AO77" s="59">
        <f t="shared" si="90"/>
        <v>207.30737400651807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88.999204578791776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88.999204578791776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63.631874654293888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189.62971370839551</v>
      </c>
      <c r="BJ77" s="59">
        <f t="shared" si="92"/>
        <v>457.05149684588173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51.673030211313929</v>
      </c>
      <c r="BQ77" s="21">
        <f>EXP(-LN(2)/25)*BQ76+(1-EXP(-LN(2)/25))/(LN(2)/25)*Calculateur!BL77*Calculateur!BN77*VLOOKUP('Données projet'!$B$11,Paramètres!$A$1:$I$89,3,0)*0.475*44/12</f>
        <v>4.2448742815814882</v>
      </c>
      <c r="BR77" s="21">
        <f>EXP(-LN(2)/2)*BR76+(1-EXP(-LN(2)/2))/(LN(2)/2)*BL77*BO77*VLOOKUP('Données projet'!$B$11,Paramètres!$A$1:$I$89,3,0)*0.475*44/12</f>
        <v>1.0719777584685062E-8</v>
      </c>
      <c r="BS77" s="22">
        <f t="shared" si="63"/>
        <v>55.917904503615198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63.631874654293888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170.04605856785227</v>
      </c>
      <c r="CE77" s="59">
        <f t="shared" si="94"/>
        <v>377.63973197638802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27.657044514150481</v>
      </c>
      <c r="CL77" s="21">
        <f>EXP(-LN(2)/25)*CL76+(1-EXP(-LN(2)/25))/(LN(2)/25)*Calculateur!CG77*Calculateur!CI77*VLOOKUP('Données projet'!$B$12,Paramètres!$A$1:$I$89,3,0)*0.475*44/12</f>
        <v>4.8982671587892783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32.555311672939759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63.631874654293888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63.631874654293888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63.631874654293888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63.631874654293888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63.631874654293888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63.631874654293888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4.6500000000000004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17.05</v>
      </c>
      <c r="H78" s="66">
        <f t="shared" si="56"/>
        <v>188.46666666666667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63.742347392046476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9.1529999999999969</v>
      </c>
      <c r="N78" s="13">
        <f>IF('Données projet'!$A$36&gt;35,N77+M78-V77,IF(A78&lt;'Données projet'!$A$36,$K$205^A78,IF(A78='Données projet'!$A$36,'Données projet'!$B$36,N77+M78-V77)))</f>
        <v>272.71300000000002</v>
      </c>
      <c r="O78" s="13">
        <f>N78*VLOOKUP('Données projet'!$B$9,Paramètres!$A$1:$I$89,3,0)*VLOOKUP('Données projet'!$B$9,Paramètres!$A$1:$I$89,5,0)</f>
        <v>246.7507224</v>
      </c>
      <c r="P78" s="13">
        <f t="shared" si="87"/>
        <v>59.889628081723359</v>
      </c>
      <c r="Q78" s="20">
        <f t="shared" si="54"/>
        <v>534.0652770890016</v>
      </c>
      <c r="R78" s="59">
        <f t="shared" si="55"/>
        <v>804.45388419317192</v>
      </c>
      <c r="S78" s="59">
        <f ca="1">AVERAGE(OFFSET($R$3,0,0,'Données projet'!$E$9+1,1))-AVERAGE(OFFSET($H$3,0,0,'Données projet'!$E$9+1,1))</f>
        <v>664.27707313486087</v>
      </c>
      <c r="T78" s="59">
        <f t="shared" si="88"/>
        <v>206.64483278066874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70.74393172858268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70.74393172858268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63.742347392046476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489.37</v>
      </c>
      <c r="AG78" s="12">
        <f>VLOOKUP(A78,'Données projet'!$A$61:$I$81,9,0)</f>
        <v>15.211111111111116</v>
      </c>
      <c r="AH78" s="12">
        <f t="array" ref="AH78">INDEX(AG:AG,MIN(IF(ISNUMBER(AG78:AG274),ROW(AG78:AG274),"")))</f>
        <v>15.211111111111116</v>
      </c>
      <c r="AI78" s="13">
        <f>IF('Données projet'!$A$62&gt;35,AI77+AH78-AQ77,IF(A78&lt;'Données projet'!$A$62,$AF$205^A78,IF(A78='Données projet'!$A$62,'Données projet'!$B$62,AI77+AH78-AQ77)))</f>
        <v>489.36999999999938</v>
      </c>
      <c r="AJ78" s="13">
        <f>AI78*VLOOKUP('Données projet'!$B$10,Paramètres!$A$1:$I$89,3,0)*VLOOKUP('Données projet'!$B$10,Paramètres!$A$1:$I$89,5,0)</f>
        <v>229.02515999999972</v>
      </c>
      <c r="AK78" s="13">
        <f t="shared" si="89"/>
        <v>56.071846253835936</v>
      </c>
      <c r="AL78" s="20">
        <f t="shared" si="58"/>
        <v>496.54395255876375</v>
      </c>
      <c r="AM78" s="59">
        <f t="shared" si="59"/>
        <v>766.93255966293418</v>
      </c>
      <c r="AN78" s="59">
        <f ca="1">AVERAGE(OFFSET($AM$3,0,0,'Données projet'!$E$10+1,1))-AVERAGE(OFFSET($H$3,0,0,'Données projet'!$E$10+1,1))</f>
        <v>329.7518221182429</v>
      </c>
      <c r="AO78" s="59">
        <f t="shared" si="90"/>
        <v>207.30737400651807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87.99</v>
      </c>
      <c r="AR78" s="16">
        <f>IF(ISNA(VLOOKUP(A78,'Données projet'!$A$61:$I$81,5,0)),0%,VLOOKUP(A78,'Données projet'!$A$61:$I$81,5,0)*VLOOKUP('Données projet'!$B$10,Paramètres!$A$1:$I$89,7,0))</f>
        <v>0.55000000000000004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117.29884667730016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117.29884667730016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63.742347392046476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189.62971370839551</v>
      </c>
      <c r="BJ78" s="59">
        <f t="shared" si="92"/>
        <v>457.05149684588173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50.659753606306403</v>
      </c>
      <c r="BQ78" s="21">
        <f>EXP(-LN(2)/25)*BQ77+(1-EXP(-LN(2)/25))/(LN(2)/25)*Calculateur!BL78*Calculateur!BN78*VLOOKUP('Données projet'!$B$11,Paramètres!$A$1:$I$89,3,0)*0.475*44/12</f>
        <v>4.1287979711234053</v>
      </c>
      <c r="BR78" s="21">
        <f>EXP(-LN(2)/2)*BR77+(1-EXP(-LN(2)/2))/(LN(2)/2)*BL78*BO78*VLOOKUP('Données projet'!$B$11,Paramètres!$A$1:$I$89,3,0)*0.475*44/12</f>
        <v>7.5800274229423567E-9</v>
      </c>
      <c r="BS78" s="22">
        <f t="shared" si="63"/>
        <v>54.788551585009834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63.742347392046476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170.04605856785227</v>
      </c>
      <c r="CE78" s="59">
        <f t="shared" si="94"/>
        <v>377.63973197638802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27.114706740359455</v>
      </c>
      <c r="CL78" s="21">
        <f>EXP(-LN(2)/25)*CL77+(1-EXP(-LN(2)/25))/(LN(2)/25)*Calculateur!CG78*Calculateur!CI78*VLOOKUP('Données projet'!$B$12,Paramètres!$A$1:$I$89,3,0)*0.475*44/12</f>
        <v>4.7643237857435103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31.879030526102966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63.742347392046476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63.742347392046476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63.742347392046476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63.742347392046476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63.742347392046476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63.742347392046476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4.6500000000000004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17.05</v>
      </c>
      <c r="H79" s="66">
        <f t="shared" si="56"/>
        <v>188.46666666666667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63.85090367477909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9.1529999999999969</v>
      </c>
      <c r="N79" s="13">
        <f>IF('Données projet'!$A$36&gt;35,N78+M79-V78,IF(A79&lt;'Données projet'!$A$36,$K$205^A79,IF(A79='Données projet'!$A$36,'Données projet'!$B$36,N78+M79-V78)))</f>
        <v>281.86600000000004</v>
      </c>
      <c r="O79" s="13">
        <f>N79*VLOOKUP('Données projet'!$B$9,Paramètres!$A$1:$I$89,3,0)*VLOOKUP('Données projet'!$B$9,Paramètres!$A$1:$I$89,5,0)</f>
        <v>255.0323568</v>
      </c>
      <c r="P79" s="13">
        <f t="shared" si="87"/>
        <v>61.662291230464433</v>
      </c>
      <c r="Q79" s="20">
        <f t="shared" si="54"/>
        <v>551.57651198639223</v>
      </c>
      <c r="R79" s="59">
        <f t="shared" si="55"/>
        <v>822.36315879391555</v>
      </c>
      <c r="S79" s="59">
        <f ca="1">AVERAGE(OFFSET($R$3,0,0,'Données projet'!$E$9+1,1))-AVERAGE(OFFSET($H$3,0,0,'Données projet'!$E$9+1,1))</f>
        <v>664.27707313486087</v>
      </c>
      <c r="T79" s="59">
        <f t="shared" si="88"/>
        <v>206.64483278066874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69.356686376922866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69.356686376922866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63.85090367477909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14.338750000000005</v>
      </c>
      <c r="AI79" s="13">
        <f>IF('Données projet'!$A$62&gt;35,AI78+AH79-AQ78,IF(A79&lt;'Données projet'!$A$62,$AF$205^A79,IF(A79='Données projet'!$A$62,'Données projet'!$B$62,AI78+AH79-AQ78)))</f>
        <v>415.71874999999937</v>
      </c>
      <c r="AJ79" s="13">
        <f>AI79*VLOOKUP('Données projet'!$B$10,Paramètres!$A$1:$I$89,3,0)*VLOOKUP('Données projet'!$B$10,Paramètres!$A$1:$I$89,5,0)</f>
        <v>194.55637499999972</v>
      </c>
      <c r="AK79" s="13">
        <f t="shared" si="89"/>
        <v>48.545909113628923</v>
      </c>
      <c r="AL79" s="20">
        <f t="shared" si="58"/>
        <v>423.40314483123649</v>
      </c>
      <c r="AM79" s="59">
        <f t="shared" si="59"/>
        <v>694.18979163875974</v>
      </c>
      <c r="AN79" s="59">
        <f ca="1">AVERAGE(OFFSET($AM$3,0,0,'Données projet'!$E$10+1,1))-AVERAGE(OFFSET($H$3,0,0,'Données projet'!$E$10+1,1))</f>
        <v>329.7518221182429</v>
      </c>
      <c r="AO79" s="59">
        <f t="shared" si="90"/>
        <v>207.30737400651807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114.99868783919027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114.99868783919027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63.85090367477909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189.62971370839551</v>
      </c>
      <c r="BJ79" s="59">
        <f t="shared" si="92"/>
        <v>457.05149684588173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49.66634673748537</v>
      </c>
      <c r="BQ79" s="21">
        <f>EXP(-LN(2)/25)*BQ78+(1-EXP(-LN(2)/25))/(LN(2)/25)*Calculateur!BL79*Calculateur!BN79*VLOOKUP('Données projet'!$B$11,Paramètres!$A$1:$I$89,3,0)*0.475*44/12</f>
        <v>4.0158957734789871</v>
      </c>
      <c r="BR79" s="21">
        <f>EXP(-LN(2)/2)*BR78+(1-EXP(-LN(2)/2))/(LN(2)/2)*BL79*BO79*VLOOKUP('Données projet'!$B$11,Paramètres!$A$1:$I$89,3,0)*0.475*44/12</f>
        <v>5.3598887923425308E-9</v>
      </c>
      <c r="BS79" s="22">
        <f t="shared" si="63"/>
        <v>53.682242516324244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63.85090367477909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170.04605856785227</v>
      </c>
      <c r="CE79" s="59">
        <f t="shared" si="94"/>
        <v>377.63973197638802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26.583003879519094</v>
      </c>
      <c r="CL79" s="21">
        <f>EXP(-LN(2)/25)*CL78+(1-EXP(-LN(2)/25))/(LN(2)/25)*Calculateur!CG79*Calculateur!CI79*VLOOKUP('Données projet'!$B$12,Paramètres!$A$1:$I$89,3,0)*0.475*44/12</f>
        <v>4.634043101277455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31.21704698079655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63.85090367477909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63.85090367477909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63.85090367477909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63.85090367477909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63.85090367477909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63.85090367477909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4.6500000000000004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17.05</v>
      </c>
      <c r="H80" s="66">
        <f t="shared" si="56"/>
        <v>188.46666666666667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63.957576748701797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9.1529999999999969</v>
      </c>
      <c r="N80" s="13">
        <f>IF('Données projet'!$A$36&gt;35,N79+M80-V79,IF(A80&lt;'Données projet'!$A$36,$K$205^A80,IF(A80='Données projet'!$A$36,'Données projet'!$B$36,N79+M80-V79)))</f>
        <v>291.01900000000006</v>
      </c>
      <c r="O80" s="13">
        <f>N80*VLOOKUP('Données projet'!$B$9,Paramètres!$A$1:$I$89,3,0)*VLOOKUP('Données projet'!$B$9,Paramètres!$A$1:$I$89,5,0)</f>
        <v>263.31399120000003</v>
      </c>
      <c r="P80" s="13">
        <f t="shared" si="87"/>
        <v>63.428265396287479</v>
      </c>
      <c r="Q80" s="20">
        <f t="shared" si="54"/>
        <v>569.07609690520076</v>
      </c>
      <c r="R80" s="59">
        <f t="shared" si="55"/>
        <v>840.25387831710736</v>
      </c>
      <c r="S80" s="59">
        <f ca="1">AVERAGE(OFFSET($R$3,0,0,'Données projet'!$E$9+1,1))-AVERAGE(OFFSET($H$3,0,0,'Données projet'!$E$9+1,1))</f>
        <v>664.27707313486087</v>
      </c>
      <c r="T80" s="59">
        <f t="shared" si="88"/>
        <v>206.64483278066874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67.996644060472988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67.996644060472988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63.957576748701797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14.338750000000005</v>
      </c>
      <c r="AI80" s="13">
        <f>IF('Données projet'!$A$62&gt;35,AI79+AH80-AQ79,IF(A80&lt;'Données projet'!$A$62,$AF$205^A80,IF(A80='Données projet'!$A$62,'Données projet'!$B$62,AI79+AH80-AQ79)))</f>
        <v>430.05749999999938</v>
      </c>
      <c r="AJ80" s="13">
        <f>AI80*VLOOKUP('Données projet'!$B$10,Paramètres!$A$1:$I$89,3,0)*VLOOKUP('Données projet'!$B$10,Paramètres!$A$1:$I$89,5,0)</f>
        <v>201.26690999999968</v>
      </c>
      <c r="AK80" s="13">
        <f t="shared" si="89"/>
        <v>50.022493790546385</v>
      </c>
      <c r="AL80" s="20">
        <f t="shared" si="58"/>
        <v>437.66237826853438</v>
      </c>
      <c r="AM80" s="59">
        <f t="shared" si="59"/>
        <v>708.84015968044105</v>
      </c>
      <c r="AN80" s="59">
        <f ca="1">AVERAGE(OFFSET($AM$3,0,0,'Données projet'!$E$10+1,1))-AVERAGE(OFFSET($H$3,0,0,'Données projet'!$E$10+1,1))</f>
        <v>329.7518221182429</v>
      </c>
      <c r="AO80" s="59">
        <f t="shared" si="90"/>
        <v>207.30737400651807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112.74363371293735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112.74363371293735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63.957576748701797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189.62971370839551</v>
      </c>
      <c r="BJ80" s="59">
        <f t="shared" si="92"/>
        <v>457.05149684588173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48.692419971443556</v>
      </c>
      <c r="BQ80" s="21">
        <f>EXP(-LN(2)/25)*BQ79+(1-EXP(-LN(2)/25))/(LN(2)/25)*Calculateur!BL80*Calculateur!BN80*VLOOKUP('Données projet'!$B$11,Paramètres!$A$1:$I$89,3,0)*0.475*44/12</f>
        <v>3.9060808923664241</v>
      </c>
      <c r="BR80" s="21">
        <f>EXP(-LN(2)/2)*BR79+(1-EXP(-LN(2)/2))/(LN(2)/2)*BL80*BO80*VLOOKUP('Données projet'!$B$11,Paramètres!$A$1:$I$89,3,0)*0.475*44/12</f>
        <v>3.7900137114711784E-9</v>
      </c>
      <c r="BS80" s="22">
        <f t="shared" si="63"/>
        <v>52.598500867599995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63.957576748701797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170.04605856785227</v>
      </c>
      <c r="CE80" s="59">
        <f t="shared" si="94"/>
        <v>377.63973197638802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26.061727387473088</v>
      </c>
      <c r="CL80" s="21">
        <f>EXP(-LN(2)/25)*CL79+(1-EXP(-LN(2)/25))/(LN(2)/25)*Calculateur!CG80*Calculateur!CI80*VLOOKUP('Données projet'!$B$12,Paramètres!$A$1:$I$89,3,0)*0.475*44/12</f>
        <v>4.5073249489792877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30.569052336452376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63.957576748701797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63.957576748701797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63.957576748701797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63.957576748701797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63.957576748701797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63.957576748701797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4.6500000000000004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17.05</v>
      </c>
      <c r="H81" s="66">
        <f t="shared" si="56"/>
        <v>188.46666666666667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64.062399283277202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9.1529999999999969</v>
      </c>
      <c r="N81" s="13">
        <f>IF('Données projet'!$A$36&gt;35,N80+M81-V80,IF(A81&lt;'Données projet'!$A$36,$K$205^A81,IF(A81='Données projet'!$A$36,'Données projet'!$B$36,N80+M81-V80)))</f>
        <v>300.17200000000008</v>
      </c>
      <c r="O81" s="13">
        <f>N81*VLOOKUP('Données projet'!$B$9,Paramètres!$A$1:$I$89,3,0)*VLOOKUP('Données projet'!$B$9,Paramètres!$A$1:$I$89,5,0)</f>
        <v>271.59562560000006</v>
      </c>
      <c r="P81" s="13">
        <f t="shared" si="87"/>
        <v>65.187785095275302</v>
      </c>
      <c r="Q81" s="20">
        <f t="shared" si="54"/>
        <v>586.56444029427121</v>
      </c>
      <c r="R81" s="59">
        <f t="shared" si="55"/>
        <v>858.12657099962098</v>
      </c>
      <c r="S81" s="59">
        <f ca="1">AVERAGE(OFFSET($R$3,0,0,'Données projet'!$E$9+1,1))-AVERAGE(OFFSET($H$3,0,0,'Données projet'!$E$9+1,1))</f>
        <v>664.27707313486087</v>
      </c>
      <c r="T81" s="59">
        <f t="shared" si="88"/>
        <v>206.64483278066874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66.663271344304789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66.663271344304789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64.062399283277202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14.338750000000005</v>
      </c>
      <c r="AI81" s="13">
        <f>IF('Données projet'!$A$62&gt;35,AI80+AH81-AQ80,IF(A81&lt;'Données projet'!$A$62,$AF$205^A81,IF(A81='Données projet'!$A$62,'Données projet'!$B$62,AI80+AH81-AQ80)))</f>
        <v>444.39624999999938</v>
      </c>
      <c r="AJ81" s="13">
        <f>AI81*VLOOKUP('Données projet'!$B$10,Paramètres!$A$1:$I$89,3,0)*VLOOKUP('Données projet'!$B$10,Paramètres!$A$1:$I$89,5,0)</f>
        <v>207.97744499999973</v>
      </c>
      <c r="AK81" s="13">
        <f t="shared" si="89"/>
        <v>51.493357906038632</v>
      </c>
      <c r="AL81" s="20">
        <f t="shared" si="58"/>
        <v>451.91164839468348</v>
      </c>
      <c r="AM81" s="59">
        <f t="shared" si="59"/>
        <v>723.4737791000332</v>
      </c>
      <c r="AN81" s="59">
        <f ca="1">AVERAGE(OFFSET($AM$3,0,0,'Données projet'!$E$10+1,1))-AVERAGE(OFFSET($H$3,0,0,'Données projet'!$E$10+1,1))</f>
        <v>329.7518221182429</v>
      </c>
      <c r="AO81" s="59">
        <f t="shared" si="90"/>
        <v>207.30737400651807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110.53279982265306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110.53279982265306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64.062399283277202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189.62971370839551</v>
      </c>
      <c r="BJ81" s="59">
        <f t="shared" si="92"/>
        <v>457.05149684588173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47.737591315247151</v>
      </c>
      <c r="BQ81" s="21">
        <f>EXP(-LN(2)/25)*BQ80+(1-EXP(-LN(2)/25))/(LN(2)/25)*Calculateur!BL81*Calculateur!BN81*VLOOKUP('Données projet'!$B$11,Paramètres!$A$1:$I$89,3,0)*0.475*44/12</f>
        <v>3.7992689049527977</v>
      </c>
      <c r="BR81" s="21">
        <f>EXP(-LN(2)/2)*BR80+(1-EXP(-LN(2)/2))/(LN(2)/2)*BL81*BO81*VLOOKUP('Données projet'!$B$11,Paramètres!$A$1:$I$89,3,0)*0.475*44/12</f>
        <v>2.6799443961712654E-9</v>
      </c>
      <c r="BS81" s="22">
        <f t="shared" si="63"/>
        <v>51.536860222879895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64.062399283277202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170.04605856785227</v>
      </c>
      <c r="CE81" s="59">
        <f t="shared" si="94"/>
        <v>377.63973197638802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25.550672809488837</v>
      </c>
      <c r="CL81" s="21">
        <f>EXP(-LN(2)/25)*CL80+(1-EXP(-LN(2)/25))/(LN(2)/25)*Calculateur!CG81*Calculateur!CI81*VLOOKUP('Données projet'!$B$12,Paramètres!$A$1:$I$89,3,0)*0.475*44/12</f>
        <v>4.3840719112195314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29.93474472070837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64.062399283277202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64.062399283277202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64.062399283277202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64.062399283277202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64.062399283277202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64.062399283277202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4.6500000000000004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17.05</v>
      </c>
      <c r="H82" s="66">
        <f t="shared" si="56"/>
        <v>188.46666666666667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64.165403381225801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9.1529999999999969</v>
      </c>
      <c r="N82" s="13">
        <f>IF('Données projet'!$A$36&gt;35,N81+M82-V81,IF(A82&lt;'Données projet'!$A$36,$K$205^A82,IF(A82='Données projet'!$A$36,'Données projet'!$B$36,N81+M82-V81)))</f>
        <v>309.3250000000001</v>
      </c>
      <c r="O82" s="13">
        <f>N82*VLOOKUP('Données projet'!$B$9,Paramètres!$A$1:$I$89,3,0)*VLOOKUP('Données projet'!$B$9,Paramètres!$A$1:$I$89,5,0)</f>
        <v>279.87726000000009</v>
      </c>
      <c r="P82" s="13">
        <f t="shared" si="87"/>
        <v>66.941069728889886</v>
      </c>
      <c r="Q82" s="20">
        <f t="shared" si="54"/>
        <v>604.04192427781663</v>
      </c>
      <c r="R82" s="59">
        <f t="shared" si="55"/>
        <v>875.98173667564458</v>
      </c>
      <c r="S82" s="59">
        <f ca="1">AVERAGE(OFFSET($R$3,0,0,'Données projet'!$E$9+1,1))-AVERAGE(OFFSET($H$3,0,0,'Données projet'!$E$9+1,1))</f>
        <v>664.27707313486087</v>
      </c>
      <c r="T82" s="59">
        <f t="shared" si="88"/>
        <v>206.64483278066874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65.356045253823595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65.356045253823595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64.165403381225801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14.338750000000005</v>
      </c>
      <c r="AI82" s="13">
        <f>IF('Données projet'!$A$62&gt;35,AI81+AH82-AQ81,IF(A82&lt;'Données projet'!$A$62,$AF$205^A82,IF(A82='Données projet'!$A$62,'Données projet'!$B$62,AI81+AH82-AQ81)))</f>
        <v>458.73499999999939</v>
      </c>
      <c r="AJ82" s="13">
        <f>AI82*VLOOKUP('Données projet'!$B$10,Paramètres!$A$1:$I$89,3,0)*VLOOKUP('Données projet'!$B$10,Paramètres!$A$1:$I$89,5,0)</f>
        <v>214.6879799999997</v>
      </c>
      <c r="AK82" s="13">
        <f t="shared" si="89"/>
        <v>52.95870720880778</v>
      </c>
      <c r="AL82" s="20">
        <f t="shared" si="58"/>
        <v>466.15131355533964</v>
      </c>
      <c r="AM82" s="59">
        <f t="shared" si="59"/>
        <v>738.09112595316765</v>
      </c>
      <c r="AN82" s="59">
        <f ca="1">AVERAGE(OFFSET($AM$3,0,0,'Données projet'!$E$10+1,1))-AVERAGE(OFFSET($H$3,0,0,'Données projet'!$E$10+1,1))</f>
        <v>329.7518221182429</v>
      </c>
      <c r="AO82" s="59">
        <f t="shared" si="90"/>
        <v>207.30737400651807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108.36531903648172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108.36531903648172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64.165403381225801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189.62971370839551</v>
      </c>
      <c r="BJ82" s="59">
        <f t="shared" si="92"/>
        <v>457.05149684588173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46.801486266610787</v>
      </c>
      <c r="BQ82" s="21">
        <f>EXP(-LN(2)/25)*BQ81+(1-EXP(-LN(2)/25))/(LN(2)/25)*Calculateur!BL82*Calculateur!BN82*VLOOKUP('Données projet'!$B$11,Paramètres!$A$1:$I$89,3,0)*0.475*44/12</f>
        <v>3.6953776969519949</v>
      </c>
      <c r="BR82" s="21">
        <f>EXP(-LN(2)/2)*BR81+(1-EXP(-LN(2)/2))/(LN(2)/2)*BL82*BO82*VLOOKUP('Données projet'!$B$11,Paramètres!$A$1:$I$89,3,0)*0.475*44/12</f>
        <v>1.8950068557355892E-9</v>
      </c>
      <c r="BS82" s="22">
        <f t="shared" si="63"/>
        <v>50.496863965457791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64.165403381225801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170.04605856785227</v>
      </c>
      <c r="CE82" s="59">
        <f t="shared" si="94"/>
        <v>377.63973197638802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25.049639700066347</v>
      </c>
      <c r="CL82" s="21">
        <f>EXP(-LN(2)/25)*CL81+(1-EXP(-LN(2)/25))/(LN(2)/25)*Calculateur!CG82*Calculateur!CI82*VLOOKUP('Données projet'!$B$12,Paramètres!$A$1:$I$89,3,0)*0.475*44/12</f>
        <v>4.2641892342589118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29.313828934325258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64.165403381225801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64.165403381225801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64.165403381225801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64.165403381225801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64.165403381225801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64.165403381225801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4.6500000000000004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17.05</v>
      </c>
      <c r="H83" s="66">
        <f t="shared" si="56"/>
        <v>188.46666666666667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64.266620588357654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9.1529999999999969</v>
      </c>
      <c r="N83" s="13">
        <f>IF('Données projet'!$A$36&gt;35,N82+M83-V82,IF(A83&lt;'Données projet'!$A$36,$K$205^A83,IF(A83='Données projet'!$A$36,'Données projet'!$B$36,N82+M83-V82)))</f>
        <v>318.47800000000012</v>
      </c>
      <c r="O83" s="13">
        <f>N83*VLOOKUP('Données projet'!$B$9,Paramètres!$A$1:$I$89,3,0)*VLOOKUP('Données projet'!$B$9,Paramètres!$A$1:$I$89,5,0)</f>
        <v>288.15889440000012</v>
      </c>
      <c r="P83" s="13">
        <f t="shared" si="87"/>
        <v>68.688324976195204</v>
      </c>
      <c r="Q83" s="20">
        <f t="shared" si="54"/>
        <v>621.50890708020677</v>
      </c>
      <c r="R83" s="59">
        <f t="shared" si="55"/>
        <v>893.81984923751816</v>
      </c>
      <c r="S83" s="59">
        <f ca="1">AVERAGE(OFFSET($R$3,0,0,'Données projet'!$E$9+1,1))-AVERAGE(OFFSET($H$3,0,0,'Données projet'!$E$9+1,1))</f>
        <v>664.27707313486087</v>
      </c>
      <c r="T83" s="59">
        <f t="shared" si="88"/>
        <v>206.64483278066874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64.074453069647546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64.074453069647546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64.266620588357654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14.338750000000005</v>
      </c>
      <c r="AI83" s="13">
        <f>IF('Données projet'!$A$62&gt;35,AI82+AH83-AQ82,IF(A83&lt;'Données projet'!$A$62,$AF$205^A83,IF(A83='Données projet'!$A$62,'Données projet'!$B$62,AI82+AH83-AQ82)))</f>
        <v>473.07374999999939</v>
      </c>
      <c r="AJ83" s="13">
        <f>AI83*VLOOKUP('Données projet'!$B$10,Paramètres!$A$1:$I$89,3,0)*VLOOKUP('Données projet'!$B$10,Paramètres!$A$1:$I$89,5,0)</f>
        <v>221.39851499999972</v>
      </c>
      <c r="AK83" s="13">
        <f t="shared" si="89"/>
        <v>54.418733854751018</v>
      </c>
      <c r="AL83" s="20">
        <f t="shared" si="58"/>
        <v>480.38170842202425</v>
      </c>
      <c r="AM83" s="59">
        <f t="shared" si="59"/>
        <v>752.69265057933558</v>
      </c>
      <c r="AN83" s="59">
        <f ca="1">AVERAGE(OFFSET($AM$3,0,0,'Données projet'!$E$10+1,1))-AVERAGE(OFFSET($H$3,0,0,'Données projet'!$E$10+1,1))</f>
        <v>329.7518221182429</v>
      </c>
      <c r="AO83" s="59">
        <f t="shared" si="90"/>
        <v>207.30737400651807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106.24034122649446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106.24034122649446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64.266620588357654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189.62971370839551</v>
      </c>
      <c r="BJ83" s="59">
        <f t="shared" si="92"/>
        <v>457.05149684588173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45.883737667010479</v>
      </c>
      <c r="BQ83" s="21">
        <f>EXP(-LN(2)/25)*BQ82+(1-EXP(-LN(2)/25))/(LN(2)/25)*Calculateur!BL83*Calculateur!BN83*VLOOKUP('Données projet'!$B$11,Paramètres!$A$1:$I$89,3,0)*0.475*44/12</f>
        <v>3.5943273994973755</v>
      </c>
      <c r="BR83" s="21">
        <f>EXP(-LN(2)/2)*BR82+(1-EXP(-LN(2)/2))/(LN(2)/2)*BL83*BO83*VLOOKUP('Données projet'!$B$11,Paramètres!$A$1:$I$89,3,0)*0.475*44/12</f>
        <v>1.3399721980856327E-9</v>
      </c>
      <c r="BS83" s="22">
        <f t="shared" si="63"/>
        <v>49.478065067847822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64.266620588357654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170.04605856785227</v>
      </c>
      <c r="CE83" s="59">
        <f t="shared" si="94"/>
        <v>377.63973197638802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24.55843154431961</v>
      </c>
      <c r="CL83" s="21">
        <f>EXP(-LN(2)/25)*CL82+(1-EXP(-LN(2)/25))/(LN(2)/25)*Calculateur!CG83*Calculateur!CI83*VLOOKUP('Données projet'!$B$12,Paramètres!$A$1:$I$89,3,0)*0.475*44/12</f>
        <v>4.1475847554041358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28.706016299723746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64.266620588357654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64.266620588357654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64.266620588357654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64.266620588357654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64.266620588357654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64.266620588357654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4.6500000000000004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17.05</v>
      </c>
      <c r="H84" s="66">
        <f t="shared" si="56"/>
        <v>188.46666666666667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64.36608190323355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9.1529999999999969</v>
      </c>
      <c r="N84" s="13">
        <f>IF('Données projet'!$A$36&gt;35,N83+M84-V83,IF(A84&lt;'Données projet'!$A$36,$K$205^A84,IF(A84='Données projet'!$A$36,'Données projet'!$B$36,N83+M84-V83)))</f>
        <v>327.63100000000014</v>
      </c>
      <c r="O84" s="13">
        <f>N84*VLOOKUP('Données projet'!$B$9,Paramètres!$A$1:$I$89,3,0)*VLOOKUP('Données projet'!$B$9,Paramètres!$A$1:$I$89,5,0)</f>
        <v>296.4405288000001</v>
      </c>
      <c r="P84" s="13">
        <f t="shared" si="87"/>
        <v>70.42974402153277</v>
      </c>
      <c r="Q84" s="20">
        <f t="shared" si="54"/>
        <v>638.96572516416973</v>
      </c>
      <c r="R84" s="59">
        <f t="shared" si="55"/>
        <v>911.64135880935942</v>
      </c>
      <c r="S84" s="59">
        <f ca="1">AVERAGE(OFFSET($R$3,0,0,'Données projet'!$E$9+1,1))-AVERAGE(OFFSET($H$3,0,0,'Données projet'!$E$9+1,1))</f>
        <v>664.27707313486087</v>
      </c>
      <c r="T84" s="59">
        <f t="shared" si="88"/>
        <v>206.64483278066874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62.817992126509147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62.817992126509147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64.36608190323355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14.338750000000005</v>
      </c>
      <c r="AI84" s="13">
        <f>IF('Données projet'!$A$62&gt;35,AI83+AH84-AQ83,IF(A84&lt;'Données projet'!$A$62,$AF$205^A84,IF(A84='Données projet'!$A$62,'Données projet'!$B$62,AI83+AH84-AQ83)))</f>
        <v>487.4124999999994</v>
      </c>
      <c r="AJ84" s="13">
        <f>AI84*VLOOKUP('Données projet'!$B$10,Paramètres!$A$1:$I$89,3,0)*VLOOKUP('Données projet'!$B$10,Paramètres!$A$1:$I$89,5,0)</f>
        <v>228.10904999999971</v>
      </c>
      <c r="AK84" s="13">
        <f t="shared" si="89"/>
        <v>55.873617689436912</v>
      </c>
      <c r="AL84" s="20">
        <f t="shared" si="58"/>
        <v>494.6031462257688</v>
      </c>
      <c r="AM84" s="59">
        <f t="shared" si="59"/>
        <v>767.27877987095849</v>
      </c>
      <c r="AN84" s="59">
        <f ca="1">AVERAGE(OFFSET($AM$3,0,0,'Données projet'!$E$10+1,1))-AVERAGE(OFFSET($H$3,0,0,'Données projet'!$E$10+1,1))</f>
        <v>329.7518221182429</v>
      </c>
      <c r="AO84" s="59">
        <f t="shared" si="90"/>
        <v>207.30737400651807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104.15703293525257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104.15703293525257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64.36608190323355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189.62971370839551</v>
      </c>
      <c r="BJ84" s="59">
        <f t="shared" si="92"/>
        <v>457.05149684588173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44.983985557676959</v>
      </c>
      <c r="BQ84" s="21">
        <f>EXP(-LN(2)/25)*BQ83+(1-EXP(-LN(2)/25))/(LN(2)/25)*Calculateur!BL84*Calculateur!BN84*VLOOKUP('Données projet'!$B$11,Paramètres!$A$1:$I$89,3,0)*0.475*44/12</f>
        <v>3.4960403277406567</v>
      </c>
      <c r="BR84" s="21">
        <f>EXP(-LN(2)/2)*BR83+(1-EXP(-LN(2)/2))/(LN(2)/2)*BL84*BO84*VLOOKUP('Données projet'!$B$11,Paramètres!$A$1:$I$89,3,0)*0.475*44/12</f>
        <v>9.4750342786779459E-10</v>
      </c>
      <c r="BS84" s="22">
        <f t="shared" si="63"/>
        <v>48.480025886365119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64.36608190323355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170.04605856785227</v>
      </c>
      <c r="CE84" s="59">
        <f t="shared" si="94"/>
        <v>377.63973197638802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24.076855680899676</v>
      </c>
      <c r="CL84" s="21">
        <f>EXP(-LN(2)/25)*CL83+(1-EXP(-LN(2)/25))/(LN(2)/25)*Calculateur!CG84*Calculateur!CI84*VLOOKUP('Données projet'!$B$12,Paramètres!$A$1:$I$89,3,0)*0.475*44/12</f>
        <v>4.0341688321556068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28.111024513055284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64.36608190323355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64.36608190323355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64.36608190323355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64.36608190323355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64.36608190323355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64.36608190323355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4.6500000000000004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17.05</v>
      </c>
      <c r="H85" s="66">
        <f t="shared" si="56"/>
        <v>188.46666666666667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64.463817786658538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9.1529999999999969</v>
      </c>
      <c r="N85" s="13">
        <f>IF('Données projet'!$A$36&gt;35,N84+M85-V84,IF(A85&lt;'Données projet'!$A$36,$K$205^A85,IF(A85='Données projet'!$A$36,'Données projet'!$B$36,N84+M85-V84)))</f>
        <v>336.78400000000016</v>
      </c>
      <c r="O85" s="13">
        <f>N85*VLOOKUP('Données projet'!$B$9,Paramètres!$A$1:$I$89,3,0)*VLOOKUP('Données projet'!$B$9,Paramètres!$A$1:$I$89,5,0)</f>
        <v>304.72216320000013</v>
      </c>
      <c r="P85" s="13">
        <f t="shared" si="87"/>
        <v>72.165508641151035</v>
      </c>
      <c r="Q85" s="20">
        <f t="shared" si="54"/>
        <v>656.41269512333827</v>
      </c>
      <c r="R85" s="59">
        <f t="shared" si="55"/>
        <v>929.44669367441952</v>
      </c>
      <c r="S85" s="59">
        <f ca="1">AVERAGE(OFFSET($R$3,0,0,'Données projet'!$E$9+1,1))-AVERAGE(OFFSET($H$3,0,0,'Données projet'!$E$9+1,1))</f>
        <v>664.27707313486087</v>
      </c>
      <c r="T85" s="59">
        <f t="shared" si="88"/>
        <v>206.64483278066874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61.586169616100186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61.586169616100186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64.463817786658538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14.338750000000005</v>
      </c>
      <c r="AI85" s="13">
        <f>IF('Données projet'!$A$62&gt;35,AI84+AH85-AQ84,IF(A85&lt;'Données projet'!$A$62,$AF$205^A85,IF(A85='Données projet'!$A$62,'Données projet'!$B$62,AI84+AH85-AQ84)))</f>
        <v>501.7512499999994</v>
      </c>
      <c r="AJ85" s="13">
        <f>AI85*VLOOKUP('Données projet'!$B$10,Paramètres!$A$1:$I$89,3,0)*VLOOKUP('Données projet'!$B$10,Paramètres!$A$1:$I$89,5,0)</f>
        <v>234.81958499999971</v>
      </c>
      <c r="AK85" s="13">
        <f t="shared" si="89"/>
        <v>57.323527375429443</v>
      </c>
      <c r="AL85" s="20">
        <f t="shared" si="58"/>
        <v>508.81592072053917</v>
      </c>
      <c r="AM85" s="59">
        <f t="shared" si="59"/>
        <v>781.84991927162048</v>
      </c>
      <c r="AN85" s="59">
        <f ca="1">AVERAGE(OFFSET($AM$3,0,0,'Données projet'!$E$10+1,1))-AVERAGE(OFFSET($H$3,0,0,'Données projet'!$E$10+1,1))</f>
        <v>329.7518221182429</v>
      </c>
      <c r="AO85" s="59">
        <f t="shared" si="90"/>
        <v>207.30737400651807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102.11457704890934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102.11457704890934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64.463817786658538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189.62971370839551</v>
      </c>
      <c r="BJ85" s="59">
        <f t="shared" si="92"/>
        <v>457.05149684588173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44.101877038412873</v>
      </c>
      <c r="BQ85" s="21">
        <f>EXP(-LN(2)/25)*BQ84+(1-EXP(-LN(2)/25))/(LN(2)/25)*Calculateur!BL85*Calculateur!BN85*VLOOKUP('Données projet'!$B$11,Paramètres!$A$1:$I$89,3,0)*0.475*44/12</f>
        <v>3.4004409211298179</v>
      </c>
      <c r="BR85" s="21">
        <f>EXP(-LN(2)/2)*BR84+(1-EXP(-LN(2)/2))/(LN(2)/2)*BL85*BO85*VLOOKUP('Données projet'!$B$11,Paramètres!$A$1:$I$89,3,0)*0.475*44/12</f>
        <v>6.6998609904281635E-10</v>
      </c>
      <c r="BS85" s="22">
        <f t="shared" si="63"/>
        <v>47.502317960212679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64.463817786658538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170.04605856785227</v>
      </c>
      <c r="CE85" s="59">
        <f t="shared" si="94"/>
        <v>377.63973197638802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23.604723226429133</v>
      </c>
      <c r="CL85" s="21">
        <f>EXP(-LN(2)/25)*CL84+(1-EXP(-LN(2)/25))/(LN(2)/25)*Calculateur!CG85*Calculateur!CI85*VLOOKUP('Données projet'!$B$12,Paramètres!$A$1:$I$89,3,0)*0.475*44/12</f>
        <v>3.923854273292593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27.528577499721727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64.463817786658538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64.463817786658538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64.463817786658538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64.463817786658538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64.463817786658538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64.463817786658538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4.6500000000000004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17.05</v>
      </c>
      <c r="H86" s="66">
        <f t="shared" si="56"/>
        <v>188.46666666666667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64.559858171010802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9.1529999999999969</v>
      </c>
      <c r="N86" s="13">
        <f>IF('Données projet'!$A$36&gt;35,N85+M86-V85,IF(A86&lt;'Données projet'!$A$36,$K$205^A86,IF(A86='Données projet'!$A$36,'Données projet'!$B$36,N85+M86-V85)))</f>
        <v>345.93700000000018</v>
      </c>
      <c r="O86" s="13">
        <f>N86*VLOOKUP('Données projet'!$B$9,Paramètres!$A$1:$I$89,3,0)*VLOOKUP('Données projet'!$B$9,Paramètres!$A$1:$I$89,5,0)</f>
        <v>313.00379760000015</v>
      </c>
      <c r="P86" s="13">
        <f t="shared" si="87"/>
        <v>73.895790168384082</v>
      </c>
      <c r="Q86" s="20">
        <f t="shared" si="54"/>
        <v>673.85011536326908</v>
      </c>
      <c r="R86" s="59">
        <f t="shared" si="55"/>
        <v>947.23626199030878</v>
      </c>
      <c r="S86" s="59">
        <f ca="1">AVERAGE(OFFSET($R$3,0,0,'Données projet'!$E$9+1,1))-AVERAGE(OFFSET($H$3,0,0,'Données projet'!$E$9+1,1))</f>
        <v>664.27707313486087</v>
      </c>
      <c r="T86" s="59">
        <f t="shared" si="88"/>
        <v>206.64483278066874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60.378502393782803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60.378502393782803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64.559858171010802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>
        <f>VLOOKUP(A86,'Données projet'!$A$61:$I$81,2,0)</f>
        <v>516.09</v>
      </c>
      <c r="AG86" s="12">
        <f>VLOOKUP(A86,'Données projet'!$A$61:$I$81,9,0)</f>
        <v>14.338750000000005</v>
      </c>
      <c r="AH86" s="12">
        <f t="array" ref="AH86">INDEX(AG:AG,MIN(IF(ISNUMBER(AG86:AG282),ROW(AG86:AG282),"")))</f>
        <v>14.338750000000005</v>
      </c>
      <c r="AI86" s="13">
        <f>IF('Données projet'!$A$62&gt;35,AI85+AH86-AQ85,IF(A86&lt;'Données projet'!$A$62,$AF$205^A86,IF(A86='Données projet'!$A$62,'Données projet'!$B$62,AI85+AH86-AQ85)))</f>
        <v>516.08999999999946</v>
      </c>
      <c r="AJ86" s="13">
        <f>AI86*VLOOKUP('Données projet'!$B$10,Paramètres!$A$1:$I$89,3,0)*VLOOKUP('Données projet'!$B$10,Paramètres!$A$1:$I$89,5,0)</f>
        <v>241.53011999999973</v>
      </c>
      <c r="AK86" s="13">
        <f t="shared" si="89"/>
        <v>58.768621387125215</v>
      </c>
      <c r="AL86" s="20">
        <f t="shared" si="58"/>
        <v>523.02030791590926</v>
      </c>
      <c r="AM86" s="59">
        <f t="shared" si="59"/>
        <v>796.40645454294895</v>
      </c>
      <c r="AN86" s="59">
        <f ca="1">AVERAGE(OFFSET($AM$3,0,0,'Données projet'!$E$10+1,1))-AVERAGE(OFFSET($H$3,0,0,'Données projet'!$E$10+1,1))</f>
        <v>329.7518221182429</v>
      </c>
      <c r="AO86" s="59">
        <f t="shared" si="90"/>
        <v>207.30737400651807</v>
      </c>
      <c r="AP86" s="15">
        <f>IF(ISNA(VLOOKUP(A86,'Données projet'!$A$61:$I$81,3,0)),0,VLOOKUP(A86,'Données projet'!$A$61:$I$81,3,0))</f>
        <v>6</v>
      </c>
      <c r="AQ86" s="15">
        <f>IF(ISNA(VLOOKUP(A86,'Données projet'!$A$61:$I$81,4,0)),0,VLOOKUP(A86,'Données projet'!$A$61:$I$81,4,0))</f>
        <v>90.24</v>
      </c>
      <c r="AR86" s="16">
        <f>IF(ISNA(VLOOKUP(A86,'Données projet'!$A$61:$I$81,5,0)),0%,VLOOKUP(A86,'Données projet'!$A$61:$I$81,5,0)*VLOOKUP('Données projet'!$B$10,Paramètres!$A$1:$I$89,7,0))</f>
        <v>0.55000000000000004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130.92531449723384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130.92531449723384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64.559858171010802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189.62971370839551</v>
      </c>
      <c r="BJ86" s="59">
        <f t="shared" si="92"/>
        <v>457.05149684588173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43.237066129178487</v>
      </c>
      <c r="BQ86" s="21">
        <f>EXP(-LN(2)/25)*BQ85+(1-EXP(-LN(2)/25))/(LN(2)/25)*Calculateur!BL86*Calculateur!BN86*VLOOKUP('Données projet'!$B$11,Paramètres!$A$1:$I$89,3,0)*0.475*44/12</f>
        <v>3.3074556853201069</v>
      </c>
      <c r="BR86" s="21">
        <f>EXP(-LN(2)/2)*BR85+(1-EXP(-LN(2)/2))/(LN(2)/2)*BL86*BO86*VLOOKUP('Données projet'!$B$11,Paramètres!$A$1:$I$89,3,0)*0.475*44/12</f>
        <v>4.737517139338973E-10</v>
      </c>
      <c r="BS86" s="22">
        <f t="shared" si="63"/>
        <v>46.544521814972349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64.559858171010802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170.04605856785227</v>
      </c>
      <c r="CE86" s="59">
        <f t="shared" si="94"/>
        <v>377.63973197638802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23.141849001418397</v>
      </c>
      <c r="CL86" s="21">
        <f>EXP(-LN(2)/25)*CL85+(1-EXP(-LN(2)/25))/(LN(2)/25)*Calculateur!CG86*Calculateur!CI86*VLOOKUP('Données projet'!$B$12,Paramètres!$A$1:$I$89,3,0)*0.475*44/12</f>
        <v>3.8165562718428787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26.958405273261274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64.559858171010802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64.559858171010802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64.559858171010802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64.559858171010802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64.559858171010802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64.559858171010802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4.6500000000000004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17.05</v>
      </c>
      <c r="H87" s="66">
        <f t="shared" si="56"/>
        <v>188.46666666666667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64.654232469408683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355.09</v>
      </c>
      <c r="L87" s="12">
        <f>VLOOKUP(A87,'Données projet'!$A$35:$I$55,9,0)</f>
        <v>9.1529999999999969</v>
      </c>
      <c r="M87" s="12">
        <f t="array" ref="M87">INDEX(L:L,MIN(IF(ISNUMBER(L87:L283),ROW(L87:L283),"")))</f>
        <v>9.1529999999999969</v>
      </c>
      <c r="N87" s="13">
        <f>IF('Données projet'!$A$36&gt;35,N86+M87-V86,IF(A87&lt;'Données projet'!$A$36,$K$205^A87,IF(A87='Données projet'!$A$36,'Données projet'!$B$36,N86+M87-V86)))</f>
        <v>355.0900000000002</v>
      </c>
      <c r="O87" s="13">
        <f>N87*VLOOKUP('Données projet'!$B$9,Paramètres!$A$1:$I$89,3,0)*VLOOKUP('Données projet'!$B$9,Paramètres!$A$1:$I$89,5,0)</f>
        <v>321.28543200000013</v>
      </c>
      <c r="P87" s="13">
        <f t="shared" si="87"/>
        <v>75.620750353808873</v>
      </c>
      <c r="Q87" s="20">
        <f t="shared" si="54"/>
        <v>691.27826759955076</v>
      </c>
      <c r="R87" s="59">
        <f t="shared" si="55"/>
        <v>965.0104533207159</v>
      </c>
      <c r="S87" s="59">
        <f ca="1">AVERAGE(OFFSET($R$3,0,0,'Données projet'!$E$9+1,1))-AVERAGE(OFFSET($H$3,0,0,'Données projet'!$E$9+1,1))</f>
        <v>664.27707313486087</v>
      </c>
      <c r="T87" s="59">
        <f t="shared" si="88"/>
        <v>206.64483278066874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61.47</v>
      </c>
      <c r="W87" s="16">
        <f>IF(ISNA(VLOOKUP(A87,'Données projet'!$A$35:$I$55,5,0)),0%,VLOOKUP(A87,'Données projet'!$A$35:$I$55,5,0)*VLOOKUP('Données projet'!$B$9,Paramètres!$A$1:$I$89,7,0))</f>
        <v>0.43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85.632685583428881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85.632685583428881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64.654232469408683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13.233750000000001</v>
      </c>
      <c r="AI87" s="13">
        <f>IF('Données projet'!$A$62&gt;35,AI86+AH87-AQ86,IF(A87&lt;'Données projet'!$A$62,$AF$205^A87,IF(A87='Données projet'!$A$62,'Données projet'!$B$62,AI86+AH87-AQ86)))</f>
        <v>439.08374999999944</v>
      </c>
      <c r="AJ87" s="13">
        <f>AI87*VLOOKUP('Données projet'!$B$10,Paramètres!$A$1:$I$89,3,0)*VLOOKUP('Données projet'!$B$10,Paramètres!$A$1:$I$89,5,0)</f>
        <v>205.49119499999972</v>
      </c>
      <c r="AK87" s="13">
        <f t="shared" si="89"/>
        <v>50.949057217114365</v>
      </c>
      <c r="AL87" s="20">
        <f t="shared" si="58"/>
        <v>446.63343927814032</v>
      </c>
      <c r="AM87" s="59">
        <f t="shared" si="59"/>
        <v>720.36562499930551</v>
      </c>
      <c r="AN87" s="59">
        <f ca="1">AVERAGE(OFFSET($AM$3,0,0,'Données projet'!$E$10+1,1))-AVERAGE(OFFSET($H$3,0,0,'Données projet'!$E$10+1,1))</f>
        <v>329.7518221182429</v>
      </c>
      <c r="AO87" s="59">
        <f t="shared" si="90"/>
        <v>207.30737400651807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128.35794893649975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128.35794893649975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64.654232469408683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189.62971370839551</v>
      </c>
      <c r="BJ87" s="59">
        <f t="shared" si="92"/>
        <v>457.05149684588173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42.389213634391616</v>
      </c>
      <c r="BQ87" s="21">
        <f>EXP(-LN(2)/25)*BQ86+(1-EXP(-LN(2)/25))/(LN(2)/25)*Calculateur!BL87*Calculateur!BN87*VLOOKUP('Données projet'!$B$11,Paramètres!$A$1:$I$89,3,0)*0.475*44/12</f>
        <v>3.2170131356734935</v>
      </c>
      <c r="BR87" s="21">
        <f>EXP(-LN(2)/2)*BR86+(1-EXP(-LN(2)/2))/(LN(2)/2)*BL87*BO87*VLOOKUP('Données projet'!$B$11,Paramètres!$A$1:$I$89,3,0)*0.475*44/12</f>
        <v>3.3499304952140817E-10</v>
      </c>
      <c r="BS87" s="22">
        <f t="shared" si="63"/>
        <v>45.606226770400099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64.654232469408683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170.04605856785227</v>
      </c>
      <c r="CE87" s="59">
        <f t="shared" si="94"/>
        <v>377.63973197638802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22.688051457634717</v>
      </c>
      <c r="CL87" s="21">
        <f>EXP(-LN(2)/25)*CL86+(1-EXP(-LN(2)/25))/(LN(2)/25)*Calculateur!CG87*Calculateur!CI87*VLOOKUP('Données projet'!$B$12,Paramètres!$A$1:$I$89,3,0)*0.475*44/12</f>
        <v>3.7121923398853638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26.40024379752008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64.654232469408683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64.654232469408683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64.654232469408683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64.654232469408683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64.654232469408683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64.654232469408683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4.6500000000000004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17.05</v>
      </c>
      <c r="H88" s="66">
        <f t="shared" si="56"/>
        <v>188.46666666666667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64.746969584718684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8.6509999999999998</v>
      </c>
      <c r="N88" s="13">
        <f>IF('Données projet'!$A$36&gt;35,N87+M88-V87,IF(A88&lt;'Données projet'!$A$36,$K$205^A88,IF(A88='Données projet'!$A$36,'Données projet'!$B$36,N87+M88-V87)))</f>
        <v>302.27100000000019</v>
      </c>
      <c r="O88" s="13">
        <f>N88*VLOOKUP('Données projet'!$B$9,Paramètres!$A$1:$I$89,3,0)*VLOOKUP('Données projet'!$B$9,Paramètres!$A$1:$I$89,5,0)</f>
        <v>273.49480080000018</v>
      </c>
      <c r="P88" s="13">
        <f t="shared" si="87"/>
        <v>65.590398164586517</v>
      </c>
      <c r="Q88" s="20">
        <f t="shared" si="54"/>
        <v>590.57338819665517</v>
      </c>
      <c r="R88" s="59">
        <f t="shared" si="55"/>
        <v>864.64561000729032</v>
      </c>
      <c r="S88" s="59">
        <f ca="1">AVERAGE(OFFSET($R$3,0,0,'Données projet'!$E$9+1,1))-AVERAGE(OFFSET($H$3,0,0,'Données projet'!$E$9+1,1))</f>
        <v>664.27707313486087</v>
      </c>
      <c r="T88" s="59">
        <f t="shared" si="88"/>
        <v>206.64483278066874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83.953480849918691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83.953480849918691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64.746969584718684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13.233750000000001</v>
      </c>
      <c r="AI88" s="13">
        <f>IF('Données projet'!$A$62&gt;35,AI87+AH88-AQ87,IF(A88&lt;'Données projet'!$A$62,$AF$205^A88,IF(A88='Données projet'!$A$62,'Données projet'!$B$62,AI87+AH88-AQ87)))</f>
        <v>452.31749999999943</v>
      </c>
      <c r="AJ88" s="13">
        <f>AI88*VLOOKUP('Données projet'!$B$10,Paramètres!$A$1:$I$89,3,0)*VLOOKUP('Données projet'!$B$10,Paramètres!$A$1:$I$89,5,0)</f>
        <v>211.68458999999973</v>
      </c>
      <c r="AK88" s="13">
        <f t="shared" si="89"/>
        <v>52.303539640433733</v>
      </c>
      <c r="AL88" s="20">
        <f t="shared" si="58"/>
        <v>459.77932579042158</v>
      </c>
      <c r="AM88" s="59">
        <f t="shared" si="59"/>
        <v>733.85154760105684</v>
      </c>
      <c r="AN88" s="59">
        <f ca="1">AVERAGE(OFFSET($AM$3,0,0,'Données projet'!$E$10+1,1))-AVERAGE(OFFSET($H$3,0,0,'Données projet'!$E$10+1,1))</f>
        <v>329.7518221182429</v>
      </c>
      <c r="AO88" s="59">
        <f t="shared" si="90"/>
        <v>207.30737400651807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125.84092784847329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125.84092784847329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64.746969584718684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189.62971370839551</v>
      </c>
      <c r="BJ88" s="59">
        <f t="shared" si="92"/>
        <v>457.05149684588173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41.557987009888556</v>
      </c>
      <c r="BQ88" s="21">
        <f>EXP(-LN(2)/25)*BQ87+(1-EXP(-LN(2)/25))/(LN(2)/25)*Calculateur!BL88*Calculateur!BN88*VLOOKUP('Données projet'!$B$11,Paramètres!$A$1:$I$89,3,0)*0.475*44/12</f>
        <v>3.1290437423031334</v>
      </c>
      <c r="BR88" s="21">
        <f>EXP(-LN(2)/2)*BR87+(1-EXP(-LN(2)/2))/(LN(2)/2)*BL88*BO88*VLOOKUP('Données projet'!$B$11,Paramètres!$A$1:$I$89,3,0)*0.475*44/12</f>
        <v>2.3687585696694865E-10</v>
      </c>
      <c r="BS88" s="22">
        <f t="shared" si="63"/>
        <v>44.687030752428562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64.746969584718684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170.04605856785227</v>
      </c>
      <c r="CE88" s="59">
        <f t="shared" si="94"/>
        <v>377.63973197638802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22.243152606895467</v>
      </c>
      <c r="CL88" s="21">
        <f>EXP(-LN(2)/25)*CL87+(1-EXP(-LN(2)/25))/(LN(2)/25)*Calculateur!CG88*Calculateur!CI88*VLOOKUP('Données projet'!$B$12,Paramètres!$A$1:$I$89,3,0)*0.475*44/12</f>
        <v>3.6106822451354876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25.853834852030957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64.746969584718684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64.746969584718684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64.746969584718684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64.746969584718684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64.746969584718684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64.746969584718684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4.6500000000000004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17.05</v>
      </c>
      <c r="H89" s="66">
        <f t="shared" si="56"/>
        <v>188.46666666666667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64.838097918407186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8.6509999999999998</v>
      </c>
      <c r="N89" s="13">
        <f>IF('Données projet'!$A$36&gt;35,N88+M89-V88,IF(A89&lt;'Données projet'!$A$36,$K$205^A89,IF(A89='Données projet'!$A$36,'Données projet'!$B$36,N88+M89-V88)))</f>
        <v>310.9220000000002</v>
      </c>
      <c r="O89" s="13">
        <f>N89*VLOOKUP('Données projet'!$B$9,Paramètres!$A$1:$I$89,3,0)*VLOOKUP('Données projet'!$B$9,Paramètres!$A$1:$I$89,5,0)</f>
        <v>281.32222560000019</v>
      </c>
      <c r="P89" s="13">
        <f t="shared" si="87"/>
        <v>67.246356499189531</v>
      </c>
      <c r="Q89" s="20">
        <f t="shared" si="54"/>
        <v>607.09028048942207</v>
      </c>
      <c r="R89" s="59">
        <f t="shared" si="55"/>
        <v>881.49663952358173</v>
      </c>
      <c r="S89" s="59">
        <f ca="1">AVERAGE(OFFSET($R$3,0,0,'Données projet'!$E$9+1,1))-AVERAGE(OFFSET($H$3,0,0,'Données projet'!$E$9+1,1))</f>
        <v>664.27707313486087</v>
      </c>
      <c r="T89" s="59">
        <f t="shared" si="88"/>
        <v>206.64483278066874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82.30720429701887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82.30720429701887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64.838097918407186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13.233750000000001</v>
      </c>
      <c r="AI89" s="13">
        <f>IF('Données projet'!$A$62&gt;35,AI88+AH89-AQ88,IF(A89&lt;'Données projet'!$A$62,$AF$205^A89,IF(A89='Données projet'!$A$62,'Données projet'!$B$62,AI88+AH89-AQ88)))</f>
        <v>465.55124999999941</v>
      </c>
      <c r="AJ89" s="13">
        <f>AI89*VLOOKUP('Données projet'!$B$10,Paramètres!$A$1:$I$89,3,0)*VLOOKUP('Données projet'!$B$10,Paramètres!$A$1:$I$89,5,0)</f>
        <v>217.87798499999974</v>
      </c>
      <c r="AK89" s="13">
        <f t="shared" si="89"/>
        <v>53.653416401808421</v>
      </c>
      <c r="AL89" s="20">
        <f t="shared" si="58"/>
        <v>472.91719077481588</v>
      </c>
      <c r="AM89" s="59">
        <f t="shared" si="59"/>
        <v>747.3235498089756</v>
      </c>
      <c r="AN89" s="59">
        <f ca="1">AVERAGE(OFFSET($AM$3,0,0,'Données projet'!$E$10+1,1))-AVERAGE(OFFSET($H$3,0,0,'Données projet'!$E$10+1,1))</f>
        <v>329.7518221182429</v>
      </c>
      <c r="AO89" s="59">
        <f t="shared" si="90"/>
        <v>207.30737400651807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123.37326400875175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123.37326400875175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64.838097918407186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189.62971370839551</v>
      </c>
      <c r="BJ89" s="59">
        <f t="shared" si="92"/>
        <v>457.05149684588173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40.743060232493825</v>
      </c>
      <c r="BQ89" s="21">
        <f>EXP(-LN(2)/25)*BQ88+(1-EXP(-LN(2)/25))/(LN(2)/25)*Calculateur!BL89*Calculateur!BN89*VLOOKUP('Données projet'!$B$11,Paramètres!$A$1:$I$89,3,0)*0.475*44/12</f>
        <v>3.0434798766205953</v>
      </c>
      <c r="BR89" s="21">
        <f>EXP(-LN(2)/2)*BR88+(1-EXP(-LN(2)/2))/(LN(2)/2)*BL89*BO89*VLOOKUP('Données projet'!$B$11,Paramètres!$A$1:$I$89,3,0)*0.475*44/12</f>
        <v>1.6749652476070409E-10</v>
      </c>
      <c r="BS89" s="22">
        <f t="shared" si="63"/>
        <v>43.786540109281916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64.838097918407186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170.04605856785227</v>
      </c>
      <c r="CE89" s="59">
        <f t="shared" si="94"/>
        <v>377.63973197638802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21.806977951257711</v>
      </c>
      <c r="CL89" s="21">
        <f>EXP(-LN(2)/25)*CL88+(1-EXP(-LN(2)/25))/(LN(2)/25)*Calculateur!CG89*Calculateur!CI89*VLOOKUP('Données projet'!$B$12,Paramètres!$A$1:$I$89,3,0)*0.475*44/12</f>
        <v>3.511947949264731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25.318925900522441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64.838097918407186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64.838097918407186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64.838097918407186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64.838097918407186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64.838097918407186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64.838097918407186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4.6500000000000004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17.05</v>
      </c>
      <c r="H90" s="66">
        <f t="shared" si="56"/>
        <v>188.46666666666667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64.927645379238612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8.6509999999999998</v>
      </c>
      <c r="N90" s="13">
        <f>IF('Données projet'!$A$36&gt;35,N89+M90-V89,IF(A90&lt;'Données projet'!$A$36,$K$205^A90,IF(A90='Données projet'!$A$36,'Données projet'!$B$36,N89+M90-V89)))</f>
        <v>319.57300000000021</v>
      </c>
      <c r="O90" s="13">
        <f>N90*VLOOKUP('Données projet'!$B$9,Paramètres!$A$1:$I$89,3,0)*VLOOKUP('Données projet'!$B$9,Paramètres!$A$1:$I$89,5,0)</f>
        <v>289.14965040000021</v>
      </c>
      <c r="P90" s="13">
        <f t="shared" si="87"/>
        <v>68.896959662330573</v>
      </c>
      <c r="Q90" s="20">
        <f t="shared" si="54"/>
        <v>623.59784585855948</v>
      </c>
      <c r="R90" s="59">
        <f t="shared" si="55"/>
        <v>898.33254558243448</v>
      </c>
      <c r="S90" s="59">
        <f ca="1">AVERAGE(OFFSET($R$3,0,0,'Données projet'!$E$9+1,1))-AVERAGE(OFFSET($H$3,0,0,'Données projet'!$E$9+1,1))</f>
        <v>664.27707313486087</v>
      </c>
      <c r="T90" s="59">
        <f t="shared" si="88"/>
        <v>206.64483278066874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80.693210223191869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80.693210223191869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64.927645379238612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13.233750000000001</v>
      </c>
      <c r="AI90" s="13">
        <f>IF('Données projet'!$A$62&gt;35,AI89+AH90-AQ89,IF(A90&lt;'Données projet'!$A$62,$AF$205^A90,IF(A90='Données projet'!$A$62,'Données projet'!$B$62,AI89+AH90-AQ89)))</f>
        <v>478.7849999999994</v>
      </c>
      <c r="AJ90" s="13">
        <f>AI90*VLOOKUP('Données projet'!$B$10,Paramètres!$A$1:$I$89,3,0)*VLOOKUP('Données projet'!$B$10,Paramètres!$A$1:$I$89,5,0)</f>
        <v>224.07137999999972</v>
      </c>
      <c r="AK90" s="13">
        <f t="shared" si="89"/>
        <v>54.998833459119965</v>
      </c>
      <c r="AL90" s="20">
        <f t="shared" si="58"/>
        <v>486.04728844130017</v>
      </c>
      <c r="AM90" s="59">
        <f t="shared" si="59"/>
        <v>760.78198816517511</v>
      </c>
      <c r="AN90" s="59">
        <f ca="1">AVERAGE(OFFSET($AM$3,0,0,'Données projet'!$E$10+1,1))-AVERAGE(OFFSET($H$3,0,0,'Données projet'!$E$10+1,1))</f>
        <v>329.7518221182429</v>
      </c>
      <c r="AO90" s="59">
        <f t="shared" si="90"/>
        <v>207.30737400651807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120.95398955180083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120.95398955180083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64.927645379238612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189.62971370839551</v>
      </c>
      <c r="BJ90" s="59">
        <f t="shared" si="92"/>
        <v>457.05149684588173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39.944113672147552</v>
      </c>
      <c r="BQ90" s="21">
        <f>EXP(-LN(2)/25)*BQ89+(1-EXP(-LN(2)/25))/(LN(2)/25)*Calculateur!BL90*Calculateur!BN90*VLOOKUP('Données projet'!$B$11,Paramètres!$A$1:$I$89,3,0)*0.475*44/12</f>
        <v>2.9602557593447543</v>
      </c>
      <c r="BR90" s="21">
        <f>EXP(-LN(2)/2)*BR89+(1-EXP(-LN(2)/2))/(LN(2)/2)*BL90*BO90*VLOOKUP('Données projet'!$B$11,Paramètres!$A$1:$I$89,3,0)*0.475*44/12</f>
        <v>1.1843792848347432E-10</v>
      </c>
      <c r="BS90" s="22">
        <f t="shared" si="63"/>
        <v>42.904369431610746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64.927645379238612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170.04605856785227</v>
      </c>
      <c r="CE90" s="59">
        <f t="shared" si="94"/>
        <v>377.63973197638802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21.379356414576737</v>
      </c>
      <c r="CL90" s="21">
        <f>EXP(-LN(2)/25)*CL89+(1-EXP(-LN(2)/25))/(LN(2)/25)*Calculateur!CG90*Calculateur!CI90*VLOOKUP('Données projet'!$B$12,Paramètres!$A$1:$I$89,3,0)*0.475*44/12</f>
        <v>3.4159135479067708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24.795269962483509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64.927645379238612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64.927645379238612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64.927645379238612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64.927645379238612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64.927645379238612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64.927645379238612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4.6500000000000004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17.05</v>
      </c>
      <c r="H91" s="66">
        <f t="shared" si="56"/>
        <v>188.46666666666667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65.015639391822774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8.6509999999999998</v>
      </c>
      <c r="N91" s="13">
        <f>IF('Données projet'!$A$36&gt;35,N90+M91-V90,IF(A91&lt;'Données projet'!$A$36,$K$205^A91,IF(A91='Données projet'!$A$36,'Données projet'!$B$36,N90+M91-V90)))</f>
        <v>328.22400000000022</v>
      </c>
      <c r="O91" s="13">
        <f>N91*VLOOKUP('Données projet'!$B$9,Paramètres!$A$1:$I$89,3,0)*VLOOKUP('Données projet'!$B$9,Paramètres!$A$1:$I$89,5,0)</f>
        <v>296.97707520000017</v>
      </c>
      <c r="P91" s="13">
        <f t="shared" si="87"/>
        <v>70.542369280601235</v>
      </c>
      <c r="Q91" s="20">
        <f t="shared" si="54"/>
        <v>640.09636580371409</v>
      </c>
      <c r="R91" s="59">
        <f t="shared" si="55"/>
        <v>915.15371024039769</v>
      </c>
      <c r="S91" s="59">
        <f ca="1">AVERAGE(OFFSET($R$3,0,0,'Données projet'!$E$9+1,1))-AVERAGE(OFFSET($H$3,0,0,'Données projet'!$E$9+1,1))</f>
        <v>664.27707313486087</v>
      </c>
      <c r="T91" s="59">
        <f t="shared" si="88"/>
        <v>206.64483278066874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79.110865588713438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79.110865588713438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65.015639391822774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13.233750000000001</v>
      </c>
      <c r="AI91" s="13">
        <f>IF('Données projet'!$A$62&gt;35,AI90+AH91-AQ90,IF(A91&lt;'Données projet'!$A$62,$AF$205^A91,IF(A91='Données projet'!$A$62,'Données projet'!$B$62,AI90+AH91-AQ90)))</f>
        <v>492.01874999999939</v>
      </c>
      <c r="AJ91" s="13">
        <f>AI91*VLOOKUP('Données projet'!$B$10,Paramètres!$A$1:$I$89,3,0)*VLOOKUP('Données projet'!$B$10,Paramètres!$A$1:$I$89,5,0)</f>
        <v>230.2647749999997</v>
      </c>
      <c r="AK91" s="13">
        <f t="shared" si="89"/>
        <v>56.33992824246085</v>
      </c>
      <c r="AL91" s="20">
        <f t="shared" si="58"/>
        <v>499.16985814728554</v>
      </c>
      <c r="AM91" s="59">
        <f t="shared" si="59"/>
        <v>774.22720258396907</v>
      </c>
      <c r="AN91" s="59">
        <f ca="1">AVERAGE(OFFSET($AM$3,0,0,'Données projet'!$E$10+1,1))-AVERAGE(OFFSET($H$3,0,0,'Données projet'!$E$10+1,1))</f>
        <v>329.7518221182429</v>
      </c>
      <c r="AO91" s="59">
        <f t="shared" si="90"/>
        <v>207.30737400651807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118.582155591339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118.582155591339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65.015639391822774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189.62971370839551</v>
      </c>
      <c r="BJ91" s="59">
        <f t="shared" si="92"/>
        <v>457.05149684588173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39.16083396654038</v>
      </c>
      <c r="BQ91" s="21">
        <f>EXP(-LN(2)/25)*BQ90+(1-EXP(-LN(2)/25))/(LN(2)/25)*Calculateur!BL91*Calculateur!BN91*VLOOKUP('Données projet'!$B$11,Paramètres!$A$1:$I$89,3,0)*0.475*44/12</f>
        <v>2.8793074099323874</v>
      </c>
      <c r="BR91" s="21">
        <f>EXP(-LN(2)/2)*BR90+(1-EXP(-LN(2)/2))/(LN(2)/2)*BL91*BO91*VLOOKUP('Données projet'!$B$11,Paramètres!$A$1:$I$89,3,0)*0.475*44/12</f>
        <v>8.3748262380352044E-11</v>
      </c>
      <c r="BS91" s="22">
        <f t="shared" si="63"/>
        <v>42.04014137655652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65.015639391822774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170.04605856785227</v>
      </c>
      <c r="CE91" s="59">
        <f t="shared" si="94"/>
        <v>377.63973197638802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20.960120275406695</v>
      </c>
      <c r="CL91" s="21">
        <f>EXP(-LN(2)/25)*CL90+(1-EXP(-LN(2)/25))/(LN(2)/25)*Calculateur!CG91*Calculateur!CI91*VLOOKUP('Données projet'!$B$12,Paramètres!$A$1:$I$89,3,0)*0.475*44/12</f>
        <v>3.3225052123041738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24.282625487710867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65.015639391822774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65.015639391822774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65.015639391822774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65.015639391822774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65.015639391822774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65.015639391822774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4.6500000000000004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17.05</v>
      </c>
      <c r="H92" s="66">
        <f t="shared" si="56"/>
        <v>188.46666666666667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65.102106905013727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8.6509999999999998</v>
      </c>
      <c r="N92" s="13">
        <f>IF('Données projet'!$A$36&gt;35,N91+M92-V91,IF(A92&lt;'Données projet'!$A$36,$K$205^A92,IF(A92='Données projet'!$A$36,'Données projet'!$B$36,N91+M92-V91)))</f>
        <v>336.87500000000023</v>
      </c>
      <c r="O92" s="13">
        <f>N92*VLOOKUP('Données projet'!$B$9,Paramètres!$A$1:$I$89,3,0)*VLOOKUP('Données projet'!$B$9,Paramètres!$A$1:$I$89,5,0)</f>
        <v>304.80450000000019</v>
      </c>
      <c r="P92" s="13">
        <f t="shared" si="87"/>
        <v>72.182737975413843</v>
      </c>
      <c r="Q92" s="20">
        <f t="shared" si="54"/>
        <v>656.5861061405127</v>
      </c>
      <c r="R92" s="59">
        <f t="shared" si="55"/>
        <v>931.96049812556305</v>
      </c>
      <c r="S92" s="59">
        <f ca="1">AVERAGE(OFFSET($R$3,0,0,'Données projet'!$E$9+1,1))-AVERAGE(OFFSET($H$3,0,0,'Données projet'!$E$9+1,1))</f>
        <v>664.27707313486087</v>
      </c>
      <c r="T92" s="59">
        <f t="shared" si="88"/>
        <v>206.64483278066874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77.559549767382208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77.559549767382208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65.102106905013727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13.233750000000001</v>
      </c>
      <c r="AI92" s="13">
        <f>IF('Données projet'!$A$62&gt;35,AI91+AH92-AQ91,IF(A92&lt;'Données projet'!$A$62,$AF$205^A92,IF(A92='Données projet'!$A$62,'Données projet'!$B$62,AI91+AH92-AQ91)))</f>
        <v>505.25249999999937</v>
      </c>
      <c r="AJ92" s="13">
        <f>AI92*VLOOKUP('Données projet'!$B$10,Paramètres!$A$1:$I$89,3,0)*VLOOKUP('Données projet'!$B$10,Paramètres!$A$1:$I$89,5,0)</f>
        <v>236.45816999999968</v>
      </c>
      <c r="AK92" s="13">
        <f t="shared" si="89"/>
        <v>57.676830368175608</v>
      </c>
      <c r="AL92" s="20">
        <f t="shared" si="58"/>
        <v>512.28512564123855</v>
      </c>
      <c r="AM92" s="59">
        <f t="shared" si="59"/>
        <v>787.6595176262889</v>
      </c>
      <c r="AN92" s="59">
        <f ca="1">AVERAGE(OFFSET($AM$3,0,0,'Données projet'!$E$10+1,1))-AVERAGE(OFFSET($H$3,0,0,'Données projet'!$E$10+1,1))</f>
        <v>329.7518221182429</v>
      </c>
      <c r="AO92" s="59">
        <f t="shared" si="90"/>
        <v>207.30737400651807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116.25683184816596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116.25683184816596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65.102106905013727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189.62971370839551</v>
      </c>
      <c r="BJ92" s="59">
        <f t="shared" si="92"/>
        <v>457.05149684588173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38.392913898206722</v>
      </c>
      <c r="BQ92" s="21">
        <f>EXP(-LN(2)/25)*BQ91+(1-EXP(-LN(2)/25))/(LN(2)/25)*Calculateur!BL92*Calculateur!BN92*VLOOKUP('Données projet'!$B$11,Paramètres!$A$1:$I$89,3,0)*0.475*44/12</f>
        <v>2.8005725973915903</v>
      </c>
      <c r="BR92" s="21">
        <f>EXP(-LN(2)/2)*BR91+(1-EXP(-LN(2)/2))/(LN(2)/2)*BL92*BO92*VLOOKUP('Données projet'!$B$11,Paramètres!$A$1:$I$89,3,0)*0.475*44/12</f>
        <v>5.9218964241737162E-11</v>
      </c>
      <c r="BS92" s="22">
        <f t="shared" si="63"/>
        <v>41.193486495657531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65.102106905013727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170.04605856785227</v>
      </c>
      <c r="CE92" s="59">
        <f t="shared" si="94"/>
        <v>377.63973197638802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20.549105101216981</v>
      </c>
      <c r="CL92" s="21">
        <f>EXP(-LN(2)/25)*CL91+(1-EXP(-LN(2)/25))/(LN(2)/25)*Calculateur!CG92*Calculateur!CI92*VLOOKUP('Données projet'!$B$12,Paramètres!$A$1:$I$89,3,0)*0.475*44/12</f>
        <v>3.2316511325507609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23.78075623376774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65.102106905013727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65.102106905013727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65.102106905013727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65.102106905013727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65.102106905013727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65.102106905013727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4.6500000000000004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17.05</v>
      </c>
      <c r="H93" s="66">
        <f t="shared" si="56"/>
        <v>188.46666666666667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65.187074400163212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8.6509999999999998</v>
      </c>
      <c r="N93" s="13">
        <f>IF('Données projet'!$A$36&gt;35,N92+M93-V92,IF(A93&lt;'Données projet'!$A$36,$K$205^A93,IF(A93='Données projet'!$A$36,'Données projet'!$B$36,N92+M93-V92)))</f>
        <v>345.52600000000024</v>
      </c>
      <c r="O93" s="13">
        <f>N93*VLOOKUP('Données projet'!$B$9,Paramètres!$A$1:$I$89,3,0)*VLOOKUP('Données projet'!$B$9,Paramètres!$A$1:$I$89,5,0)</f>
        <v>312.63192480000021</v>
      </c>
      <c r="P93" s="13">
        <f t="shared" si="87"/>
        <v>73.818210082926498</v>
      </c>
      <c r="Q93" s="20">
        <f t="shared" si="54"/>
        <v>673.06731825443057</v>
      </c>
      <c r="R93" s="59">
        <f t="shared" si="55"/>
        <v>948.75325772169572</v>
      </c>
      <c r="S93" s="59">
        <f ca="1">AVERAGE(OFFSET($R$3,0,0,'Données projet'!$E$9+1,1))-AVERAGE(OFFSET($H$3,0,0,'Données projet'!$E$9+1,1))</f>
        <v>664.27707313486087</v>
      </c>
      <c r="T93" s="59">
        <f t="shared" si="88"/>
        <v>206.64483278066874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76.038654303098056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76.038654303098056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65.187074400163212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13.233750000000001</v>
      </c>
      <c r="AI93" s="13">
        <f>IF('Données projet'!$A$62&gt;35,AI92+AH93-AQ92,IF(A93&lt;'Données projet'!$A$62,$AF$205^A93,IF(A93='Données projet'!$A$62,'Données projet'!$B$62,AI92+AH93-AQ92)))</f>
        <v>518.48624999999936</v>
      </c>
      <c r="AJ93" s="13">
        <f>AI93*VLOOKUP('Données projet'!$B$10,Paramètres!$A$1:$I$89,3,0)*VLOOKUP('Données projet'!$B$10,Paramètres!$A$1:$I$89,5,0)</f>
        <v>242.65156499999969</v>
      </c>
      <c r="AK93" s="13">
        <f t="shared" si="89"/>
        <v>59.009662275987814</v>
      </c>
      <c r="AL93" s="20">
        <f t="shared" si="58"/>
        <v>525.39330417234487</v>
      </c>
      <c r="AM93" s="59">
        <f t="shared" si="59"/>
        <v>801.07924363961001</v>
      </c>
      <c r="AN93" s="59">
        <f ca="1">AVERAGE(OFFSET($AM$3,0,0,'Données projet'!$E$10+1,1))-AVERAGE(OFFSET($H$3,0,0,'Données projet'!$E$10+1,1))</f>
        <v>329.7518221182429</v>
      </c>
      <c r="AO93" s="59">
        <f t="shared" si="90"/>
        <v>207.30737400651807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113.97710628528911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113.97710628528911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65.187074400163212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189.62971370839551</v>
      </c>
      <c r="BJ93" s="59">
        <f t="shared" si="92"/>
        <v>457.05149684588173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37.640052274028093</v>
      </c>
      <c r="BQ93" s="21">
        <f>EXP(-LN(2)/25)*BQ92+(1-EXP(-LN(2)/25))/(LN(2)/25)*Calculateur!BL93*Calculateur!BN93*VLOOKUP('Données projet'!$B$11,Paramètres!$A$1:$I$89,3,0)*0.475*44/12</f>
        <v>2.7239907924402051</v>
      </c>
      <c r="BR93" s="21">
        <f>EXP(-LN(2)/2)*BR92+(1-EXP(-LN(2)/2))/(LN(2)/2)*BL93*BO93*VLOOKUP('Données projet'!$B$11,Paramètres!$A$1:$I$89,3,0)*0.475*44/12</f>
        <v>4.1874131190176022E-11</v>
      </c>
      <c r="BS93" s="22">
        <f t="shared" si="63"/>
        <v>40.36404306651017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65.187074400163212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170.04605856785227</v>
      </c>
      <c r="CE93" s="59">
        <f t="shared" si="94"/>
        <v>377.63973197638802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20.146149683898624</v>
      </c>
      <c r="CL93" s="21">
        <f>EXP(-LN(2)/25)*CL92+(1-EXP(-LN(2)/25))/(LN(2)/25)*Calculateur!CG93*Calculateur!CI93*VLOOKUP('Données projet'!$B$12,Paramètres!$A$1:$I$89,3,0)*0.475*44/12</f>
        <v>3.1432814623860135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23.289431146284638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65.187074400163212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65.187074400163212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65.187074400163212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65.187074400163212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65.187074400163212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65.187074400163212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4.6500000000000004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17.05</v>
      </c>
      <c r="H94" s="66">
        <f t="shared" si="56"/>
        <v>188.46666666666667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65.270567899230713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8.6509999999999998</v>
      </c>
      <c r="N94" s="13">
        <f>IF('Données projet'!$A$36&gt;35,N93+M94-V93,IF(A94&lt;'Données projet'!$A$36,$K$205^A94,IF(A94='Données projet'!$A$36,'Données projet'!$B$36,N93+M94-V93)))</f>
        <v>354.17700000000025</v>
      </c>
      <c r="O94" s="13">
        <f>N94*VLOOKUP('Données projet'!$B$9,Paramètres!$A$1:$I$89,3,0)*VLOOKUP('Données projet'!$B$9,Paramètres!$A$1:$I$89,5,0)</f>
        <v>320.45934960000022</v>
      </c>
      <c r="P94" s="13">
        <f t="shared" si="87"/>
        <v>75.448922299838316</v>
      </c>
      <c r="Q94" s="20">
        <f t="shared" si="54"/>
        <v>689.54024022555211</v>
      </c>
      <c r="R94" s="59">
        <f t="shared" si="55"/>
        <v>965.53232252273142</v>
      </c>
      <c r="S94" s="59">
        <f ca="1">AVERAGE(OFFSET($R$3,0,0,'Données projet'!$E$9+1,1))-AVERAGE(OFFSET($H$3,0,0,'Données projet'!$E$9+1,1))</f>
        <v>664.27707313486087</v>
      </c>
      <c r="T94" s="59">
        <f t="shared" si="88"/>
        <v>206.64483278066874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74.547582671213888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74.547582671213888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65.270567899230713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>
        <f>VLOOKUP(A94,'Données projet'!$A$61:$I$81,2,0)</f>
        <v>531.72</v>
      </c>
      <c r="AG94" s="12">
        <f>VLOOKUP(A94,'Données projet'!$A$61:$I$81,9,0)</f>
        <v>13.233750000000001</v>
      </c>
      <c r="AH94" s="12">
        <f t="array" ref="AH94">INDEX(AG:AG,MIN(IF(ISNUMBER(AG94:AG290),ROW(AG94:AG290),"")))</f>
        <v>13.233750000000001</v>
      </c>
      <c r="AI94" s="13">
        <f>IF('Données projet'!$A$62&gt;35,AI93+AH94-AQ93,IF(A94&lt;'Données projet'!$A$62,$AF$205^A94,IF(A94='Données projet'!$A$62,'Données projet'!$B$62,AI93+AH94-AQ93)))</f>
        <v>531.71999999999935</v>
      </c>
      <c r="AJ94" s="13">
        <f>AI94*VLOOKUP('Données projet'!$B$10,Paramètres!$A$1:$I$89,3,0)*VLOOKUP('Données projet'!$B$10,Paramètres!$A$1:$I$89,5,0)</f>
        <v>248.8449599999997</v>
      </c>
      <c r="AK94" s="13">
        <f t="shared" si="89"/>
        <v>60.338539799248501</v>
      </c>
      <c r="AL94" s="20">
        <f t="shared" si="58"/>
        <v>538.49459548369055</v>
      </c>
      <c r="AM94" s="59">
        <f t="shared" si="59"/>
        <v>814.48667778086974</v>
      </c>
      <c r="AN94" s="59">
        <f ca="1">AVERAGE(OFFSET($AM$3,0,0,'Données projet'!$E$10+1,1))-AVERAGE(OFFSET($H$3,0,0,'Données projet'!$E$10+1,1))</f>
        <v>329.7518221182429</v>
      </c>
      <c r="AO94" s="59">
        <f t="shared" si="90"/>
        <v>207.30737400651807</v>
      </c>
      <c r="AP94" s="15">
        <f>IF(ISNA(VLOOKUP(A94,'Données projet'!$A$61:$I$81,3,0)),0,VLOOKUP(A94,'Données projet'!$A$61:$I$81,3,0))</f>
        <v>7</v>
      </c>
      <c r="AQ94" s="15">
        <f>IF(ISNA(VLOOKUP(A94,'Données projet'!$A$61:$I$81,4,0)),0,VLOOKUP(A94,'Données projet'!$A$61:$I$81,4,0))</f>
        <v>260.64</v>
      </c>
      <c r="AR94" s="16">
        <f>IF(ISNA(VLOOKUP(A94,'Données projet'!$A$61:$I$81,5,0)),0%,VLOOKUP(A94,'Données projet'!$A$61:$I$81,5,0)*VLOOKUP('Données projet'!$B$10,Paramètres!$A$1:$I$89,7,0))</f>
        <v>0.55000000000000004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200.73961728817204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200.73961728817204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65.270567899230713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189.62971370839551</v>
      </c>
      <c r="BJ94" s="59">
        <f t="shared" si="92"/>
        <v>457.05149684588173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36.90195380709936</v>
      </c>
      <c r="BQ94" s="21">
        <f>EXP(-LN(2)/25)*BQ93+(1-EXP(-LN(2)/25))/(LN(2)/25)*Calculateur!BL94*Calculateur!BN94*VLOOKUP('Données projet'!$B$11,Paramètres!$A$1:$I$89,3,0)*0.475*44/12</f>
        <v>2.6495031209724775</v>
      </c>
      <c r="BR94" s="21">
        <f>EXP(-LN(2)/2)*BR93+(1-EXP(-LN(2)/2))/(LN(2)/2)*BL94*BO94*VLOOKUP('Données projet'!$B$11,Paramètres!$A$1:$I$89,3,0)*0.475*44/12</f>
        <v>2.9609482120868581E-11</v>
      </c>
      <c r="BS94" s="22">
        <f t="shared" si="63"/>
        <v>39.551456928101445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65.270567899230713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170.04605856785227</v>
      </c>
      <c r="CE94" s="59">
        <f t="shared" si="94"/>
        <v>377.63973197638802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19.751095976535346</v>
      </c>
      <c r="CL94" s="21">
        <f>EXP(-LN(2)/25)*CL93+(1-EXP(-LN(2)/25))/(LN(2)/25)*Calculateur!CG94*Calculateur!CI94*VLOOKUP('Données projet'!$B$12,Paramètres!$A$1:$I$89,3,0)*0.475*44/12</f>
        <v>3.0573282654990801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22.808424242034427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65.270567899230713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65.270567899230713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65.270567899230713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65.270567899230713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65.270567899230713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65.270567899230713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4.6500000000000004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17.05</v>
      </c>
      <c r="H95" s="66">
        <f t="shared" si="56"/>
        <v>188.46666666666667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65.352612972752894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8.6509999999999998</v>
      </c>
      <c r="N95" s="13">
        <f>IF('Données projet'!$A$36&gt;35,N94+M95-V94,IF(A95&lt;'Données projet'!$A$36,$K$205^A95,IF(A95='Données projet'!$A$36,'Données projet'!$B$36,N94+M95-V94)))</f>
        <v>362.82800000000026</v>
      </c>
      <c r="O95" s="13">
        <f>N95*VLOOKUP('Données projet'!$B$9,Paramètres!$A$1:$I$89,3,0)*VLOOKUP('Données projet'!$B$9,Paramètres!$A$1:$I$89,5,0)</f>
        <v>328.28677440000024</v>
      </c>
      <c r="P95" s="13">
        <f t="shared" si="87"/>
        <v>77.075004264312383</v>
      </c>
      <c r="Q95" s="20">
        <f t="shared" si="54"/>
        <v>706.00509784034432</v>
      </c>
      <c r="R95" s="59">
        <f t="shared" si="55"/>
        <v>982.29801207377159</v>
      </c>
      <c r="S95" s="59">
        <f ca="1">AVERAGE(OFFSET($R$3,0,0,'Données projet'!$E$9+1,1))-AVERAGE(OFFSET($H$3,0,0,'Données projet'!$E$9+1,1))</f>
        <v>664.27707313486087</v>
      </c>
      <c r="T95" s="59">
        <f t="shared" si="88"/>
        <v>206.64483278066874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73.085750044567064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73.085750044567064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65.352612972752894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8.5349999999999966</v>
      </c>
      <c r="AI95" s="13">
        <f>IF('Données projet'!$A$62&gt;35,AI94+AH95-AQ94,IF(A95&lt;'Données projet'!$A$62,$AF$205^A95,IF(A95='Données projet'!$A$62,'Données projet'!$B$62,AI94+AH95-AQ94)))</f>
        <v>279.61499999999933</v>
      </c>
      <c r="AJ95" s="13">
        <f>AI95*VLOOKUP('Données projet'!$B$10,Paramètres!$A$1:$I$89,3,0)*VLOOKUP('Données projet'!$B$10,Paramètres!$A$1:$I$89,5,0)</f>
        <v>130.8598199999997</v>
      </c>
      <c r="AK95" s="13">
        <f t="shared" si="89"/>
        <v>34.194962198471394</v>
      </c>
      <c r="AL95" s="20">
        <f t="shared" si="58"/>
        <v>287.47041232900375</v>
      </c>
      <c r="AM95" s="59">
        <f t="shared" si="59"/>
        <v>563.76332656243108</v>
      </c>
      <c r="AN95" s="59">
        <f ca="1">AVERAGE(OFFSET($AM$3,0,0,'Données projet'!$E$10+1,1))-AVERAGE(OFFSET($H$3,0,0,'Données projet'!$E$10+1,1))</f>
        <v>329.7518221182429</v>
      </c>
      <c r="AO95" s="59">
        <f t="shared" si="90"/>
        <v>207.30737400651807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196.80323583222767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196.80323583222767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65.352612972752894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189.62971370839551</v>
      </c>
      <c r="BJ95" s="59">
        <f t="shared" si="92"/>
        <v>457.05149684588173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36.178329000911489</v>
      </c>
      <c r="BQ95" s="21">
        <f>EXP(-LN(2)/25)*BQ94+(1-EXP(-LN(2)/25))/(LN(2)/25)*Calculateur!BL95*Calculateur!BN95*VLOOKUP('Données projet'!$B$11,Paramètres!$A$1:$I$89,3,0)*0.475*44/12</f>
        <v>2.5770523187981715</v>
      </c>
      <c r="BR95" s="21">
        <f>EXP(-LN(2)/2)*BR94+(1-EXP(-LN(2)/2))/(LN(2)/2)*BL95*BO95*VLOOKUP('Données projet'!$B$11,Paramètres!$A$1:$I$89,3,0)*0.475*44/12</f>
        <v>2.0937065595088011E-11</v>
      </c>
      <c r="BS95" s="22">
        <f t="shared" si="63"/>
        <v>38.755381319730603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65.352612972752894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170.04605856785227</v>
      </c>
      <c r="CE95" s="59">
        <f t="shared" si="94"/>
        <v>377.63973197638802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19.363789031414495</v>
      </c>
      <c r="CL95" s="21">
        <f>EXP(-LN(2)/25)*CL94+(1-EXP(-LN(2)/25))/(LN(2)/25)*Calculateur!CG95*Calculateur!CI95*VLOOKUP('Données projet'!$B$12,Paramètres!$A$1:$I$89,3,0)*0.475*44/12</f>
        <v>2.9737254633011019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22.337514494715595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65.352612972752894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65.352612972752894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65.352612972752894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65.352612972752894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65.352612972752894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65.352612972752894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4.6500000000000004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17.05</v>
      </c>
      <c r="H96" s="66">
        <f t="shared" si="56"/>
        <v>188.46666666666667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65.433234747674774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8.6509999999999998</v>
      </c>
      <c r="N96" s="13">
        <f>IF('Données projet'!$A$36&gt;35,N95+M96-V95,IF(A96&lt;'Données projet'!$A$36,$K$205^A96,IF(A96='Données projet'!$A$36,'Données projet'!$B$36,N95+M96-V95)))</f>
        <v>371.47900000000027</v>
      </c>
      <c r="O96" s="13">
        <f>N96*VLOOKUP('Données projet'!$B$9,Paramètres!$A$1:$I$89,3,0)*VLOOKUP('Données projet'!$B$9,Paramètres!$A$1:$I$89,5,0)</f>
        <v>336.11419920000026</v>
      </c>
      <c r="P96" s="13">
        <f t="shared" si="87"/>
        <v>78.696579079933812</v>
      </c>
      <c r="Q96" s="20">
        <f t="shared" si="54"/>
        <v>722.46210550421847</v>
      </c>
      <c r="R96" s="59">
        <f t="shared" si="55"/>
        <v>999.05063291235933</v>
      </c>
      <c r="S96" s="59">
        <f ca="1">AVERAGE(OFFSET($R$3,0,0,'Données projet'!$E$9+1,1))-AVERAGE(OFFSET($H$3,0,0,'Données projet'!$E$9+1,1))</f>
        <v>664.27707313486087</v>
      </c>
      <c r="T96" s="59">
        <f t="shared" si="88"/>
        <v>206.64483278066874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71.652583064098934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71.652583064098934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65.433234747674774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8.5349999999999966</v>
      </c>
      <c r="AI96" s="13">
        <f>IF('Données projet'!$A$62&gt;35,AI95+AH96-AQ95,IF(A96&lt;'Données projet'!$A$62,$AF$205^A96,IF(A96='Données projet'!$A$62,'Données projet'!$B$62,AI95+AH96-AQ95)))</f>
        <v>288.1499999999993</v>
      </c>
      <c r="AJ96" s="13">
        <f>AI96*VLOOKUP('Données projet'!$B$10,Paramètres!$A$1:$I$89,3,0)*VLOOKUP('Données projet'!$B$10,Paramètres!$A$1:$I$89,5,0)</f>
        <v>134.85419999999968</v>
      </c>
      <c r="AK96" s="13">
        <f t="shared" si="89"/>
        <v>35.115618062108894</v>
      </c>
      <c r="AL96" s="20">
        <f t="shared" si="58"/>
        <v>296.03076645817242</v>
      </c>
      <c r="AM96" s="59">
        <f t="shared" si="59"/>
        <v>572.61929386631323</v>
      </c>
      <c r="AN96" s="59">
        <f ca="1">AVERAGE(OFFSET($AM$3,0,0,'Données projet'!$E$10+1,1))-AVERAGE(OFFSET($H$3,0,0,'Données projet'!$E$10+1,1))</f>
        <v>329.7518221182429</v>
      </c>
      <c r="AO96" s="59">
        <f t="shared" si="90"/>
        <v>207.30737400651807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192.94404441567877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192.94404441567877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65.433234747674774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189.62971370839551</v>
      </c>
      <c r="BJ96" s="59">
        <f t="shared" si="92"/>
        <v>457.05149684588173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35.468894035805413</v>
      </c>
      <c r="BQ96" s="21">
        <f>EXP(-LN(2)/25)*BQ95+(1-EXP(-LN(2)/25))/(LN(2)/25)*Calculateur!BL96*Calculateur!BN96*VLOOKUP('Données projet'!$B$11,Paramètres!$A$1:$I$89,3,0)*0.475*44/12</f>
        <v>2.506582687619344</v>
      </c>
      <c r="BR96" s="21">
        <f>EXP(-LN(2)/2)*BR95+(1-EXP(-LN(2)/2))/(LN(2)/2)*BL96*BO96*VLOOKUP('Données projet'!$B$11,Paramètres!$A$1:$I$89,3,0)*0.475*44/12</f>
        <v>1.480474106043429E-11</v>
      </c>
      <c r="BS96" s="22">
        <f t="shared" si="63"/>
        <v>37.975476723439563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65.433234747674774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170.04605856785227</v>
      </c>
      <c r="CE96" s="59">
        <f t="shared" si="94"/>
        <v>377.63973197638802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18.984076939253551</v>
      </c>
      <c r="CL96" s="21">
        <f>EXP(-LN(2)/25)*CL95+(1-EXP(-LN(2)/25))/(LN(2)/25)*Calculateur!CG96*Calculateur!CI96*VLOOKUP('Données projet'!$B$12,Paramètres!$A$1:$I$89,3,0)*0.475*44/12</f>
        <v>2.8924087841257076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21.876485723379258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65.433234747674774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65.433234747674774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65.433234747674774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65.433234747674774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65.433234747674774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65.433234747674774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4.6500000000000004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17.05</v>
      </c>
      <c r="H97" s="66">
        <f t="shared" si="56"/>
        <v>188.46666666666667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65.512457915045047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380.13</v>
      </c>
      <c r="L97" s="12">
        <f>VLOOKUP(A97,'Données projet'!$A$35:$I$55,9,0)</f>
        <v>8.6509999999999998</v>
      </c>
      <c r="M97" s="12">
        <f t="array" ref="M97">INDEX(L:L,MIN(IF(ISNUMBER(L97:L293),ROW(L97:L293),"")))</f>
        <v>8.6509999999999998</v>
      </c>
      <c r="N97" s="13">
        <f>IF('Données projet'!$A$36&gt;35,N96+M97-V96,IF(A97&lt;'Données projet'!$A$36,$K$205^A97,IF(A97='Données projet'!$A$36,'Données projet'!$B$36,N96+M97-V96)))</f>
        <v>380.13000000000028</v>
      </c>
      <c r="O97" s="13">
        <f>N97*VLOOKUP('Données projet'!$B$9,Paramètres!$A$1:$I$89,3,0)*VLOOKUP('Données projet'!$B$9,Paramètres!$A$1:$I$89,5,0)</f>
        <v>343.94162400000022</v>
      </c>
      <c r="P97" s="13">
        <f t="shared" si="87"/>
        <v>80.313763789484895</v>
      </c>
      <c r="Q97" s="20">
        <f t="shared" si="54"/>
        <v>738.91146706668644</v>
      </c>
      <c r="R97" s="59">
        <f t="shared" si="55"/>
        <v>1015.7904794218516</v>
      </c>
      <c r="S97" s="59">
        <f ca="1">AVERAGE(OFFSET($R$3,0,0,'Données projet'!$E$9+1,1))-AVERAGE(OFFSET($H$3,0,0,'Données projet'!$E$9+1,1))</f>
        <v>664.27707313486087</v>
      </c>
      <c r="T97" s="59">
        <f t="shared" si="88"/>
        <v>206.64483278066874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61.85</v>
      </c>
      <c r="W97" s="16">
        <f>IF(ISNA(VLOOKUP(A97,'Données projet'!$A$35:$I$55,5,0)),0%,VLOOKUP(A97,'Données projet'!$A$35:$I$55,5,0)*VLOOKUP('Données projet'!$B$9,Paramètres!$A$1:$I$89,7,0))</f>
        <v>0.43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96.849125924852515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96.849125924852515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65.512457915045047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8.5349999999999966</v>
      </c>
      <c r="AI97" s="13">
        <f>IF('Données projet'!$A$62&gt;35,AI96+AH97-AQ96,IF(A97&lt;'Données projet'!$A$62,$AF$205^A97,IF(A97='Données projet'!$A$62,'Données projet'!$B$62,AI96+AH97-AQ96)))</f>
        <v>296.68499999999926</v>
      </c>
      <c r="AJ97" s="13">
        <f>AI97*VLOOKUP('Données projet'!$B$10,Paramètres!$A$1:$I$89,3,0)*VLOOKUP('Données projet'!$B$10,Paramètres!$A$1:$I$89,5,0)</f>
        <v>138.84857999999966</v>
      </c>
      <c r="AK97" s="13">
        <f t="shared" si="89"/>
        <v>36.033104695067792</v>
      </c>
      <c r="AL97" s="20">
        <f t="shared" si="58"/>
        <v>304.58560084390916</v>
      </c>
      <c r="AM97" s="59">
        <f t="shared" si="59"/>
        <v>581.46461319907439</v>
      </c>
      <c r="AN97" s="59">
        <f ca="1">AVERAGE(OFFSET($AM$3,0,0,'Données projet'!$E$10+1,1))-AVERAGE(OFFSET($H$3,0,0,'Données projet'!$E$10+1,1))</f>
        <v>329.7518221182429</v>
      </c>
      <c r="AO97" s="59">
        <f t="shared" si="90"/>
        <v>207.30737400651807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189.16052938893407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189.16052938893407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65.512457915045047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189.62971370839551</v>
      </c>
      <c r="BJ97" s="59">
        <f t="shared" si="92"/>
        <v>457.05149684588173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34.773370657652464</v>
      </c>
      <c r="BQ97" s="21">
        <f>EXP(-LN(2)/25)*BQ96+(1-EXP(-LN(2)/25))/(LN(2)/25)*Calculateur!BL97*Calculateur!BN97*VLOOKUP('Données projet'!$B$11,Paramètres!$A$1:$I$89,3,0)*0.475*44/12</f>
        <v>2.4380400522109382</v>
      </c>
      <c r="BR97" s="21">
        <f>EXP(-LN(2)/2)*BR96+(1-EXP(-LN(2)/2))/(LN(2)/2)*BL97*BO97*VLOOKUP('Données projet'!$B$11,Paramètres!$A$1:$I$89,3,0)*0.475*44/12</f>
        <v>1.0468532797544005E-11</v>
      </c>
      <c r="BS97" s="22">
        <f t="shared" si="63"/>
        <v>37.211410709873867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65.512457915045047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170.04605856785227</v>
      </c>
      <c r="CE97" s="59">
        <f t="shared" si="94"/>
        <v>377.63973197638802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18.611810769618376</v>
      </c>
      <c r="CL97" s="21">
        <f>EXP(-LN(2)/25)*CL96+(1-EXP(-LN(2)/25))/(LN(2)/25)*Calculateur!CG97*Calculateur!CI97*VLOOKUP('Données projet'!$B$12,Paramètres!$A$1:$I$89,3,0)*0.475*44/12</f>
        <v>2.8133157138186227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21.425126483436998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65.512457915045047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65.512457915045047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65.512457915045047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65.512457915045047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65.512457915045047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65.512457915045047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4.6500000000000004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17.05</v>
      </c>
      <c r="H98" s="66">
        <f t="shared" si="56"/>
        <v>188.46666666666667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65.590306737577905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8.3920000000000012</v>
      </c>
      <c r="N98" s="13">
        <f>IF('Données projet'!$A$36&gt;35,N97+M98-V97,IF(A98&lt;'Données projet'!$A$36,$K$205^A98,IF(A98='Données projet'!$A$36,'Données projet'!$B$36,N97+M98-V97)))</f>
        <v>326.67200000000025</v>
      </c>
      <c r="O98" s="13">
        <f>N98*VLOOKUP('Données projet'!$B$9,Paramètres!$A$1:$I$89,3,0)*VLOOKUP('Données projet'!$B$9,Paramètres!$A$1:$I$89,5,0)</f>
        <v>295.57282560000021</v>
      </c>
      <c r="P98" s="13">
        <f t="shared" si="87"/>
        <v>70.247556135835751</v>
      </c>
      <c r="Q98" s="20">
        <f t="shared" si="54"/>
        <v>637.13716485658085</v>
      </c>
      <c r="R98" s="59">
        <f t="shared" si="55"/>
        <v>914.30162289436657</v>
      </c>
      <c r="S98" s="59">
        <f ca="1">AVERAGE(OFFSET($R$3,0,0,'Données projet'!$E$9+1,1))-AVERAGE(OFFSET($H$3,0,0,'Données projet'!$E$9+1,1))</f>
        <v>664.27707313486087</v>
      </c>
      <c r="T98" s="59">
        <f t="shared" si="88"/>
        <v>206.64483278066874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94.949973637600081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94.949973637600081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65.590306737577905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8.5349999999999966</v>
      </c>
      <c r="AI98" s="13">
        <f>IF('Données projet'!$A$62&gt;35,AI97+AH98-AQ97,IF(A98&lt;'Données projet'!$A$62,$AF$205^A98,IF(A98='Données projet'!$A$62,'Données projet'!$B$62,AI97+AH98-AQ97)))</f>
        <v>305.21999999999923</v>
      </c>
      <c r="AJ98" s="13">
        <f>AI98*VLOOKUP('Données projet'!$B$10,Paramètres!$A$1:$I$89,3,0)*VLOOKUP('Données projet'!$B$10,Paramètres!$A$1:$I$89,5,0)</f>
        <v>142.84295999999964</v>
      </c>
      <c r="AK98" s="13">
        <f t="shared" si="89"/>
        <v>36.947523740027073</v>
      </c>
      <c r="AL98" s="20">
        <f t="shared" si="58"/>
        <v>313.13509251387984</v>
      </c>
      <c r="AM98" s="59">
        <f t="shared" si="59"/>
        <v>590.29955055166556</v>
      </c>
      <c r="AN98" s="59">
        <f ca="1">AVERAGE(OFFSET($AM$3,0,0,'Données projet'!$E$10+1,1))-AVERAGE(OFFSET($H$3,0,0,'Données projet'!$E$10+1,1))</f>
        <v>329.7518221182429</v>
      </c>
      <c r="AO98" s="59">
        <f t="shared" si="90"/>
        <v>207.30737400651807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185.4512067841475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185.4512067841475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65.590306737577905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189.62971370839551</v>
      </c>
      <c r="BJ98" s="59">
        <f t="shared" si="92"/>
        <v>457.05149684588173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34.091486068717721</v>
      </c>
      <c r="BQ98" s="21">
        <f>EXP(-LN(2)/25)*BQ97+(1-EXP(-LN(2)/25))/(LN(2)/25)*Calculateur!BL98*Calculateur!BN98*VLOOKUP('Données projet'!$B$11,Paramètres!$A$1:$I$89,3,0)*0.475*44/12</f>
        <v>2.3713717187722758</v>
      </c>
      <c r="BR98" s="21">
        <f>EXP(-LN(2)/2)*BR97+(1-EXP(-LN(2)/2))/(LN(2)/2)*BL98*BO98*VLOOKUP('Données projet'!$B$11,Paramètres!$A$1:$I$89,3,0)*0.475*44/12</f>
        <v>7.4023705302171452E-12</v>
      </c>
      <c r="BS98" s="22">
        <f t="shared" si="63"/>
        <v>36.462857787497398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65.590306737577905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170.04605856785227</v>
      </c>
      <c r="CE98" s="59">
        <f t="shared" si="94"/>
        <v>377.63973197638802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18.246844512509803</v>
      </c>
      <c r="CL98" s="21">
        <f>EXP(-LN(2)/25)*CL97+(1-EXP(-LN(2)/25))/(LN(2)/25)*Calculateur!CG98*Calculateur!CI98*VLOOKUP('Données projet'!$B$12,Paramètres!$A$1:$I$89,3,0)*0.475*44/12</f>
        <v>2.7363854476784089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20.983229960188211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65.590306737577905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65.590306737577905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65.590306737577905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65.590306737577905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65.590306737577905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65.590306737577905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4.6500000000000004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17.05</v>
      </c>
      <c r="H99" s="66">
        <f t="shared" si="56"/>
        <v>188.46666666666667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65.666805057083721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8.3920000000000012</v>
      </c>
      <c r="N99" s="13">
        <f>IF('Données projet'!$A$36&gt;35,N98+M99-V98,IF(A99&lt;'Données projet'!$A$36,$K$205^A99,IF(A99='Données projet'!$A$36,'Données projet'!$B$36,N98+M99-V98)))</f>
        <v>335.06400000000025</v>
      </c>
      <c r="O99" s="13">
        <f>N99*VLOOKUP('Données projet'!$B$9,Paramètres!$A$1:$I$89,3,0)*VLOOKUP('Données projet'!$B$9,Paramètres!$A$1:$I$89,5,0)</f>
        <v>303.16590720000022</v>
      </c>
      <c r="P99" s="13">
        <f t="shared" si="87"/>
        <v>71.839753187954926</v>
      </c>
      <c r="Q99" s="20">
        <f t="shared" ref="Q99:Q130" si="107">(O99+P99)*0.475*44/12</f>
        <v>653.1348585090218</v>
      </c>
      <c r="R99" s="59">
        <f t="shared" si="55"/>
        <v>930.57981038499543</v>
      </c>
      <c r="S99" s="59">
        <f ca="1">AVERAGE(OFFSET($R$3,0,0,'Données projet'!$E$9+1,1))-AVERAGE(OFFSET($H$3,0,0,'Données projet'!$E$9+1,1))</f>
        <v>664.27707313486087</v>
      </c>
      <c r="T99" s="59">
        <f t="shared" si="88"/>
        <v>206.64483278066874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93.088062568332148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93.088062568332148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65.666805057083721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8.5349999999999966</v>
      </c>
      <c r="AI99" s="13">
        <f>IF('Données projet'!$A$62&gt;35,AI98+AH99-AQ98,IF(A99&lt;'Données projet'!$A$62,$AF$205^A99,IF(A99='Données projet'!$A$62,'Données projet'!$B$62,AI98+AH99-AQ98)))</f>
        <v>313.7549999999992</v>
      </c>
      <c r="AJ99" s="13">
        <f>AI99*VLOOKUP('Données projet'!$B$10,Paramètres!$A$1:$I$89,3,0)*VLOOKUP('Données projet'!$B$10,Paramètres!$A$1:$I$89,5,0)</f>
        <v>146.83733999999961</v>
      </c>
      <c r="AK99" s="13">
        <f t="shared" si="89"/>
        <v>37.858970831678995</v>
      </c>
      <c r="AL99" s="20">
        <f t="shared" si="58"/>
        <v>321.67940803184018</v>
      </c>
      <c r="AM99" s="59">
        <f t="shared" si="59"/>
        <v>599.12435990781387</v>
      </c>
      <c r="AN99" s="59">
        <f ca="1">AVERAGE(OFFSET($AM$3,0,0,'Données projet'!$E$10+1,1))-AVERAGE(OFFSET($H$3,0,0,'Données projet'!$E$10+1,1))</f>
        <v>329.7518221182429</v>
      </c>
      <c r="AO99" s="59">
        <f t="shared" si="90"/>
        <v>207.30737400651807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181.81462173317743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181.81462173317743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65.666805057083721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189.62971370839551</v>
      </c>
      <c r="BJ99" s="59">
        <f t="shared" si="92"/>
        <v>457.05149684588173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33.422972820663453</v>
      </c>
      <c r="BQ99" s="21">
        <f>EXP(-LN(2)/25)*BQ98+(1-EXP(-LN(2)/25))/(LN(2)/25)*Calculateur!BL99*Calculateur!BN99*VLOOKUP('Données projet'!$B$11,Paramètres!$A$1:$I$89,3,0)*0.475*44/12</f>
        <v>2.306526434417429</v>
      </c>
      <c r="BR99" s="21">
        <f>EXP(-LN(2)/2)*BR98+(1-EXP(-LN(2)/2))/(LN(2)/2)*BL99*BO99*VLOOKUP('Données projet'!$B$11,Paramètres!$A$1:$I$89,3,0)*0.475*44/12</f>
        <v>5.2342663987720027E-12</v>
      </c>
      <c r="BS99" s="22">
        <f t="shared" si="63"/>
        <v>35.729499255086118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65.666805057083721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170.04605856785227</v>
      </c>
      <c r="CE99" s="59">
        <f t="shared" si="94"/>
        <v>377.63973197638802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17.889035021095694</v>
      </c>
      <c r="CL99" s="21">
        <f>EXP(-LN(2)/25)*CL98+(1-EXP(-LN(2)/25))/(LN(2)/25)*Calculateur!CG99*Calculateur!CI99*VLOOKUP('Données projet'!$B$12,Paramètres!$A$1:$I$89,3,0)*0.475*44/12</f>
        <v>2.661558843711386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20.55059386480708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65.666805057083721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65.666805057083721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65.666805057083721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65.666805057083721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65.666805057083721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65.666805057083721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4.6500000000000004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17.05</v>
      </c>
      <c r="H100" s="66">
        <f t="shared" si="56"/>
        <v>188.46666666666667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65.741976301770734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8.3920000000000012</v>
      </c>
      <c r="N100" s="13">
        <f>IF('Données projet'!$A$36&gt;35,N99+M100-V99,IF(A100&lt;'Données projet'!$A$36,$K$205^A100,IF(A100='Données projet'!$A$36,'Données projet'!$B$36,N99+M100-V99)))</f>
        <v>343.45600000000024</v>
      </c>
      <c r="O100" s="13">
        <f>N100*VLOOKUP('Données projet'!$B$9,Paramètres!$A$1:$I$89,3,0)*VLOOKUP('Données projet'!$B$9,Paramètres!$A$1:$I$89,5,0)</f>
        <v>310.75898880000022</v>
      </c>
      <c r="P100" s="13">
        <f t="shared" si="87"/>
        <v>73.427314676048425</v>
      </c>
      <c r="Q100" s="20">
        <f t="shared" si="107"/>
        <v>669.12447855411801</v>
      </c>
      <c r="R100" s="59">
        <f t="shared" si="55"/>
        <v>946.84505832727746</v>
      </c>
      <c r="S100" s="59">
        <f ca="1">AVERAGE(OFFSET($R$3,0,0,'Données projet'!$E$9+1,1))-AVERAGE(OFFSET($H$3,0,0,'Données projet'!$E$9+1,1))</f>
        <v>664.27707313486087</v>
      </c>
      <c r="T100" s="59">
        <f t="shared" si="88"/>
        <v>206.64483278066874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91.262662439478945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91.262662439478945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65.741976301770734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8.5349999999999966</v>
      </c>
      <c r="AI100" s="13">
        <f>IF('Données projet'!$A$62&gt;35,AI99+AH100-AQ99,IF(A100&lt;'Données projet'!$A$62,$AF$205^A100,IF(A100='Données projet'!$A$62,'Données projet'!$B$62,AI99+AH100-AQ99)))</f>
        <v>322.28999999999917</v>
      </c>
      <c r="AJ100" s="13">
        <f>AI100*VLOOKUP('Données projet'!$B$10,Paramètres!$A$1:$I$89,3,0)*VLOOKUP('Données projet'!$B$10,Paramètres!$A$1:$I$89,5,0)</f>
        <v>150.83171999999962</v>
      </c>
      <c r="AK100" s="13">
        <f t="shared" si="89"/>
        <v>38.767536105502572</v>
      </c>
      <c r="AL100" s="20">
        <f t="shared" si="58"/>
        <v>330.2187043837497</v>
      </c>
      <c r="AM100" s="59">
        <f t="shared" si="59"/>
        <v>607.93928415690903</v>
      </c>
      <c r="AN100" s="59">
        <f ca="1">AVERAGE(OFFSET($AM$3,0,0,'Données projet'!$E$10+1,1))-AVERAGE(OFFSET($H$3,0,0,'Données projet'!$E$10+1,1))</f>
        <v>329.7518221182429</v>
      </c>
      <c r="AO100" s="59">
        <f t="shared" si="90"/>
        <v>207.30737400651807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178.24934789695902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178.24934789695902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65.741976301770734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189.62971370839551</v>
      </c>
      <c r="BJ100" s="59">
        <f t="shared" si="92"/>
        <v>457.05149684588173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32.76756870965071</v>
      </c>
      <c r="BQ100" s="21">
        <f>EXP(-LN(2)/25)*BQ99+(1-EXP(-LN(2)/25))/(LN(2)/25)*Calculateur!BL100*Calculateur!BN100*VLOOKUP('Données projet'!$B$11,Paramètres!$A$1:$I$89,3,0)*0.475*44/12</f>
        <v>2.2434543477733309</v>
      </c>
      <c r="BR100" s="21">
        <f>EXP(-LN(2)/2)*BR99+(1-EXP(-LN(2)/2))/(LN(2)/2)*BL100*BO100*VLOOKUP('Données projet'!$B$11,Paramètres!$A$1:$I$89,3,0)*0.475*44/12</f>
        <v>3.7011852651085726E-12</v>
      </c>
      <c r="BS100" s="22">
        <f t="shared" si="63"/>
        <v>35.011023057427742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65.741976301770734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170.04605856785227</v>
      </c>
      <c r="CE100" s="59">
        <f t="shared" si="94"/>
        <v>377.63973197638802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17.538241955565976</v>
      </c>
      <c r="CL100" s="21">
        <f>EXP(-LN(2)/25)*CL99+(1-EXP(-LN(2)/25))/(LN(2)/25)*Calculateur!CG100*Calculateur!CI100*VLOOKUP('Données projet'!$B$12,Paramètres!$A$1:$I$89,3,0)*0.475*44/12</f>
        <v>2.5887783771648016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20.127020332730776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65.741976301770734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65.741976301770734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65.741976301770734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65.741976301770734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65.741976301770734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65.741976301770734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4.6500000000000004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17.05</v>
      </c>
      <c r="H101" s="66">
        <f t="shared" si="56"/>
        <v>188.46666666666667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65.815843493420147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8.3920000000000012</v>
      </c>
      <c r="N101" s="13">
        <f>IF('Données projet'!$A$36&gt;35,N100+M101-V100,IF(A101&lt;'Données projet'!$A$36,$K$205^A101,IF(A101='Données projet'!$A$36,'Données projet'!$B$36,N100+M101-V100)))</f>
        <v>351.84800000000024</v>
      </c>
      <c r="O101" s="13">
        <f>N101*VLOOKUP('Données projet'!$B$9,Paramètres!$A$1:$I$89,3,0)*VLOOKUP('Données projet'!$B$9,Paramètres!$A$1:$I$89,5,0)</f>
        <v>318.35207040000023</v>
      </c>
      <c r="P101" s="13">
        <f t="shared" si="87"/>
        <v>75.01036689528604</v>
      </c>
      <c r="Q101" s="20">
        <f t="shared" si="107"/>
        <v>685.10624495595687</v>
      </c>
      <c r="R101" s="59">
        <f t="shared" si="55"/>
        <v>963.09767109849736</v>
      </c>
      <c r="S101" s="59">
        <f ca="1">AVERAGE(OFFSET($R$3,0,0,'Données projet'!$E$9+1,1))-AVERAGE(OFFSET($H$3,0,0,'Données projet'!$E$9+1,1))</f>
        <v>664.27707313486087</v>
      </c>
      <c r="T101" s="59">
        <f t="shared" si="88"/>
        <v>206.64483278066874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89.47305729376842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89.47305729376842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65.815843493420147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8.5349999999999966</v>
      </c>
      <c r="AI101" s="13">
        <f>IF('Données projet'!$A$62&gt;35,AI100+AH101-AQ100,IF(A101&lt;'Données projet'!$A$62,$AF$205^A101,IF(A101='Données projet'!$A$62,'Données projet'!$B$62,AI100+AH101-AQ100)))</f>
        <v>330.82499999999914</v>
      </c>
      <c r="AJ101" s="13">
        <f>AI101*VLOOKUP('Données projet'!$B$10,Paramètres!$A$1:$I$89,3,0)*VLOOKUP('Données projet'!$B$10,Paramètres!$A$1:$I$89,5,0)</f>
        <v>154.8260999999996</v>
      </c>
      <c r="AK101" s="13">
        <f t="shared" si="89"/>
        <v>39.673304651126898</v>
      </c>
      <c r="AL101" s="20">
        <f t="shared" si="58"/>
        <v>338.75312976737865</v>
      </c>
      <c r="AM101" s="59">
        <f t="shared" si="59"/>
        <v>616.7445559099192</v>
      </c>
      <c r="AN101" s="59">
        <f ca="1">AVERAGE(OFFSET($AM$3,0,0,'Données projet'!$E$10+1,1))-AVERAGE(OFFSET($H$3,0,0,'Données projet'!$E$10+1,1))</f>
        <v>329.7518221182429</v>
      </c>
      <c r="AO101" s="59">
        <f t="shared" si="90"/>
        <v>207.30737400651807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174.75398690606653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174.75398690606653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65.815843493420147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189.62971370839551</v>
      </c>
      <c r="BJ101" s="59">
        <f t="shared" si="92"/>
        <v>457.05149684588173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32.125016673497896</v>
      </c>
      <c r="BQ101" s="21">
        <f>EXP(-LN(2)/25)*BQ100+(1-EXP(-LN(2)/25))/(LN(2)/25)*Calculateur!BL101*Calculateur!BN101*VLOOKUP('Données projet'!$B$11,Paramètres!$A$1:$I$89,3,0)*0.475*44/12</f>
        <v>2.1821069706553327</v>
      </c>
      <c r="BR101" s="21">
        <f>EXP(-LN(2)/2)*BR100+(1-EXP(-LN(2)/2))/(LN(2)/2)*BL101*BO101*VLOOKUP('Données projet'!$B$11,Paramètres!$A$1:$I$89,3,0)*0.475*44/12</f>
        <v>2.6171331993860014E-12</v>
      </c>
      <c r="BS101" s="22">
        <f t="shared" si="63"/>
        <v>34.307123644155844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65.815843493420147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170.04605856785227</v>
      </c>
      <c r="CE101" s="59">
        <f t="shared" si="94"/>
        <v>377.63973197638802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17.194327728088652</v>
      </c>
      <c r="CL101" s="21">
        <f>EXP(-LN(2)/25)*CL100+(1-EXP(-LN(2)/25))/(LN(2)/25)*Calculateur!CG101*Calculateur!CI101*VLOOKUP('Données projet'!$B$12,Paramètres!$A$1:$I$89,3,0)*0.475*44/12</f>
        <v>2.5179880963032919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19.712315824391943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65.815843493420147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65.815843493420147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65.815843493420147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65.815843493420147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65.815843493420147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65.815843493420147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4.6500000000000004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17.05</v>
      </c>
      <c r="H102" s="66">
        <f t="shared" si="56"/>
        <v>188.46666666666667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65.888429254436744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8.3920000000000012</v>
      </c>
      <c r="N102" s="13">
        <f>IF('Données projet'!$A$36&gt;35,N101+M102-V101,IF(A102&lt;'Données projet'!$A$36,$K$205^A102,IF(A102='Données projet'!$A$36,'Données projet'!$B$36,N101+M102-V101)))</f>
        <v>360.24000000000024</v>
      </c>
      <c r="O102" s="13">
        <f>N102*VLOOKUP('Données projet'!$B$9,Paramètres!$A$1:$I$89,3,0)*VLOOKUP('Données projet'!$B$9,Paramètres!$A$1:$I$89,5,0)</f>
        <v>325.94515200000018</v>
      </c>
      <c r="P102" s="13">
        <f t="shared" si="87"/>
        <v>76.589029772645205</v>
      </c>
      <c r="Q102" s="20">
        <f t="shared" si="107"/>
        <v>701.08036658735728</v>
      </c>
      <c r="R102" s="59">
        <f t="shared" si="55"/>
        <v>979.33794052029202</v>
      </c>
      <c r="S102" s="59">
        <f ca="1">AVERAGE(OFFSET($R$3,0,0,'Données projet'!$E$9+1,1))-AVERAGE(OFFSET($H$3,0,0,'Données projet'!$E$9+1,1))</f>
        <v>664.27707313486087</v>
      </c>
      <c r="T102" s="59">
        <f t="shared" si="88"/>
        <v>206.64483278066874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87.718545213413918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87.718545213413918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65.888429254436744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8.5349999999999966</v>
      </c>
      <c r="AI102" s="13">
        <f>IF('Données projet'!$A$62&gt;35,AI101+AH102-AQ101,IF(A102&lt;'Données projet'!$A$62,$AF$205^A102,IF(A102='Données projet'!$A$62,'Données projet'!$B$62,AI101+AH102-AQ101)))</f>
        <v>339.3599999999991</v>
      </c>
      <c r="AJ102" s="13">
        <f>AI102*VLOOKUP('Données projet'!$B$10,Paramètres!$A$1:$I$89,3,0)*VLOOKUP('Données projet'!$B$10,Paramètres!$A$1:$I$89,5,0)</f>
        <v>158.82047999999958</v>
      </c>
      <c r="AK102" s="13">
        <f t="shared" si="89"/>
        <v>40.576356917593031</v>
      </c>
      <c r="AL102" s="20">
        <f t="shared" si="58"/>
        <v>347.28282429814044</v>
      </c>
      <c r="AM102" s="59">
        <f t="shared" si="59"/>
        <v>625.54039823107519</v>
      </c>
      <c r="AN102" s="59">
        <f ca="1">AVERAGE(OFFSET($AM$3,0,0,'Données projet'!$E$10+1,1))-AVERAGE(OFFSET($H$3,0,0,'Données projet'!$E$10+1,1))</f>
        <v>329.7518221182429</v>
      </c>
      <c r="AO102" s="59">
        <f t="shared" si="90"/>
        <v>207.30737400651807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171.32716781224576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171.32716781224576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65.888429254436744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189.62971370839551</v>
      </c>
      <c r="BJ102" s="59">
        <f t="shared" si="92"/>
        <v>457.05149684588173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31.495064690855994</v>
      </c>
      <c r="BQ102" s="21">
        <f>EXP(-LN(2)/25)*BQ101+(1-EXP(-LN(2)/25))/(LN(2)/25)*Calculateur!BL102*Calculateur!BN102*VLOOKUP('Données projet'!$B$11,Paramètres!$A$1:$I$89,3,0)*0.475*44/12</f>
        <v>2.1224371407907441</v>
      </c>
      <c r="BR102" s="21">
        <f>EXP(-LN(2)/2)*BR101+(1-EXP(-LN(2)/2))/(LN(2)/2)*BL102*BO102*VLOOKUP('Données projet'!$B$11,Paramètres!$A$1:$I$89,3,0)*0.475*44/12</f>
        <v>1.8505926325542863E-12</v>
      </c>
      <c r="BS102" s="22">
        <f t="shared" si="63"/>
        <v>33.617501831648582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65.888429254436744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170.04605856785227</v>
      </c>
      <c r="CE102" s="59">
        <f t="shared" si="94"/>
        <v>377.63973197638802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16.857157448845193</v>
      </c>
      <c r="CL102" s="21">
        <f>EXP(-LN(2)/25)*CL101+(1-EXP(-LN(2)/25))/(LN(2)/25)*Calculateur!CG102*Calculateur!CI102*VLOOKUP('Données projet'!$B$12,Paramètres!$A$1:$I$89,3,0)*0.475*44/12</f>
        <v>2.4491335793946392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19.306291028239833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65.888429254436744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65.888429254436744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65.888429254436744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65.888429254436744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65.888429254436744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65.888429254436744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4.6500000000000004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17.05</v>
      </c>
      <c r="H103" s="66">
        <f t="shared" si="56"/>
        <v>188.46666666666667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65.959755814777154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8.3920000000000012</v>
      </c>
      <c r="N103" s="13">
        <f>IF('Données projet'!$A$36&gt;35,N102+M103-V102,IF(A103&lt;'Données projet'!$A$36,$K$205^A103,IF(A103='Données projet'!$A$36,'Données projet'!$B$36,N102+M103-V102)))</f>
        <v>368.63200000000023</v>
      </c>
      <c r="O103" s="13">
        <f>N103*VLOOKUP('Données projet'!$B$9,Paramètres!$A$1:$I$89,3,0)*VLOOKUP('Données projet'!$B$9,Paramètres!$A$1:$I$89,5,0)</f>
        <v>333.53823360000024</v>
      </c>
      <c r="P103" s="13">
        <f t="shared" si="87"/>
        <v>78.163417328773136</v>
      </c>
      <c r="Q103" s="20">
        <f t="shared" si="107"/>
        <v>717.04704203428025</v>
      </c>
      <c r="R103" s="59">
        <f t="shared" si="55"/>
        <v>995.56614668846316</v>
      </c>
      <c r="S103" s="59">
        <f ca="1">AVERAGE(OFFSET($R$3,0,0,'Données projet'!$E$9+1,1))-AVERAGE(OFFSET($H$3,0,0,'Données projet'!$E$9+1,1))</f>
        <v>664.27707313486087</v>
      </c>
      <c r="T103" s="59">
        <f t="shared" si="88"/>
        <v>206.64483278066874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85.998438044808466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85.998438044808466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65.959755814777154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8.5349999999999966</v>
      </c>
      <c r="AI103" s="13">
        <f>IF('Données projet'!$A$62&gt;35,AI102+AH103-AQ102,IF(A103&lt;'Données projet'!$A$62,$AF$205^A103,IF(A103='Données projet'!$A$62,'Données projet'!$B$62,AI102+AH103-AQ102)))</f>
        <v>347.89499999999907</v>
      </c>
      <c r="AJ103" s="13">
        <f>AI103*VLOOKUP('Données projet'!$B$10,Paramètres!$A$1:$I$89,3,0)*VLOOKUP('Données projet'!$B$10,Paramètres!$A$1:$I$89,5,0)</f>
        <v>162.81485999999956</v>
      </c>
      <c r="AK103" s="13">
        <f t="shared" si="89"/>
        <v>41.476769076697764</v>
      </c>
      <c r="AL103" s="20">
        <f t="shared" si="58"/>
        <v>355.80792064191445</v>
      </c>
      <c r="AM103" s="59">
        <f t="shared" si="59"/>
        <v>634.32702529609742</v>
      </c>
      <c r="AN103" s="59">
        <f ca="1">AVERAGE(OFFSET($AM$3,0,0,'Données projet'!$E$10+1,1))-AVERAGE(OFFSET($H$3,0,0,'Données projet'!$E$10+1,1))</f>
        <v>329.7518221182429</v>
      </c>
      <c r="AO103" s="59">
        <f t="shared" si="90"/>
        <v>207.30737400651807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167.96754655070154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167.96754655070154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65.959755814777154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189.62971370839551</v>
      </c>
      <c r="BJ103" s="59">
        <f t="shared" si="92"/>
        <v>457.05149684588173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30.877465682360931</v>
      </c>
      <c r="BQ103" s="21">
        <f>EXP(-LN(2)/25)*BQ102+(1-EXP(-LN(2)/25))/(LN(2)/25)*Calculateur!BL103*Calculateur!BN103*VLOOKUP('Données projet'!$B$11,Paramètres!$A$1:$I$89,3,0)*0.475*44/12</f>
        <v>2.0643989855617026</v>
      </c>
      <c r="BR103" s="21">
        <f>EXP(-LN(2)/2)*BR102+(1-EXP(-LN(2)/2))/(LN(2)/2)*BL103*BO103*VLOOKUP('Données projet'!$B$11,Paramètres!$A$1:$I$89,3,0)*0.475*44/12</f>
        <v>1.3085665996930007E-12</v>
      </c>
      <c r="BS103" s="22">
        <f t="shared" si="63"/>
        <v>32.941864667923944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65.959755814777154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170.04605856785227</v>
      </c>
      <c r="CE103" s="59">
        <f t="shared" si="94"/>
        <v>377.63973197638802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16.526598873124133</v>
      </c>
      <c r="CL103" s="21">
        <f>EXP(-LN(2)/25)*CL102+(1-EXP(-LN(2)/25))/(LN(2)/25)*Calculateur!CG103*Calculateur!CI103*VLOOKUP('Données projet'!$B$12,Paramètres!$A$1:$I$89,3,0)*0.475*44/12</f>
        <v>2.3821618928717552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18.908760765995886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65.959755814777154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65.959755814777154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65.959755814777154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65.959755814777154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65.959755814777154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65.959755814777154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4.6500000000000004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17.05</v>
      </c>
      <c r="H104" s="66">
        <f t="shared" si="56"/>
        <v>188.46666666666667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66.029845018757968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8.3920000000000012</v>
      </c>
      <c r="N104" s="13">
        <f>IF('Données projet'!$A$36&gt;35,N103+M104-V103,IF(A104&lt;'Données projet'!$A$36,$K$205^A104,IF(A104='Données projet'!$A$36,'Données projet'!$B$36,N103+M104-V103)))</f>
        <v>377.02400000000023</v>
      </c>
      <c r="O104" s="13">
        <f>N104*VLOOKUP('Données projet'!$B$9,Paramètres!$A$1:$I$89,3,0)*VLOOKUP('Données projet'!$B$9,Paramètres!$A$1:$I$89,5,0)</f>
        <v>341.13131520000019</v>
      </c>
      <c r="P104" s="13">
        <f t="shared" si="87"/>
        <v>79.733638096605603</v>
      </c>
      <c r="Q104" s="20">
        <f t="shared" si="107"/>
        <v>733.0064603249217</v>
      </c>
      <c r="R104" s="59">
        <f t="shared" si="55"/>
        <v>1011.7825587270343</v>
      </c>
      <c r="S104" s="59">
        <f ca="1">AVERAGE(OFFSET($R$3,0,0,'Données projet'!$E$9+1,1))-AVERAGE(OFFSET($H$3,0,0,'Données projet'!$E$9+1,1))</f>
        <v>664.27707313486087</v>
      </c>
      <c r="T104" s="59">
        <f t="shared" si="88"/>
        <v>206.64483278066874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84.312061128617586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84.312061128617586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66.029845018757968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>
        <f>VLOOKUP(A104,'Données projet'!$A$61:$I$81,2,0)</f>
        <v>356.43</v>
      </c>
      <c r="AG104" s="12">
        <f>VLOOKUP(A104,'Données projet'!$A$61:$I$81,9,0)</f>
        <v>8.5349999999999966</v>
      </c>
      <c r="AH104" s="12">
        <f t="array" ref="AH104">INDEX(AG:AG,MIN(IF(ISNUMBER(AG104:AG300),ROW(AG104:AG300),"")))</f>
        <v>8.5349999999999966</v>
      </c>
      <c r="AI104" s="13">
        <f>IF('Données projet'!$A$62&gt;35,AI103+AH104-AQ103,IF(A104&lt;'Données projet'!$A$62,$AF$205^A104,IF(A104='Données projet'!$A$62,'Données projet'!$B$62,AI103+AH104-AQ103)))</f>
        <v>356.42999999999904</v>
      </c>
      <c r="AJ104" s="13">
        <f>AI104*VLOOKUP('Données projet'!$B$10,Paramètres!$A$1:$I$89,3,0)*VLOOKUP('Données projet'!$B$10,Paramètres!$A$1:$I$89,5,0)</f>
        <v>166.80923999999956</v>
      </c>
      <c r="AK104" s="13">
        <f t="shared" si="89"/>
        <v>42.374613349678434</v>
      </c>
      <c r="AL104" s="20">
        <f t="shared" si="58"/>
        <v>364.3285445840225</v>
      </c>
      <c r="AM104" s="59">
        <f t="shared" si="59"/>
        <v>643.1046429861351</v>
      </c>
      <c r="AN104" s="59">
        <f ca="1">AVERAGE(OFFSET($AM$3,0,0,'Données projet'!$E$10+1,1))-AVERAGE(OFFSET($H$3,0,0,'Données projet'!$E$10+1,1))</f>
        <v>329.7518221182429</v>
      </c>
      <c r="AO104" s="59">
        <f t="shared" si="90"/>
        <v>207.30737400651807</v>
      </c>
      <c r="AP104" s="15">
        <f>IF(ISNA(VLOOKUP(A104,'Données projet'!$A$61:$I$81,3,0)),0,VLOOKUP(A104,'Données projet'!$A$61:$I$81,3,0))</f>
        <v>8</v>
      </c>
      <c r="AQ104" s="15">
        <f>IF(ISNA(VLOOKUP(A104,'Données projet'!$A$61:$I$81,4,0)),0,VLOOKUP(A104,'Données projet'!$A$61:$I$81,4,0))</f>
        <v>351.18</v>
      </c>
      <c r="AR104" s="16">
        <f>IF(ISNA(VLOOKUP(A104,'Données projet'!$A$61:$I$81,5,0)),0%,VLOOKUP(A104,'Données projet'!$A$61:$I$81,5,0)*VLOOKUP('Données projet'!$B$10,Paramètres!$A$1:$I$89,7,0))</f>
        <v>0.55000000000000004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284.58691727865732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284.58691727865732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66.029845018757968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189.62971370839551</v>
      </c>
      <c r="BJ104" s="59">
        <f t="shared" si="92"/>
        <v>457.05149684588173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30.271977413724258</v>
      </c>
      <c r="BQ104" s="21">
        <f>EXP(-LN(2)/25)*BQ103+(1-EXP(-LN(2)/25))/(LN(2)/25)*Calculateur!BL104*Calculateur!BN104*VLOOKUP('Données projet'!$B$11,Paramètres!$A$1:$I$89,3,0)*0.475*44/12</f>
        <v>2.0079478867394935</v>
      </c>
      <c r="BR104" s="21">
        <f>EXP(-LN(2)/2)*BR103+(1-EXP(-LN(2)/2))/(LN(2)/2)*BL104*BO104*VLOOKUP('Données projet'!$B$11,Paramètres!$A$1:$I$89,3,0)*0.475*44/12</f>
        <v>9.2529631627714316E-13</v>
      </c>
      <c r="BS104" s="22">
        <f t="shared" si="63"/>
        <v>32.279925300464676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66.029845018757968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170.04605856785227</v>
      </c>
      <c r="CE104" s="59">
        <f t="shared" si="94"/>
        <v>377.63973197638802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16.202522349452142</v>
      </c>
      <c r="CL104" s="21">
        <f>EXP(-LN(2)/25)*CL103+(1-EXP(-LN(2)/25))/(LN(2)/25)*Calculateur!CG104*Calculateur!CI104*VLOOKUP('Données projet'!$B$12,Paramètres!$A$1:$I$89,3,0)*0.475*44/12</f>
        <v>2.3170215506387275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18.51954390009087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66.029845018757968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66.029845018757968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66.029845018757968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66.029845018757968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66.029845018757968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66.029845018757968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4.6500000000000004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17.05</v>
      </c>
      <c r="H105" s="66">
        <f t="shared" si="56"/>
        <v>188.46666666666667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66.098718331745687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8.3920000000000012</v>
      </c>
      <c r="N105" s="13">
        <f>IF('Données projet'!$A$36&gt;35,N104+M105-V104,IF(A105&lt;'Données projet'!$A$36,$K$205^A105,IF(A105='Données projet'!$A$36,'Données projet'!$B$36,N104+M105-V104)))</f>
        <v>385.41600000000022</v>
      </c>
      <c r="O105" s="13">
        <f>N105*VLOOKUP('Données projet'!$B$9,Paramètres!$A$1:$I$89,3,0)*VLOOKUP('Données projet'!$B$9,Paramètres!$A$1:$I$89,5,0)</f>
        <v>348.72439680000019</v>
      </c>
      <c r="P105" s="13">
        <f t="shared" si="87"/>
        <v>81.299795501664008</v>
      </c>
      <c r="Q105" s="20">
        <f t="shared" si="107"/>
        <v>748.95880159206502</v>
      </c>
      <c r="R105" s="59">
        <f t="shared" si="55"/>
        <v>1027.9874354751325</v>
      </c>
      <c r="S105" s="59">
        <f ca="1">AVERAGE(OFFSET($R$3,0,0,'Données projet'!$E$9+1,1))-AVERAGE(OFFSET($H$3,0,0,'Données projet'!$E$9+1,1))</f>
        <v>664.27707313486087</v>
      </c>
      <c r="T105" s="59">
        <f t="shared" si="88"/>
        <v>206.64483278066874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82.658753035164864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82.658753035164864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66.098718331745687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5.2499999999990337</v>
      </c>
      <c r="AJ105" s="13">
        <f>AI105*VLOOKUP('Données projet'!$B$10,Paramètres!$A$1:$I$89,3,0)*VLOOKUP('Données projet'!$B$10,Paramètres!$A$1:$I$89,5,0)</f>
        <v>2.4569999999995478</v>
      </c>
      <c r="AK105" s="13">
        <f t="shared" si="89"/>
        <v>1.0197977774625564</v>
      </c>
      <c r="AL105" s="20">
        <f t="shared" si="58"/>
        <v>6.0554227957464972</v>
      </c>
      <c r="AM105" s="59">
        <f t="shared" si="59"/>
        <v>285.08405667881402</v>
      </c>
      <c r="AN105" s="59">
        <f ca="1">AVERAGE(OFFSET($AM$3,0,0,'Données projet'!$E$10+1,1))-AVERAGE(OFFSET($H$3,0,0,'Données projet'!$E$10+1,1))</f>
        <v>329.7518221182429</v>
      </c>
      <c r="AO105" s="59">
        <f t="shared" si="90"/>
        <v>207.30737400651807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279.00634141170269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279.00634141170269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66.098718331745687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189.62971370839551</v>
      </c>
      <c r="BJ105" s="59">
        <f t="shared" si="92"/>
        <v>457.05149684588173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29.678362400724172</v>
      </c>
      <c r="BQ105" s="21">
        <f>EXP(-LN(2)/25)*BQ104+(1-EXP(-LN(2)/25))/(LN(2)/25)*Calculateur!BL105*Calculateur!BN105*VLOOKUP('Données projet'!$B$11,Paramètres!$A$1:$I$89,3,0)*0.475*44/12</f>
        <v>1.953040446183212</v>
      </c>
      <c r="BR105" s="21">
        <f>EXP(-LN(2)/2)*BR104+(1-EXP(-LN(2)/2))/(LN(2)/2)*BL105*BO105*VLOOKUP('Données projet'!$B$11,Paramètres!$A$1:$I$89,3,0)*0.475*44/12</f>
        <v>6.5428329984650034E-13</v>
      </c>
      <c r="BS105" s="22">
        <f t="shared" si="63"/>
        <v>31.631402846908038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66.098718331745687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170.04605856785227</v>
      </c>
      <c r="CE105" s="59">
        <f t="shared" si="94"/>
        <v>377.63973197638802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15.884800768742197</v>
      </c>
      <c r="CL105" s="21">
        <f>EXP(-LN(2)/25)*CL104+(1-EXP(-LN(2)/25))/(LN(2)/25)*Calculateur!CG105*Calculateur!CI105*VLOOKUP('Données projet'!$B$12,Paramètres!$A$1:$I$89,3,0)*0.475*44/12</f>
        <v>2.2536624744896439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18.13846324323184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66.098718331745687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66.098718331745687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66.098718331745687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66.098718331745687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66.098718331745687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66.098718331745687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4.6500000000000004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17.05</v>
      </c>
      <c r="H106" s="66">
        <f t="shared" si="56"/>
        <v>188.46666666666667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66.166396846730734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8.3920000000000012</v>
      </c>
      <c r="N106" s="13">
        <f>IF('Données projet'!$A$36&gt;35,N105+M106-V105,IF(A106&lt;'Données projet'!$A$36,$K$205^A106,IF(A106='Données projet'!$A$36,'Données projet'!$B$36,N105+M106-V105)))</f>
        <v>393.80800000000022</v>
      </c>
      <c r="O106" s="13">
        <f>N106*VLOOKUP('Données projet'!$B$9,Paramètres!$A$1:$I$89,3,0)*VLOOKUP('Données projet'!$B$9,Paramètres!$A$1:$I$89,5,0)</f>
        <v>356.3174784000002</v>
      </c>
      <c r="P106" s="13">
        <f t="shared" si="87"/>
        <v>82.861988208294747</v>
      </c>
      <c r="Q106" s="20">
        <f t="shared" si="107"/>
        <v>764.90423767611367</v>
      </c>
      <c r="R106" s="59">
        <f t="shared" si="55"/>
        <v>1044.1810261141263</v>
      </c>
      <c r="S106" s="59">
        <f ca="1">AVERAGE(OFFSET($R$3,0,0,'Données projet'!$E$9+1,1))-AVERAGE(OFFSET($H$3,0,0,'Données projet'!$E$9+1,1))</f>
        <v>664.27707313486087</v>
      </c>
      <c r="T106" s="59">
        <f t="shared" si="88"/>
        <v>206.64483278066874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81.037865305006378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81.037865305006378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66.166396846730734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5.2499999999990337</v>
      </c>
      <c r="AJ106" s="13">
        <f>AI106*VLOOKUP('Données projet'!$B$10,Paramètres!$A$1:$I$89,3,0)*VLOOKUP('Données projet'!$B$10,Paramètres!$A$1:$I$89,5,0)</f>
        <v>2.4569999999995478</v>
      </c>
      <c r="AK106" s="13">
        <f t="shared" si="89"/>
        <v>1.0197977774625564</v>
      </c>
      <c r="AL106" s="20">
        <f t="shared" si="58"/>
        <v>6.0554227957464972</v>
      </c>
      <c r="AM106" s="59">
        <f t="shared" si="59"/>
        <v>285.33221123375921</v>
      </c>
      <c r="AN106" s="59">
        <f ca="1">AVERAGE(OFFSET($AM$3,0,0,'Données projet'!$E$10+1,1))-AVERAGE(OFFSET($H$3,0,0,'Données projet'!$E$10+1,1))</f>
        <v>329.7518221182429</v>
      </c>
      <c r="AO106" s="59">
        <f t="shared" si="90"/>
        <v>207.30737400651807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273.5351972336839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273.5351972336839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66.166396846730734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189.62971370839551</v>
      </c>
      <c r="BJ106" s="59">
        <f t="shared" si="92"/>
        <v>457.05149684588173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29.096387816059611</v>
      </c>
      <c r="BQ106" s="21">
        <f>EXP(-LN(2)/25)*BQ105+(1-EXP(-LN(2)/25))/(LN(2)/25)*Calculateur!BL106*Calculateur!BN106*VLOOKUP('Données projet'!$B$11,Paramètres!$A$1:$I$89,3,0)*0.475*44/12</f>
        <v>1.8996344524763988</v>
      </c>
      <c r="BR106" s="21">
        <f>EXP(-LN(2)/2)*BR105+(1-EXP(-LN(2)/2))/(LN(2)/2)*BL106*BO106*VLOOKUP('Données projet'!$B$11,Paramètres!$A$1:$I$89,3,0)*0.475*44/12</f>
        <v>4.6264815813857158E-13</v>
      </c>
      <c r="BS106" s="22">
        <f t="shared" si="63"/>
        <v>30.996022268536471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66.166396846730734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170.04605856785227</v>
      </c>
      <c r="CE106" s="59">
        <f t="shared" si="94"/>
        <v>377.63973197638802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15.573309514438945</v>
      </c>
      <c r="CL106" s="21">
        <f>EXP(-LN(2)/25)*CL105+(1-EXP(-LN(2)/25))/(LN(2)/25)*Calculateur!CG106*Calculateur!CI106*VLOOKUP('Données projet'!$B$12,Paramètres!$A$1:$I$89,3,0)*0.475*44/12</f>
        <v>2.1920359556097657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17.765345470048711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66.166396846730734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66.166396846730734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66.166396846730734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66.166396846730734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66.166396846730734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66.166396846730734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4.6500000000000004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17.05</v>
      </c>
      <c r="H107" s="66">
        <f t="shared" si="56"/>
        <v>188.46666666666667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66.232901290787282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402.2</v>
      </c>
      <c r="L107" s="12">
        <f>VLOOKUP(A107,'Données projet'!$A$35:$I$55,9,0)</f>
        <v>8.3920000000000012</v>
      </c>
      <c r="M107" s="12">
        <f t="array" ref="M107">INDEX(L:L,MIN(IF(ISNUMBER(L107:L303),ROW(L107:L303),"")))</f>
        <v>8.3920000000000012</v>
      </c>
      <c r="N107" s="13">
        <f>IF('Données projet'!$A$36&gt;35,N106+M107-V106,IF(A107&lt;'Données projet'!$A$36,$K$205^A107,IF(A107='Données projet'!$A$36,'Données projet'!$B$36,N106+M107-V106)))</f>
        <v>402.20000000000022</v>
      </c>
      <c r="O107" s="13">
        <f>N107*VLOOKUP('Données projet'!$B$9,Paramètres!$A$1:$I$89,3,0)*VLOOKUP('Données projet'!$B$9,Paramètres!$A$1:$I$89,5,0)</f>
        <v>363.91056000000015</v>
      </c>
      <c r="P107" s="13">
        <f t="shared" si="87"/>
        <v>84.420310435564389</v>
      </c>
      <c r="Q107" s="20">
        <f t="shared" si="107"/>
        <v>780.84293267527482</v>
      </c>
      <c r="R107" s="59">
        <f t="shared" si="55"/>
        <v>1060.3635707414949</v>
      </c>
      <c r="S107" s="59">
        <f ca="1">AVERAGE(OFFSET($R$3,0,0,'Données projet'!$E$9+1,1))-AVERAGE(OFFSET($H$3,0,0,'Données projet'!$E$9+1,1))</f>
        <v>664.27707313486087</v>
      </c>
      <c r="T107" s="59">
        <f t="shared" si="88"/>
        <v>206.64483278066874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60.19</v>
      </c>
      <c r="W107" s="16">
        <f>IF(ISNA(VLOOKUP(A107,'Données projet'!$A$35:$I$55,5,0)),0%,VLOOKUP(A107,'Données projet'!$A$35:$I$55,5,0)*VLOOKUP('Données projet'!$B$9,Paramètres!$A$1:$I$89,7,0))</f>
        <v>0.43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105.33640461741996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105.33640461741996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66.232901290787282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5.2499999999990337</v>
      </c>
      <c r="AJ107" s="13">
        <f>AI107*VLOOKUP('Données projet'!$B$10,Paramètres!$A$1:$I$89,3,0)*VLOOKUP('Données projet'!$B$10,Paramètres!$A$1:$I$89,5,0)</f>
        <v>2.4569999999995478</v>
      </c>
      <c r="AK107" s="13">
        <f t="shared" si="89"/>
        <v>1.0197977774625564</v>
      </c>
      <c r="AL107" s="20">
        <f t="shared" si="58"/>
        <v>6.0554227957464972</v>
      </c>
      <c r="AM107" s="59">
        <f t="shared" si="59"/>
        <v>285.57606086196654</v>
      </c>
      <c r="AN107" s="59">
        <f ca="1">AVERAGE(OFFSET($AM$3,0,0,'Données projet'!$E$10+1,1))-AVERAGE(OFFSET($H$3,0,0,'Données projet'!$E$10+1,1))</f>
        <v>329.7518221182429</v>
      </c>
      <c r="AO107" s="59">
        <f t="shared" si="90"/>
        <v>207.30737400651807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268.17133885592762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268.17133885592762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66.232901290787282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189.62971370839551</v>
      </c>
      <c r="BJ107" s="59">
        <f t="shared" si="92"/>
        <v>457.05149684588173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28.525825398030875</v>
      </c>
      <c r="BQ107" s="21">
        <f>EXP(-LN(2)/25)*BQ106+(1-EXP(-LN(2)/25))/(LN(2)/25)*Calculateur!BL107*Calculateur!BN107*VLOOKUP('Données projet'!$B$11,Paramètres!$A$1:$I$89,3,0)*0.475*44/12</f>
        <v>1.8476888484759975</v>
      </c>
      <c r="BR107" s="21">
        <f>EXP(-LN(2)/2)*BR106+(1-EXP(-LN(2)/2))/(LN(2)/2)*BL107*BO107*VLOOKUP('Données projet'!$B$11,Paramètres!$A$1:$I$89,3,0)*0.475*44/12</f>
        <v>3.2714164992325017E-13</v>
      </c>
      <c r="BS107" s="22">
        <f t="shared" si="63"/>
        <v>30.373514246507199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66.232901290787282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170.04605856785227</v>
      </c>
      <c r="CE107" s="59">
        <f t="shared" si="94"/>
        <v>377.63973197638802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15.267926413641675</v>
      </c>
      <c r="CL107" s="21">
        <f>EXP(-LN(2)/25)*CL106+(1-EXP(-LN(2)/25))/(LN(2)/25)*Calculateur!CG107*Calculateur!CI107*VLOOKUP('Données projet'!$B$12,Paramètres!$A$1:$I$89,3,0)*0.475*44/12</f>
        <v>2.1320946171294559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17.400021030771132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66.232901290787282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66.232901290787282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66.232901290787282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66.232901290787282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66.232901290787282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66.232901290787282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4.6500000000000004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17.05</v>
      </c>
      <c r="H108" s="66">
        <f t="shared" si="56"/>
        <v>188.46666666666667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66.298252031421114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8.2550000000000008</v>
      </c>
      <c r="N108" s="13">
        <f>IF('Données projet'!$A$36&gt;35,N107+M108-V107,IF(A108&lt;'Données projet'!$A$36,$K$205^A108,IF(A108='Données projet'!$A$36,'Données projet'!$B$36,N107+M108-V107)))</f>
        <v>350.26500000000021</v>
      </c>
      <c r="O108" s="13">
        <f>N108*VLOOKUP('Données projet'!$B$9,Paramètres!$A$1:$I$89,3,0)*VLOOKUP('Données projet'!$B$9,Paramètres!$A$1:$I$89,5,0)</f>
        <v>316.91977200000019</v>
      </c>
      <c r="P108" s="13">
        <f t="shared" si="87"/>
        <v>74.712091987581459</v>
      </c>
      <c r="Q108" s="20">
        <f t="shared" si="107"/>
        <v>682.09216311170474</v>
      </c>
      <c r="R108" s="59">
        <f t="shared" si="55"/>
        <v>961.8524205602489</v>
      </c>
      <c r="S108" s="59">
        <f ca="1">AVERAGE(OFFSET($R$3,0,0,'Données projet'!$E$9+1,1))-AVERAGE(OFFSET($H$3,0,0,'Données projet'!$E$9+1,1))</f>
        <v>664.27707313486087</v>
      </c>
      <c r="T108" s="59">
        <f t="shared" si="88"/>
        <v>206.64483278066874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103.27082197173512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103.27082197173512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66.298252031421114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5.2499999999990337</v>
      </c>
      <c r="AJ108" s="13">
        <f>AI108*VLOOKUP('Données projet'!$B$10,Paramètres!$A$1:$I$89,3,0)*VLOOKUP('Données projet'!$B$10,Paramètres!$A$1:$I$89,5,0)</f>
        <v>2.4569999999995478</v>
      </c>
      <c r="AK108" s="13">
        <f t="shared" si="89"/>
        <v>1.0197977774625564</v>
      </c>
      <c r="AL108" s="20">
        <f t="shared" si="58"/>
        <v>6.0554227957464972</v>
      </c>
      <c r="AM108" s="59">
        <f t="shared" si="59"/>
        <v>285.8156802442906</v>
      </c>
      <c r="AN108" s="59">
        <f ca="1">AVERAGE(OFFSET($AM$3,0,0,'Données projet'!$E$10+1,1))-AVERAGE(OFFSET($H$3,0,0,'Données projet'!$E$10+1,1))</f>
        <v>329.7518221182429</v>
      </c>
      <c r="AO108" s="59">
        <f t="shared" si="90"/>
        <v>207.30737400651807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262.91266246932855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262.91266246932855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66.298252031421114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189.62971370839551</v>
      </c>
      <c r="BJ108" s="59">
        <f t="shared" si="92"/>
        <v>457.05149684588173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27.966451361010972</v>
      </c>
      <c r="BQ108" s="21">
        <f>EXP(-LN(2)/25)*BQ107+(1-EXP(-LN(2)/25))/(LN(2)/25)*Calculateur!BL108*Calculateur!BN108*VLOOKUP('Données projet'!$B$11,Paramètres!$A$1:$I$89,3,0)*0.475*44/12</f>
        <v>1.7971636997486877</v>
      </c>
      <c r="BR108" s="21">
        <f>EXP(-LN(2)/2)*BR107+(1-EXP(-LN(2)/2))/(LN(2)/2)*BL108*BO108*VLOOKUP('Données projet'!$B$11,Paramètres!$A$1:$I$89,3,0)*0.475*44/12</f>
        <v>2.3132407906928579E-13</v>
      </c>
      <c r="BS108" s="22">
        <f t="shared" si="63"/>
        <v>29.763615060759889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66.298252031421114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170.04605856785227</v>
      </c>
      <c r="CE108" s="59">
        <f t="shared" si="94"/>
        <v>377.63973197638802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14.96853168918574</v>
      </c>
      <c r="CL108" s="21">
        <f>EXP(-LN(2)/25)*CL107+(1-EXP(-LN(2)/25))/(LN(2)/25)*Calculateur!CG108*Calculateur!CI108*VLOOKUP('Données projet'!$B$12,Paramètres!$A$1:$I$89,3,0)*0.475*44/12</f>
        <v>2.0737923777020679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17.042324066887808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66.298252031421114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66.298252031421114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66.298252031421114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66.298252031421114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66.298252031421114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66.298252031421114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4.6500000000000004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17.05</v>
      </c>
      <c r="H109" s="66">
        <f t="shared" si="56"/>
        <v>188.46666666666667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66.362469082807294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8.2550000000000008</v>
      </c>
      <c r="N109" s="13">
        <f>IF('Données projet'!$A$36&gt;35,N108+M109-V108,IF(A109&lt;'Données projet'!$A$36,$K$205^A109,IF(A109='Données projet'!$A$36,'Données projet'!$B$36,N108+M109-V108)))</f>
        <v>358.52000000000021</v>
      </c>
      <c r="O109" s="13">
        <f>N109*VLOOKUP('Données projet'!$B$9,Paramètres!$A$1:$I$89,3,0)*VLOOKUP('Données projet'!$B$9,Paramètres!$A$1:$I$89,5,0)</f>
        <v>324.38889600000016</v>
      </c>
      <c r="P109" s="13">
        <f t="shared" si="87"/>
        <v>76.26582358349178</v>
      </c>
      <c r="Q109" s="20">
        <f t="shared" si="107"/>
        <v>697.80696994124844</v>
      </c>
      <c r="R109" s="59">
        <f t="shared" si="55"/>
        <v>977.80268991154185</v>
      </c>
      <c r="S109" s="59">
        <f ca="1">AVERAGE(OFFSET($R$3,0,0,'Données projet'!$E$9+1,1))-AVERAGE(OFFSET($H$3,0,0,'Données projet'!$E$9+1,1))</f>
        <v>664.27707313486087</v>
      </c>
      <c r="T109" s="59">
        <f t="shared" si="88"/>
        <v>206.64483278066874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101.24574414185115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101.24574414185115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66.362469082807294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5.2499999999990337</v>
      </c>
      <c r="AJ109" s="13">
        <f>AI109*VLOOKUP('Données projet'!$B$10,Paramètres!$A$1:$I$89,3,0)*VLOOKUP('Données projet'!$B$10,Paramètres!$A$1:$I$89,5,0)</f>
        <v>2.4569999999995478</v>
      </c>
      <c r="AK109" s="13">
        <f t="shared" si="89"/>
        <v>1.0197977774625564</v>
      </c>
      <c r="AL109" s="20">
        <f t="shared" si="58"/>
        <v>6.0554227957464972</v>
      </c>
      <c r="AM109" s="59">
        <f t="shared" si="59"/>
        <v>286.0511427660399</v>
      </c>
      <c r="AN109" s="59">
        <f ca="1">AVERAGE(OFFSET($AM$3,0,0,'Données projet'!$E$10+1,1))-AVERAGE(OFFSET($H$3,0,0,'Données projet'!$E$10+1,1))</f>
        <v>329.7518221182429</v>
      </c>
      <c r="AO109" s="59">
        <f t="shared" si="90"/>
        <v>207.30737400651807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257.75710551919479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257.75710551919479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66.362469082807294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189.62971370839551</v>
      </c>
      <c r="BJ109" s="59">
        <f t="shared" si="92"/>
        <v>457.05149684588173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27.418046307672554</v>
      </c>
      <c r="BQ109" s="21">
        <f>EXP(-LN(2)/25)*BQ108+(1-EXP(-LN(2)/25))/(LN(2)/25)*Calculateur!BL109*Calculateur!BN109*VLOOKUP('Données projet'!$B$11,Paramètres!$A$1:$I$89,3,0)*0.475*44/12</f>
        <v>1.7480201638703283</v>
      </c>
      <c r="BR109" s="21">
        <f>EXP(-LN(2)/2)*BR108+(1-EXP(-LN(2)/2))/(LN(2)/2)*BL109*BO109*VLOOKUP('Données projet'!$B$11,Paramètres!$A$1:$I$89,3,0)*0.475*44/12</f>
        <v>1.6357082496162509E-13</v>
      </c>
      <c r="BS109" s="22">
        <f t="shared" si="63"/>
        <v>29.166066471543047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66.362469082807294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170.04605856785227</v>
      </c>
      <c r="CE109" s="59">
        <f t="shared" si="94"/>
        <v>377.63973197638802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14.675007912663634</v>
      </c>
      <c r="CL109" s="21">
        <f>EXP(-LN(2)/25)*CL108+(1-EXP(-LN(2)/25))/(LN(2)/25)*Calculateur!CG109*Calculateur!CI109*VLOOKUP('Données projet'!$B$12,Paramètres!$A$1:$I$89,3,0)*0.475*44/12</f>
        <v>2.0170844160778034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16.692092328741438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66.362469082807294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66.362469082807294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66.362469082807294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66.362469082807294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66.362469082807294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66.362469082807294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4.6500000000000004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17.05</v>
      </c>
      <c r="H110" s="66">
        <f t="shared" si="56"/>
        <v>188.46666666666667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66.425572111919777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8.2550000000000008</v>
      </c>
      <c r="N110" s="13">
        <f>IF('Données projet'!$A$36&gt;35,N109+M110-V109,IF(A110&lt;'Données projet'!$A$36,$K$205^A110,IF(A110='Données projet'!$A$36,'Données projet'!$B$36,N109+M110-V109)))</f>
        <v>366.7750000000002</v>
      </c>
      <c r="O110" s="13">
        <f>N110*VLOOKUP('Données projet'!$B$9,Paramètres!$A$1:$I$89,3,0)*VLOOKUP('Données projet'!$B$9,Paramètres!$A$1:$I$89,5,0)</f>
        <v>331.85802000000018</v>
      </c>
      <c r="P110" s="13">
        <f t="shared" si="87"/>
        <v>77.815396155904594</v>
      </c>
      <c r="Q110" s="20">
        <f t="shared" si="107"/>
        <v>713.51453313820082</v>
      </c>
      <c r="R110" s="59">
        <f t="shared" si="55"/>
        <v>993.74163088190676</v>
      </c>
      <c r="S110" s="59">
        <f ca="1">AVERAGE(OFFSET($R$3,0,0,'Données projet'!$E$9+1,1))-AVERAGE(OFFSET($H$3,0,0,'Données projet'!$E$9+1,1))</f>
        <v>664.27707313486087</v>
      </c>
      <c r="T110" s="59">
        <f t="shared" si="88"/>
        <v>206.64483278066874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99.260376853035694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99.260376853035694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66.425572111919777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5.2499999999990337</v>
      </c>
      <c r="AJ110" s="13">
        <f>AI110*VLOOKUP('Données projet'!$B$10,Paramètres!$A$1:$I$89,3,0)*VLOOKUP('Données projet'!$B$10,Paramètres!$A$1:$I$89,5,0)</f>
        <v>2.4569999999995478</v>
      </c>
      <c r="AK110" s="13">
        <f t="shared" si="89"/>
        <v>1.0197977774625564</v>
      </c>
      <c r="AL110" s="20">
        <f t="shared" si="58"/>
        <v>6.0554227957464972</v>
      </c>
      <c r="AM110" s="59">
        <f t="shared" si="59"/>
        <v>286.28252053945238</v>
      </c>
      <c r="AN110" s="59">
        <f ca="1">AVERAGE(OFFSET($AM$3,0,0,'Données projet'!$E$10+1,1))-AVERAGE(OFFSET($H$3,0,0,'Données projet'!$E$10+1,1))</f>
        <v>329.7518221182429</v>
      </c>
      <c r="AO110" s="59">
        <f t="shared" si="90"/>
        <v>207.30737400651807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252.70264589627394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252.70264589627394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66.425572111919777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189.62971370839551</v>
      </c>
      <c r="BJ110" s="59">
        <f t="shared" si="92"/>
        <v>457.05149684588173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26.880395142936049</v>
      </c>
      <c r="BQ110" s="21">
        <f>EXP(-LN(2)/25)*BQ109+(1-EXP(-LN(2)/25))/(LN(2)/25)*Calculateur!BL110*Calculateur!BN110*VLOOKUP('Données projet'!$B$11,Paramètres!$A$1:$I$89,3,0)*0.475*44/12</f>
        <v>1.7002204605649089</v>
      </c>
      <c r="BR110" s="21">
        <f>EXP(-LN(2)/2)*BR109+(1-EXP(-LN(2)/2))/(LN(2)/2)*BL110*BO110*VLOOKUP('Données projet'!$B$11,Paramètres!$A$1:$I$89,3,0)*0.475*44/12</f>
        <v>1.1566203953464289E-13</v>
      </c>
      <c r="BS110" s="22">
        <f t="shared" si="63"/>
        <v>28.580615603501077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66.425572111919777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170.04605856785227</v>
      </c>
      <c r="CE110" s="59">
        <f t="shared" si="94"/>
        <v>377.63973197638802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14.387239958367303</v>
      </c>
      <c r="CL110" s="21">
        <f>EXP(-LN(2)/25)*CL109+(1-EXP(-LN(2)/25))/(LN(2)/25)*Calculateur!CG110*Calculateur!CI110*VLOOKUP('Données projet'!$B$12,Paramètres!$A$1:$I$89,3,0)*0.475*44/12</f>
        <v>1.9619271366462965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16.349167095013598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66.425572111919777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66.425572111919777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66.425572111919777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66.425572111919777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66.425572111919777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66.425572111919777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4.6500000000000004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17.05</v>
      </c>
      <c r="H111" s="66">
        <f t="shared" si="56"/>
        <v>188.46666666666667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66.487580444554396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8.2550000000000008</v>
      </c>
      <c r="N111" s="13">
        <f>IF('Données projet'!$A$36&gt;35,N110+M111-V110,IF(A111&lt;'Données projet'!$A$36,$K$205^A111,IF(A111='Données projet'!$A$36,'Données projet'!$B$36,N110+M111-V110)))</f>
        <v>375.0300000000002</v>
      </c>
      <c r="O111" s="13">
        <f>N111*VLOOKUP('Données projet'!$B$9,Paramètres!$A$1:$I$89,3,0)*VLOOKUP('Données projet'!$B$9,Paramètres!$A$1:$I$89,5,0)</f>
        <v>339.32714400000015</v>
      </c>
      <c r="P111" s="13">
        <f t="shared" si="87"/>
        <v>79.360914088808499</v>
      </c>
      <c r="Q111" s="20">
        <f t="shared" si="107"/>
        <v>729.21503450467515</v>
      </c>
      <c r="R111" s="59">
        <f t="shared" si="55"/>
        <v>1009.669496134708</v>
      </c>
      <c r="S111" s="59">
        <f ca="1">AVERAGE(OFFSET($R$3,0,0,'Données projet'!$E$9+1,1))-AVERAGE(OFFSET($H$3,0,0,'Données projet'!$E$9+1,1))</f>
        <v>664.27707313486087</v>
      </c>
      <c r="T111" s="59">
        <f t="shared" si="88"/>
        <v>206.64483278066874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97.31394140579944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97.31394140579944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66.487580444554396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5.2499999999990337</v>
      </c>
      <c r="AJ111" s="13">
        <f>AI111*VLOOKUP('Données projet'!$B$10,Paramètres!$A$1:$I$89,3,0)*VLOOKUP('Données projet'!$B$10,Paramètres!$A$1:$I$89,5,0)</f>
        <v>2.4569999999995478</v>
      </c>
      <c r="AK111" s="13">
        <f t="shared" si="89"/>
        <v>1.0197977774625564</v>
      </c>
      <c r="AL111" s="20">
        <f t="shared" si="58"/>
        <v>6.0554227957464972</v>
      </c>
      <c r="AM111" s="59">
        <f t="shared" si="59"/>
        <v>286.50988442577926</v>
      </c>
      <c r="AN111" s="59">
        <f ca="1">AVERAGE(OFFSET($AM$3,0,0,'Données projet'!$E$10+1,1))-AVERAGE(OFFSET($H$3,0,0,'Données projet'!$E$10+1,1))</f>
        <v>329.7518221182429</v>
      </c>
      <c r="AO111" s="59">
        <f t="shared" si="90"/>
        <v>207.30737400651807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247.7473011436426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247.7473011436426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66.487580444554396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189.62971370839551</v>
      </c>
      <c r="BJ111" s="59">
        <f t="shared" si="92"/>
        <v>457.05149684588173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26.353286989605195</v>
      </c>
      <c r="BQ111" s="21">
        <f>EXP(-LN(2)/25)*BQ110+(1-EXP(-LN(2)/25))/(LN(2)/25)*Calculateur!BL111*Calculateur!BN111*VLOOKUP('Données projet'!$B$11,Paramètres!$A$1:$I$89,3,0)*0.475*44/12</f>
        <v>1.6537278426600535</v>
      </c>
      <c r="BR111" s="21">
        <f>EXP(-LN(2)/2)*BR110+(1-EXP(-LN(2)/2))/(LN(2)/2)*BL111*BO111*VLOOKUP('Données projet'!$B$11,Paramètres!$A$1:$I$89,3,0)*0.475*44/12</f>
        <v>8.1785412480812543E-14</v>
      </c>
      <c r="BS111" s="22">
        <f t="shared" si="63"/>
        <v>28.00701483226533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66.487580444554396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170.04605856785227</v>
      </c>
      <c r="CE111" s="59">
        <f t="shared" si="94"/>
        <v>377.63973197638802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14.105114958133601</v>
      </c>
      <c r="CL111" s="21">
        <f>EXP(-LN(2)/25)*CL110+(1-EXP(-LN(2)/25))/(LN(2)/25)*Calculateur!CG111*Calculateur!CI111*VLOOKUP('Données projet'!$B$12,Paramètres!$A$1:$I$89,3,0)*0.475*44/12</f>
        <v>1.9082781359214394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16.01339309405504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66.487580444554396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66.487580444554396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66.487580444554396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66.487580444554396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66.487580444554396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66.487580444554396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4.6500000000000004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17.05</v>
      </c>
      <c r="H112" s="66">
        <f t="shared" si="56"/>
        <v>188.46666666666667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66.54851307124764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8.2550000000000008</v>
      </c>
      <c r="N112" s="13">
        <f>IF('Données projet'!$A$36&gt;35,N111+M112-V111,IF(A112&lt;'Données projet'!$A$36,$K$205^A112,IF(A112='Données projet'!$A$36,'Données projet'!$B$36,N111+M112-V111)))</f>
        <v>383.2850000000002</v>
      </c>
      <c r="O112" s="13">
        <f>N112*VLOOKUP('Données projet'!$B$9,Paramètres!$A$1:$I$89,3,0)*VLOOKUP('Données projet'!$B$9,Paramètres!$A$1:$I$89,5,0)</f>
        <v>346.79626800000017</v>
      </c>
      <c r="P112" s="13">
        <f t="shared" si="87"/>
        <v>80.902476908478974</v>
      </c>
      <c r="Q112" s="20">
        <f t="shared" si="107"/>
        <v>744.90864738226776</v>
      </c>
      <c r="R112" s="59">
        <f t="shared" si="55"/>
        <v>1025.5865286435092</v>
      </c>
      <c r="S112" s="59">
        <f ca="1">AVERAGE(OFFSET($R$3,0,0,'Données projet'!$E$9+1,1))-AVERAGE(OFFSET($H$3,0,0,'Données projet'!$E$9+1,1))</f>
        <v>664.27707313486087</v>
      </c>
      <c r="T112" s="59">
        <f t="shared" si="88"/>
        <v>206.64483278066874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95.405674370475083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95.405674370475083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66.54851307124764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5.2499999999990337</v>
      </c>
      <c r="AJ112" s="13">
        <f>AI112*VLOOKUP('Données projet'!$B$10,Paramètres!$A$1:$I$89,3,0)*VLOOKUP('Données projet'!$B$10,Paramètres!$A$1:$I$89,5,0)</f>
        <v>2.4569999999995478</v>
      </c>
      <c r="AK112" s="13">
        <f t="shared" si="89"/>
        <v>1.0197977774625564</v>
      </c>
      <c r="AL112" s="20">
        <f t="shared" si="58"/>
        <v>6.0554227957464972</v>
      </c>
      <c r="AM112" s="59">
        <f t="shared" si="59"/>
        <v>286.73330405698783</v>
      </c>
      <c r="AN112" s="59">
        <f ca="1">AVERAGE(OFFSET($AM$3,0,0,'Données projet'!$E$10+1,1))-AVERAGE(OFFSET($H$3,0,0,'Données projet'!$E$10+1,1))</f>
        <v>329.7518221182429</v>
      </c>
      <c r="AO112" s="59">
        <f t="shared" si="90"/>
        <v>207.30737400651807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242.88912767914852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242.88912767914852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66.54851307124764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189.62971370839551</v>
      </c>
      <c r="BJ112" s="59">
        <f t="shared" si="92"/>
        <v>457.05149684588173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25.836515105656932</v>
      </c>
      <c r="BQ112" s="21">
        <f>EXP(-LN(2)/25)*BQ111+(1-EXP(-LN(2)/25))/(LN(2)/25)*Calculateur!BL112*Calculateur!BN112*VLOOKUP('Données projet'!$B$11,Paramètres!$A$1:$I$89,3,0)*0.475*44/12</f>
        <v>1.6085065678367467</v>
      </c>
      <c r="BR112" s="21">
        <f>EXP(-LN(2)/2)*BR111+(1-EXP(-LN(2)/2))/(LN(2)/2)*BL112*BO112*VLOOKUP('Données projet'!$B$11,Paramètres!$A$1:$I$89,3,0)*0.475*44/12</f>
        <v>5.7831019767321447E-14</v>
      </c>
      <c r="BS112" s="22">
        <f t="shared" si="63"/>
        <v>27.445021673493734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66.54851307124764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170.04605856785227</v>
      </c>
      <c r="CE112" s="59">
        <f t="shared" si="94"/>
        <v>377.63973197638802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13.828522257075223</v>
      </c>
      <c r="CL112" s="21">
        <f>EXP(-LN(2)/25)*CL111+(1-EXP(-LN(2)/25))/(LN(2)/25)*Calculateur!CG112*Calculateur!CI112*VLOOKUP('Données projet'!$B$12,Paramètres!$A$1:$I$89,3,0)*0.475*44/12</f>
        <v>1.8560961699426819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15.684618427017904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66.54851307124764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66.54851307124764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66.54851307124764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66.54851307124764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66.54851307124764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66.54851307124764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4.6500000000000004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17.05</v>
      </c>
      <c r="H113" s="66">
        <f t="shared" si="56"/>
        <v>188.46666666666667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66.608388653092732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8.2550000000000008</v>
      </c>
      <c r="N113" s="13">
        <f>IF('Données projet'!$A$36&gt;35,N112+M113-V112,IF(A113&lt;'Données projet'!$A$36,$K$205^A113,IF(A113='Données projet'!$A$36,'Données projet'!$B$36,N112+M113-V112)))</f>
        <v>391.54000000000019</v>
      </c>
      <c r="O113" s="13">
        <f>N113*VLOOKUP('Données projet'!$B$9,Paramètres!$A$1:$I$89,3,0)*VLOOKUP('Données projet'!$B$9,Paramètres!$A$1:$I$89,5,0)</f>
        <v>354.26539200000013</v>
      </c>
      <c r="P113" s="13">
        <f t="shared" si="87"/>
        <v>82.44017960921768</v>
      </c>
      <c r="Q113" s="20">
        <f t="shared" si="107"/>
        <v>760.59553721938767</v>
      </c>
      <c r="R113" s="59">
        <f t="shared" si="55"/>
        <v>1041.4929622807276</v>
      </c>
      <c r="S113" s="59">
        <f ca="1">AVERAGE(OFFSET($R$3,0,0,'Données projet'!$E$9+1,1))-AVERAGE(OFFSET($H$3,0,0,'Données projet'!$E$9+1,1))</f>
        <v>664.27707313486087</v>
      </c>
      <c r="T113" s="59">
        <f t="shared" si="88"/>
        <v>206.64483278066874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93.534827287785475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93.534827287785475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66.608388653092732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5.2499999999990337</v>
      </c>
      <c r="AJ113" s="13">
        <f>AI113*VLOOKUP('Données projet'!$B$10,Paramètres!$A$1:$I$89,3,0)*VLOOKUP('Données projet'!$B$10,Paramètres!$A$1:$I$89,5,0)</f>
        <v>2.4569999999995478</v>
      </c>
      <c r="AK113" s="13">
        <f t="shared" si="89"/>
        <v>1.0197977774625564</v>
      </c>
      <c r="AL113" s="20">
        <f t="shared" si="58"/>
        <v>6.0554227957464972</v>
      </c>
      <c r="AM113" s="59">
        <f t="shared" si="59"/>
        <v>286.95284785708651</v>
      </c>
      <c r="AN113" s="59">
        <f ca="1">AVERAGE(OFFSET($AM$3,0,0,'Données projet'!$E$10+1,1))-AVERAGE(OFFSET($H$3,0,0,'Données projet'!$E$10+1,1))</f>
        <v>329.7518221182429</v>
      </c>
      <c r="AO113" s="59">
        <f t="shared" si="90"/>
        <v>207.30737400651807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238.12622003309991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238.12622003309991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66.608388653092732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189.62971370839551</v>
      </c>
      <c r="BJ113" s="59">
        <f t="shared" si="92"/>
        <v>457.05149684588173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25.329876803153169</v>
      </c>
      <c r="BQ113" s="21">
        <f>EXP(-LN(2)/25)*BQ112+(1-EXP(-LN(2)/25))/(LN(2)/25)*Calculateur!BL113*Calculateur!BN113*VLOOKUP('Données projet'!$B$11,Paramètres!$A$1:$I$89,3,0)*0.475*44/12</f>
        <v>1.5645218711515667</v>
      </c>
      <c r="BR113" s="21">
        <f>EXP(-LN(2)/2)*BR112+(1-EXP(-LN(2)/2))/(LN(2)/2)*BL113*BO113*VLOOKUP('Données projet'!$B$11,Paramètres!$A$1:$I$89,3,0)*0.475*44/12</f>
        <v>4.0892706240406271E-14</v>
      </c>
      <c r="BS113" s="22">
        <f t="shared" si="63"/>
        <v>26.894398674304778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66.608388653092732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170.04605856785227</v>
      </c>
      <c r="CE113" s="59">
        <f t="shared" si="94"/>
        <v>377.63973197638802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13.55735337017971</v>
      </c>
      <c r="CL113" s="21">
        <f>EXP(-LN(2)/25)*CL112+(1-EXP(-LN(2)/25))/(LN(2)/25)*Calculateur!CG113*Calculateur!CI113*VLOOKUP('Données projet'!$B$12,Paramètres!$A$1:$I$89,3,0)*0.475*44/12</f>
        <v>1.8053411225677438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15.362694492747455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66.608388653092732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66.608388653092732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66.608388653092732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66.608388653092732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66.608388653092732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66.608388653092732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4.6500000000000004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17.05</v>
      </c>
      <c r="H114" s="66">
        <f t="shared" si="56"/>
        <v>188.46666666666667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66.667225527454534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8.2550000000000008</v>
      </c>
      <c r="N114" s="13">
        <f>IF('Données projet'!$A$36&gt;35,N113+M114-V113,IF(A114&lt;'Données projet'!$A$36,$K$205^A114,IF(A114='Données projet'!$A$36,'Données projet'!$B$36,N113+M114-V113)))</f>
        <v>399.79500000000019</v>
      </c>
      <c r="O114" s="13">
        <f>N114*VLOOKUP('Données projet'!$B$9,Paramètres!$A$1:$I$89,3,0)*VLOOKUP('Données projet'!$B$9,Paramètres!$A$1:$I$89,5,0)</f>
        <v>361.73451600000016</v>
      </c>
      <c r="P114" s="13">
        <f t="shared" si="87"/>
        <v>83.974112950846617</v>
      </c>
      <c r="Q114" s="20">
        <f t="shared" si="107"/>
        <v>776.27586208939147</v>
      </c>
      <c r="R114" s="59">
        <f t="shared" si="55"/>
        <v>1057.3890223567248</v>
      </c>
      <c r="S114" s="59">
        <f ca="1">AVERAGE(OFFSET($R$3,0,0,'Données projet'!$E$9+1,1))-AVERAGE(OFFSET($H$3,0,0,'Données projet'!$E$9+1,1))</f>
        <v>664.27707313486087</v>
      </c>
      <c r="T114" s="59">
        <f t="shared" si="88"/>
        <v>206.64483278066874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91.700666375283362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91.700666375283362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66.667225527454534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5.2499999999990337</v>
      </c>
      <c r="AJ114" s="13">
        <f>AI114*VLOOKUP('Données projet'!$B$10,Paramètres!$A$1:$I$89,3,0)*VLOOKUP('Données projet'!$B$10,Paramètres!$A$1:$I$89,5,0)</f>
        <v>2.4569999999995478</v>
      </c>
      <c r="AK114" s="13">
        <f t="shared" si="89"/>
        <v>1.0197977774625564</v>
      </c>
      <c r="AL114" s="20">
        <f t="shared" si="58"/>
        <v>6.0554227957464972</v>
      </c>
      <c r="AM114" s="59">
        <f t="shared" si="59"/>
        <v>287.16858306307978</v>
      </c>
      <c r="AN114" s="59">
        <f ca="1">AVERAGE(OFFSET($AM$3,0,0,'Données projet'!$E$10+1,1))-AVERAGE(OFFSET($H$3,0,0,'Données projet'!$E$10+1,1))</f>
        <v>329.7518221182429</v>
      </c>
      <c r="AO114" s="59">
        <f t="shared" si="90"/>
        <v>207.30737400651807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233.45671010090354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233.45671010090354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66.667225527454534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189.62971370839551</v>
      </c>
      <c r="BJ114" s="59">
        <f t="shared" si="92"/>
        <v>457.05149684588173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24.833173368742653</v>
      </c>
      <c r="BQ114" s="21">
        <f>EXP(-LN(2)/25)*BQ113+(1-EXP(-LN(2)/25))/(LN(2)/25)*Calculateur!BL114*Calculateur!BN114*VLOOKUP('Données projet'!$B$11,Paramètres!$A$1:$I$89,3,0)*0.475*44/12</f>
        <v>1.5217399383102976</v>
      </c>
      <c r="BR114" s="21">
        <f>EXP(-LN(2)/2)*BR113+(1-EXP(-LN(2)/2))/(LN(2)/2)*BL114*BO114*VLOOKUP('Données projet'!$B$11,Paramètres!$A$1:$I$89,3,0)*0.475*44/12</f>
        <v>2.8915509883660724E-14</v>
      </c>
      <c r="BS114" s="22">
        <f t="shared" si="63"/>
        <v>26.354913307052978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66.667225527454534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170.04605856785227</v>
      </c>
      <c r="CE114" s="59">
        <f t="shared" si="94"/>
        <v>377.63973197638802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13.291501939759529</v>
      </c>
      <c r="CL114" s="21">
        <f>EXP(-LN(2)/25)*CL113+(1-EXP(-LN(2)/25))/(LN(2)/25)*Calculateur!CG114*Calculateur!CI114*VLOOKUP('Données projet'!$B$12,Paramètres!$A$1:$I$89,3,0)*0.475*44/12</f>
        <v>1.7559739746323655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15.047475914391894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66.667225527454534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66.667225527454534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66.667225527454534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66.667225527454534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66.667225527454534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66.667225527454534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4.6500000000000004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17.05</v>
      </c>
      <c r="H115" s="66">
        <f t="shared" si="56"/>
        <v>188.46666666666667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66.725041713585711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8.2550000000000008</v>
      </c>
      <c r="N115" s="13">
        <f>IF('Données projet'!$A$36&gt;35,N114+M115-V114,IF(A115&lt;'Données projet'!$A$36,$K$205^A115,IF(A115='Données projet'!$A$36,'Données projet'!$B$36,N114+M115-V114)))</f>
        <v>408.05000000000018</v>
      </c>
      <c r="O115" s="13">
        <f>N115*VLOOKUP('Données projet'!$B$9,Paramètres!$A$1:$I$89,3,0)*VLOOKUP('Données projet'!$B$9,Paramètres!$A$1:$I$89,5,0)</f>
        <v>369.20364000000018</v>
      </c>
      <c r="P115" s="13">
        <f t="shared" si="87"/>
        <v>85.504363730937129</v>
      </c>
      <c r="Q115" s="20">
        <f t="shared" si="107"/>
        <v>791.94977316471579</v>
      </c>
      <c r="R115" s="59">
        <f t="shared" si="55"/>
        <v>1073.27492611453</v>
      </c>
      <c r="S115" s="59">
        <f ca="1">AVERAGE(OFFSET($R$3,0,0,'Données projet'!$E$9+1,1))-AVERAGE(OFFSET($H$3,0,0,'Données projet'!$E$9+1,1))</f>
        <v>664.27707313486087</v>
      </c>
      <c r="T115" s="59">
        <f t="shared" si="88"/>
        <v>206.64483278066874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89.902472239547734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89.902472239547734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66.725041713585711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5.2499999999990337</v>
      </c>
      <c r="AJ115" s="13">
        <f>AI115*VLOOKUP('Données projet'!$B$10,Paramètres!$A$1:$I$89,3,0)*VLOOKUP('Données projet'!$B$10,Paramètres!$A$1:$I$89,5,0)</f>
        <v>2.4569999999995478</v>
      </c>
      <c r="AK115" s="13">
        <f t="shared" si="89"/>
        <v>1.0197977774625564</v>
      </c>
      <c r="AL115" s="20">
        <f t="shared" si="58"/>
        <v>6.0554227957464972</v>
      </c>
      <c r="AM115" s="59">
        <f t="shared" si="59"/>
        <v>287.38057574556075</v>
      </c>
      <c r="AN115" s="59">
        <f ca="1">AVERAGE(OFFSET($AM$3,0,0,'Données projet'!$E$10+1,1))-AVERAGE(OFFSET($H$3,0,0,'Données projet'!$E$10+1,1))</f>
        <v>329.7518221182429</v>
      </c>
      <c r="AO115" s="59">
        <f t="shared" si="90"/>
        <v>207.30737400651807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228.87876641035768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228.87876641035768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66.725041713585711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189.62971370839551</v>
      </c>
      <c r="BJ115" s="59">
        <f t="shared" si="92"/>
        <v>457.05149684588173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24.34620998572175</v>
      </c>
      <c r="BQ115" s="21">
        <f>EXP(-LN(2)/25)*BQ114+(1-EXP(-LN(2)/25))/(LN(2)/25)*Calculateur!BL115*Calculateur!BN115*VLOOKUP('Données projet'!$B$11,Paramètres!$A$1:$I$89,3,0)*0.475*44/12</f>
        <v>1.4801278796723771</v>
      </c>
      <c r="BR115" s="21">
        <f>EXP(-LN(2)/2)*BR114+(1-EXP(-LN(2)/2))/(LN(2)/2)*BL115*BO115*VLOOKUP('Données projet'!$B$11,Paramètres!$A$1:$I$89,3,0)*0.475*44/12</f>
        <v>2.0446353120203136E-14</v>
      </c>
      <c r="BS115" s="22">
        <f t="shared" si="63"/>
        <v>25.826337865394148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66.725041713585711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170.04605856785227</v>
      </c>
      <c r="CE115" s="59">
        <f t="shared" si="94"/>
        <v>377.63973197638802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13.030863693736526</v>
      </c>
      <c r="CL115" s="21">
        <f>EXP(-LN(2)/25)*CL114+(1-EXP(-LN(2)/25))/(LN(2)/25)*Calculateur!CG115*Calculateur!CI115*VLOOKUP('Données projet'!$B$12,Paramètres!$A$1:$I$89,3,0)*0.475*44/12</f>
        <v>1.7079567739533854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14.738820467689912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66.725041713585711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66.725041713585711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66.725041713585711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66.725041713585711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66.725041713585711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66.725041713585711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4.6500000000000004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17.05</v>
      </c>
      <c r="H116" s="66">
        <f t="shared" si="56"/>
        <v>188.46666666666667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66.781854918145143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8.2550000000000008</v>
      </c>
      <c r="N116" s="13">
        <f>IF('Données projet'!$A$36&gt;35,N115+M116-V115,IF(A116&lt;'Données projet'!$A$36,$K$205^A116,IF(A116='Données projet'!$A$36,'Données projet'!$B$36,N115+M116-V115)))</f>
        <v>416.30500000000018</v>
      </c>
      <c r="O116" s="13">
        <f>N116*VLOOKUP('Données projet'!$B$9,Paramètres!$A$1:$I$89,3,0)*VLOOKUP('Données projet'!$B$9,Paramètres!$A$1:$I$89,5,0)</f>
        <v>376.67276400000014</v>
      </c>
      <c r="P116" s="13">
        <f t="shared" si="87"/>
        <v>87.031015034387593</v>
      </c>
      <c r="Q116" s="20">
        <f t="shared" si="107"/>
        <v>807.61741515155848</v>
      </c>
      <c r="R116" s="59">
        <f t="shared" si="55"/>
        <v>1089.1508831847573</v>
      </c>
      <c r="S116" s="59">
        <f ca="1">AVERAGE(OFFSET($R$3,0,0,'Données projet'!$E$9+1,1))-AVERAGE(OFFSET($H$3,0,0,'Données projet'!$E$9+1,1))</f>
        <v>664.27707313486087</v>
      </c>
      <c r="T116" s="59">
        <f t="shared" si="88"/>
        <v>206.64483278066874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88.139539594023759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88.139539594023759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66.781854918145143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5.2499999999990337</v>
      </c>
      <c r="AJ116" s="13">
        <f>AI116*VLOOKUP('Données projet'!$B$10,Paramètres!$A$1:$I$89,3,0)*VLOOKUP('Données projet'!$B$10,Paramètres!$A$1:$I$89,5,0)</f>
        <v>2.4569999999995478</v>
      </c>
      <c r="AK116" s="13">
        <f t="shared" si="89"/>
        <v>1.0197977774625564</v>
      </c>
      <c r="AL116" s="20">
        <f t="shared" si="58"/>
        <v>6.0554227957464972</v>
      </c>
      <c r="AM116" s="59">
        <f t="shared" si="59"/>
        <v>287.58889082894535</v>
      </c>
      <c r="AN116" s="59">
        <f ca="1">AVERAGE(OFFSET($AM$3,0,0,'Données projet'!$E$10+1,1))-AVERAGE(OFFSET($H$3,0,0,'Données projet'!$E$10+1,1))</f>
        <v>329.7518221182429</v>
      </c>
      <c r="AO116" s="59">
        <f t="shared" si="90"/>
        <v>207.30737400651807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224.39059340331349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224.39059340331349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66.781854918145143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189.62971370839551</v>
      </c>
      <c r="BJ116" s="59">
        <f t="shared" si="92"/>
        <v>457.05149684588173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23.868795657623551</v>
      </c>
      <c r="BQ116" s="21">
        <f>EXP(-LN(2)/25)*BQ115+(1-EXP(-LN(2)/25))/(LN(2)/25)*Calculateur!BL116*Calculateur!BN116*VLOOKUP('Données projet'!$B$11,Paramètres!$A$1:$I$89,3,0)*0.475*44/12</f>
        <v>1.4396537049661937</v>
      </c>
      <c r="BR116" s="21">
        <f>EXP(-LN(2)/2)*BR115+(1-EXP(-LN(2)/2))/(LN(2)/2)*BL116*BO116*VLOOKUP('Données projet'!$B$11,Paramètres!$A$1:$I$89,3,0)*0.475*44/12</f>
        <v>1.4457754941830362E-14</v>
      </c>
      <c r="BS116" s="22">
        <f t="shared" si="63"/>
        <v>25.308449362589759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66.781854918145143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170.04605856785227</v>
      </c>
      <c r="CE116" s="59">
        <f t="shared" si="94"/>
        <v>377.63973197638802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12.775336404744403</v>
      </c>
      <c r="CL116" s="21">
        <f>EXP(-LN(2)/25)*CL115+(1-EXP(-LN(2)/25))/(LN(2)/25)*Calculateur!CG116*Calculateur!CI116*VLOOKUP('Données projet'!$B$12,Paramètres!$A$1:$I$89,3,0)*0.475*44/12</f>
        <v>1.6612526061520869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14.43658901089649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66.781854918145143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66.781854918145143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66.781854918145143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66.781854918145143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66.781854918145143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66.781854918145143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4.6500000000000004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17.05</v>
      </c>
      <c r="H117" s="66">
        <f t="shared" si="56"/>
        <v>188.46666666666667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66.837682540620762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424.56</v>
      </c>
      <c r="L117" s="12">
        <f>VLOOKUP(A117,'Données projet'!$A$35:$I$55,9,0)</f>
        <v>8.2550000000000008</v>
      </c>
      <c r="M117" s="12">
        <f t="array" ref="M117">INDEX(L:L,MIN(IF(ISNUMBER(L117:L313),ROW(L117:L313),"")))</f>
        <v>8.2550000000000008</v>
      </c>
      <c r="N117" s="13">
        <f>IF('Données projet'!$A$36&gt;35,N116+M117-V116,IF(A117&lt;'Données projet'!$A$36,$K$205^A117,IF(A117='Données projet'!$A$36,'Données projet'!$B$36,N116+M117-V116)))</f>
        <v>424.56000000000017</v>
      </c>
      <c r="O117" s="13">
        <f>N117*VLOOKUP('Données projet'!$B$9,Paramètres!$A$1:$I$89,3,0)*VLOOKUP('Données projet'!$B$9,Paramètres!$A$1:$I$89,5,0)</f>
        <v>384.14188800000016</v>
      </c>
      <c r="P117" s="13">
        <f t="shared" si="87"/>
        <v>88.554146462646813</v>
      </c>
      <c r="Q117" s="20">
        <f t="shared" si="107"/>
        <v>823.27892668911011</v>
      </c>
      <c r="R117" s="59">
        <f t="shared" si="55"/>
        <v>1105.0170960047196</v>
      </c>
      <c r="S117" s="59">
        <f ca="1">AVERAGE(OFFSET($R$3,0,0,'Données projet'!$E$9+1,1))-AVERAGE(OFFSET($H$3,0,0,'Données projet'!$E$9+1,1))</f>
        <v>664.27707313486087</v>
      </c>
      <c r="T117" s="59">
        <f t="shared" si="88"/>
        <v>206.64483278066874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56.07</v>
      </c>
      <c r="W117" s="16">
        <f>IF(ISNA(VLOOKUP(A117,'Données projet'!$A$35:$I$55,5,0)),0%,VLOOKUP(A117,'Données projet'!$A$35:$I$55,5,0)*VLOOKUP('Données projet'!$B$9,Paramètres!$A$1:$I$89,7,0))</f>
        <v>0.43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110.52681264692377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110.52681264692377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66.837682540620762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5.2499999999990337</v>
      </c>
      <c r="AJ117" s="13">
        <f>AI117*VLOOKUP('Données projet'!$B$10,Paramètres!$A$1:$I$89,3,0)*VLOOKUP('Données projet'!$B$10,Paramètres!$A$1:$I$89,5,0)</f>
        <v>2.4569999999995478</v>
      </c>
      <c r="AK117" s="13">
        <f t="shared" si="89"/>
        <v>1.0197977774625564</v>
      </c>
      <c r="AL117" s="20">
        <f t="shared" si="58"/>
        <v>6.0554227957464972</v>
      </c>
      <c r="AM117" s="59">
        <f t="shared" si="59"/>
        <v>287.79359211135596</v>
      </c>
      <c r="AN117" s="59">
        <f ca="1">AVERAGE(OFFSET($AM$3,0,0,'Données projet'!$E$10+1,1))-AVERAGE(OFFSET($H$3,0,0,'Données projet'!$E$10+1,1))</f>
        <v>329.7518221182429</v>
      </c>
      <c r="AO117" s="59">
        <f t="shared" si="90"/>
        <v>207.30737400651807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219.99043073142221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219.99043073142221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66.837682540620762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189.62971370839551</v>
      </c>
      <c r="BJ117" s="59">
        <f t="shared" si="92"/>
        <v>457.05149684588173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23.400743133305369</v>
      </c>
      <c r="BQ117" s="21">
        <f>EXP(-LN(2)/25)*BQ116+(1-EXP(-LN(2)/25))/(LN(2)/25)*Calculateur!BL117*Calculateur!BN117*VLOOKUP('Données projet'!$B$11,Paramètres!$A$1:$I$89,3,0)*0.475*44/12</f>
        <v>1.4002862986957951</v>
      </c>
      <c r="BR117" s="21">
        <f>EXP(-LN(2)/2)*BR116+(1-EXP(-LN(2)/2))/(LN(2)/2)*BL117*BO117*VLOOKUP('Données projet'!$B$11,Paramètres!$A$1:$I$89,3,0)*0.475*44/12</f>
        <v>1.0223176560101568E-14</v>
      </c>
      <c r="BS117" s="22">
        <f t="shared" si="63"/>
        <v>24.801029432001176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66.837682540620762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170.04605856785227</v>
      </c>
      <c r="CE117" s="59">
        <f t="shared" si="94"/>
        <v>377.63973197638802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12.524819850033158</v>
      </c>
      <c r="CL117" s="21">
        <f>EXP(-LN(2)/25)*CL116+(1-EXP(-LN(2)/25))/(LN(2)/25)*Calculateur!CG117*Calculateur!CI117*VLOOKUP('Données projet'!$B$12,Paramètres!$A$1:$I$89,3,0)*0.475*44/12</f>
        <v>1.6158255662753804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14.140645416308537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66.837682540620762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66.837682540620762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66.837682540620762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66.837682540620762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66.837682540620762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66.837682540620762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4.6500000000000004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17.05</v>
      </c>
      <c r="H118" s="66">
        <f t="shared" si="56"/>
        <v>188.46666666666667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66.892541678658304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8.3369999999999997</v>
      </c>
      <c r="N118" s="13">
        <f>IF('Données projet'!$A$36&gt;35,N117+M118-V117,IF(A118&lt;'Données projet'!$A$36,$K$205^A118,IF(A118='Données projet'!$A$36,'Données projet'!$B$36,N117+M118-V117)))</f>
        <v>376.82700000000017</v>
      </c>
      <c r="O118" s="13">
        <f>N118*VLOOKUP('Données projet'!$B$9,Paramètres!$A$1:$I$89,3,0)*VLOOKUP('Données projet'!$B$9,Paramètres!$A$1:$I$89,5,0)</f>
        <v>340.95306960000016</v>
      </c>
      <c r="P118" s="13">
        <f t="shared" si="87"/>
        <v>79.69682454429082</v>
      </c>
      <c r="Q118" s="20">
        <f t="shared" si="107"/>
        <v>732.63189896797348</v>
      </c>
      <c r="R118" s="59">
        <f t="shared" si="55"/>
        <v>1014.5712184563872</v>
      </c>
      <c r="S118" s="59">
        <f ca="1">AVERAGE(OFFSET($R$3,0,0,'Données projet'!$E$9+1,1))-AVERAGE(OFFSET($H$3,0,0,'Données projet'!$E$9+1,1))</f>
        <v>664.27707313486087</v>
      </c>
      <c r="T118" s="59">
        <f t="shared" si="88"/>
        <v>206.64483278066874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108.35944926561666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108.35944926561666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66.892541678658304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5.2499999999990337</v>
      </c>
      <c r="AJ118" s="13">
        <f>AI118*VLOOKUP('Données projet'!$B$10,Paramètres!$A$1:$I$89,3,0)*VLOOKUP('Données projet'!$B$10,Paramètres!$A$1:$I$89,5,0)</f>
        <v>2.4569999999995478</v>
      </c>
      <c r="AK118" s="13">
        <f t="shared" si="89"/>
        <v>1.0197977774625564</v>
      </c>
      <c r="AL118" s="20">
        <f t="shared" si="58"/>
        <v>6.0554227957464972</v>
      </c>
      <c r="AM118" s="59">
        <f t="shared" si="59"/>
        <v>287.99474228416028</v>
      </c>
      <c r="AN118" s="59">
        <f ca="1">AVERAGE(OFFSET($AM$3,0,0,'Données projet'!$E$10+1,1))-AVERAGE(OFFSET($H$3,0,0,'Données projet'!$E$10+1,1))</f>
        <v>329.7518221182429</v>
      </c>
      <c r="AO118" s="59">
        <f t="shared" si="90"/>
        <v>207.30737400651807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215.6765525656925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215.6765525656925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66.892541678658304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189.62971370839551</v>
      </c>
      <c r="BJ118" s="59">
        <f t="shared" si="92"/>
        <v>457.05149684588173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22.941868833505215</v>
      </c>
      <c r="BQ118" s="21">
        <f>EXP(-LN(2)/25)*BQ117+(1-EXP(-LN(2)/25))/(LN(2)/25)*Calculateur!BL118*Calculateur!BN118*VLOOKUP('Données projet'!$B$11,Paramètres!$A$1:$I$89,3,0)*0.475*44/12</f>
        <v>1.3619953962201026</v>
      </c>
      <c r="BR118" s="21">
        <f>EXP(-LN(2)/2)*BR117+(1-EXP(-LN(2)/2))/(LN(2)/2)*BL118*BO118*VLOOKUP('Données projet'!$B$11,Paramètres!$A$1:$I$89,3,0)*0.475*44/12</f>
        <v>7.2288774709151809E-15</v>
      </c>
      <c r="BS118" s="22">
        <f t="shared" si="63"/>
        <v>24.303864229725324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66.892541678658304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170.04605856785227</v>
      </c>
      <c r="CE118" s="59">
        <f t="shared" si="94"/>
        <v>377.63973197638802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12.279215772159789</v>
      </c>
      <c r="CL118" s="21">
        <f>EXP(-LN(2)/25)*CL117+(1-EXP(-LN(2)/25))/(LN(2)/25)*Calculateur!CG118*Calculateur!CI118*VLOOKUP('Données projet'!$B$12,Paramètres!$A$1:$I$89,3,0)*0.475*44/12</f>
        <v>1.5716407311930067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13.850856503352796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66.892541678658304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66.892541678658304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66.892541678658304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66.892541678658304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66.892541678658304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66.892541678658304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4.6500000000000004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17.05</v>
      </c>
      <c r="H119" s="66">
        <f t="shared" si="56"/>
        <v>188.46666666666667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66.946449133297548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8.3369999999999997</v>
      </c>
      <c r="N119" s="13">
        <f>IF('Données projet'!$A$36&gt;35,N118+M119-V118,IF(A119&lt;'Données projet'!$A$36,$K$205^A119,IF(A119='Données projet'!$A$36,'Données projet'!$B$36,N118+M119-V118)))</f>
        <v>385.16400000000016</v>
      </c>
      <c r="O119" s="13">
        <f>N119*VLOOKUP('Données projet'!$B$9,Paramètres!$A$1:$I$89,3,0)*VLOOKUP('Données projet'!$B$9,Paramètres!$A$1:$I$89,5,0)</f>
        <v>348.49638720000013</v>
      </c>
      <c r="P119" s="13">
        <f t="shared" si="87"/>
        <v>81.252824211250186</v>
      </c>
      <c r="Q119" s="20">
        <f t="shared" si="107"/>
        <v>748.47987654126098</v>
      </c>
      <c r="R119" s="59">
        <f t="shared" si="55"/>
        <v>1030.6168566966853</v>
      </c>
      <c r="S119" s="59">
        <f ca="1">AVERAGE(OFFSET($R$3,0,0,'Données projet'!$E$9+1,1))-AVERAGE(OFFSET($H$3,0,0,'Données projet'!$E$9+1,1))</f>
        <v>664.27707313486087</v>
      </c>
      <c r="T119" s="59">
        <f t="shared" si="88"/>
        <v>206.64483278066874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106.23458655825586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106.23458655825586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66.946449133297548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5.2499999999990337</v>
      </c>
      <c r="AJ119" s="13">
        <f>AI119*VLOOKUP('Données projet'!$B$10,Paramètres!$A$1:$I$89,3,0)*VLOOKUP('Données projet'!$B$10,Paramètres!$A$1:$I$89,5,0)</f>
        <v>2.4569999999995478</v>
      </c>
      <c r="AK119" s="13">
        <f t="shared" si="89"/>
        <v>1.0197977774625564</v>
      </c>
      <c r="AL119" s="20">
        <f t="shared" si="58"/>
        <v>6.0554227957464972</v>
      </c>
      <c r="AM119" s="59">
        <f t="shared" si="59"/>
        <v>288.19240295117083</v>
      </c>
      <c r="AN119" s="59">
        <f ca="1">AVERAGE(OFFSET($AM$3,0,0,'Données projet'!$E$10+1,1))-AVERAGE(OFFSET($H$3,0,0,'Données projet'!$E$10+1,1))</f>
        <v>329.7518221182429</v>
      </c>
      <c r="AO119" s="59">
        <f t="shared" si="90"/>
        <v>207.30737400651807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211.44726691958689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211.44726691958689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66.946449133297548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189.62971370839551</v>
      </c>
      <c r="BJ119" s="59">
        <f t="shared" si="92"/>
        <v>457.05149684588173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22.491992778838455</v>
      </c>
      <c r="BQ119" s="21">
        <f>EXP(-LN(2)/25)*BQ118+(1-EXP(-LN(2)/25))/(LN(2)/25)*Calculateur!BL119*Calculateur!BN119*VLOOKUP('Données projet'!$B$11,Paramètres!$A$1:$I$89,3,0)*0.475*44/12</f>
        <v>1.3247515604862388</v>
      </c>
      <c r="BR119" s="21">
        <f>EXP(-LN(2)/2)*BR118+(1-EXP(-LN(2)/2))/(LN(2)/2)*BL119*BO119*VLOOKUP('Données projet'!$B$11,Paramètres!$A$1:$I$89,3,0)*0.475*44/12</f>
        <v>5.1115882800507839E-15</v>
      </c>
      <c r="BS119" s="22">
        <f t="shared" si="63"/>
        <v>23.816744339324696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66.946449133297548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170.04605856785227</v>
      </c>
      <c r="CE119" s="59">
        <f t="shared" si="94"/>
        <v>377.63973197638802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12.038427840449822</v>
      </c>
      <c r="CL119" s="21">
        <f>EXP(-LN(2)/25)*CL118+(1-EXP(-LN(2)/25))/(LN(2)/25)*Calculateur!CG119*Calculateur!CI119*VLOOKUP('Données projet'!$B$12,Paramètres!$A$1:$I$89,3,0)*0.475*44/12</f>
        <v>1.52866413274954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13.567091973199362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66.946449133297548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66.946449133297548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66.946449133297548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66.946449133297548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66.946449133297548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66.946449133297548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4.6500000000000004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17.05</v>
      </c>
      <c r="H120" s="66">
        <f t="shared" si="56"/>
        <v>188.46666666666667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66.999421414117805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8.3369999999999997</v>
      </c>
      <c r="N120" s="13">
        <f>IF('Données projet'!$A$36&gt;35,N119+M120-V119,IF(A120&lt;'Données projet'!$A$36,$K$205^A120,IF(A120='Données projet'!$A$36,'Données projet'!$B$36,N119+M120-V119)))</f>
        <v>393.50100000000015</v>
      </c>
      <c r="O120" s="13">
        <f>N120*VLOOKUP('Données projet'!$B$9,Paramètres!$A$1:$I$89,3,0)*VLOOKUP('Données projet'!$B$9,Paramètres!$A$1:$I$89,5,0)</f>
        <v>356.0397048000001</v>
      </c>
      <c r="P120" s="13">
        <f t="shared" si="87"/>
        <v>82.804908123771014</v>
      </c>
      <c r="Q120" s="20">
        <f t="shared" si="107"/>
        <v>764.321034175568</v>
      </c>
      <c r="R120" s="59">
        <f t="shared" si="55"/>
        <v>1046.6522460273334</v>
      </c>
      <c r="S120" s="59">
        <f ca="1">AVERAGE(OFFSET($R$3,0,0,'Données projet'!$E$9+1,1))-AVERAGE(OFFSET($H$3,0,0,'Données projet'!$E$9+1,1))</f>
        <v>664.27707313486087</v>
      </c>
      <c r="T120" s="59">
        <f t="shared" si="88"/>
        <v>206.64483278066874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104.15139111254811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104.15139111254811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66.999421414117805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5.2499999999990337</v>
      </c>
      <c r="AJ120" s="13">
        <f>AI120*VLOOKUP('Données projet'!$B$10,Paramètres!$A$1:$I$89,3,0)*VLOOKUP('Données projet'!$B$10,Paramètres!$A$1:$I$89,5,0)</f>
        <v>2.4569999999995478</v>
      </c>
      <c r="AK120" s="13">
        <f t="shared" si="89"/>
        <v>1.0197977774625564</v>
      </c>
      <c r="AL120" s="20">
        <f t="shared" si="58"/>
        <v>6.0554227957464972</v>
      </c>
      <c r="AM120" s="59">
        <f t="shared" si="59"/>
        <v>288.38663464751181</v>
      </c>
      <c r="AN120" s="59">
        <f ca="1">AVERAGE(OFFSET($AM$3,0,0,'Données projet'!$E$10+1,1))-AVERAGE(OFFSET($H$3,0,0,'Données projet'!$E$10+1,1))</f>
        <v>329.7518221182429</v>
      </c>
      <c r="AO120" s="59">
        <f t="shared" si="90"/>
        <v>207.30737400651807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207.30091498539187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207.30091498539187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66.999421414117805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189.62971370839551</v>
      </c>
      <c r="BJ120" s="59">
        <f t="shared" si="92"/>
        <v>457.05149684588173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22.050938519206412</v>
      </c>
      <c r="BQ120" s="21">
        <f>EXP(-LN(2)/25)*BQ119+(1-EXP(-LN(2)/25))/(LN(2)/25)*Calculateur!BL120*Calculateur!BN120*VLOOKUP('Données projet'!$B$11,Paramètres!$A$1:$I$89,3,0)*0.475*44/12</f>
        <v>1.2885261593990858</v>
      </c>
      <c r="BR120" s="21">
        <f>EXP(-LN(2)/2)*BR119+(1-EXP(-LN(2)/2))/(LN(2)/2)*BL120*BO120*VLOOKUP('Données projet'!$B$11,Paramètres!$A$1:$I$89,3,0)*0.475*44/12</f>
        <v>3.6144387354575905E-15</v>
      </c>
      <c r="BS120" s="22">
        <f t="shared" si="63"/>
        <v>23.339464678605502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66.999421414117805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170.04605856785227</v>
      </c>
      <c r="CE120" s="59">
        <f t="shared" si="94"/>
        <v>377.63973197638802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11.802361613214551</v>
      </c>
      <c r="CL120" s="21">
        <f>EXP(-LN(2)/25)*CL119+(1-EXP(-LN(2)/25))/(LN(2)/25)*Calculateur!CG120*Calculateur!CI120*VLOOKUP('Données projet'!$B$12,Paramètres!$A$1:$I$89,3,0)*0.475*44/12</f>
        <v>1.4868627316505509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13.289224344865101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66.999421414117805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66.999421414117805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66.999421414117805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66.999421414117805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66.999421414117805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66.999421414117805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4.6500000000000004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17.05</v>
      </c>
      <c r="H121" s="66">
        <f t="shared" si="56"/>
        <v>188.46666666666667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67.051474744294111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8.3369999999999997</v>
      </c>
      <c r="N121" s="13">
        <f>IF('Données projet'!$A$36&gt;35,N120+M121-V120,IF(A121&lt;'Données projet'!$A$36,$K$205^A121,IF(A121='Données projet'!$A$36,'Données projet'!$B$36,N120+M121-V120)))</f>
        <v>401.83800000000014</v>
      </c>
      <c r="O121" s="13">
        <f>N121*VLOOKUP('Données projet'!$B$9,Paramètres!$A$1:$I$89,3,0)*VLOOKUP('Données projet'!$B$9,Paramètres!$A$1:$I$89,5,0)</f>
        <v>363.58302240000012</v>
      </c>
      <c r="P121" s="13">
        <f t="shared" si="87"/>
        <v>84.353168800537972</v>
      </c>
      <c r="Q121" s="20">
        <f t="shared" si="107"/>
        <v>780.15553300760382</v>
      </c>
      <c r="R121" s="59">
        <f t="shared" si="55"/>
        <v>1062.6776070700155</v>
      </c>
      <c r="S121" s="59">
        <f ca="1">AVERAGE(OFFSET($R$3,0,0,'Données projet'!$E$9+1,1))-AVERAGE(OFFSET($H$3,0,0,'Données projet'!$E$9+1,1))</f>
        <v>664.27707313486087</v>
      </c>
      <c r="T121" s="59">
        <f t="shared" si="88"/>
        <v>206.64483278066874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102.10904585890694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102.10904585890694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67.051474744294111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5.2499999999990337</v>
      </c>
      <c r="AJ121" s="13">
        <f>AI121*VLOOKUP('Données projet'!$B$10,Paramètres!$A$1:$I$89,3,0)*VLOOKUP('Données projet'!$B$10,Paramètres!$A$1:$I$89,5,0)</f>
        <v>2.4569999999995478</v>
      </c>
      <c r="AK121" s="13">
        <f t="shared" si="89"/>
        <v>1.0197977774625564</v>
      </c>
      <c r="AL121" s="20">
        <f t="shared" si="58"/>
        <v>6.0554227957464972</v>
      </c>
      <c r="AM121" s="59">
        <f t="shared" si="59"/>
        <v>288.57749685815821</v>
      </c>
      <c r="AN121" s="59">
        <f ca="1">AVERAGE(OFFSET($AM$3,0,0,'Données projet'!$E$10+1,1))-AVERAGE(OFFSET($H$3,0,0,'Données projet'!$E$10+1,1))</f>
        <v>329.7518221182429</v>
      </c>
      <c r="AO121" s="59">
        <f t="shared" si="90"/>
        <v>207.30737400651807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203.23587048360145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203.23587048360145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67.051474744294111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189.62971370839551</v>
      </c>
      <c r="BJ121" s="59">
        <f t="shared" si="92"/>
        <v>457.05149684588173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21.618533064589219</v>
      </c>
      <c r="BQ121" s="21">
        <f>EXP(-LN(2)/25)*BQ120+(1-EXP(-LN(2)/25))/(LN(2)/25)*Calculateur!BL121*Calculateur!BN121*VLOOKUP('Données projet'!$B$11,Paramètres!$A$1:$I$89,3,0)*0.475*44/12</f>
        <v>1.253291343809672</v>
      </c>
      <c r="BR121" s="21">
        <f>EXP(-LN(2)/2)*BR120+(1-EXP(-LN(2)/2))/(LN(2)/2)*BL121*BO121*VLOOKUP('Données projet'!$B$11,Paramètres!$A$1:$I$89,3,0)*0.475*44/12</f>
        <v>2.555794140025392E-15</v>
      </c>
      <c r="BS121" s="22">
        <f t="shared" si="63"/>
        <v>22.871824408398894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67.051474744294111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170.04605856785227</v>
      </c>
      <c r="CE121" s="59">
        <f t="shared" si="94"/>
        <v>377.63973197638802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11.570924500709182</v>
      </c>
      <c r="CL121" s="21">
        <f>EXP(-LN(2)/25)*CL120+(1-EXP(-LN(2)/25))/(LN(2)/25)*Calculateur!CG121*Calculateur!CI121*VLOOKUP('Données projet'!$B$12,Paramètres!$A$1:$I$89,3,0)*0.475*44/12</f>
        <v>1.4462043920628538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13.017128892772035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67.051474744294111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67.051474744294111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67.051474744294111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67.051474744294111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67.051474744294111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67.051474744294111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4.6500000000000004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17.05</v>
      </c>
      <c r="H122" s="66">
        <f t="shared" si="56"/>
        <v>188.46666666666667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67.102625065565675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8.3369999999999997</v>
      </c>
      <c r="N122" s="13">
        <f>IF('Données projet'!$A$36&gt;35,N121+M122-V121,IF(A122&lt;'Données projet'!$A$36,$K$205^A122,IF(A122='Données projet'!$A$36,'Données projet'!$B$36,N121+M122-V121)))</f>
        <v>410.17500000000013</v>
      </c>
      <c r="O122" s="13">
        <f>N122*VLOOKUP('Données projet'!$B$9,Paramètres!$A$1:$I$89,3,0)*VLOOKUP('Données projet'!$B$9,Paramètres!$A$1:$I$89,5,0)</f>
        <v>371.12634000000008</v>
      </c>
      <c r="P122" s="13">
        <f t="shared" si="87"/>
        <v>85.897694701832052</v>
      </c>
      <c r="Q122" s="20">
        <f t="shared" si="107"/>
        <v>795.98352710569088</v>
      </c>
      <c r="R122" s="59">
        <f t="shared" si="55"/>
        <v>1078.6931523460985</v>
      </c>
      <c r="S122" s="59">
        <f ca="1">AVERAGE(OFFSET($R$3,0,0,'Données projet'!$E$9+1,1))-AVERAGE(OFFSET($H$3,0,0,'Données projet'!$E$9+1,1))</f>
        <v>664.27707313486087</v>
      </c>
      <c r="T122" s="59">
        <f t="shared" si="88"/>
        <v>206.64483278066874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100.10674974998207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100.10674974998207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67.102625065565675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5.2499999999990337</v>
      </c>
      <c r="AJ122" s="13">
        <f>AI122*VLOOKUP('Données projet'!$B$10,Paramètres!$A$1:$I$89,3,0)*VLOOKUP('Données projet'!$B$10,Paramètres!$A$1:$I$89,5,0)</f>
        <v>2.4569999999995478</v>
      </c>
      <c r="AK122" s="13">
        <f t="shared" si="89"/>
        <v>1.0197977774625564</v>
      </c>
      <c r="AL122" s="20">
        <f t="shared" si="58"/>
        <v>6.0554227957464972</v>
      </c>
      <c r="AM122" s="59">
        <f t="shared" si="59"/>
        <v>288.76504803615398</v>
      </c>
      <c r="AN122" s="59">
        <f ca="1">AVERAGE(OFFSET($AM$3,0,0,'Données projet'!$E$10+1,1))-AVERAGE(OFFSET($H$3,0,0,'Données projet'!$E$10+1,1))</f>
        <v>329.7518221182429</v>
      </c>
      <c r="AO122" s="59">
        <f t="shared" si="90"/>
        <v>207.30737400651807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199.25053902505883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199.25053902505883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67.102625065565675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189.62971370839551</v>
      </c>
      <c r="BJ122" s="59">
        <f t="shared" si="92"/>
        <v>457.05149684588173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21.194606817195783</v>
      </c>
      <c r="BQ122" s="21">
        <f>EXP(-LN(2)/25)*BQ121+(1-EXP(-LN(2)/25))/(LN(2)/25)*Calculateur!BL122*Calculateur!BN122*VLOOKUP('Données projet'!$B$11,Paramètres!$A$1:$I$89,3,0)*0.475*44/12</f>
        <v>1.2190200261054691</v>
      </c>
      <c r="BR122" s="21">
        <f>EXP(-LN(2)/2)*BR121+(1-EXP(-LN(2)/2))/(LN(2)/2)*BL122*BO122*VLOOKUP('Données projet'!$B$11,Paramètres!$A$1:$I$89,3,0)*0.475*44/12</f>
        <v>1.8072193677287952E-15</v>
      </c>
      <c r="BS122" s="22">
        <f t="shared" si="63"/>
        <v>22.413626843301255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67.102625065565675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170.04605856785227</v>
      </c>
      <c r="CE122" s="59">
        <f t="shared" si="94"/>
        <v>377.63973197638802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11.344025728817345</v>
      </c>
      <c r="CL122" s="21">
        <f>EXP(-LN(2)/25)*CL121+(1-EXP(-LN(2)/25))/(LN(2)/25)*Calculateur!CG122*Calculateur!CI122*VLOOKUP('Données projet'!$B$12,Paramètres!$A$1:$I$89,3,0)*0.475*44/12</f>
        <v>1.4066578569093113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12.750683585726655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67.102625065565675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67.102625065565675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67.102625065565675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67.102625065565675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67.102625065565675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67.102625065565675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4.6500000000000004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17.05</v>
      </c>
      <c r="H123" s="66">
        <f t="shared" si="56"/>
        <v>188.46666666666667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67.152888043118168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8.3369999999999997</v>
      </c>
      <c r="N123" s="13">
        <f>IF('Données projet'!$A$36&gt;35,N122+M123-V122,IF(A123&lt;'Données projet'!$A$36,$K$205^A123,IF(A123='Données projet'!$A$36,'Données projet'!$B$36,N122+M123-V122)))</f>
        <v>418.51200000000011</v>
      </c>
      <c r="O123" s="13">
        <f>N123*VLOOKUP('Données projet'!$B$9,Paramètres!$A$1:$I$89,3,0)*VLOOKUP('Données projet'!$B$9,Paramètres!$A$1:$I$89,5,0)</f>
        <v>378.66965760000005</v>
      </c>
      <c r="P123" s="13">
        <f t="shared" si="87"/>
        <v>87.438570486366189</v>
      </c>
      <c r="Q123" s="20">
        <f t="shared" si="107"/>
        <v>811.80516391708795</v>
      </c>
      <c r="R123" s="59">
        <f t="shared" si="55"/>
        <v>1094.6990867418544</v>
      </c>
      <c r="S123" s="59">
        <f ca="1">AVERAGE(OFFSET($R$3,0,0,'Données projet'!$E$9+1,1))-AVERAGE(OFFSET($H$3,0,0,'Données projet'!$E$9+1,1))</f>
        <v>664.27707313486087</v>
      </c>
      <c r="T123" s="59">
        <f t="shared" si="88"/>
        <v>206.64483278066874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98.14371744647319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98.14371744647319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67.152888043118168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5.2499999999990337</v>
      </c>
      <c r="AJ123" s="13">
        <f>AI123*VLOOKUP('Données projet'!$B$10,Paramètres!$A$1:$I$89,3,0)*VLOOKUP('Données projet'!$B$10,Paramètres!$A$1:$I$89,5,0)</f>
        <v>2.4569999999995478</v>
      </c>
      <c r="AK123" s="13">
        <f t="shared" si="89"/>
        <v>1.0197977774625564</v>
      </c>
      <c r="AL123" s="20">
        <f t="shared" si="58"/>
        <v>6.0554227957464972</v>
      </c>
      <c r="AM123" s="59">
        <f t="shared" si="59"/>
        <v>288.9493456205131</v>
      </c>
      <c r="AN123" s="59">
        <f ca="1">AVERAGE(OFFSET($AM$3,0,0,'Données projet'!$E$10+1,1))-AVERAGE(OFFSET($H$3,0,0,'Données projet'!$E$10+1,1))</f>
        <v>329.7518221182429</v>
      </c>
      <c r="AO123" s="59">
        <f t="shared" si="90"/>
        <v>207.30737400651807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195.34335748560605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195.34335748560605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67.152888043118168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189.62971370839551</v>
      </c>
      <c r="BJ123" s="59">
        <f t="shared" si="92"/>
        <v>457.05149684588173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20.778993504944253</v>
      </c>
      <c r="BQ123" s="21">
        <f>EXP(-LN(2)/25)*BQ122+(1-EXP(-LN(2)/25))/(LN(2)/25)*Calculateur!BL123*Calculateur!BN123*VLOOKUP('Données projet'!$B$11,Paramètres!$A$1:$I$89,3,0)*0.475*44/12</f>
        <v>1.1856858593861379</v>
      </c>
      <c r="BR123" s="21">
        <f>EXP(-LN(2)/2)*BR122+(1-EXP(-LN(2)/2))/(LN(2)/2)*BL123*BO123*VLOOKUP('Données projet'!$B$11,Paramètres!$A$1:$I$89,3,0)*0.475*44/12</f>
        <v>1.277897070012696E-15</v>
      </c>
      <c r="BS123" s="22">
        <f t="shared" si="63"/>
        <v>21.96467936433039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67.152888043118168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170.04605856785227</v>
      </c>
      <c r="CE123" s="59">
        <f t="shared" si="94"/>
        <v>377.63973197638802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11.12157630344772</v>
      </c>
      <c r="CL123" s="21">
        <f>EXP(-LN(2)/25)*CL122+(1-EXP(-LN(2)/25))/(LN(2)/25)*Calculateur!CG123*Calculateur!CI123*VLOOKUP('Données projet'!$B$12,Paramètres!$A$1:$I$89,3,0)*0.475*44/12</f>
        <v>1.3681927238392044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12.489769027286924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67.152888043118168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67.152888043118168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67.152888043118168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67.152888043118168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67.152888043118168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67.152888043118168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4.6500000000000004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17.05</v>
      </c>
      <c r="H124" s="66">
        <f t="shared" si="56"/>
        <v>188.46666666666667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67.202279070381323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8.3369999999999997</v>
      </c>
      <c r="N124" s="13">
        <f>IF('Données projet'!$A$36&gt;35,N123+M124-V123,IF(A124&lt;'Données projet'!$A$36,$K$205^A124,IF(A124='Données projet'!$A$36,'Données projet'!$B$36,N123+M124-V123)))</f>
        <v>426.8490000000001</v>
      </c>
      <c r="O124" s="13">
        <f>N124*VLOOKUP('Données projet'!$B$9,Paramètres!$A$1:$I$89,3,0)*VLOOKUP('Données projet'!$B$9,Paramètres!$A$1:$I$89,5,0)</f>
        <v>386.21297520000007</v>
      </c>
      <c r="P124" s="13">
        <f t="shared" si="87"/>
        <v>88.975877247077207</v>
      </c>
      <c r="Q124" s="20">
        <f t="shared" si="107"/>
        <v>827.62058467865961</v>
      </c>
      <c r="R124" s="59">
        <f t="shared" si="55"/>
        <v>1110.6956079367244</v>
      </c>
      <c r="S124" s="59">
        <f ca="1">AVERAGE(OFFSET($R$3,0,0,'Données projet'!$E$9+1,1))-AVERAGE(OFFSET($H$3,0,0,'Données projet'!$E$9+1,1))</f>
        <v>664.27707313486087</v>
      </c>
      <c r="T124" s="59">
        <f t="shared" si="88"/>
        <v>206.64483278066874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96.219179009104636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96.219179009104636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67.202279070381323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5.2499999999990337</v>
      </c>
      <c r="AJ124" s="13">
        <f>AI124*VLOOKUP('Données projet'!$B$10,Paramètres!$A$1:$I$89,3,0)*VLOOKUP('Données projet'!$B$10,Paramètres!$A$1:$I$89,5,0)</f>
        <v>2.4569999999995478</v>
      </c>
      <c r="AK124" s="13">
        <f t="shared" si="89"/>
        <v>1.0197977774625564</v>
      </c>
      <c r="AL124" s="20">
        <f t="shared" si="58"/>
        <v>6.0554227957464972</v>
      </c>
      <c r="AM124" s="59">
        <f t="shared" si="59"/>
        <v>289.13044605381134</v>
      </c>
      <c r="AN124" s="59">
        <f ca="1">AVERAGE(OFFSET($AM$3,0,0,'Données projet'!$E$10+1,1))-AVERAGE(OFFSET($H$3,0,0,'Données projet'!$E$10+1,1))</f>
        <v>329.7518221182429</v>
      </c>
      <c r="AO124" s="59">
        <f t="shared" si="90"/>
        <v>207.30737400651807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191.51279339299651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191.51279339299651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67.202279070381323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189.62971370839551</v>
      </c>
      <c r="BJ124" s="59">
        <f t="shared" si="92"/>
        <v>457.05149684588173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20.371530116246888</v>
      </c>
      <c r="BQ124" s="21">
        <f>EXP(-LN(2)/25)*BQ123+(1-EXP(-LN(2)/25))/(LN(2)/25)*Calculateur!BL124*Calculateur!BN124*VLOOKUP('Données projet'!$B$11,Paramètres!$A$1:$I$89,3,0)*0.475*44/12</f>
        <v>1.1532632172087145</v>
      </c>
      <c r="BR124" s="21">
        <f>EXP(-LN(2)/2)*BR123+(1-EXP(-LN(2)/2))/(LN(2)/2)*BL124*BO124*VLOOKUP('Données projet'!$B$11,Paramètres!$A$1:$I$89,3,0)*0.475*44/12</f>
        <v>9.0360968386439761E-16</v>
      </c>
      <c r="BS124" s="22">
        <f t="shared" si="63"/>
        <v>21.524793333455602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67.202279070381323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170.04605856785227</v>
      </c>
      <c r="CE124" s="59">
        <f t="shared" si="94"/>
        <v>377.63973197638802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10.903488975628841</v>
      </c>
      <c r="CL124" s="21">
        <f>EXP(-LN(2)/25)*CL123+(1-EXP(-LN(2)/25))/(LN(2)/25)*Calculateur!CG124*Calculateur!CI124*VLOOKUP('Données projet'!$B$12,Paramètres!$A$1:$I$89,3,0)*0.475*44/12</f>
        <v>1.330779421855693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12.234268397484534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67.202279070381323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67.202279070381323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67.202279070381323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67.202279070381323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67.202279070381323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67.202279070381323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4.6500000000000004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17.05</v>
      </c>
      <c r="H125" s="66">
        <f t="shared" si="56"/>
        <v>188.46666666666667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67.250813273743233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8.3369999999999997</v>
      </c>
      <c r="N125" s="13">
        <f>IF('Données projet'!$A$36&gt;35,N124+M125-V124,IF(A125&lt;'Données projet'!$A$36,$K$205^A125,IF(A125='Données projet'!$A$36,'Données projet'!$B$36,N124+M125-V124)))</f>
        <v>435.18600000000009</v>
      </c>
      <c r="O125" s="13">
        <f>N125*VLOOKUP('Données projet'!$B$9,Paramètres!$A$1:$I$89,3,0)*VLOOKUP('Données projet'!$B$9,Paramètres!$A$1:$I$89,5,0)</f>
        <v>393.75629280000004</v>
      </c>
      <c r="P125" s="13">
        <f t="shared" si="87"/>
        <v>90.509692727976613</v>
      </c>
      <c r="Q125" s="20">
        <f t="shared" si="107"/>
        <v>843.42992479455927</v>
      </c>
      <c r="R125" s="59">
        <f t="shared" si="55"/>
        <v>1126.6829067982844</v>
      </c>
      <c r="S125" s="59">
        <f ca="1">AVERAGE(OFFSET($R$3,0,0,'Données projet'!$E$9+1,1))-AVERAGE(OFFSET($H$3,0,0,'Données projet'!$E$9+1,1))</f>
        <v>664.27707313486087</v>
      </c>
      <c r="T125" s="59">
        <f t="shared" si="88"/>
        <v>206.64483278066874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94.332379596640337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94.332379596640337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67.250813273743233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5.2499999999990337</v>
      </c>
      <c r="AJ125" s="13">
        <f>AI125*VLOOKUP('Données projet'!$B$10,Paramètres!$A$1:$I$89,3,0)*VLOOKUP('Données projet'!$B$10,Paramètres!$A$1:$I$89,5,0)</f>
        <v>2.4569999999995478</v>
      </c>
      <c r="AK125" s="13">
        <f t="shared" si="89"/>
        <v>1.0197977774625564</v>
      </c>
      <c r="AL125" s="20">
        <f t="shared" si="58"/>
        <v>6.0554227957464972</v>
      </c>
      <c r="AM125" s="59">
        <f t="shared" si="59"/>
        <v>289.3084047994717</v>
      </c>
      <c r="AN125" s="59">
        <f ca="1">AVERAGE(OFFSET($AM$3,0,0,'Données projet'!$E$10+1,1))-AVERAGE(OFFSET($H$3,0,0,'Données projet'!$E$10+1,1))</f>
        <v>329.7518221182429</v>
      </c>
      <c r="AO125" s="59">
        <f t="shared" si="90"/>
        <v>207.30737400651807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187.75734432582968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187.75734432582968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67.250813273743233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189.62971370839551</v>
      </c>
      <c r="BJ125" s="59">
        <f t="shared" si="92"/>
        <v>457.05149684588173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19.972056836073751</v>
      </c>
      <c r="BQ125" s="21">
        <f>EXP(-LN(2)/25)*BQ124+(1-EXP(-LN(2)/25))/(LN(2)/25)*Calculateur!BL125*Calculateur!BN125*VLOOKUP('Données projet'!$B$11,Paramètres!$A$1:$I$89,3,0)*0.475*44/12</f>
        <v>1.1217271738866654</v>
      </c>
      <c r="BR125" s="21">
        <f>EXP(-LN(2)/2)*BR124+(1-EXP(-LN(2)/2))/(LN(2)/2)*BL125*BO125*VLOOKUP('Données projet'!$B$11,Paramètres!$A$1:$I$89,3,0)*0.475*44/12</f>
        <v>6.3894853500634799E-16</v>
      </c>
      <c r="BS125" s="22">
        <f t="shared" si="63"/>
        <v>21.093784009960416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67.250813273743233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170.04605856785227</v>
      </c>
      <c r="CE125" s="59">
        <f t="shared" si="94"/>
        <v>377.63973197638802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10.689678207288354</v>
      </c>
      <c r="CL125" s="21">
        <f>EXP(-LN(2)/25)*CL124+(1-EXP(-LN(2)/25))/(LN(2)/25)*Calculateur!CG125*Calculateur!CI125*VLOOKUP('Données projet'!$B$12,Paramètres!$A$1:$I$89,3,0)*0.475*44/12</f>
        <v>1.2943891885824008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11.984067395870754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67.250813273743233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67.250813273743233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67.250813273743233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67.250813273743233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67.250813273743233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67.250813273743233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4.6500000000000004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17.05</v>
      </c>
      <c r="H126" s="66">
        <f t="shared" si="56"/>
        <v>188.46666666666667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67.298505517183045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8.3369999999999997</v>
      </c>
      <c r="N126" s="13">
        <f>IF('Données projet'!$A$36&gt;35,N125+M126-V125,IF(A126&lt;'Données projet'!$A$36,$K$205^A126,IF(A126='Données projet'!$A$36,'Données projet'!$B$36,N125+M126-V125)))</f>
        <v>443.52300000000008</v>
      </c>
      <c r="O126" s="13">
        <f>N126*VLOOKUP('Données projet'!$B$9,Paramètres!$A$1:$I$89,3,0)*VLOOKUP('Données projet'!$B$9,Paramètres!$A$1:$I$89,5,0)</f>
        <v>401.29961040000006</v>
      </c>
      <c r="P126" s="13">
        <f t="shared" si="87"/>
        <v>92.040091523913034</v>
      </c>
      <c r="Q126" s="20">
        <f t="shared" si="107"/>
        <v>859.23331418414864</v>
      </c>
      <c r="R126" s="59">
        <f t="shared" si="55"/>
        <v>1142.6611677471531</v>
      </c>
      <c r="S126" s="59">
        <f ca="1">AVERAGE(OFFSET($R$3,0,0,'Données projet'!$E$9+1,1))-AVERAGE(OFFSET($H$3,0,0,'Données projet'!$E$9+1,1))</f>
        <v>664.27707313486087</v>
      </c>
      <c r="T126" s="59">
        <f t="shared" si="88"/>
        <v>206.64483278066874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92.482579169820454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92.482579169820454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67.298505517183045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5.2499999999990337</v>
      </c>
      <c r="AJ126" s="13">
        <f>AI126*VLOOKUP('Données projet'!$B$10,Paramètres!$A$1:$I$89,3,0)*VLOOKUP('Données projet'!$B$10,Paramètres!$A$1:$I$89,5,0)</f>
        <v>2.4569999999995478</v>
      </c>
      <c r="AK126" s="13">
        <f t="shared" si="89"/>
        <v>1.0197977774625564</v>
      </c>
      <c r="AL126" s="20">
        <f t="shared" si="58"/>
        <v>6.0554227957464972</v>
      </c>
      <c r="AM126" s="59">
        <f t="shared" si="59"/>
        <v>289.48327635875097</v>
      </c>
      <c r="AN126" s="59">
        <f ca="1">AVERAGE(OFFSET($AM$3,0,0,'Données projet'!$E$10+1,1))-AVERAGE(OFFSET($H$3,0,0,'Données projet'!$E$10+1,1))</f>
        <v>329.7518221182429</v>
      </c>
      <c r="AO126" s="59">
        <f t="shared" si="90"/>
        <v>207.30737400651807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184.07553732427223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184.07553732427223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67.298505517183045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189.62971370839551</v>
      </c>
      <c r="BJ126" s="59">
        <f t="shared" si="92"/>
        <v>457.05149684588173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19.580416983270165</v>
      </c>
      <c r="BQ126" s="21">
        <f>EXP(-LN(2)/25)*BQ125+(1-EXP(-LN(2)/25))/(LN(2)/25)*Calculateur!BL126*Calculateur!BN126*VLOOKUP('Données projet'!$B$11,Paramètres!$A$1:$I$89,3,0)*0.475*44/12</f>
        <v>1.0910534853276663</v>
      </c>
      <c r="BR126" s="21">
        <f>EXP(-LN(2)/2)*BR125+(1-EXP(-LN(2)/2))/(LN(2)/2)*BL126*BO126*VLOOKUP('Données projet'!$B$11,Paramètres!$A$1:$I$89,3,0)*0.475*44/12</f>
        <v>4.5180484193219881E-16</v>
      </c>
      <c r="BS126" s="22">
        <f t="shared" si="63"/>
        <v>20.671470468597832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67.298505517183045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170.04605856785227</v>
      </c>
      <c r="CE126" s="59">
        <f t="shared" si="94"/>
        <v>377.63973197638802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10.480060137703333</v>
      </c>
      <c r="CL126" s="21">
        <f>EXP(-LN(2)/25)*CL125+(1-EXP(-LN(2)/25))/(LN(2)/25)*Calculateur!CG126*Calculateur!CI126*VLOOKUP('Données projet'!$B$12,Paramètres!$A$1:$I$89,3,0)*0.475*44/12</f>
        <v>1.258994048151646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11.739054185854979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67.298505517183045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67.298505517183045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67.298505517183045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67.298505517183045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67.298505517183045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67.298505517183045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4.6500000000000004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17.05</v>
      </c>
      <c r="H127" s="66">
        <f t="shared" si="56"/>
        <v>188.46666666666667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67.345370406823065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451.86</v>
      </c>
      <c r="L127" s="12">
        <f>VLOOKUP(A127,'Données projet'!$A$35:$I$55,9,0)</f>
        <v>8.3369999999999997</v>
      </c>
      <c r="M127" s="12">
        <f t="array" ref="M127">INDEX(L:L,MIN(IF(ISNUMBER(L127:L323),ROW(L127:L323),"")))</f>
        <v>8.3369999999999997</v>
      </c>
      <c r="N127" s="13">
        <f>IF('Données projet'!$A$36&gt;35,N126+M127-V126,IF(A127&lt;'Données projet'!$A$36,$K$205^A127,IF(A127='Données projet'!$A$36,'Données projet'!$B$36,N126+M127-V126)))</f>
        <v>451.86000000000007</v>
      </c>
      <c r="O127" s="13">
        <f>N127*VLOOKUP('Données projet'!$B$9,Paramètres!$A$1:$I$89,3,0)*VLOOKUP('Données projet'!$B$9,Paramètres!$A$1:$I$89,5,0)</f>
        <v>408.84292800000003</v>
      </c>
      <c r="P127" s="13">
        <f t="shared" si="87"/>
        <v>93.567145264891124</v>
      </c>
      <c r="Q127" s="20">
        <f t="shared" si="107"/>
        <v>875.03087760301878</v>
      </c>
      <c r="R127" s="59">
        <f t="shared" si="55"/>
        <v>1158.6305690947033</v>
      </c>
      <c r="S127" s="59">
        <f ca="1">AVERAGE(OFFSET($R$3,0,0,'Données projet'!$E$9+1,1))-AVERAGE(OFFSET($H$3,0,0,'Données projet'!$E$9+1,1))</f>
        <v>664.27707313486087</v>
      </c>
      <c r="T127" s="59">
        <f t="shared" si="88"/>
        <v>206.64483278066874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52.53</v>
      </c>
      <c r="W127" s="16">
        <f>IF(ISNA(VLOOKUP(A127,'Données projet'!$A$35:$I$55,5,0)),0%,VLOOKUP(A127,'Données projet'!$A$35:$I$55,5,0)*VLOOKUP('Données projet'!$B$9,Paramètres!$A$1:$I$89,7,0))</f>
        <v>0.43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113.26213836942286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113.26213836942286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67.345370406823065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5.2499999999990337</v>
      </c>
      <c r="AJ127" s="13">
        <f>AI127*VLOOKUP('Données projet'!$B$10,Paramètres!$A$1:$I$89,3,0)*VLOOKUP('Données projet'!$B$10,Paramètres!$A$1:$I$89,5,0)</f>
        <v>2.4569999999995478</v>
      </c>
      <c r="AK127" s="13">
        <f t="shared" si="89"/>
        <v>1.0197977774625564</v>
      </c>
      <c r="AL127" s="20">
        <f t="shared" si="58"/>
        <v>6.0554227957464972</v>
      </c>
      <c r="AM127" s="59">
        <f t="shared" si="59"/>
        <v>289.65511428743105</v>
      </c>
      <c r="AN127" s="59">
        <f ca="1">AVERAGE(OFFSET($AM$3,0,0,'Données projet'!$E$10+1,1))-AVERAGE(OFFSET($H$3,0,0,'Données projet'!$E$10+1,1))</f>
        <v>329.7518221182429</v>
      </c>
      <c r="AO127" s="59">
        <f t="shared" si="90"/>
        <v>207.30737400651807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180.4659283123348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180.4659283123348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67.345370406823065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189.62971370839551</v>
      </c>
      <c r="BJ127" s="59">
        <f t="shared" si="92"/>
        <v>457.05149684588173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19.196456949103336</v>
      </c>
      <c r="BQ127" s="21">
        <f>EXP(-LN(2)/25)*BQ126+(1-EXP(-LN(2)/25))/(LN(2)/25)*Calculateur!BL127*Calculateur!BN127*VLOOKUP('Données projet'!$B$11,Paramètres!$A$1:$I$89,3,0)*0.475*44/12</f>
        <v>1.061218570395372</v>
      </c>
      <c r="BR127" s="21">
        <f>EXP(-LN(2)/2)*BR126+(1-EXP(-LN(2)/2))/(LN(2)/2)*BL127*BO127*VLOOKUP('Données projet'!$B$11,Paramètres!$A$1:$I$89,3,0)*0.475*44/12</f>
        <v>3.1947426750317399E-16</v>
      </c>
      <c r="BS127" s="22">
        <f t="shared" si="63"/>
        <v>20.257675519498708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67.345370406823065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170.04605856785227</v>
      </c>
      <c r="CE127" s="59">
        <f t="shared" si="94"/>
        <v>377.63973197638802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10.274552550608476</v>
      </c>
      <c r="CL127" s="21">
        <f>EXP(-LN(2)/25)*CL126+(1-EXP(-LN(2)/25))/(LN(2)/25)*Calculateur!CG127*Calculateur!CI127*VLOOKUP('Données projet'!$B$12,Paramètres!$A$1:$I$89,3,0)*0.475*44/12</f>
        <v>1.2245667896973196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11.499119340305796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67.345370406823065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67.345370406823065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67.345370406823065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67.345370406823065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67.345370406823065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67.345370406823065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4.6500000000000004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17.05</v>
      </c>
      <c r="H128" s="66">
        <f t="shared" si="56"/>
        <v>188.46666666666667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67.391422295402009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8.4949999999999939</v>
      </c>
      <c r="N128" s="13">
        <f>IF('Données projet'!$A$36&gt;35,N127+M128-V127,IF(A128&lt;'Données projet'!$A$36,$K$205^A128,IF(A128='Données projet'!$A$36,'Données projet'!$B$36,N127+M128-V127)))</f>
        <v>407.82500000000005</v>
      </c>
      <c r="O128" s="13">
        <f>N128*VLOOKUP('Données projet'!$B$9,Paramètres!$A$1:$I$89,3,0)*VLOOKUP('Données projet'!$B$9,Paramètres!$A$1:$I$89,5,0)</f>
        <v>369.00006000000002</v>
      </c>
      <c r="P128" s="13">
        <f t="shared" si="87"/>
        <v>85.462702983001037</v>
      </c>
      <c r="Q128" s="20">
        <f t="shared" si="107"/>
        <v>791.52264552872691</v>
      </c>
      <c r="R128" s="59">
        <f t="shared" si="55"/>
        <v>1075.291193945201</v>
      </c>
      <c r="S128" s="59">
        <f ca="1">AVERAGE(OFFSET($R$3,0,0,'Données projet'!$E$9+1,1))-AVERAGE(OFFSET($H$3,0,0,'Données projet'!$E$9+1,1))</f>
        <v>664.27707313486087</v>
      </c>
      <c r="T128" s="59">
        <f t="shared" si="88"/>
        <v>206.64483278066874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111.0411369190815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111.0411369190815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67.391422295402009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5.2499999999990337</v>
      </c>
      <c r="AJ128" s="13">
        <f>AI128*VLOOKUP('Données projet'!$B$10,Paramètres!$A$1:$I$89,3,0)*VLOOKUP('Données projet'!$B$10,Paramètres!$A$1:$I$89,5,0)</f>
        <v>2.4569999999995478</v>
      </c>
      <c r="AK128" s="13">
        <f t="shared" si="89"/>
        <v>1.0197977774625564</v>
      </c>
      <c r="AL128" s="20">
        <f t="shared" si="58"/>
        <v>6.0554227957464972</v>
      </c>
      <c r="AM128" s="59">
        <f t="shared" si="59"/>
        <v>289.82397121222056</v>
      </c>
      <c r="AN128" s="59">
        <f ca="1">AVERAGE(OFFSET($AM$3,0,0,'Données projet'!$E$10+1,1))-AVERAGE(OFFSET($H$3,0,0,'Données projet'!$E$10+1,1))</f>
        <v>329.7518221182429</v>
      </c>
      <c r="AO128" s="59">
        <f t="shared" si="90"/>
        <v>207.30737400651807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176.92710153147735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176.92710153147735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67.391422295402009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189.62971370839551</v>
      </c>
      <c r="BJ128" s="59">
        <f t="shared" si="92"/>
        <v>457.05149684588173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18.820026137014022</v>
      </c>
      <c r="BQ128" s="21">
        <f>EXP(-LN(2)/25)*BQ127+(1-EXP(-LN(2)/25))/(LN(2)/25)*Calculateur!BL128*Calculateur!BN128*VLOOKUP('Données projet'!$B$11,Paramètres!$A$1:$I$89,3,0)*0.475*44/12</f>
        <v>1.0321994927808513</v>
      </c>
      <c r="BR128" s="21">
        <f>EXP(-LN(2)/2)*BR127+(1-EXP(-LN(2)/2))/(LN(2)/2)*BL128*BO128*VLOOKUP('Données projet'!$B$11,Paramètres!$A$1:$I$89,3,0)*0.475*44/12</f>
        <v>2.259024209660994E-16</v>
      </c>
      <c r="BS128" s="22">
        <f t="shared" si="63"/>
        <v>19.852225629794873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67.391422295402009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170.04605856785227</v>
      </c>
      <c r="CE128" s="59">
        <f t="shared" si="94"/>
        <v>377.63973197638802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10.0730748419493</v>
      </c>
      <c r="CL128" s="21">
        <f>EXP(-LN(2)/25)*CL127+(1-EXP(-LN(2)/25))/(LN(2)/25)*Calculateur!CG128*Calculateur!CI128*VLOOKUP('Données projet'!$B$12,Paramètres!$A$1:$I$89,3,0)*0.475*44/12</f>
        <v>1.1910809464358776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11.264155788385178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67.391422295402009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67.391422295402009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67.391422295402009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67.391422295402009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67.391422295402009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67.391422295402009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4.6500000000000004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17.05</v>
      </c>
      <c r="H129" s="66">
        <f t="shared" si="56"/>
        <v>188.46666666666667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67.43667528667072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8.4949999999999939</v>
      </c>
      <c r="N129" s="13">
        <f>IF('Données projet'!$A$36&gt;35,N128+M129-V128,IF(A129&lt;'Données projet'!$A$36,$K$205^A129,IF(A129='Données projet'!$A$36,'Données projet'!$B$36,N128+M129-V128)))</f>
        <v>416.32000000000005</v>
      </c>
      <c r="O129" s="13">
        <f>N129*VLOOKUP('Données projet'!$B$9,Paramètres!$A$1:$I$89,3,0)*VLOOKUP('Données projet'!$B$9,Paramètres!$A$1:$I$89,5,0)</f>
        <v>376.68633600000004</v>
      </c>
      <c r="P129" s="13">
        <f t="shared" si="87"/>
        <v>87.033785855430708</v>
      </c>
      <c r="Q129" s="20">
        <f t="shared" si="107"/>
        <v>807.64587889820859</v>
      </c>
      <c r="R129" s="59">
        <f t="shared" si="55"/>
        <v>1091.5803549493346</v>
      </c>
      <c r="S129" s="59">
        <f ca="1">AVERAGE(OFFSET($R$3,0,0,'Données projet'!$E$9+1,1))-AVERAGE(OFFSET($H$3,0,0,'Données projet'!$E$9+1,1))</f>
        <v>664.27707313486087</v>
      </c>
      <c r="T129" s="59">
        <f t="shared" si="88"/>
        <v>206.64483278066874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108.86368795250421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108.86368795250421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67.43667528667072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5.2499999999990337</v>
      </c>
      <c r="AJ129" s="13">
        <f>AI129*VLOOKUP('Données projet'!$B$10,Paramètres!$A$1:$I$89,3,0)*VLOOKUP('Données projet'!$B$10,Paramètres!$A$1:$I$89,5,0)</f>
        <v>2.4569999999995478</v>
      </c>
      <c r="AK129" s="13">
        <f t="shared" si="89"/>
        <v>1.0197977774625564</v>
      </c>
      <c r="AL129" s="20">
        <f t="shared" si="58"/>
        <v>6.0554227957464972</v>
      </c>
      <c r="AM129" s="59">
        <f t="shared" si="59"/>
        <v>289.98989884687245</v>
      </c>
      <c r="AN129" s="59">
        <f ca="1">AVERAGE(OFFSET($AM$3,0,0,'Données projet'!$E$10+1,1))-AVERAGE(OFFSET($H$3,0,0,'Données projet'!$E$10+1,1))</f>
        <v>329.7518221182429</v>
      </c>
      <c r="AO129" s="59">
        <f t="shared" si="90"/>
        <v>207.30737400651807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173.45766898532131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173.45766898532131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67.43667528667072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189.62971370839551</v>
      </c>
      <c r="BJ129" s="59">
        <f t="shared" si="92"/>
        <v>457.05149684588173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18.450976903549655</v>
      </c>
      <c r="BQ129" s="21">
        <f>EXP(-LN(2)/25)*BQ128+(1-EXP(-LN(2)/25))/(LN(2)/25)*Calculateur!BL129*Calculateur!BN129*VLOOKUP('Données projet'!$B$11,Paramètres!$A$1:$I$89,3,0)*0.475*44/12</f>
        <v>1.0039739433697468</v>
      </c>
      <c r="BR129" s="21">
        <f>EXP(-LN(2)/2)*BR128+(1-EXP(-LN(2)/2))/(LN(2)/2)*BL129*BO129*VLOOKUP('Données projet'!$B$11,Paramètres!$A$1:$I$89,3,0)*0.475*44/12</f>
        <v>1.59737133751587E-16</v>
      </c>
      <c r="BS129" s="22">
        <f t="shared" si="63"/>
        <v>19.454950846919402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67.43667528667072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170.04605856785227</v>
      </c>
      <c r="CE129" s="59">
        <f t="shared" si="94"/>
        <v>377.63973197638802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9.8755479882676607</v>
      </c>
      <c r="CL129" s="21">
        <f>EXP(-LN(2)/25)*CL128+(1-EXP(-LN(2)/25))/(LN(2)/25)*Calculateur!CG129*Calculateur!CI129*VLOOKUP('Données projet'!$B$12,Paramètres!$A$1:$I$89,3,0)*0.475*44/12</f>
        <v>1.1585107753193638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11.034058763587025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67.43667528667072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67.43667528667072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67.43667528667072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67.43667528667072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67.43667528667072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67.43667528667072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4.6500000000000004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17.05</v>
      </c>
      <c r="H130" s="66">
        <f t="shared" si="56"/>
        <v>188.46666666666667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67.481143239711457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8.4949999999999939</v>
      </c>
      <c r="N130" s="13">
        <f>IF('Données projet'!$A$36&gt;35,N129+M130-V129,IF(A130&lt;'Données projet'!$A$36,$K$205^A130,IF(A130='Données projet'!$A$36,'Données projet'!$B$36,N129+M130-V129)))</f>
        <v>424.81500000000005</v>
      </c>
      <c r="O130" s="13">
        <f>N130*VLOOKUP('Données projet'!$B$9,Paramètres!$A$1:$I$89,3,0)*VLOOKUP('Données projet'!$B$9,Paramètres!$A$1:$I$89,5,0)</f>
        <v>384.37261200000006</v>
      </c>
      <c r="P130" s="13">
        <f t="shared" si="87"/>
        <v>88.6011413417054</v>
      </c>
      <c r="Q130" s="20">
        <f t="shared" si="107"/>
        <v>823.76262040347035</v>
      </c>
      <c r="R130" s="59">
        <f t="shared" si="55"/>
        <v>1107.8601456157458</v>
      </c>
      <c r="S130" s="59">
        <f ca="1">AVERAGE(OFFSET($R$3,0,0,'Données projet'!$E$9+1,1))-AVERAGE(OFFSET($H$3,0,0,'Données projet'!$E$9+1,1))</f>
        <v>664.27707313486087</v>
      </c>
      <c r="T130" s="59">
        <f t="shared" si="88"/>
        <v>206.64483278066874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106.72893743204877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106.72893743204877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67.481143239711457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5.2499999999990337</v>
      </c>
      <c r="AJ130" s="13">
        <f>AI130*VLOOKUP('Données projet'!$B$10,Paramètres!$A$1:$I$89,3,0)*VLOOKUP('Données projet'!$B$10,Paramètres!$A$1:$I$89,5,0)</f>
        <v>2.4569999999995478</v>
      </c>
      <c r="AK130" s="13">
        <f t="shared" si="89"/>
        <v>1.0197977774625564</v>
      </c>
      <c r="AL130" s="20">
        <f t="shared" si="58"/>
        <v>6.0554227957464972</v>
      </c>
      <c r="AM130" s="59">
        <f t="shared" si="59"/>
        <v>290.15294800802184</v>
      </c>
      <c r="AN130" s="59">
        <f ca="1">AVERAGE(OFFSET($AM$3,0,0,'Données projet'!$E$10+1,1))-AVERAGE(OFFSET($H$3,0,0,'Données projet'!$E$10+1,1))</f>
        <v>329.7518221182429</v>
      </c>
      <c r="AO130" s="59">
        <f t="shared" si="90"/>
        <v>207.30737400651807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170.05626989525047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170.05626989525047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67.481143239711457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189.62971370839551</v>
      </c>
      <c r="BJ130" s="59">
        <f t="shared" si="92"/>
        <v>457.05149684588173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18.08916450045572</v>
      </c>
      <c r="BQ130" s="21">
        <f>EXP(-LN(2)/25)*BQ129+(1-EXP(-LN(2)/25))/(LN(2)/25)*Calculateur!BL130*Calculateur!BN130*VLOOKUP('Données projet'!$B$11,Paramètres!$A$1:$I$89,3,0)*0.475*44/12</f>
        <v>0.97652022309160602</v>
      </c>
      <c r="BR130" s="21">
        <f>EXP(-LN(2)/2)*BR129+(1-EXP(-LN(2)/2))/(LN(2)/2)*BL130*BO130*VLOOKUP('Données projet'!$B$11,Paramètres!$A$1:$I$89,3,0)*0.475*44/12</f>
        <v>1.129512104830497E-16</v>
      </c>
      <c r="BS130" s="22">
        <f t="shared" si="63"/>
        <v>19.065684723547324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67.481143239711457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170.04605856785227</v>
      </c>
      <c r="CE130" s="59">
        <f t="shared" si="94"/>
        <v>377.63973197638802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9.6818945157072349</v>
      </c>
      <c r="CL130" s="21">
        <f>EXP(-LN(2)/25)*CL129+(1-EXP(-LN(2)/25))/(LN(2)/25)*Calculateur!CG130*Calculateur!CI130*VLOOKUP('Données projet'!$B$12,Paramètres!$A$1:$I$89,3,0)*0.475*44/12</f>
        <v>1.1268312372448219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10.808725752952057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67.481143239711457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67.481143239711457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67.481143239711457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67.481143239711457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67.481143239711457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67.481143239711457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4.6500000000000004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17.05</v>
      </c>
      <c r="H131" s="66">
        <f t="shared" si="56"/>
        <v>188.46666666666667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67.524839773182379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8.4949999999999939</v>
      </c>
      <c r="N131" s="13">
        <f>IF('Données projet'!$A$36&gt;35,N130+M131-V130,IF(A131&lt;'Données projet'!$A$36,$K$205^A131,IF(A131='Données projet'!$A$36,'Données projet'!$B$36,N130+M131-V130)))</f>
        <v>433.31000000000006</v>
      </c>
      <c r="O131" s="13">
        <f>N131*VLOOKUP('Données projet'!$B$9,Paramètres!$A$1:$I$89,3,0)*VLOOKUP('Données projet'!$B$9,Paramètres!$A$1:$I$89,5,0)</f>
        <v>392.05888800000002</v>
      </c>
      <c r="P131" s="13">
        <f t="shared" si="87"/>
        <v>90.164852568581111</v>
      </c>
      <c r="Q131" s="20">
        <f t="shared" ref="Q131:Q153" si="108">(O131+P131)*0.475*44/12</f>
        <v>839.87301482361215</v>
      </c>
      <c r="R131" s="59">
        <f t="shared" ref="R131:R194" si="109">Q131+(I131+J131)*44/12</f>
        <v>1124.1307606586142</v>
      </c>
      <c r="S131" s="59">
        <f ca="1">AVERAGE(OFFSET($R$3,0,0,'Données projet'!$E$9+1,1))-AVERAGE(OFFSET($H$3,0,0,'Données projet'!$E$9+1,1))</f>
        <v>664.27707313486087</v>
      </c>
      <c r="T131" s="59">
        <f t="shared" si="88"/>
        <v>206.64483278066874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104.63604806723021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104.63604806723021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67.524839773182379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5.2499999999990337</v>
      </c>
      <c r="AJ131" s="13">
        <f>AI131*VLOOKUP('Données projet'!$B$10,Paramètres!$A$1:$I$89,3,0)*VLOOKUP('Données projet'!$B$10,Paramètres!$A$1:$I$89,5,0)</f>
        <v>2.4569999999995478</v>
      </c>
      <c r="AK131" s="13">
        <f t="shared" si="89"/>
        <v>1.0197977774625564</v>
      </c>
      <c r="AL131" s="20">
        <f t="shared" si="58"/>
        <v>6.0554227957464972</v>
      </c>
      <c r="AM131" s="59">
        <f t="shared" si="59"/>
        <v>290.31316863074852</v>
      </c>
      <c r="AN131" s="59">
        <f ca="1">AVERAGE(OFFSET($AM$3,0,0,'Données projet'!$E$10+1,1))-AVERAGE(OFFSET($H$3,0,0,'Données projet'!$E$10+1,1))</f>
        <v>329.7518221182429</v>
      </c>
      <c r="AO131" s="59">
        <f t="shared" si="90"/>
        <v>207.30737400651807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166.72157016668734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166.72157016668734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67.524839773182379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189.62971370839551</v>
      </c>
      <c r="BJ131" s="59">
        <f t="shared" si="92"/>
        <v>457.05149684588173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17.734447017902681</v>
      </c>
      <c r="BQ131" s="21">
        <f>EXP(-LN(2)/25)*BQ130+(1-EXP(-LN(2)/25))/(LN(2)/25)*Calculateur!BL131*Calculateur!BN131*VLOOKUP('Données projet'!$B$11,Paramètres!$A$1:$I$89,3,0)*0.475*44/12</f>
        <v>0.94981722623819942</v>
      </c>
      <c r="BR131" s="21">
        <f>EXP(-LN(2)/2)*BR130+(1-EXP(-LN(2)/2))/(LN(2)/2)*BL131*BO131*VLOOKUP('Données projet'!$B$11,Paramètres!$A$1:$I$89,3,0)*0.475*44/12</f>
        <v>7.9868566875793499E-17</v>
      </c>
      <c r="BS131" s="22">
        <f t="shared" si="63"/>
        <v>18.684264244140881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67.524839773182379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170.04605856785227</v>
      </c>
      <c r="CE131" s="59">
        <f t="shared" si="94"/>
        <v>377.63973197638802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9.4920384696267632</v>
      </c>
      <c r="CL131" s="21">
        <f>EXP(-LN(2)/25)*CL130+(1-EXP(-LN(2)/25))/(LN(2)/25)*Calculateur!CG131*Calculateur!CI131*VLOOKUP('Données projet'!$B$12,Paramètres!$A$1:$I$89,3,0)*0.475*44/12</f>
        <v>1.0960179778048829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10.588056447431645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67.524839773182379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67.524839773182379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67.524839773182379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67.524839773182379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67.524839773182379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67.524839773182379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4.6500000000000004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17.05</v>
      </c>
      <c r="H132" s="66">
        <f t="shared" ref="H132:H195" si="110">(B132+E132+F132)*44/12+(C132+D132)*0.475*44/12</f>
        <v>188.46666666666667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67.5677782694884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8.4949999999999939</v>
      </c>
      <c r="N132" s="13">
        <f>IF('Données projet'!$A$36&gt;35,N131+M132-V131,IF(A132&lt;'Données projet'!$A$36,$K$205^A132,IF(A132='Données projet'!$A$36,'Données projet'!$B$36,N131+M132-V131)))</f>
        <v>441.80500000000006</v>
      </c>
      <c r="O132" s="13">
        <f>N132*VLOOKUP('Données projet'!$B$9,Paramètres!$A$1:$I$89,3,0)*VLOOKUP('Données projet'!$B$9,Paramètres!$A$1:$I$89,5,0)</f>
        <v>399.7451640000001</v>
      </c>
      <c r="P132" s="13">
        <f t="shared" si="87"/>
        <v>91.724999217004651</v>
      </c>
      <c r="Q132" s="20">
        <f t="shared" si="108"/>
        <v>855.97720093628323</v>
      </c>
      <c r="R132" s="59">
        <f t="shared" si="109"/>
        <v>1140.3923879244073</v>
      </c>
      <c r="S132" s="59">
        <f ca="1">AVERAGE(OFFSET($R$3,0,0,'Données projet'!$E$9+1,1))-AVERAGE(OFFSET($H$3,0,0,'Données projet'!$E$9+1,1))</f>
        <v>664.27707313486087</v>
      </c>
      <c r="T132" s="59">
        <f t="shared" si="88"/>
        <v>206.64483278066874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102.58419898631928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102.58419898631928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67.5677782694884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5.2499999999990337</v>
      </c>
      <c r="AJ132" s="13">
        <f>AI132*VLOOKUP('Données projet'!$B$10,Paramètres!$A$1:$I$89,3,0)*VLOOKUP('Données projet'!$B$10,Paramètres!$A$1:$I$89,5,0)</f>
        <v>2.4569999999995478</v>
      </c>
      <c r="AK132" s="13">
        <f t="shared" si="89"/>
        <v>1.0197977774625564</v>
      </c>
      <c r="AL132" s="20">
        <f t="shared" ref="AL132:AL153" si="112">(AJ132+AK132)*0.475*44/12</f>
        <v>6.0554227957464972</v>
      </c>
      <c r="AM132" s="59">
        <f t="shared" ref="AM132:AM195" si="113">AL132+(AD132+AE132)*44/12</f>
        <v>290.47060978387066</v>
      </c>
      <c r="AN132" s="59">
        <f ca="1">AVERAGE(OFFSET($AM$3,0,0,'Données projet'!$E$10+1,1))-AVERAGE(OFFSET($H$3,0,0,'Données projet'!$E$10+1,1))</f>
        <v>329.7518221182429</v>
      </c>
      <c r="AO132" s="59">
        <f t="shared" si="90"/>
        <v>207.30737400651807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163.45226186583534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163.45226186583534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67.5677782694884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189.62971370839551</v>
      </c>
      <c r="BJ132" s="59">
        <f t="shared" si="92"/>
        <v>457.05149684588173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17.386685328826207</v>
      </c>
      <c r="BQ132" s="21">
        <f>EXP(-LN(2)/25)*BQ131+(1-EXP(-LN(2)/25))/(LN(2)/25)*Calculateur!BL132*Calculateur!BN132*VLOOKUP('Données projet'!$B$11,Paramètres!$A$1:$I$89,3,0)*0.475*44/12</f>
        <v>0.92384442423799873</v>
      </c>
      <c r="BR132" s="21">
        <f>EXP(-LN(2)/2)*BR131+(1-EXP(-LN(2)/2))/(LN(2)/2)*BL132*BO132*VLOOKUP('Données projet'!$B$11,Paramètres!$A$1:$I$89,3,0)*0.475*44/12</f>
        <v>5.6475605241524851E-17</v>
      </c>
      <c r="BS132" s="22">
        <f t="shared" ref="BS132:BS153" si="117">SUM(BP132:BR132)</f>
        <v>18.310529753064205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67.5677782694884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170.04605856785227</v>
      </c>
      <c r="CE132" s="59">
        <f t="shared" si="94"/>
        <v>377.63973197638802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9.3059053848091757</v>
      </c>
      <c r="CL132" s="21">
        <f>EXP(-LN(2)/25)*CL131+(1-EXP(-LN(2)/25))/(LN(2)/25)*Calculateur!CG132*Calculateur!CI132*VLOOKUP('Données projet'!$B$12,Paramètres!$A$1:$I$89,3,0)*0.475*44/12</f>
        <v>1.066047308564728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10.371952693373904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67.5677782694884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67.5677782694884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67.5677782694884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67.5677782694884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67.5677782694884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67.5677782694884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4.6500000000000004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17.05</v>
      </c>
      <c r="H133" s="66">
        <f t="shared" si="110"/>
        <v>188.46666666666667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67.609971878879605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8.4949999999999939</v>
      </c>
      <c r="N133" s="13">
        <f>IF('Données projet'!$A$36&gt;35,N132+M133-V132,IF(A133&lt;'Données projet'!$A$36,$K$205^A133,IF(A133='Données projet'!$A$36,'Données projet'!$B$36,N132+M133-V132)))</f>
        <v>450.30000000000007</v>
      </c>
      <c r="O133" s="13">
        <f>N133*VLOOKUP('Données projet'!$B$9,Paramètres!$A$1:$I$89,3,0)*VLOOKUP('Données projet'!$B$9,Paramètres!$A$1:$I$89,5,0)</f>
        <v>407.43144000000007</v>
      </c>
      <c r="P133" s="13">
        <f t="shared" ref="P133:P196" si="141">EXP(-1.0587+0.8836*LN(O133)+0.284)</f>
        <v>93.281657728412767</v>
      </c>
      <c r="Q133" s="20">
        <f t="shared" si="108"/>
        <v>872.07531187698567</v>
      </c>
      <c r="R133" s="59">
        <f t="shared" si="109"/>
        <v>1156.645208766211</v>
      </c>
      <c r="S133" s="59">
        <f ca="1">AVERAGE(OFFSET($R$3,0,0,'Données projet'!$E$9+1,1))-AVERAGE(OFFSET($H$3,0,0,'Données projet'!$E$9+1,1))</f>
        <v>664.27707313486087</v>
      </c>
      <c r="T133" s="59">
        <f t="shared" ref="T133:T196" si="142">$T$3</f>
        <v>206.64483278066874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100.57258541438065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100.57258541438065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67.609971878879605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5.2499999999990337</v>
      </c>
      <c r="AJ133" s="13">
        <f>AI133*VLOOKUP('Données projet'!$B$10,Paramètres!$A$1:$I$89,3,0)*VLOOKUP('Données projet'!$B$10,Paramètres!$A$1:$I$89,5,0)</f>
        <v>2.4569999999995478</v>
      </c>
      <c r="AK133" s="13">
        <f t="shared" ref="AK133:AK153" si="143">EXP(-1.0587+0.8836*LN(AJ133)+0.284)</f>
        <v>1.0197977774625564</v>
      </c>
      <c r="AL133" s="20">
        <f t="shared" si="112"/>
        <v>6.0554227957464972</v>
      </c>
      <c r="AM133" s="59">
        <f t="shared" si="113"/>
        <v>290.62531968497171</v>
      </c>
      <c r="AN133" s="59">
        <f ca="1">AVERAGE(OFFSET($AM$3,0,0,'Données projet'!$E$10+1,1))-AVERAGE(OFFSET($H$3,0,0,'Données projet'!$E$10+1,1))</f>
        <v>329.7518221182429</v>
      </c>
      <c r="AO133" s="59">
        <f t="shared" ref="AO133:AO196" si="144">$AO$3</f>
        <v>207.30737400651807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160.24706270668187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160.24706270668187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67.609971878879605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189.62971370839551</v>
      </c>
      <c r="BJ133" s="59">
        <f t="shared" ref="BJ133:BJ196" si="146">$BJ$3</f>
        <v>457.05149684588173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17.045743034358836</v>
      </c>
      <c r="BQ133" s="21">
        <f>EXP(-LN(2)/25)*BQ132+(1-EXP(-LN(2)/25))/(LN(2)/25)*Calculateur!BL133*Calculateur!BN133*VLOOKUP('Données projet'!$B$11,Paramètres!$A$1:$I$89,3,0)*0.475*44/12</f>
        <v>0.89858184987434386</v>
      </c>
      <c r="BR133" s="21">
        <f>EXP(-LN(2)/2)*BR132+(1-EXP(-LN(2)/2))/(LN(2)/2)*BL133*BO133*VLOOKUP('Données projet'!$B$11,Paramètres!$A$1:$I$89,3,0)*0.475*44/12</f>
        <v>3.9934283437896749E-17</v>
      </c>
      <c r="BS133" s="22">
        <f t="shared" si="117"/>
        <v>17.944324884233179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67.609971878879605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170.04605856785227</v>
      </c>
      <c r="CE133" s="59">
        <f t="shared" ref="CE133:CE196" si="148">$CE$3</f>
        <v>377.63973197638802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9.1234222562548908</v>
      </c>
      <c r="CL133" s="21">
        <f>EXP(-LN(2)/25)*CL132+(1-EXP(-LN(2)/25))/(LN(2)/25)*Calculateur!CG133*Calculateur!CI133*VLOOKUP('Données projet'!$B$12,Paramètres!$A$1:$I$89,3,0)*0.475*44/12</f>
        <v>1.036896188851034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10.160318445105926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67.609971878879605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67.609971878879605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67.609971878879605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67.609971878879605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67.609971878879605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67.609971878879605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4.6500000000000004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17.05</v>
      </c>
      <c r="H134" s="66">
        <f t="shared" si="110"/>
        <v>188.46666666666667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67.651433523478644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8.4949999999999939</v>
      </c>
      <c r="N134" s="13">
        <f>IF('Données projet'!$A$36&gt;35,N133+M134-V133,IF(A134&lt;'Données projet'!$A$36,$K$205^A134,IF(A134='Données projet'!$A$36,'Données projet'!$B$36,N133+M134-V133)))</f>
        <v>458.79500000000007</v>
      </c>
      <c r="O134" s="13">
        <f>N134*VLOOKUP('Données projet'!$B$9,Paramètres!$A$1:$I$89,3,0)*VLOOKUP('Données projet'!$B$9,Paramètres!$A$1:$I$89,5,0)</f>
        <v>415.11771600000009</v>
      </c>
      <c r="P134" s="13">
        <f t="shared" si="141"/>
        <v>94.834901495024482</v>
      </c>
      <c r="Q134" s="20">
        <f t="shared" si="108"/>
        <v>888.16747547050124</v>
      </c>
      <c r="R134" s="59">
        <f t="shared" si="109"/>
        <v>1172.8893983899229</v>
      </c>
      <c r="S134" s="59">
        <f ca="1">AVERAGE(OFFSET($R$3,0,0,'Données projet'!$E$9+1,1))-AVERAGE(OFFSET($H$3,0,0,'Données projet'!$E$9+1,1))</f>
        <v>664.27707313486087</v>
      </c>
      <c r="T134" s="59">
        <f t="shared" si="142"/>
        <v>206.64483278066874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98.600418357624619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98.600418357624619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67.651433523478644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5.2499999999990337</v>
      </c>
      <c r="AJ134" s="13">
        <f>AI134*VLOOKUP('Données projet'!$B$10,Paramètres!$A$1:$I$89,3,0)*VLOOKUP('Données projet'!$B$10,Paramètres!$A$1:$I$89,5,0)</f>
        <v>2.4569999999995478</v>
      </c>
      <c r="AK134" s="13">
        <f t="shared" si="143"/>
        <v>1.0197977774625564</v>
      </c>
      <c r="AL134" s="20">
        <f t="shared" si="112"/>
        <v>6.0554227957464972</v>
      </c>
      <c r="AM134" s="59">
        <f t="shared" si="113"/>
        <v>290.77734571516822</v>
      </c>
      <c r="AN134" s="59">
        <f ca="1">AVERAGE(OFFSET($AM$3,0,0,'Données projet'!$E$10+1,1))-AVERAGE(OFFSET($H$3,0,0,'Données projet'!$E$10+1,1))</f>
        <v>329.7518221182429</v>
      </c>
      <c r="AO134" s="59">
        <f t="shared" si="144"/>
        <v>207.30737400651807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157.10471554806097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157.10471554806097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67.651433523478644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189.62971370839551</v>
      </c>
      <c r="BJ134" s="59">
        <f t="shared" si="146"/>
        <v>457.05149684588173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16.711486410331702</v>
      </c>
      <c r="BQ134" s="21">
        <f>EXP(-LN(2)/25)*BQ133+(1-EXP(-LN(2)/25))/(LN(2)/25)*Calculateur!BL134*Calculateur!BN134*VLOOKUP('Données projet'!$B$11,Paramètres!$A$1:$I$89,3,0)*0.475*44/12</f>
        <v>0.87401008193516416</v>
      </c>
      <c r="BR134" s="21">
        <f>EXP(-LN(2)/2)*BR133+(1-EXP(-LN(2)/2))/(LN(2)/2)*BL134*BO134*VLOOKUP('Données projet'!$B$11,Paramètres!$A$1:$I$89,3,0)*0.475*44/12</f>
        <v>2.8237802620762425E-17</v>
      </c>
      <c r="BS134" s="22">
        <f t="shared" si="117"/>
        <v>17.585496492266866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67.651433523478644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170.04605856785227</v>
      </c>
      <c r="CE134" s="59">
        <f t="shared" si="148"/>
        <v>377.63973197638802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8.9445175105478363</v>
      </c>
      <c r="CL134" s="21">
        <f>EXP(-LN(2)/25)*CL133+(1-EXP(-LN(2)/25))/(LN(2)/25)*Calculateur!CG134*Calculateur!CI134*VLOOKUP('Données projet'!$B$12,Paramètres!$A$1:$I$89,3,0)*0.475*44/12</f>
        <v>1.0085422080389017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9.9530597185867382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67.651433523478644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67.651433523478644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67.651433523478644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67.651433523478644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67.651433523478644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67.651433523478644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4.6500000000000004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17.05</v>
      </c>
      <c r="H135" s="66">
        <f t="shared" si="110"/>
        <v>188.46666666666667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67.692175901238244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8.4949999999999939</v>
      </c>
      <c r="N135" s="13">
        <f>IF('Données projet'!$A$36&gt;35,N134+M135-V134,IF(A135&lt;'Données projet'!$A$36,$K$205^A135,IF(A135='Données projet'!$A$36,'Données projet'!$B$36,N134+M135-V134)))</f>
        <v>467.29000000000008</v>
      </c>
      <c r="O135" s="13">
        <f>N135*VLOOKUP('Données projet'!$B$9,Paramètres!$A$1:$I$89,3,0)*VLOOKUP('Données projet'!$B$9,Paramètres!$A$1:$I$89,5,0)</f>
        <v>422.80399200000005</v>
      </c>
      <c r="P135" s="13">
        <f t="shared" si="141"/>
        <v>96.384801035640152</v>
      </c>
      <c r="Q135" s="20">
        <f t="shared" si="108"/>
        <v>904.25381453707325</v>
      </c>
      <c r="R135" s="59">
        <f t="shared" si="109"/>
        <v>1189.1251261749469</v>
      </c>
      <c r="S135" s="59">
        <f ca="1">AVERAGE(OFFSET($R$3,0,0,'Données projet'!$E$9+1,1))-AVERAGE(OFFSET($H$3,0,0,'Données projet'!$E$9+1,1))</f>
        <v>664.27707313486087</v>
      </c>
      <c r="T135" s="59">
        <f t="shared" si="142"/>
        <v>206.64483278066874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96.666924293948441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96.666924293948441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67.692175901238244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5.2499999999990337</v>
      </c>
      <c r="AJ135" s="13">
        <f>AI135*VLOOKUP('Données projet'!$B$10,Paramètres!$A$1:$I$89,3,0)*VLOOKUP('Données projet'!$B$10,Paramètres!$A$1:$I$89,5,0)</f>
        <v>2.4569999999995478</v>
      </c>
      <c r="AK135" s="13">
        <f t="shared" si="143"/>
        <v>1.0197977774625564</v>
      </c>
      <c r="AL135" s="20">
        <f t="shared" si="112"/>
        <v>6.0554227957464972</v>
      </c>
      <c r="AM135" s="59">
        <f t="shared" si="113"/>
        <v>290.92673443362008</v>
      </c>
      <c r="AN135" s="59">
        <f ca="1">AVERAGE(OFFSET($AM$3,0,0,'Données projet'!$E$10+1,1))-AVERAGE(OFFSET($H$3,0,0,'Données projet'!$E$10+1,1))</f>
        <v>329.7518221182429</v>
      </c>
      <c r="AO135" s="59">
        <f t="shared" si="144"/>
        <v>207.30737400651807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154.02398790057811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154.02398790057811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67.692175901238244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189.62971370839551</v>
      </c>
      <c r="BJ135" s="59">
        <f t="shared" si="146"/>
        <v>457.05149684588173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16.383784354825334</v>
      </c>
      <c r="BQ135" s="21">
        <f>EXP(-LN(2)/25)*BQ134+(1-EXP(-LN(2)/25))/(LN(2)/25)*Calculateur!BL135*Calculateur!BN135*VLOOKUP('Données projet'!$B$11,Paramètres!$A$1:$I$89,3,0)*0.475*44/12</f>
        <v>0.85011023028245447</v>
      </c>
      <c r="BR135" s="21">
        <f>EXP(-LN(2)/2)*BR134+(1-EXP(-LN(2)/2))/(LN(2)/2)*BL135*BO135*VLOOKUP('Données projet'!$B$11,Paramètres!$A$1:$I$89,3,0)*0.475*44/12</f>
        <v>1.9967141718948375E-17</v>
      </c>
      <c r="BS135" s="22">
        <f t="shared" si="117"/>
        <v>17.233894585107787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67.692175901238244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170.04605856785227</v>
      </c>
      <c r="CE135" s="59">
        <f t="shared" si="148"/>
        <v>377.63973197638802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8.7691209777829773</v>
      </c>
      <c r="CL135" s="21">
        <f>EXP(-LN(2)/25)*CL134+(1-EXP(-LN(2)/25))/(LN(2)/25)*Calculateur!CG135*Calculateur!CI135*VLOOKUP('Données projet'!$B$12,Paramètres!$A$1:$I$89,3,0)*0.475*44/12</f>
        <v>0.98096356832314824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9.750084546106125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67.692175901238244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67.692175901238244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67.692175901238244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67.692175901238244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67.692175901238244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67.692175901238244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4.6500000000000004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17.05</v>
      </c>
      <c r="H136" s="66">
        <f t="shared" si="110"/>
        <v>188.46666666666667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67.732211489830021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8.4949999999999939</v>
      </c>
      <c r="N136" s="13">
        <f>IF('Données projet'!$A$36&gt;35,N135+M136-V135,IF(A136&lt;'Données projet'!$A$36,$K$205^A136,IF(A136='Données projet'!$A$36,'Données projet'!$B$36,N135+M136-V135)))</f>
        <v>475.78500000000008</v>
      </c>
      <c r="O136" s="13">
        <f>N136*VLOOKUP('Données projet'!$B$9,Paramètres!$A$1:$I$89,3,0)*VLOOKUP('Données projet'!$B$9,Paramètres!$A$1:$I$89,5,0)</f>
        <v>430.49026800000007</v>
      </c>
      <c r="P136" s="13">
        <f t="shared" si="141"/>
        <v>97.93142415829584</v>
      </c>
      <c r="Q136" s="20">
        <f t="shared" si="108"/>
        <v>920.33444717569864</v>
      </c>
      <c r="R136" s="59">
        <f t="shared" si="109"/>
        <v>1205.352555971742</v>
      </c>
      <c r="S136" s="59">
        <f ca="1">AVERAGE(OFFSET($R$3,0,0,'Données projet'!$E$9+1,1))-AVERAGE(OFFSET($H$3,0,0,'Données projet'!$E$9+1,1))</f>
        <v>664.27707313486087</v>
      </c>
      <c r="T136" s="59">
        <f t="shared" si="142"/>
        <v>206.64483278066874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94.771344869546013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94.771344869546013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67.732211489830021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5.2499999999990337</v>
      </c>
      <c r="AJ136" s="13">
        <f>AI136*VLOOKUP('Données projet'!$B$10,Paramètres!$A$1:$I$89,3,0)*VLOOKUP('Données projet'!$B$10,Paramètres!$A$1:$I$89,5,0)</f>
        <v>2.4569999999995478</v>
      </c>
      <c r="AK136" s="13">
        <f t="shared" si="143"/>
        <v>1.0197977774625564</v>
      </c>
      <c r="AL136" s="20">
        <f t="shared" si="112"/>
        <v>6.0554227957464972</v>
      </c>
      <c r="AM136" s="59">
        <f t="shared" si="113"/>
        <v>291.0735315917899</v>
      </c>
      <c r="AN136" s="59">
        <f ca="1">AVERAGE(OFFSET($AM$3,0,0,'Données projet'!$E$10+1,1))-AVERAGE(OFFSET($H$3,0,0,'Données projet'!$E$10+1,1))</f>
        <v>329.7518221182429</v>
      </c>
      <c r="AO136" s="59">
        <f t="shared" si="144"/>
        <v>207.30737400651807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151.00367144320407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151.00367144320407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67.732211489830021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189.62971370839551</v>
      </c>
      <c r="BJ136" s="59">
        <f t="shared" si="146"/>
        <v>457.05149684588173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16.062508336748927</v>
      </c>
      <c r="BQ136" s="21">
        <f>EXP(-LN(2)/25)*BQ135+(1-EXP(-LN(2)/25))/(LN(2)/25)*Calculateur!BL136*Calculateur!BN136*VLOOKUP('Données projet'!$B$11,Paramètres!$A$1:$I$89,3,0)*0.475*44/12</f>
        <v>0.82686392133002673</v>
      </c>
      <c r="BR136" s="21">
        <f>EXP(-LN(2)/2)*BR135+(1-EXP(-LN(2)/2))/(LN(2)/2)*BL136*BO136*VLOOKUP('Données projet'!$B$11,Paramètres!$A$1:$I$89,3,0)*0.475*44/12</f>
        <v>1.4118901310381213E-17</v>
      </c>
      <c r="BS136" s="22">
        <f t="shared" si="117"/>
        <v>16.889372258078954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67.732211489830021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170.04605856785227</v>
      </c>
      <c r="CE136" s="59">
        <f t="shared" si="148"/>
        <v>377.63973197638802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8.5971638640443153</v>
      </c>
      <c r="CL136" s="21">
        <f>EXP(-LN(2)/25)*CL135+(1-EXP(-LN(2)/25))/(LN(2)/25)*Calculateur!CG136*Calculateur!CI136*VLOOKUP('Données projet'!$B$12,Paramètres!$A$1:$I$89,3,0)*0.475*44/12</f>
        <v>0.95413906796071968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9.5513029320050347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67.732211489830021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67.732211489830021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67.732211489830021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67.732211489830021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67.732211489830021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67.732211489830021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4.6500000000000004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17.05</v>
      </c>
      <c r="H137" s="66">
        <f t="shared" si="110"/>
        <v>188.46666666666667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67.771552550465913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484.28</v>
      </c>
      <c r="L137" s="12">
        <f>VLOOKUP(A137,'Données projet'!$A$35:$I$55,9,0)</f>
        <v>8.4949999999999939</v>
      </c>
      <c r="M137" s="12">
        <f t="array" ref="M137">INDEX(L:L,MIN(IF(ISNUMBER(L137:L333),ROW(L137:L333),"")))</f>
        <v>8.4949999999999939</v>
      </c>
      <c r="N137" s="13">
        <f>IF('Données projet'!$A$36&gt;35,N136+M137-V136,IF(A137&lt;'Données projet'!$A$36,$K$205^A137,IF(A137='Données projet'!$A$36,'Données projet'!$B$36,N136+M137-V136)))</f>
        <v>484.28000000000009</v>
      </c>
      <c r="O137" s="13">
        <f>N137*VLOOKUP('Données projet'!$B$9,Paramètres!$A$1:$I$89,3,0)*VLOOKUP('Données projet'!$B$9,Paramètres!$A$1:$I$89,5,0)</f>
        <v>438.17654400000004</v>
      </c>
      <c r="P137" s="13">
        <f t="shared" si="141"/>
        <v>99.474836110971893</v>
      </c>
      <c r="Q137" s="20">
        <f t="shared" si="108"/>
        <v>936.40948702660933</v>
      </c>
      <c r="R137" s="59">
        <f t="shared" si="109"/>
        <v>1221.5718463783178</v>
      </c>
      <c r="S137" s="59">
        <f ca="1">AVERAGE(OFFSET($R$3,0,0,'Données projet'!$E$9+1,1))-AVERAGE(OFFSET($H$3,0,0,'Données projet'!$E$9+1,1))</f>
        <v>664.27707313486087</v>
      </c>
      <c r="T137" s="59">
        <f t="shared" si="142"/>
        <v>206.64483278066874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54.95</v>
      </c>
      <c r="W137" s="16">
        <f>IF(ISNA(VLOOKUP(A137,'Données projet'!$A$35:$I$55,5,0)),0%,VLOOKUP(A137,'Données projet'!$A$35:$I$55,5,0)*VLOOKUP('Données projet'!$B$9,Paramètres!$A$1:$I$89,7,0))</f>
        <v>0.43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116.54686169092314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116.54686169092314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67.771552550465913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5.2499999999990337</v>
      </c>
      <c r="AJ137" s="13">
        <f>AI137*VLOOKUP('Données projet'!$B$10,Paramètres!$A$1:$I$89,3,0)*VLOOKUP('Données projet'!$B$10,Paramètres!$A$1:$I$89,5,0)</f>
        <v>2.4569999999995478</v>
      </c>
      <c r="AK137" s="13">
        <f t="shared" si="143"/>
        <v>1.0197977774625564</v>
      </c>
      <c r="AL137" s="20">
        <f t="shared" si="112"/>
        <v>6.0554227957464972</v>
      </c>
      <c r="AM137" s="59">
        <f t="shared" si="113"/>
        <v>291.21778214745484</v>
      </c>
      <c r="AN137" s="59">
        <f ca="1">AVERAGE(OFFSET($AM$3,0,0,'Données projet'!$E$10+1,1))-AVERAGE(OFFSET($H$3,0,0,'Données projet'!$E$10+1,1))</f>
        <v>329.7518221182429</v>
      </c>
      <c r="AO137" s="59">
        <f t="shared" si="144"/>
        <v>207.30737400651807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148.042581549348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148.042581549348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67.771552550465913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189.62971370839551</v>
      </c>
      <c r="BJ137" s="59">
        <f t="shared" si="146"/>
        <v>457.05149684588173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15.747532345427976</v>
      </c>
      <c r="BQ137" s="21">
        <f>EXP(-LN(2)/25)*BQ136+(1-EXP(-LN(2)/25))/(LN(2)/25)*Calculateur!BL137*Calculateur!BN137*VLOOKUP('Données projet'!$B$11,Paramètres!$A$1:$I$89,3,0)*0.475*44/12</f>
        <v>0.80425328391837336</v>
      </c>
      <c r="BR137" s="21">
        <f>EXP(-LN(2)/2)*BR136+(1-EXP(-LN(2)/2))/(LN(2)/2)*BL137*BO137*VLOOKUP('Données projet'!$B$11,Paramètres!$A$1:$I$89,3,0)*0.475*44/12</f>
        <v>9.9835708594741873E-18</v>
      </c>
      <c r="BS137" s="22">
        <f t="shared" si="117"/>
        <v>16.551785629346348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67.771552550465913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170.04605856785227</v>
      </c>
      <c r="CE137" s="59">
        <f t="shared" si="148"/>
        <v>377.63973197638802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8.4285787244225858</v>
      </c>
      <c r="CL137" s="21">
        <f>EXP(-LN(2)/25)*CL136+(1-EXP(-LN(2)/25))/(LN(2)/25)*Calculateur!CG137*Calculateur!CI137*VLOOKUP('Données projet'!$B$12,Paramètres!$A$1:$I$89,3,0)*0.475*44/12</f>
        <v>0.92804808497134095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9.3566268093939264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67.771552550465913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67.771552550465913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67.771552550465913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67.771552550465913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67.771552550465913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67.771552550465913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4.6500000000000004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17.05</v>
      </c>
      <c r="H138" s="66">
        <f t="shared" si="110"/>
        <v>188.46666666666667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67.81021113165319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8.561000000000007</v>
      </c>
      <c r="N138" s="13">
        <f>IF('Données projet'!$A$36&gt;35,N137+M138-V137,IF(A138&lt;'Données projet'!$A$36,$K$205^A138,IF(A138='Données projet'!$A$36,'Données projet'!$B$36,N137+M138-V137)))</f>
        <v>437.89100000000013</v>
      </c>
      <c r="O138" s="13">
        <f>N138*VLOOKUP('Données projet'!$B$9,Paramètres!$A$1:$I$89,3,0)*VLOOKUP('Données projet'!$B$9,Paramètres!$A$1:$I$89,5,0)</f>
        <v>396.20377680000007</v>
      </c>
      <c r="P138" s="13">
        <f t="shared" si="141"/>
        <v>91.006612614056621</v>
      </c>
      <c r="Q138" s="20">
        <f t="shared" si="108"/>
        <v>848.55809489614876</v>
      </c>
      <c r="R138" s="59">
        <f t="shared" si="109"/>
        <v>1133.8622023788771</v>
      </c>
      <c r="S138" s="59">
        <f ca="1">AVERAGE(OFFSET($R$3,0,0,'Données projet'!$E$9+1,1))-AVERAGE(OFFSET($H$3,0,0,'Données projet'!$E$9+1,1))</f>
        <v>664.27707313486087</v>
      </c>
      <c r="T138" s="59">
        <f t="shared" si="142"/>
        <v>206.64483278066874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114.26144881973055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114.26144881973055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67.81021113165319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5.2499999999990337</v>
      </c>
      <c r="AJ138" s="13">
        <f>AI138*VLOOKUP('Données projet'!$B$10,Paramètres!$A$1:$I$89,3,0)*VLOOKUP('Données projet'!$B$10,Paramètres!$A$1:$I$89,5,0)</f>
        <v>2.4569999999995478</v>
      </c>
      <c r="AK138" s="13">
        <f t="shared" si="143"/>
        <v>1.0197977774625564</v>
      </c>
      <c r="AL138" s="20">
        <f t="shared" si="112"/>
        <v>6.0554227957464972</v>
      </c>
      <c r="AM138" s="59">
        <f t="shared" si="113"/>
        <v>291.35953027847489</v>
      </c>
      <c r="AN138" s="59">
        <f ca="1">AVERAGE(OFFSET($AM$3,0,0,'Données projet'!$E$10+1,1))-AVERAGE(OFFSET($H$3,0,0,'Données projet'!$E$10+1,1))</f>
        <v>329.7518221182429</v>
      </c>
      <c r="AO138" s="59">
        <f t="shared" si="144"/>
        <v>207.30737400651807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145.13955682222394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145.13955682222394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67.81021113165319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189.62971370839551</v>
      </c>
      <c r="BJ138" s="59">
        <f t="shared" si="146"/>
        <v>457.05149684588173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15.438732841180444</v>
      </c>
      <c r="BQ138" s="21">
        <f>EXP(-LN(2)/25)*BQ137+(1-EXP(-LN(2)/25))/(LN(2)/25)*Calculateur!BL138*Calculateur!BN138*VLOOKUP('Données projet'!$B$11,Paramètres!$A$1:$I$89,3,0)*0.475*44/12</f>
        <v>0.78226093557578336</v>
      </c>
      <c r="BR138" s="21">
        <f>EXP(-LN(2)/2)*BR137+(1-EXP(-LN(2)/2))/(LN(2)/2)*BL138*BO138*VLOOKUP('Données projet'!$B$11,Paramètres!$A$1:$I$89,3,0)*0.475*44/12</f>
        <v>7.0594506551906064E-18</v>
      </c>
      <c r="BS138" s="22">
        <f t="shared" si="117"/>
        <v>16.220993776756227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67.81021113165319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170.04605856785227</v>
      </c>
      <c r="CE138" s="59">
        <f t="shared" si="148"/>
        <v>377.63973197638802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8.2632994365620558</v>
      </c>
      <c r="CL138" s="21">
        <f>EXP(-LN(2)/25)*CL137+(1-EXP(-LN(2)/25))/(LN(2)/25)*Calculateur!CG138*Calculateur!CI138*VLOOKUP('Données projet'!$B$12,Paramètres!$A$1:$I$89,3,0)*0.475*44/12</f>
        <v>0.90267056128387191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9.1659699978459273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67.81021113165319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67.81021113165319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67.81021113165319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67.81021113165319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67.81021113165319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67.81021113165319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4.6500000000000004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17.05</v>
      </c>
      <c r="H139" s="66">
        <f t="shared" si="110"/>
        <v>188.46666666666667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67.848199072884526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8.561000000000007</v>
      </c>
      <c r="N139" s="13">
        <f>IF('Données projet'!$A$36&gt;35,N138+M139-V138,IF(A139&lt;'Données projet'!$A$36,$K$205^A139,IF(A139='Données projet'!$A$36,'Données projet'!$B$36,N138+M139-V138)))</f>
        <v>446.45200000000011</v>
      </c>
      <c r="O139" s="13">
        <f>N139*VLOOKUP('Données projet'!$B$9,Paramètres!$A$1:$I$89,3,0)*VLOOKUP('Données projet'!$B$9,Paramètres!$A$1:$I$89,5,0)</f>
        <v>403.94976960000008</v>
      </c>
      <c r="P139" s="13">
        <f t="shared" si="141"/>
        <v>92.576961887454956</v>
      </c>
      <c r="Q139" s="20">
        <f t="shared" si="108"/>
        <v>864.78405734065075</v>
      </c>
      <c r="R139" s="59">
        <f t="shared" si="109"/>
        <v>1150.2274539412274</v>
      </c>
      <c r="S139" s="59">
        <f ca="1">AVERAGE(OFFSET($R$3,0,0,'Données projet'!$E$9+1,1))-AVERAGE(OFFSET($H$3,0,0,'Données projet'!$E$9+1,1))</f>
        <v>664.27707313486087</v>
      </c>
      <c r="T139" s="59">
        <f t="shared" si="142"/>
        <v>206.64483278066874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112.02085150097784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112.02085150097784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67.848199072884526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5.2499999999990337</v>
      </c>
      <c r="AJ139" s="13">
        <f>AI139*VLOOKUP('Données projet'!$B$10,Paramètres!$A$1:$I$89,3,0)*VLOOKUP('Données projet'!$B$10,Paramètres!$A$1:$I$89,5,0)</f>
        <v>2.4569999999995478</v>
      </c>
      <c r="AK139" s="13">
        <f t="shared" si="143"/>
        <v>1.0197977774625564</v>
      </c>
      <c r="AL139" s="20">
        <f t="shared" si="112"/>
        <v>6.0554227957464972</v>
      </c>
      <c r="AM139" s="59">
        <f t="shared" si="113"/>
        <v>291.49881939632309</v>
      </c>
      <c r="AN139" s="59">
        <f ca="1">AVERAGE(OFFSET($AM$3,0,0,'Données projet'!$E$10+1,1))-AVERAGE(OFFSET($H$3,0,0,'Données projet'!$E$10+1,1))</f>
        <v>329.7518221182429</v>
      </c>
      <c r="AO139" s="59">
        <f t="shared" si="144"/>
        <v>207.30737400651807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142.29345863932852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142.29345863932852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67.848199072884526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189.62971370839551</v>
      </c>
      <c r="BJ139" s="59">
        <f t="shared" si="146"/>
        <v>457.05149684588173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15.135988706862108</v>
      </c>
      <c r="BQ139" s="21">
        <f>EXP(-LN(2)/25)*BQ138+(1-EXP(-LN(2)/25))/(LN(2)/25)*Calculateur!BL139*Calculateur!BN139*VLOOKUP('Données projet'!$B$11,Paramètres!$A$1:$I$89,3,0)*0.475*44/12</f>
        <v>0.76086996915514882</v>
      </c>
      <c r="BR139" s="21">
        <f>EXP(-LN(2)/2)*BR138+(1-EXP(-LN(2)/2))/(LN(2)/2)*BL139*BO139*VLOOKUP('Données projet'!$B$11,Paramètres!$A$1:$I$89,3,0)*0.475*44/12</f>
        <v>4.9917854297370937E-18</v>
      </c>
      <c r="BS139" s="22">
        <f t="shared" si="117"/>
        <v>15.896858676017256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67.848199072884526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170.04605856785227</v>
      </c>
      <c r="CE139" s="59">
        <f t="shared" si="148"/>
        <v>377.63973197638802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8.1012611747260603</v>
      </c>
      <c r="CL139" s="21">
        <f>EXP(-LN(2)/25)*CL138+(1-EXP(-LN(2)/25))/(LN(2)/25)*Calculateur!CG139*Calculateur!CI139*VLOOKUP('Données projet'!$B$12,Paramètres!$A$1:$I$89,3,0)*0.475*44/12</f>
        <v>0.87798698731618274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8.9792481620422429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67.848199072884526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67.848199072884526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67.848199072884526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67.848199072884526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67.848199072884526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67.848199072884526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4.6500000000000004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17.05</v>
      </c>
      <c r="H140" s="66">
        <f t="shared" si="110"/>
        <v>188.46666666666667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67.885528008263805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8.561000000000007</v>
      </c>
      <c r="N140" s="13">
        <f>IF('Données projet'!$A$36&gt;35,N139+M140-V139,IF(A140&lt;'Données projet'!$A$36,$K$205^A140,IF(A140='Données projet'!$A$36,'Données projet'!$B$36,N139+M140-V139)))</f>
        <v>455.01300000000015</v>
      </c>
      <c r="O140" s="13">
        <f>N140*VLOOKUP('Données projet'!$B$9,Paramètres!$A$1:$I$89,3,0)*VLOOKUP('Données projet'!$B$9,Paramètres!$A$1:$I$89,5,0)</f>
        <v>411.69576240000009</v>
      </c>
      <c r="P140" s="13">
        <f t="shared" si="141"/>
        <v>94.143809754569304</v>
      </c>
      <c r="Q140" s="20">
        <f t="shared" si="108"/>
        <v>881.00392150254174</v>
      </c>
      <c r="R140" s="59">
        <f t="shared" si="109"/>
        <v>1166.5841908661757</v>
      </c>
      <c r="S140" s="59">
        <f ca="1">AVERAGE(OFFSET($R$3,0,0,'Données projet'!$E$9+1,1))-AVERAGE(OFFSET($H$3,0,0,'Données projet'!$E$9+1,1))</f>
        <v>664.27707313486087</v>
      </c>
      <c r="T140" s="59">
        <f t="shared" si="142"/>
        <v>206.64483278066874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109.82419092901645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109.82419092901645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67.885528008263805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5.2499999999990337</v>
      </c>
      <c r="AJ140" s="13">
        <f>AI140*VLOOKUP('Données projet'!$B$10,Paramètres!$A$1:$I$89,3,0)*VLOOKUP('Données projet'!$B$10,Paramètres!$A$1:$I$89,5,0)</f>
        <v>2.4569999999995478</v>
      </c>
      <c r="AK140" s="13">
        <f t="shared" si="143"/>
        <v>1.0197977774625564</v>
      </c>
      <c r="AL140" s="20">
        <f t="shared" si="112"/>
        <v>6.0554227957464972</v>
      </c>
      <c r="AM140" s="59">
        <f t="shared" si="113"/>
        <v>291.63569215938043</v>
      </c>
      <c r="AN140" s="59">
        <f ca="1">AVERAGE(OFFSET($AM$3,0,0,'Données projet'!$E$10+1,1))-AVERAGE(OFFSET($H$3,0,0,'Données projet'!$E$10+1,1))</f>
        <v>329.7518221182429</v>
      </c>
      <c r="AO140" s="59">
        <f t="shared" si="144"/>
        <v>207.30737400651807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139.5031707058512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139.5031707058512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67.885528008263805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189.62971370839551</v>
      </c>
      <c r="BJ140" s="59">
        <f t="shared" si="146"/>
        <v>457.05149684588173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14.839181200362065</v>
      </c>
      <c r="BQ140" s="21">
        <f>EXP(-LN(2)/25)*BQ139+(1-EXP(-LN(2)/25))/(LN(2)/25)*Calculateur!BL140*Calculateur!BN140*VLOOKUP('Données projet'!$B$11,Paramètres!$A$1:$I$89,3,0)*0.475*44/12</f>
        <v>0.74006393983618857</v>
      </c>
      <c r="BR140" s="21">
        <f>EXP(-LN(2)/2)*BR139+(1-EXP(-LN(2)/2))/(LN(2)/2)*BL140*BO140*VLOOKUP('Données projet'!$B$11,Paramètres!$A$1:$I$89,3,0)*0.475*44/12</f>
        <v>3.5297253275953032E-18</v>
      </c>
      <c r="BS140" s="22">
        <f t="shared" si="117"/>
        <v>15.579245140198253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67.885528008263805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170.04605856785227</v>
      </c>
      <c r="CE140" s="59">
        <f t="shared" si="148"/>
        <v>377.63973197638802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7.942400384371088</v>
      </c>
      <c r="CL140" s="21">
        <f>EXP(-LN(2)/25)*CL139+(1-EXP(-LN(2)/25))/(LN(2)/25)*Calculateur!CG140*Calculateur!CI140*VLOOKUP('Données projet'!$B$12,Paramètres!$A$1:$I$89,3,0)*0.475*44/12</f>
        <v>0.8539783869766927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8.796378771347781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67.885528008263805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67.885528008263805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67.885528008263805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67.885528008263805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67.885528008263805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67.885528008263805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4.6500000000000004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17.05</v>
      </c>
      <c r="H141" s="66">
        <f t="shared" si="110"/>
        <v>188.46666666666667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67.92220937006924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8.561000000000007</v>
      </c>
      <c r="N141" s="13">
        <f>IF('Données projet'!$A$36&gt;35,N140+M141-V140,IF(A141&lt;'Données projet'!$A$36,$K$205^A141,IF(A141='Données projet'!$A$36,'Données projet'!$B$36,N140+M141-V140)))</f>
        <v>463.57400000000018</v>
      </c>
      <c r="O141" s="13">
        <f>N141*VLOOKUP('Données projet'!$B$9,Paramètres!$A$1:$I$89,3,0)*VLOOKUP('Données projet'!$B$9,Paramètres!$A$1:$I$89,5,0)</f>
        <v>419.44175520000016</v>
      </c>
      <c r="P141" s="13">
        <f t="shared" si="141"/>
        <v>95.707229690339801</v>
      </c>
      <c r="Q141" s="20">
        <f t="shared" si="108"/>
        <v>897.21781535067532</v>
      </c>
      <c r="R141" s="59">
        <f t="shared" si="109"/>
        <v>1182.9325830409293</v>
      </c>
      <c r="S141" s="59">
        <f ca="1">AVERAGE(OFFSET($R$3,0,0,'Données projet'!$E$9+1,1))-AVERAGE(OFFSET($H$3,0,0,'Données projet'!$E$9+1,1))</f>
        <v>664.27707313486087</v>
      </c>
      <c r="T141" s="59">
        <f t="shared" si="142"/>
        <v>206.64483278066874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107.67060553104058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107.67060553104058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67.92220937006924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5.2499999999990337</v>
      </c>
      <c r="AJ141" s="13">
        <f>AI141*VLOOKUP('Données projet'!$B$10,Paramètres!$A$1:$I$89,3,0)*VLOOKUP('Données projet'!$B$10,Paramètres!$A$1:$I$89,5,0)</f>
        <v>2.4569999999995478</v>
      </c>
      <c r="AK141" s="13">
        <f t="shared" si="143"/>
        <v>1.0197977774625564</v>
      </c>
      <c r="AL141" s="20">
        <f t="shared" si="112"/>
        <v>6.0554227957464972</v>
      </c>
      <c r="AM141" s="59">
        <f t="shared" si="113"/>
        <v>291.77019048600039</v>
      </c>
      <c r="AN141" s="59">
        <f ca="1">AVERAGE(OFFSET($AM$3,0,0,'Données projet'!$E$10+1,1))-AVERAGE(OFFSET($H$3,0,0,'Données projet'!$E$10+1,1))</f>
        <v>329.7518221182429</v>
      </c>
      <c r="AO141" s="59">
        <f t="shared" si="144"/>
        <v>207.30737400651807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136.76759861684181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136.76759861684181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67.92220937006924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189.62971370839551</v>
      </c>
      <c r="BJ141" s="59">
        <f t="shared" si="146"/>
        <v>457.05149684588173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14.548193908029784</v>
      </c>
      <c r="BQ141" s="21">
        <f>EXP(-LN(2)/25)*BQ140+(1-EXP(-LN(2)/25))/(LN(2)/25)*Calculateur!BL141*Calculateur!BN141*VLOOKUP('Données projet'!$B$11,Paramètres!$A$1:$I$89,3,0)*0.475*44/12</f>
        <v>0.71982685248309686</v>
      </c>
      <c r="BR141" s="21">
        <f>EXP(-LN(2)/2)*BR140+(1-EXP(-LN(2)/2))/(LN(2)/2)*BL141*BO141*VLOOKUP('Données projet'!$B$11,Paramètres!$A$1:$I$89,3,0)*0.475*44/12</f>
        <v>2.4958927148685468E-18</v>
      </c>
      <c r="BS141" s="22">
        <f t="shared" si="117"/>
        <v>15.268020760512881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67.92220937006924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170.04605856785227</v>
      </c>
      <c r="CE141" s="59">
        <f t="shared" si="148"/>
        <v>377.63973197638802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7.7866547572194618</v>
      </c>
      <c r="CL141" s="21">
        <f>EXP(-LN(2)/25)*CL140+(1-EXP(-LN(2)/25))/(LN(2)/25)*Calculateur!CG141*Calculateur!CI141*VLOOKUP('Données projet'!$B$12,Paramètres!$A$1:$I$89,3,0)*0.475*44/12</f>
        <v>0.83062630307604346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8.6172810602955057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67.92220937006924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67.92220937006924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67.92220937006924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67.92220937006924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67.92220937006924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67.92220937006924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4.6500000000000004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17.05</v>
      </c>
      <c r="H142" s="66">
        <f t="shared" si="110"/>
        <v>188.46666666666667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67.958254392254602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8.561000000000007</v>
      </c>
      <c r="N142" s="13">
        <f>IF('Données projet'!$A$36&gt;35,N141+M142-V141,IF(A142&lt;'Données projet'!$A$36,$K$205^A142,IF(A142='Données projet'!$A$36,'Données projet'!$B$36,N141+M142-V141)))</f>
        <v>472.13500000000022</v>
      </c>
      <c r="O142" s="13">
        <f>N142*VLOOKUP('Données projet'!$B$9,Paramètres!$A$1:$I$89,3,0)*VLOOKUP('Données projet'!$B$9,Paramètres!$A$1:$I$89,5,0)</f>
        <v>427.18774800000017</v>
      </c>
      <c r="P142" s="13">
        <f t="shared" si="141"/>
        <v>97.267292300579669</v>
      </c>
      <c r="Q142" s="20">
        <f t="shared" si="108"/>
        <v>913.4258618568432</v>
      </c>
      <c r="R142" s="59">
        <f t="shared" si="109"/>
        <v>1199.2727946284435</v>
      </c>
      <c r="S142" s="59">
        <f ca="1">AVERAGE(OFFSET($R$3,0,0,'Données projet'!$E$9+1,1))-AVERAGE(OFFSET($H$3,0,0,'Données projet'!$E$9+1,1))</f>
        <v>664.27707313486087</v>
      </c>
      <c r="T142" s="59">
        <f t="shared" si="142"/>
        <v>206.64483278066874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105.55925062916162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105.55925062916162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67.958254392254602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5.2499999999990337</v>
      </c>
      <c r="AJ142" s="13">
        <f>AI142*VLOOKUP('Données projet'!$B$10,Paramètres!$A$1:$I$89,3,0)*VLOOKUP('Données projet'!$B$10,Paramètres!$A$1:$I$89,5,0)</f>
        <v>2.4569999999995478</v>
      </c>
      <c r="AK142" s="13">
        <f t="shared" si="143"/>
        <v>1.0197977774625564</v>
      </c>
      <c r="AL142" s="20">
        <f t="shared" si="112"/>
        <v>6.0554227957464972</v>
      </c>
      <c r="AM142" s="59">
        <f t="shared" si="113"/>
        <v>291.90235556734672</v>
      </c>
      <c r="AN142" s="59">
        <f ca="1">AVERAGE(OFFSET($AM$3,0,0,'Données projet'!$E$10+1,1))-AVERAGE(OFFSET($H$3,0,0,'Données projet'!$E$10+1,1))</f>
        <v>329.7518221182429</v>
      </c>
      <c r="AO142" s="59">
        <f t="shared" si="144"/>
        <v>207.30737400651807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134.08566942796367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134.08566942796367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67.958254392254602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189.62971370839551</v>
      </c>
      <c r="BJ142" s="59">
        <f t="shared" si="146"/>
        <v>457.05149684588173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14.262912699015416</v>
      </c>
      <c r="BQ142" s="21">
        <f>EXP(-LN(2)/25)*BQ141+(1-EXP(-LN(2)/25))/(LN(2)/25)*Calculateur!BL142*Calculateur!BN142*VLOOKUP('Données projet'!$B$11,Paramètres!$A$1:$I$89,3,0)*0.475*44/12</f>
        <v>0.70014314934789756</v>
      </c>
      <c r="BR142" s="21">
        <f>EXP(-LN(2)/2)*BR141+(1-EXP(-LN(2)/2))/(LN(2)/2)*BL142*BO142*VLOOKUP('Données projet'!$B$11,Paramètres!$A$1:$I$89,3,0)*0.475*44/12</f>
        <v>1.7648626637976516E-18</v>
      </c>
      <c r="BS142" s="22">
        <f t="shared" si="117"/>
        <v>14.963055848363314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67.958254392254602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170.04605856785227</v>
      </c>
      <c r="CE142" s="59">
        <f t="shared" si="148"/>
        <v>377.63973197638802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7.6339632068208267</v>
      </c>
      <c r="CL142" s="21">
        <f>EXP(-LN(2)/25)*CL141+(1-EXP(-LN(2)/25))/(LN(2)/25)*Calculateur!CG142*Calculateur!CI142*VLOOKUP('Données projet'!$B$12,Paramètres!$A$1:$I$89,3,0)*0.475*44/12</f>
        <v>0.80791278313769022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8.4418759899585165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67.958254392254602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67.958254392254602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67.958254392254602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67.958254392254602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67.958254392254602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67.958254392254602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4.6500000000000004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17.05</v>
      </c>
      <c r="H143" s="66">
        <f t="shared" si="110"/>
        <v>188.46666666666667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67.993674113889639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8.561000000000007</v>
      </c>
      <c r="N143" s="13">
        <f>IF('Données projet'!$A$36&gt;35,N142+M143-V142,IF(A143&lt;'Données projet'!$A$36,$K$205^A143,IF(A143='Données projet'!$A$36,'Données projet'!$B$36,N142+M143-V142)))</f>
        <v>480.69600000000025</v>
      </c>
      <c r="O143" s="13">
        <f>N143*VLOOKUP('Données projet'!$B$9,Paramètres!$A$1:$I$89,3,0)*VLOOKUP('Données projet'!$B$9,Paramètres!$A$1:$I$89,5,0)</f>
        <v>434.93374080000024</v>
      </c>
      <c r="P143" s="13">
        <f t="shared" si="141"/>
        <v>98.824065483970173</v>
      </c>
      <c r="Q143" s="20">
        <f t="shared" si="108"/>
        <v>929.62817927791514</v>
      </c>
      <c r="R143" s="59">
        <f t="shared" si="109"/>
        <v>1215.6049843621772</v>
      </c>
      <c r="S143" s="59">
        <f ca="1">AVERAGE(OFFSET($R$3,0,0,'Données projet'!$E$9+1,1))-AVERAGE(OFFSET($H$3,0,0,'Données projet'!$E$9+1,1))</f>
        <v>664.27707313486087</v>
      </c>
      <c r="T143" s="59">
        <f t="shared" si="142"/>
        <v>206.64483278066874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103.48929810910919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103.48929810910919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67.993674113889639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5.2499999999990337</v>
      </c>
      <c r="AJ143" s="13">
        <f>AI143*VLOOKUP('Données projet'!$B$10,Paramètres!$A$1:$I$89,3,0)*VLOOKUP('Données projet'!$B$10,Paramètres!$A$1:$I$89,5,0)</f>
        <v>2.4569999999995478</v>
      </c>
      <c r="AK143" s="13">
        <f t="shared" si="143"/>
        <v>1.0197977774625564</v>
      </c>
      <c r="AL143" s="20">
        <f t="shared" si="112"/>
        <v>6.0554227957464972</v>
      </c>
      <c r="AM143" s="59">
        <f t="shared" si="113"/>
        <v>292.03222788000852</v>
      </c>
      <c r="AN143" s="59">
        <f ca="1">AVERAGE(OFFSET($AM$3,0,0,'Données projet'!$E$10+1,1))-AVERAGE(OFFSET($H$3,0,0,'Données projet'!$E$10+1,1))</f>
        <v>329.7518221182429</v>
      </c>
      <c r="AO143" s="59">
        <f t="shared" si="144"/>
        <v>207.30737400651807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131.45633123466413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131.45633123466413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67.993674113889639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189.62971370839551</v>
      </c>
      <c r="BJ143" s="59">
        <f t="shared" si="146"/>
        <v>457.05149684588173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13.983225680505464</v>
      </c>
      <c r="BQ143" s="21">
        <f>EXP(-LN(2)/25)*BQ142+(1-EXP(-LN(2)/25))/(LN(2)/25)*Calculateur!BL143*Calculateur!BN143*VLOOKUP('Données projet'!$B$11,Paramètres!$A$1:$I$89,3,0)*0.475*44/12</f>
        <v>0.68099769811005129</v>
      </c>
      <c r="BR143" s="21">
        <f>EXP(-LN(2)/2)*BR142+(1-EXP(-LN(2)/2))/(LN(2)/2)*BL143*BO143*VLOOKUP('Données projet'!$B$11,Paramètres!$A$1:$I$89,3,0)*0.475*44/12</f>
        <v>1.2479463574342734E-18</v>
      </c>
      <c r="BS143" s="22">
        <f t="shared" si="117"/>
        <v>14.664223378615516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67.993674113889639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170.04605856785227</v>
      </c>
      <c r="CE143" s="59">
        <f t="shared" si="148"/>
        <v>377.63973197638802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7.4842658445928594</v>
      </c>
      <c r="CL143" s="21">
        <f>EXP(-LN(2)/25)*CL142+(1-EXP(-LN(2)/25))/(LN(2)/25)*Calculateur!CG143*Calculateur!CI143*VLOOKUP('Données projet'!$B$12,Paramètres!$A$1:$I$89,3,0)*0.475*44/12</f>
        <v>0.78582036559650337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8.270086210189362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67.993674113889639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67.993674113889639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67.993674113889639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67.993674113889639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67.993674113889639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67.993674113889639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4.6500000000000004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17.05</v>
      </c>
      <c r="H144" s="66">
        <f t="shared" si="110"/>
        <v>188.46666666666667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68.028479382540951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8.561000000000007</v>
      </c>
      <c r="N144" s="13">
        <f>IF('Données projet'!$A$36&gt;35,N143+M144-V143,IF(A144&lt;'Données projet'!$A$36,$K$205^A144,IF(A144='Données projet'!$A$36,'Données projet'!$B$36,N143+M144-V143)))</f>
        <v>489.25700000000029</v>
      </c>
      <c r="O144" s="13">
        <f>N144*VLOOKUP('Données projet'!$B$9,Paramètres!$A$1:$I$89,3,0)*VLOOKUP('Données projet'!$B$9,Paramètres!$A$1:$I$89,5,0)</f>
        <v>442.67973360000025</v>
      </c>
      <c r="P144" s="13">
        <f t="shared" si="141"/>
        <v>100.37761458218634</v>
      </c>
      <c r="Q144" s="20">
        <f t="shared" si="108"/>
        <v>945.82488141730835</v>
      </c>
      <c r="R144" s="59">
        <f t="shared" si="109"/>
        <v>1231.9293058199585</v>
      </c>
      <c r="S144" s="59">
        <f ca="1">AVERAGE(OFFSET($R$3,0,0,'Données projet'!$E$9+1,1))-AVERAGE(OFFSET($H$3,0,0,'Données projet'!$E$9+1,1))</f>
        <v>664.27707313486087</v>
      </c>
      <c r="T144" s="59">
        <f t="shared" si="142"/>
        <v>206.64483278066874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101.4599360954286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101.4599360954286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68.028479382540951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5.2499999999990337</v>
      </c>
      <c r="AJ144" s="13">
        <f>AI144*VLOOKUP('Données projet'!$B$10,Paramètres!$A$1:$I$89,3,0)*VLOOKUP('Données projet'!$B$10,Paramètres!$A$1:$I$89,5,0)</f>
        <v>2.4569999999995478</v>
      </c>
      <c r="AK144" s="13">
        <f t="shared" si="143"/>
        <v>1.0197977774625564</v>
      </c>
      <c r="AL144" s="20">
        <f t="shared" si="112"/>
        <v>6.0554227957464972</v>
      </c>
      <c r="AM144" s="59">
        <f t="shared" si="113"/>
        <v>292.15984719839668</v>
      </c>
      <c r="AN144" s="59">
        <f ca="1">AVERAGE(OFFSET($AM$3,0,0,'Données projet'!$E$10+1,1))-AVERAGE(OFFSET($H$3,0,0,'Données projet'!$E$10+1,1))</f>
        <v>329.7518221182429</v>
      </c>
      <c r="AO144" s="59">
        <f t="shared" si="144"/>
        <v>207.30737400651807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128.87855275959726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128.87855275959726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68.028479382540951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189.62971370839551</v>
      </c>
      <c r="BJ144" s="59">
        <f t="shared" si="146"/>
        <v>457.05149684588173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13.709023153836256</v>
      </c>
      <c r="BQ144" s="21">
        <f>EXP(-LN(2)/25)*BQ143+(1-EXP(-LN(2)/25))/(LN(2)/25)*Calculateur!BL144*Calculateur!BN144*VLOOKUP('Données projet'!$B$11,Paramètres!$A$1:$I$89,3,0)*0.475*44/12</f>
        <v>0.66237578024311938</v>
      </c>
      <c r="BR144" s="21">
        <f>EXP(-LN(2)/2)*BR143+(1-EXP(-LN(2)/2))/(LN(2)/2)*BL144*BO144*VLOOKUP('Données projet'!$B$11,Paramètres!$A$1:$I$89,3,0)*0.475*44/12</f>
        <v>8.8243133189882579E-19</v>
      </c>
      <c r="BS144" s="22">
        <f t="shared" si="117"/>
        <v>14.371398934079375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68.028479382540951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170.04605856785227</v>
      </c>
      <c r="CE144" s="59">
        <f t="shared" si="148"/>
        <v>377.63973197638802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7.3375039563318074</v>
      </c>
      <c r="CL144" s="21">
        <f>EXP(-LN(2)/25)*CL143+(1-EXP(-LN(2)/25))/(LN(2)/25)*Calculateur!CG144*Calculateur!CI144*VLOOKUP('Données projet'!$B$12,Paramètres!$A$1:$I$89,3,0)*0.475*44/12</f>
        <v>0.76433206637477002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8.1018360227065767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68.028479382540951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68.028479382540951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68.028479382540951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68.028479382540951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68.028479382540951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68.028479382540951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4.6500000000000004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17.05</v>
      </c>
      <c r="H145" s="66">
        <f t="shared" si="110"/>
        <v>188.46666666666667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68.062680857594074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8.561000000000007</v>
      </c>
      <c r="N145" s="13">
        <f>IF('Données projet'!$A$36&gt;35,N144+M145-V144,IF(A145&lt;'Données projet'!$A$36,$K$205^A145,IF(A145='Données projet'!$A$36,'Données projet'!$B$36,N144+M145-V144)))</f>
        <v>497.81800000000032</v>
      </c>
      <c r="O145" s="13">
        <f>N145*VLOOKUP('Données projet'!$B$9,Paramètres!$A$1:$I$89,3,0)*VLOOKUP('Données projet'!$B$9,Paramètres!$A$1:$I$89,5,0)</f>
        <v>450.42572640000031</v>
      </c>
      <c r="P145" s="13">
        <f t="shared" si="141"/>
        <v>101.92800251921889</v>
      </c>
      <c r="Q145" s="20">
        <f t="shared" si="108"/>
        <v>962.01607786763998</v>
      </c>
      <c r="R145" s="59">
        <f t="shared" si="109"/>
        <v>1248.2459076788182</v>
      </c>
      <c r="S145" s="59">
        <f ca="1">AVERAGE(OFFSET($R$3,0,0,'Données projet'!$E$9+1,1))-AVERAGE(OFFSET($H$3,0,0,'Données projet'!$E$9+1,1))</f>
        <v>664.27707313486087</v>
      </c>
      <c r="T145" s="59">
        <f t="shared" si="142"/>
        <v>206.64483278066874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99.470368633047684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99.470368633047684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68.062680857594074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5.2499999999990337</v>
      </c>
      <c r="AJ145" s="13">
        <f>AI145*VLOOKUP('Données projet'!$B$10,Paramètres!$A$1:$I$89,3,0)*VLOOKUP('Données projet'!$B$10,Paramètres!$A$1:$I$89,5,0)</f>
        <v>2.4569999999995478</v>
      </c>
      <c r="AK145" s="13">
        <f t="shared" si="143"/>
        <v>1.0197977774625564</v>
      </c>
      <c r="AL145" s="20">
        <f t="shared" si="112"/>
        <v>6.0554227957464972</v>
      </c>
      <c r="AM145" s="59">
        <f t="shared" si="113"/>
        <v>292.28525260692476</v>
      </c>
      <c r="AN145" s="59">
        <f ca="1">AVERAGE(OFFSET($AM$3,0,0,'Données projet'!$E$10+1,1))-AVERAGE(OFFSET($H$3,0,0,'Données projet'!$E$10+1,1))</f>
        <v>329.7518221182429</v>
      </c>
      <c r="AO145" s="59">
        <f t="shared" si="144"/>
        <v>207.30737400651807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126.35132294813683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126.35132294813683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68.062680857594074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189.62971370839551</v>
      </c>
      <c r="BJ145" s="59">
        <f t="shared" si="146"/>
        <v>457.05149684588173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13.440197571468003</v>
      </c>
      <c r="BQ145" s="21">
        <f>EXP(-LN(2)/25)*BQ144+(1-EXP(-LN(2)/25))/(LN(2)/25)*Calculateur!BL145*Calculateur!BN145*VLOOKUP('Données projet'!$B$11,Paramètres!$A$1:$I$89,3,0)*0.475*44/12</f>
        <v>0.64426307969954288</v>
      </c>
      <c r="BR145" s="21">
        <f>EXP(-LN(2)/2)*BR144+(1-EXP(-LN(2)/2))/(LN(2)/2)*BL145*BO145*VLOOKUP('Données projet'!$B$11,Paramètres!$A$1:$I$89,3,0)*0.475*44/12</f>
        <v>6.2397317871713671E-19</v>
      </c>
      <c r="BS145" s="22">
        <f t="shared" si="117"/>
        <v>14.084460651167547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68.062680857594074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170.04605856785227</v>
      </c>
      <c r="CE145" s="59">
        <f t="shared" si="148"/>
        <v>377.63973197638802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7.1936199791836417</v>
      </c>
      <c r="CL145" s="21">
        <f>EXP(-LN(2)/25)*CL144+(1-EXP(-LN(2)/25))/(LN(2)/25)*Calculateur!CG145*Calculateur!CI145*VLOOKUP('Données projet'!$B$12,Paramètres!$A$1:$I$89,3,0)*0.475*44/12</f>
        <v>0.74343136582527547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7.9370513450089168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68.062680857594074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68.062680857594074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68.062680857594074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68.062680857594074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68.062680857594074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68.062680857594074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4.6500000000000004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17.05</v>
      </c>
      <c r="H146" s="66">
        <f t="shared" si="110"/>
        <v>188.46666666666667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68.096289013518088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8.561000000000007</v>
      </c>
      <c r="N146" s="13">
        <f>IF('Données projet'!$A$36&gt;35,N145+M146-V145,IF(A146&lt;'Données projet'!$A$36,$K$205^A146,IF(A146='Données projet'!$A$36,'Données projet'!$B$36,N145+M146-V145)))</f>
        <v>506.37900000000036</v>
      </c>
      <c r="O146" s="13">
        <f>N146*VLOOKUP('Données projet'!$B$9,Paramètres!$A$1:$I$89,3,0)*VLOOKUP('Données projet'!$B$9,Paramètres!$A$1:$I$89,5,0)</f>
        <v>458.17171920000033</v>
      </c>
      <c r="P146" s="13">
        <f t="shared" si="141"/>
        <v>103.47528993084117</v>
      </c>
      <c r="Q146" s="20">
        <f t="shared" si="108"/>
        <v>978.20187423621553</v>
      </c>
      <c r="R146" s="59">
        <f t="shared" si="109"/>
        <v>1264.5549339524484</v>
      </c>
      <c r="S146" s="59">
        <f ca="1">AVERAGE(OFFSET($R$3,0,0,'Données projet'!$E$9+1,1))-AVERAGE(OFFSET($H$3,0,0,'Données projet'!$E$9+1,1))</f>
        <v>664.27707313486087</v>
      </c>
      <c r="T146" s="59">
        <f t="shared" si="142"/>
        <v>206.64483278066874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97.519815375087731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97.519815375087731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68.096289013518088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5.2499999999990337</v>
      </c>
      <c r="AJ146" s="13">
        <f>AI146*VLOOKUP('Données projet'!$B$10,Paramètres!$A$1:$I$89,3,0)*VLOOKUP('Données projet'!$B$10,Paramètres!$A$1:$I$89,5,0)</f>
        <v>2.4569999999995478</v>
      </c>
      <c r="AK146" s="13">
        <f t="shared" si="143"/>
        <v>1.0197977774625564</v>
      </c>
      <c r="AL146" s="20">
        <f t="shared" si="112"/>
        <v>6.0554227957464972</v>
      </c>
      <c r="AM146" s="59">
        <f t="shared" si="113"/>
        <v>292.40848251197946</v>
      </c>
      <c r="AN146" s="59">
        <f ca="1">AVERAGE(OFFSET($AM$3,0,0,'Données projet'!$E$10+1,1))-AVERAGE(OFFSET($H$3,0,0,'Données projet'!$E$10+1,1))</f>
        <v>329.7518221182429</v>
      </c>
      <c r="AO146" s="59">
        <f t="shared" si="144"/>
        <v>207.30737400651807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123.87365057182116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123.87365057182116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68.096289013518088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189.62971370839551</v>
      </c>
      <c r="BJ146" s="59">
        <f t="shared" si="146"/>
        <v>457.05149684588173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13.176643494802578</v>
      </c>
      <c r="BQ146" s="21">
        <f>EXP(-LN(2)/25)*BQ145+(1-EXP(-LN(2)/25))/(LN(2)/25)*Calculateur!BL146*Calculateur!BN146*VLOOKUP('Données projet'!$B$11,Paramètres!$A$1:$I$89,3,0)*0.475*44/12</f>
        <v>0.626645671904836</v>
      </c>
      <c r="BR146" s="21">
        <f>EXP(-LN(2)/2)*BR145+(1-EXP(-LN(2)/2))/(LN(2)/2)*BL146*BO146*VLOOKUP('Données projet'!$B$11,Paramètres!$A$1:$I$89,3,0)*0.475*44/12</f>
        <v>4.412156659494129E-19</v>
      </c>
      <c r="BS146" s="22">
        <f t="shared" si="117"/>
        <v>13.803289166707414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68.096289013518088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170.04605856785227</v>
      </c>
      <c r="CE146" s="59">
        <f t="shared" si="148"/>
        <v>377.63973197638802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7.0525574790667909</v>
      </c>
      <c r="CL146" s="21">
        <f>EXP(-LN(2)/25)*CL145+(1-EXP(-LN(2)/25))/(LN(2)/25)*Calculateur!CG146*Calculateur!CI146*VLOOKUP('Données projet'!$B$12,Paramètres!$A$1:$I$89,3,0)*0.475*44/12</f>
        <v>0.72310219603142689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7.7756596750982174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68.096289013518088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68.096289013518088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68.096289013518088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68.096289013518088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68.096289013518088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68.096289013518088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4.6500000000000004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17.05</v>
      </c>
      <c r="H147" s="66">
        <f t="shared" si="110"/>
        <v>188.46666666666667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68.129314143073387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514.94000000000005</v>
      </c>
      <c r="L147" s="12">
        <f>VLOOKUP(A147,'Données projet'!$A$35:$I$55,9,0)</f>
        <v>8.561000000000007</v>
      </c>
      <c r="M147" s="12">
        <f t="array" ref="M147">INDEX(L:L,MIN(IF(ISNUMBER(L147:L343),ROW(L147:L343),"")))</f>
        <v>8.561000000000007</v>
      </c>
      <c r="N147" s="13">
        <f>IF('Données projet'!$A$36&gt;35,N146+M147-V146,IF(A147&lt;'Données projet'!$A$36,$K$205^A147,IF(A147='Données projet'!$A$36,'Données projet'!$B$36,N146+M147-V146)))</f>
        <v>514.9400000000004</v>
      </c>
      <c r="O147" s="13">
        <f>N147*VLOOKUP('Données projet'!$B$9,Paramètres!$A$1:$I$89,3,0)*VLOOKUP('Données projet'!$B$9,Paramètres!$A$1:$I$89,5,0)</f>
        <v>465.91771200000034</v>
      </c>
      <c r="P147" s="13">
        <f t="shared" si="141"/>
        <v>105.0195352850718</v>
      </c>
      <c r="Q147" s="20">
        <f t="shared" si="108"/>
        <v>994.38237235483382</v>
      </c>
      <c r="R147" s="59">
        <f t="shared" si="109"/>
        <v>1280.8565242127695</v>
      </c>
      <c r="S147" s="59">
        <f ca="1">AVERAGE(OFFSET($R$3,0,0,'Données projet'!$E$9+1,1))-AVERAGE(OFFSET($H$3,0,0,'Données projet'!$E$9+1,1))</f>
        <v>664.27707313486087</v>
      </c>
      <c r="T147" s="59">
        <f t="shared" si="142"/>
        <v>206.64483278066874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56.01</v>
      </c>
      <c r="W147" s="16">
        <f>IF(ISNA(VLOOKUP(A147,'Données projet'!$A$35:$I$55,5,0)),0%,VLOOKUP(A147,'Données projet'!$A$35:$I$55,5,0)*VLOOKUP('Données projet'!$B$9,Paramètres!$A$1:$I$89,7,0))</f>
        <v>0.43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119.69734101765982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119.69734101765982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68.129314143073387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5.2499999999990337</v>
      </c>
      <c r="AJ147" s="13">
        <f>AI147*VLOOKUP('Données projet'!$B$10,Paramètres!$A$1:$I$89,3,0)*VLOOKUP('Données projet'!$B$10,Paramètres!$A$1:$I$89,5,0)</f>
        <v>2.4569999999995478</v>
      </c>
      <c r="AK147" s="13">
        <f t="shared" si="143"/>
        <v>1.0197977774625564</v>
      </c>
      <c r="AL147" s="20">
        <f t="shared" si="112"/>
        <v>6.0554227957464972</v>
      </c>
      <c r="AM147" s="59">
        <f t="shared" si="113"/>
        <v>292.52957465368223</v>
      </c>
      <c r="AN147" s="59">
        <f ca="1">AVERAGE(OFFSET($AM$3,0,0,'Données projet'!$E$10+1,1))-AVERAGE(OFFSET($H$3,0,0,'Données projet'!$E$10+1,1))</f>
        <v>329.7518221182429</v>
      </c>
      <c r="AO147" s="59">
        <f t="shared" si="144"/>
        <v>207.30737400651807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121.44456383957412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121.44456383957412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68.129314143073387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189.62971370839551</v>
      </c>
      <c r="BJ147" s="59">
        <f t="shared" si="146"/>
        <v>457.05149684588173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12.918257552828447</v>
      </c>
      <c r="BQ147" s="21">
        <f>EXP(-LN(2)/25)*BQ146+(1-EXP(-LN(2)/25))/(LN(2)/25)*Calculateur!BL147*Calculateur!BN147*VLOOKUP('Données projet'!$B$11,Paramètres!$A$1:$I$89,3,0)*0.475*44/12</f>
        <v>0.60951001305273456</v>
      </c>
      <c r="BR147" s="21">
        <f>EXP(-LN(2)/2)*BR146+(1-EXP(-LN(2)/2))/(LN(2)/2)*BL147*BO147*VLOOKUP('Données projet'!$B$11,Paramètres!$A$1:$I$89,3,0)*0.475*44/12</f>
        <v>3.1198658935856835E-19</v>
      </c>
      <c r="BS147" s="22">
        <f t="shared" si="117"/>
        <v>13.527767565881181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68.129314143073387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170.04605856785227</v>
      </c>
      <c r="CE147" s="59">
        <f t="shared" si="148"/>
        <v>377.63973197638802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6.9142611285376026</v>
      </c>
      <c r="CL147" s="21">
        <f>EXP(-LN(2)/25)*CL146+(1-EXP(-LN(2)/25))/(LN(2)/25)*Calculateur!CG147*Calculateur!CI147*VLOOKUP('Données projet'!$B$12,Paramètres!$A$1:$I$89,3,0)*0.475*44/12</f>
        <v>0.70332892845465567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7.6175900569922579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68.129314143073387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68.129314143073387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68.129314143073387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68.129314143073387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68.129314143073387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68.129314143073387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4.6500000000000004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17.05</v>
      </c>
      <c r="H148" s="66">
        <f t="shared" si="110"/>
        <v>188.46666666666667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68.161766360464014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8.7559999999999949</v>
      </c>
      <c r="N148" s="13">
        <f>IF('Données projet'!$A$36&gt;35,N147+M148-V147,IF(A148&lt;'Données projet'!$A$36,$K$205^A148,IF(A148='Données projet'!$A$36,'Données projet'!$B$36,N147+M148-V147)))</f>
        <v>467.68600000000038</v>
      </c>
      <c r="O148" s="13">
        <f>N148*VLOOKUP('Données projet'!$B$9,Paramètres!$A$1:$I$89,3,0)*VLOOKUP('Données projet'!$B$9,Paramètres!$A$1:$I$89,5,0)</f>
        <v>423.16229280000039</v>
      </c>
      <c r="P148" s="13">
        <f t="shared" si="141"/>
        <v>96.456970178534121</v>
      </c>
      <c r="Q148" s="20">
        <f t="shared" si="108"/>
        <v>905.00354968761405</v>
      </c>
      <c r="R148" s="59">
        <f t="shared" si="109"/>
        <v>1191.5966930093155</v>
      </c>
      <c r="S148" s="59">
        <f ca="1">AVERAGE(OFFSET($R$3,0,0,'Données projet'!$E$9+1,1))-AVERAGE(OFFSET($H$3,0,0,'Données projet'!$E$9+1,1))</f>
        <v>664.27707313486087</v>
      </c>
      <c r="T148" s="59">
        <f t="shared" si="142"/>
        <v>206.64483278066874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117.35014916847258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117.35014916847258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68.161766360464014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5.2499999999990337</v>
      </c>
      <c r="AJ148" s="13">
        <f>AI148*VLOOKUP('Données projet'!$B$10,Paramètres!$A$1:$I$89,3,0)*VLOOKUP('Données projet'!$B$10,Paramètres!$A$1:$I$89,5,0)</f>
        <v>2.4569999999995478</v>
      </c>
      <c r="AK148" s="13">
        <f t="shared" si="143"/>
        <v>1.0197977774625564</v>
      </c>
      <c r="AL148" s="20">
        <f t="shared" si="112"/>
        <v>6.0554227957464972</v>
      </c>
      <c r="AM148" s="59">
        <f t="shared" si="113"/>
        <v>292.64856611744784</v>
      </c>
      <c r="AN148" s="59">
        <f ca="1">AVERAGE(OFFSET($AM$3,0,0,'Données projet'!$E$10+1,1))-AVERAGE(OFFSET($H$3,0,0,'Données projet'!$E$10+1,1))</f>
        <v>329.7518221182429</v>
      </c>
      <c r="AO148" s="59">
        <f t="shared" si="144"/>
        <v>207.30737400651807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119.06311001654983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119.06311001654983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68.161766360464014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189.62971370839551</v>
      </c>
      <c r="BJ148" s="59">
        <f t="shared" si="146"/>
        <v>457.05149684588173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12.664938401576565</v>
      </c>
      <c r="BQ148" s="21">
        <f>EXP(-LN(2)/25)*BQ147+(1-EXP(-LN(2)/25))/(LN(2)/25)*Calculateur!BL148*Calculateur!BN148*VLOOKUP('Données projet'!$B$11,Paramètres!$A$1:$I$89,3,0)*0.475*44/12</f>
        <v>0.59284292969306895</v>
      </c>
      <c r="BR148" s="21">
        <f>EXP(-LN(2)/2)*BR147+(1-EXP(-LN(2)/2))/(LN(2)/2)*BL148*BO148*VLOOKUP('Données projet'!$B$11,Paramètres!$A$1:$I$89,3,0)*0.475*44/12</f>
        <v>2.2060783297470645E-19</v>
      </c>
      <c r="BS148" s="22">
        <f t="shared" si="117"/>
        <v>13.257781331269634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68.161766360464014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170.04605856785227</v>
      </c>
      <c r="CE148" s="59">
        <f t="shared" si="148"/>
        <v>377.63973197638802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6.7786766850898461</v>
      </c>
      <c r="CL148" s="21">
        <f>EXP(-LN(2)/25)*CL147+(1-EXP(-LN(2)/25))/(LN(2)/25)*Calculateur!CG148*Calculateur!CI148*VLOOKUP('Données projet'!$B$12,Paramètres!$A$1:$I$89,3,0)*0.475*44/12</f>
        <v>0.68409636191960221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7.4627730470094482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68.161766360464014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68.161766360464014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68.161766360464014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68.161766360464014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68.161766360464014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68.161766360464014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4.6500000000000004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17.05</v>
      </c>
      <c r="H149" s="66">
        <f t="shared" si="110"/>
        <v>188.46666666666667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68.193655604435236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8.7559999999999949</v>
      </c>
      <c r="N149" s="13">
        <f>IF('Données projet'!$A$36&gt;35,N148+M149-V148,IF(A149&lt;'Données projet'!$A$36,$K$205^A149,IF(A149='Données projet'!$A$36,'Données projet'!$B$36,N148+M149-V148)))</f>
        <v>476.44200000000035</v>
      </c>
      <c r="O149" s="13">
        <f>N149*VLOOKUP('Données projet'!$B$9,Paramètres!$A$1:$I$89,3,0)*VLOOKUP('Données projet'!$B$9,Paramètres!$A$1:$I$89,5,0)</f>
        <v>431.08472160000031</v>
      </c>
      <c r="P149" s="13">
        <f t="shared" si="141"/>
        <v>98.050904791241848</v>
      </c>
      <c r="Q149" s="20">
        <f t="shared" si="108"/>
        <v>921.57788263141322</v>
      </c>
      <c r="R149" s="59">
        <f t="shared" si="109"/>
        <v>1208.287953181009</v>
      </c>
      <c r="S149" s="59">
        <f ca="1">AVERAGE(OFFSET($R$3,0,0,'Données projet'!$E$9+1,1))-AVERAGE(OFFSET($H$3,0,0,'Données projet'!$E$9+1,1))</f>
        <v>664.27707313486087</v>
      </c>
      <c r="T149" s="59">
        <f t="shared" si="142"/>
        <v>206.64483278066874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115.04898431980223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115.04898431980223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68.193655604435236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5.2499999999990337</v>
      </c>
      <c r="AJ149" s="13">
        <f>AI149*VLOOKUP('Données projet'!$B$10,Paramètres!$A$1:$I$89,3,0)*VLOOKUP('Données projet'!$B$10,Paramètres!$A$1:$I$89,5,0)</f>
        <v>2.4569999999995478</v>
      </c>
      <c r="AK149" s="13">
        <f t="shared" si="143"/>
        <v>1.0197977774625564</v>
      </c>
      <c r="AL149" s="20">
        <f t="shared" si="112"/>
        <v>6.0554227957464972</v>
      </c>
      <c r="AM149" s="59">
        <f t="shared" si="113"/>
        <v>292.76549334534235</v>
      </c>
      <c r="AN149" s="59">
        <f ca="1">AVERAGE(OFFSET($AM$3,0,0,'Données projet'!$E$10+1,1))-AVERAGE(OFFSET($H$3,0,0,'Données projet'!$E$10+1,1))</f>
        <v>329.7518221182429</v>
      </c>
      <c r="AO149" s="59">
        <f t="shared" si="144"/>
        <v>207.30737400651807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116.72835505045164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116.72835505045164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68.193655604435236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189.62971370839551</v>
      </c>
      <c r="BJ149" s="59">
        <f t="shared" si="146"/>
        <v>457.05149684588173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12.416586684371309</v>
      </c>
      <c r="BQ149" s="21">
        <f>EXP(-LN(2)/25)*BQ148+(1-EXP(-LN(2)/25))/(LN(2)/25)*Calculateur!BL149*Calculateur!BN149*VLOOKUP('Données projet'!$B$11,Paramètres!$A$1:$I$89,3,0)*0.475*44/12</f>
        <v>0.57663160860435725</v>
      </c>
      <c r="BR149" s="21">
        <f>EXP(-LN(2)/2)*BR148+(1-EXP(-LN(2)/2))/(LN(2)/2)*BL149*BO149*VLOOKUP('Données projet'!$B$11,Paramètres!$A$1:$I$89,3,0)*0.475*44/12</f>
        <v>1.5599329467928418E-19</v>
      </c>
      <c r="BS149" s="22">
        <f t="shared" si="117"/>
        <v>12.993218292975666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68.193655604435236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170.04605856785227</v>
      </c>
      <c r="CE149" s="59">
        <f t="shared" si="148"/>
        <v>377.63973197638802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6.6457509698797557</v>
      </c>
      <c r="CL149" s="21">
        <f>EXP(-LN(2)/25)*CL148+(1-EXP(-LN(2)/25))/(LN(2)/25)*Calculateur!CG149*Calculateur!CI149*VLOOKUP('Données projet'!$B$12,Paramètres!$A$1:$I$89,3,0)*0.475*44/12</f>
        <v>0.66538971092784649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7.3111406808076023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68.193655604435236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68.193655604435236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68.193655604435236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68.193655604435236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68.193655604435236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68.193655604435236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4.6500000000000004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17.05</v>
      </c>
      <c r="H150" s="66">
        <f t="shared" si="110"/>
        <v>188.46666666666667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68.224991641317189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8.7559999999999949</v>
      </c>
      <c r="N150" s="13">
        <f>IF('Données projet'!$A$36&gt;35,N149+M150-V149,IF(A150&lt;'Données projet'!$A$36,$K$205^A150,IF(A150='Données projet'!$A$36,'Données projet'!$B$36,N149+M150-V149)))</f>
        <v>485.19800000000032</v>
      </c>
      <c r="O150" s="13">
        <f>N150*VLOOKUP('Données projet'!$B$9,Paramètres!$A$1:$I$89,3,0)*VLOOKUP('Données projet'!$B$9,Paramètres!$A$1:$I$89,5,0)</f>
        <v>439.00715040000023</v>
      </c>
      <c r="P150" s="13">
        <f t="shared" si="141"/>
        <v>99.641433121906957</v>
      </c>
      <c r="Q150" s="20">
        <f t="shared" si="108"/>
        <v>938.14628296732155</v>
      </c>
      <c r="R150" s="59">
        <f t="shared" si="109"/>
        <v>1224.971252318818</v>
      </c>
      <c r="S150" s="59">
        <f ca="1">AVERAGE(OFFSET($R$3,0,0,'Données projet'!$E$9+1,1))-AVERAGE(OFFSET($H$3,0,0,'Données projet'!$E$9+1,1))</f>
        <v>664.27707313486087</v>
      </c>
      <c r="T150" s="59">
        <f t="shared" si="142"/>
        <v>206.64483278066874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112.79294391024234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112.79294391024234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68.224991641317189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5.2499999999990337</v>
      </c>
      <c r="AJ150" s="13">
        <f>AI150*VLOOKUP('Données projet'!$B$10,Paramètres!$A$1:$I$89,3,0)*VLOOKUP('Données projet'!$B$10,Paramètres!$A$1:$I$89,5,0)</f>
        <v>2.4569999999995478</v>
      </c>
      <c r="AK150" s="13">
        <f t="shared" si="143"/>
        <v>1.0197977774625564</v>
      </c>
      <c r="AL150" s="20">
        <f t="shared" si="112"/>
        <v>6.0554227957464972</v>
      </c>
      <c r="AM150" s="59">
        <f t="shared" si="113"/>
        <v>292.88039214724284</v>
      </c>
      <c r="AN150" s="59">
        <f ca="1">AVERAGE(OFFSET($AM$3,0,0,'Données projet'!$E$10+1,1))-AVERAGE(OFFSET($H$3,0,0,'Données projet'!$E$10+1,1))</f>
        <v>329.7518221182429</v>
      </c>
      <c r="AO150" s="59">
        <f t="shared" si="144"/>
        <v>207.30737400651807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114.43938320517871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114.43938320517871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68.224991641317189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189.62971370839551</v>
      </c>
      <c r="BJ150" s="59">
        <f t="shared" si="146"/>
        <v>457.05149684588173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12.173104992860857</v>
      </c>
      <c r="BQ150" s="21">
        <f>EXP(-LN(2)/25)*BQ149+(1-EXP(-LN(2)/25))/(LN(2)/25)*Calculateur!BL150*Calculateur!BN150*VLOOKUP('Données projet'!$B$11,Paramètres!$A$1:$I$89,3,0)*0.475*44/12</f>
        <v>0.56086358694333271</v>
      </c>
      <c r="BR150" s="21">
        <f>EXP(-LN(2)/2)*BR149+(1-EXP(-LN(2)/2))/(LN(2)/2)*BL150*BO150*VLOOKUP('Données projet'!$B$11,Paramètres!$A$1:$I$89,3,0)*0.475*44/12</f>
        <v>1.1030391648735322E-19</v>
      </c>
      <c r="BS150" s="22">
        <f t="shared" si="117"/>
        <v>12.73396857980419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68.224991641317189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170.04605856785227</v>
      </c>
      <c r="CE150" s="59">
        <f t="shared" si="148"/>
        <v>377.63973197638802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6.5154318468682551</v>
      </c>
      <c r="CL150" s="21">
        <f>EXP(-LN(2)/25)*CL149+(1-EXP(-LN(2)/25))/(LN(2)/25)*Calculateur!CG150*Calculateur!CI150*VLOOKUP('Données projet'!$B$12,Paramètres!$A$1:$I$89,3,0)*0.475*44/12</f>
        <v>0.64719459429120041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7.1626264411594551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68.224991641317189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68.224991641317189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68.224991641317189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68.224991641317189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68.224991641317189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68.224991641317189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4.6500000000000004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17.05</v>
      </c>
      <c r="H151" s="66">
        <f t="shared" si="110"/>
        <v>188.46666666666667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68.255784068016155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8.7559999999999949</v>
      </c>
      <c r="N151" s="13">
        <f>IF('Données projet'!$A$36&gt;35,N150+M151-V150,IF(A151&lt;'Données projet'!$A$36,$K$205^A151,IF(A151='Données projet'!$A$36,'Données projet'!$B$36,N150+M151-V150)))</f>
        <v>493.95400000000029</v>
      </c>
      <c r="O151" s="13">
        <f>N151*VLOOKUP('Données projet'!$B$9,Paramètres!$A$1:$I$89,3,0)*VLOOKUP('Données projet'!$B$9,Paramètres!$A$1:$I$89,5,0)</f>
        <v>446.92957920000026</v>
      </c>
      <c r="P151" s="13">
        <f t="shared" si="141"/>
        <v>101.22862373176935</v>
      </c>
      <c r="Q151" s="20">
        <f t="shared" si="108"/>
        <v>954.70887010616536</v>
      </c>
      <c r="R151" s="59">
        <f t="shared" si="109"/>
        <v>1241.6467450222246</v>
      </c>
      <c r="S151" s="59">
        <f ca="1">AVERAGE(OFFSET($R$3,0,0,'Données projet'!$E$9+1,1))-AVERAGE(OFFSET($H$3,0,0,'Données projet'!$E$9+1,1))</f>
        <v>664.27707313486087</v>
      </c>
      <c r="T151" s="59">
        <f t="shared" si="142"/>
        <v>206.64483278066874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110.58114307706515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110.58114307706515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68.255784068016155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5.2499999999990337</v>
      </c>
      <c r="AJ151" s="13">
        <f>AI151*VLOOKUP('Données projet'!$B$10,Paramètres!$A$1:$I$89,3,0)*VLOOKUP('Données projet'!$B$10,Paramètres!$A$1:$I$89,5,0)</f>
        <v>2.4569999999995478</v>
      </c>
      <c r="AK151" s="13">
        <f t="shared" si="143"/>
        <v>1.0197977774625564</v>
      </c>
      <c r="AL151" s="20">
        <f t="shared" si="112"/>
        <v>6.0554227957464972</v>
      </c>
      <c r="AM151" s="59">
        <f t="shared" si="113"/>
        <v>292.99329771180572</v>
      </c>
      <c r="AN151" s="59">
        <f ca="1">AVERAGE(OFFSET($AM$3,0,0,'Données projet'!$E$10+1,1))-AVERAGE(OFFSET($H$3,0,0,'Données projet'!$E$10+1,1))</f>
        <v>329.7518221182429</v>
      </c>
      <c r="AO151" s="59">
        <f t="shared" si="144"/>
        <v>207.30737400651807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112.19529670165663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112.19529670165663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68.255784068016155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189.62971370839551</v>
      </c>
      <c r="BJ151" s="59">
        <f t="shared" si="146"/>
        <v>457.05149684588173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11.934397828811758</v>
      </c>
      <c r="BQ151" s="21">
        <f>EXP(-LN(2)/25)*BQ150+(1-EXP(-LN(2)/25))/(LN(2)/25)*Calculateur!BL151*Calculateur!BN151*VLOOKUP('Données projet'!$B$11,Paramètres!$A$1:$I$89,3,0)*0.475*44/12</f>
        <v>0.54552674266383316</v>
      </c>
      <c r="BR151" s="21">
        <f>EXP(-LN(2)/2)*BR150+(1-EXP(-LN(2)/2))/(LN(2)/2)*BL151*BO151*VLOOKUP('Données projet'!$B$11,Paramètres!$A$1:$I$89,3,0)*0.475*44/12</f>
        <v>7.7996647339642089E-20</v>
      </c>
      <c r="BS151" s="22">
        <f t="shared" si="117"/>
        <v>12.479924571475591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68.255784068016155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170.04605856785227</v>
      </c>
      <c r="CE151" s="59">
        <f t="shared" si="148"/>
        <v>377.63973197638802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6.3876682023721933</v>
      </c>
      <c r="CL151" s="21">
        <f>EXP(-LN(2)/25)*CL150+(1-EXP(-LN(2)/25))/(LN(2)/25)*Calculateur!CG151*Calculateur!CI151*VLOOKUP('Données projet'!$B$12,Paramètres!$A$1:$I$89,3,0)*0.475*44/12</f>
        <v>0.62949702407582298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7.0171652264480162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68.255784068016155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68.255784068016155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68.255784068016155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68.255784068016155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68.255784068016155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68.255784068016155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4.6500000000000004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17.05</v>
      </c>
      <c r="H152" s="66">
        <f t="shared" si="110"/>
        <v>188.46666666666667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68.286042314953434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8.7559999999999949</v>
      </c>
      <c r="N152" s="13">
        <f>IF('Données projet'!$A$36&gt;35,N151+M152-V151,IF(A152&lt;'Données projet'!$A$36,$K$205^A152,IF(A152='Données projet'!$A$36,'Données projet'!$B$36,N151+M152-V151)))</f>
        <v>502.71000000000026</v>
      </c>
      <c r="O152" s="13">
        <f>N152*VLOOKUP('Données projet'!$B$9,Paramètres!$A$1:$I$89,3,0)*VLOOKUP('Données projet'!$B$9,Paramètres!$A$1:$I$89,5,0)</f>
        <v>454.85200800000018</v>
      </c>
      <c r="P152" s="13">
        <f t="shared" si="141"/>
        <v>102.81254261217163</v>
      </c>
      <c r="Q152" s="20">
        <f t="shared" si="108"/>
        <v>971.26575898286592</v>
      </c>
      <c r="R152" s="59">
        <f t="shared" si="109"/>
        <v>1258.3145808043619</v>
      </c>
      <c r="S152" s="59">
        <f ca="1">AVERAGE(OFFSET($R$3,0,0,'Données projet'!$E$9+1,1))-AVERAGE(OFFSET($H$3,0,0,'Données projet'!$E$9+1,1))</f>
        <v>664.27707313486087</v>
      </c>
      <c r="T152" s="59">
        <f t="shared" si="142"/>
        <v>206.64483278066874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108.41271430916126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108.41271430916126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68.286042314953434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5.2499999999990337</v>
      </c>
      <c r="AJ152" s="13">
        <f>AI152*VLOOKUP('Données projet'!$B$10,Paramètres!$A$1:$I$89,3,0)*VLOOKUP('Données projet'!$B$10,Paramètres!$A$1:$I$89,5,0)</f>
        <v>2.4569999999995478</v>
      </c>
      <c r="AK152" s="13">
        <f t="shared" si="143"/>
        <v>1.0197977774625564</v>
      </c>
      <c r="AL152" s="20">
        <f t="shared" si="112"/>
        <v>6.0554227957464972</v>
      </c>
      <c r="AM152" s="59">
        <f t="shared" si="113"/>
        <v>293.10424461724239</v>
      </c>
      <c r="AN152" s="59">
        <f ca="1">AVERAGE(OFFSET($AM$3,0,0,'Données projet'!$E$10+1,1))-AVERAGE(OFFSET($H$3,0,0,'Données projet'!$E$10+1,1))</f>
        <v>329.7518221182429</v>
      </c>
      <c r="AO152" s="59">
        <f t="shared" si="144"/>
        <v>207.30737400651807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109.99521536571099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109.99521536571099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68.286042314953434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189.62971370839551</v>
      </c>
      <c r="BJ152" s="59">
        <f t="shared" si="146"/>
        <v>457.05149684588173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11.700371566652667</v>
      </c>
      <c r="BQ152" s="21">
        <f>EXP(-LN(2)/25)*BQ151+(1-EXP(-LN(2)/25))/(LN(2)/25)*Calculateur!BL152*Calculateur!BN152*VLOOKUP('Données projet'!$B$11,Paramètres!$A$1:$I$89,3,0)*0.475*44/12</f>
        <v>0.53060928519768602</v>
      </c>
      <c r="BR152" s="21">
        <f>EXP(-LN(2)/2)*BR151+(1-EXP(-LN(2)/2))/(LN(2)/2)*BL152*BO152*VLOOKUP('Données projet'!$B$11,Paramètres!$A$1:$I$89,3,0)*0.475*44/12</f>
        <v>5.5151958243676612E-20</v>
      </c>
      <c r="BS152" s="22">
        <f t="shared" si="117"/>
        <v>12.230980851850353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68.286042314953434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170.04605856785227</v>
      </c>
      <c r="CE152" s="59">
        <f t="shared" si="148"/>
        <v>377.63973197638802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6.2624099250165708</v>
      </c>
      <c r="CL152" s="21">
        <f>EXP(-LN(2)/25)*CL151+(1-EXP(-LN(2)/25))/(LN(2)/25)*Calculateur!CG152*Calculateur!CI152*VLOOKUP('Données projet'!$B$12,Paramètres!$A$1:$I$89,3,0)*0.475*44/12</f>
        <v>0.61228339484865979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6.8746933198652309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68.286042314953434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68.286042314953434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68.286042314953434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68.286042314953434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68.286042314953434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68.286042314953434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4.6500000000000004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17.05</v>
      </c>
      <c r="H153" s="66">
        <f t="shared" si="110"/>
        <v>188.46666666666667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68.315775648953661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8.7559999999999949</v>
      </c>
      <c r="N153" s="13">
        <f>IF('Données projet'!$A$36&gt;35,N152+M153-V152,IF(A153&lt;'Données projet'!$A$36,$K$205^A153,IF(A153='Données projet'!$A$36,'Données projet'!$B$36,N152+M153-V152)))</f>
        <v>511.46600000000024</v>
      </c>
      <c r="O153" s="13">
        <f>N153*VLOOKUP('Données projet'!$B$9,Paramètres!$A$1:$I$89,3,0)*VLOOKUP('Données projet'!$B$9,Paramètres!$A$1:$I$89,5,0)</f>
        <v>462.77443680000022</v>
      </c>
      <c r="P153" s="13">
        <f t="shared" si="141"/>
        <v>104.39325332394039</v>
      </c>
      <c r="Q153" s="20">
        <f t="shared" si="108"/>
        <v>987.81706029919644</v>
      </c>
      <c r="R153" s="59">
        <f t="shared" si="109"/>
        <v>1274.9749043453598</v>
      </c>
      <c r="S153" s="59">
        <f ca="1">AVERAGE(OFFSET($R$3,0,0,'Données projet'!$E$9+1,1))-AVERAGE(OFFSET($H$3,0,0,'Données projet'!$E$9+1,1))</f>
        <v>664.27707313486087</v>
      </c>
      <c r="T153" s="59">
        <f t="shared" si="142"/>
        <v>206.64483278066874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106.28680710678501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106.28680710678501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68.315775648953661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5.2499999999990337</v>
      </c>
      <c r="AJ153" s="13">
        <f>AI153*VLOOKUP('Données projet'!$B$10,Paramètres!$A$1:$I$89,3,0)*VLOOKUP('Données projet'!$B$10,Paramètres!$A$1:$I$89,5,0)</f>
        <v>2.4569999999995478</v>
      </c>
      <c r="AK153" s="13">
        <f t="shared" si="143"/>
        <v>1.0197977774625564</v>
      </c>
      <c r="AL153" s="20">
        <f t="shared" si="112"/>
        <v>6.0554227957464972</v>
      </c>
      <c r="AM153" s="59">
        <f t="shared" si="113"/>
        <v>293.21326684190996</v>
      </c>
      <c r="AN153" s="59">
        <f ca="1">AVERAGE(OFFSET($AM$3,0,0,'Données projet'!$E$10+1,1))-AVERAGE(OFFSET($H$3,0,0,'Données projet'!$E$10+1,1))</f>
        <v>329.7518221182429</v>
      </c>
      <c r="AO153" s="59">
        <f t="shared" si="144"/>
        <v>207.30737400651807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107.83827628284614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107.83827628284614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68.315775648953661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189.62971370839551</v>
      </c>
      <c r="BJ153" s="59">
        <f t="shared" si="146"/>
        <v>457.05149684588173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11.470934416752591</v>
      </c>
      <c r="BQ153" s="21">
        <f>EXP(-LN(2)/25)*BQ152+(1-EXP(-LN(2)/25))/(LN(2)/25)*Calculateur!BL153*Calculateur!BN153*VLOOKUP('Données projet'!$B$11,Paramètres!$A$1:$I$89,3,0)*0.475*44/12</f>
        <v>0.51609974639042566</v>
      </c>
      <c r="BR153" s="21">
        <f>EXP(-LN(2)/2)*BR152+(1-EXP(-LN(2)/2))/(LN(2)/2)*BL153*BO153*VLOOKUP('Données projet'!$B$11,Paramètres!$A$1:$I$89,3,0)*0.475*44/12</f>
        <v>3.8998323669821044E-20</v>
      </c>
      <c r="BS153" s="22">
        <f t="shared" si="117"/>
        <v>11.987034163143017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68.315775648953661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170.04605856785227</v>
      </c>
      <c r="CE153" s="59">
        <f t="shared" si="148"/>
        <v>377.63973197638802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6.1396078860798866</v>
      </c>
      <c r="CL153" s="21">
        <f>EXP(-LN(2)/25)*CL152+(1-EXP(-LN(2)/25))/(LN(2)/25)*Calculateur!CG153*Calculateur!CI153*VLOOKUP('Données projet'!$B$12,Paramètres!$A$1:$I$89,3,0)*0.475*44/12</f>
        <v>0.59554047321793879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6.7351483592978258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68.315775648953661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68.315775648953661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68.315775648953661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68.315775648953661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68.315775648953661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68.315775648953661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4.6500000000000004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17.05</v>
      </c>
      <c r="H154" s="66">
        <f t="shared" si="110"/>
        <v>188.46666666666667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68.344993176082752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8.7559999999999949</v>
      </c>
      <c r="N154" s="13">
        <f>IF('Données projet'!$A$36&gt;35,N153+M154-V153,IF(A154&lt;'Données projet'!$A$36,$K$205^A154,IF(A154='Données projet'!$A$36,'Données projet'!$B$36,N153+M154-V153)))</f>
        <v>520.22200000000021</v>
      </c>
      <c r="O154" s="13">
        <f>N154*VLOOKUP('Données projet'!$B$9,Paramètres!$A$1:$I$89,3,0)*VLOOKUP('Données projet'!$B$9,Paramètres!$A$1:$I$89,5,0)</f>
        <v>470.69686560000014</v>
      </c>
      <c r="P154" s="13">
        <f t="shared" si="141"/>
        <v>105.97081712695257</v>
      </c>
      <c r="Q154" s="20">
        <f t="shared" ref="Q154:Q203" si="162">(O154+P154)*0.475*44/12</f>
        <v>1004.3628807494425</v>
      </c>
      <c r="R154" s="59">
        <f t="shared" si="109"/>
        <v>1291.6278557284127</v>
      </c>
      <c r="S154" s="59">
        <f ca="1">AVERAGE(OFFSET($R$3,0,0,'Données projet'!$E$9+1,1))-AVERAGE(OFFSET($H$3,0,0,'Données projet'!$E$9+1,1))</f>
        <v>664.27707313486087</v>
      </c>
      <c r="T154" s="59">
        <f t="shared" si="142"/>
        <v>206.64483278066874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104.202587647972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104.202587647972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68.344993176082752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5.2499999999990337</v>
      </c>
      <c r="AJ154" s="13">
        <f>AI154*VLOOKUP('Données projet'!$B$10,Paramètres!$A$1:$I$89,3,0)*VLOOKUP('Données projet'!$B$10,Paramètres!$A$1:$I$89,5,0)</f>
        <v>2.4569999999995478</v>
      </c>
      <c r="AK154" s="13">
        <f t="shared" ref="AK154:AK203" si="164">EXP(-1.0587+0.8836*LN(AJ154)+0.284)</f>
        <v>1.0197977774625564</v>
      </c>
      <c r="AL154" s="20">
        <f t="shared" ref="AL154:AL203" si="165">(AJ154+AK154)*0.475*44/12</f>
        <v>6.0554227957464972</v>
      </c>
      <c r="AM154" s="59">
        <f t="shared" si="113"/>
        <v>293.32039777471658</v>
      </c>
      <c r="AN154" s="59">
        <f ca="1">AVERAGE(OFFSET($AM$3,0,0,'Données projet'!$E$10+1,1))-AVERAGE(OFFSET($H$3,0,0,'Données projet'!$E$10+1,1))</f>
        <v>329.7518221182429</v>
      </c>
      <c r="AO154" s="59">
        <f t="shared" si="144"/>
        <v>207.30737400651807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105.72363345979333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105.72363345979333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68.344993176082752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189.62971370839551</v>
      </c>
      <c r="BJ154" s="59">
        <f t="shared" si="146"/>
        <v>457.05149684588173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11.245996389419213</v>
      </c>
      <c r="BQ154" s="21">
        <f>EXP(-LN(2)/25)*BQ153+(1-EXP(-LN(2)/25))/(LN(2)/25)*Calculateur!BL154*Calculateur!BN154*VLOOKUP('Données projet'!$B$11,Paramètres!$A$1:$I$89,3,0)*0.475*44/12</f>
        <v>0.50198697168487338</v>
      </c>
      <c r="BR154" s="21">
        <f>EXP(-LN(2)/2)*BR153+(1-EXP(-LN(2)/2))/(LN(2)/2)*BL154*BO154*VLOOKUP('Données projet'!$B$11,Paramètres!$A$1:$I$89,3,0)*0.475*44/12</f>
        <v>2.7575979121838306E-20</v>
      </c>
      <c r="BS154" s="22">
        <f t="shared" ref="BS154:BS203" si="169">SUM(BP154:BR154)</f>
        <v>11.747983361104087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68.344993176082752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170.04605856785227</v>
      </c>
      <c r="CE154" s="59">
        <f t="shared" si="148"/>
        <v>377.63973197638802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6.0192139202249031</v>
      </c>
      <c r="CL154" s="21">
        <f>EXP(-LN(2)/25)*CL153+(1-EXP(-LN(2)/25))/(LN(2)/25)*Calculateur!CG154*Calculateur!CI154*VLOOKUP('Données projet'!$B$12,Paramètres!$A$1:$I$89,3,0)*0.475*44/12</f>
        <v>0.57925538765968188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6.5984693078845851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68.344993176082752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68.344993176082752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68.344993176082752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68.344993176082752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68.344993176082752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68.344993176082752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4.6500000000000004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17.05</v>
      </c>
      <c r="H155" s="66">
        <f t="shared" si="110"/>
        <v>188.46666666666667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68.373703844436776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8.7559999999999949</v>
      </c>
      <c r="N155" s="13">
        <f>IF('Données projet'!$A$36&gt;35,N154+M155-V154,IF(A155&lt;'Données projet'!$A$36,$K$205^A155,IF(A155='Données projet'!$A$36,'Données projet'!$B$36,N154+M155-V154)))</f>
        <v>528.97800000000018</v>
      </c>
      <c r="O155" s="13">
        <f>N155*VLOOKUP('Données projet'!$B$9,Paramètres!$A$1:$I$89,3,0)*VLOOKUP('Données projet'!$B$9,Paramètres!$A$1:$I$89,5,0)</f>
        <v>478.61929440000017</v>
      </c>
      <c r="P155" s="13">
        <f t="shared" si="141"/>
        <v>107.54529310073205</v>
      </c>
      <c r="Q155" s="20">
        <f t="shared" si="162"/>
        <v>1020.9033232304419</v>
      </c>
      <c r="R155" s="59">
        <f t="shared" si="109"/>
        <v>1308.2735706600433</v>
      </c>
      <c r="S155" s="59">
        <f ca="1">AVERAGE(OFFSET($R$3,0,0,'Données projet'!$E$9+1,1))-AVERAGE(OFFSET($H$3,0,0,'Données projet'!$E$9+1,1))</f>
        <v>664.27707313486087</v>
      </c>
      <c r="T155" s="59">
        <f t="shared" si="142"/>
        <v>206.64483278066874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102.15923846149796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102.15923846149796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68.373703844436776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5.2499999999990337</v>
      </c>
      <c r="AJ155" s="13">
        <f>AI155*VLOOKUP('Données projet'!$B$10,Paramètres!$A$1:$I$89,3,0)*VLOOKUP('Données projet'!$B$10,Paramètres!$A$1:$I$89,5,0)</f>
        <v>2.4569999999995478</v>
      </c>
      <c r="AK155" s="13">
        <f t="shared" si="164"/>
        <v>1.0197977774625564</v>
      </c>
      <c r="AL155" s="20">
        <f t="shared" si="165"/>
        <v>6.0554227957464972</v>
      </c>
      <c r="AM155" s="59">
        <f t="shared" si="113"/>
        <v>293.42567022534803</v>
      </c>
      <c r="AN155" s="59">
        <f ca="1">AVERAGE(OFFSET($AM$3,0,0,'Données projet'!$E$10+1,1))-AVERAGE(OFFSET($H$3,0,0,'Données projet'!$E$10+1,1))</f>
        <v>329.7518221182429</v>
      </c>
      <c r="AO155" s="59">
        <f t="shared" si="144"/>
        <v>207.30737400651807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103.65045749269582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103.65045749269582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68.373703844436776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189.62971370839551</v>
      </c>
      <c r="BJ155" s="59">
        <f t="shared" si="146"/>
        <v>457.05149684588173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11.025469259603192</v>
      </c>
      <c r="BQ155" s="21">
        <f>EXP(-LN(2)/25)*BQ154+(1-EXP(-LN(2)/25))/(LN(2)/25)*Calculateur!BL155*Calculateur!BN155*VLOOKUP('Données projet'!$B$11,Paramètres!$A$1:$I$89,3,0)*0.475*44/12</f>
        <v>0.48826011154580301</v>
      </c>
      <c r="BR155" s="21">
        <f>EXP(-LN(2)/2)*BR154+(1-EXP(-LN(2)/2))/(LN(2)/2)*BL155*BO155*VLOOKUP('Données projet'!$B$11,Paramètres!$A$1:$I$89,3,0)*0.475*44/12</f>
        <v>1.9499161834910522E-20</v>
      </c>
      <c r="BS155" s="22">
        <f t="shared" si="169"/>
        <v>11.513729371148994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68.373703844436776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170.04605856785227</v>
      </c>
      <c r="CE155" s="59">
        <f t="shared" si="148"/>
        <v>377.63973197638802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5.9011808066072673</v>
      </c>
      <c r="CL155" s="21">
        <f>EXP(-LN(2)/25)*CL154+(1-EXP(-LN(2)/25))/(LN(2)/25)*Calculateur!CG155*Calculateur!CI155*VLOOKUP('Données projet'!$B$12,Paramètres!$A$1:$I$89,3,0)*0.475*44/12</f>
        <v>0.56341561862241096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6.4645964252296784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68.373703844436776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68.373703844436776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68.373703844436776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68.373703844436776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68.373703844436776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68.373703844436776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4.6500000000000004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17.05</v>
      </c>
      <c r="H156" s="66">
        <f t="shared" si="110"/>
        <v>188.46666666666667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68.401916446882282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8.7559999999999949</v>
      </c>
      <c r="N156" s="13">
        <f>IF('Données projet'!$A$36&gt;35,N155+M156-V155,IF(A156&lt;'Données projet'!$A$36,$K$205^A156,IF(A156='Données projet'!$A$36,'Données projet'!$B$36,N155+M156-V155)))</f>
        <v>537.73400000000015</v>
      </c>
      <c r="O156" s="13">
        <f>N156*VLOOKUP('Données projet'!$B$9,Paramètres!$A$1:$I$89,3,0)*VLOOKUP('Données projet'!$B$9,Paramètres!$A$1:$I$89,5,0)</f>
        <v>486.54172320000009</v>
      </c>
      <c r="P156" s="13">
        <f t="shared" si="141"/>
        <v>109.11673825683451</v>
      </c>
      <c r="Q156" s="20">
        <f t="shared" si="162"/>
        <v>1037.4384870373203</v>
      </c>
      <c r="R156" s="59">
        <f t="shared" si="109"/>
        <v>1324.9121806758887</v>
      </c>
      <c r="S156" s="59">
        <f ca="1">AVERAGE(OFFSET($R$3,0,0,'Données projet'!$E$9+1,1))-AVERAGE(OFFSET($H$3,0,0,'Données projet'!$E$9+1,1))</f>
        <v>664.27707313486087</v>
      </c>
      <c r="T156" s="59">
        <f t="shared" si="142"/>
        <v>206.64483278066874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100.15595810625075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100.15595810625075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68.401916446882282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5.2499999999990337</v>
      </c>
      <c r="AJ156" s="13">
        <f>AI156*VLOOKUP('Données projet'!$B$10,Paramètres!$A$1:$I$89,3,0)*VLOOKUP('Données projet'!$B$10,Paramètres!$A$1:$I$89,5,0)</f>
        <v>2.4569999999995478</v>
      </c>
      <c r="AK156" s="13">
        <f t="shared" si="164"/>
        <v>1.0197977774625564</v>
      </c>
      <c r="AL156" s="20">
        <f t="shared" si="165"/>
        <v>6.0554227957464972</v>
      </c>
      <c r="AM156" s="59">
        <f t="shared" si="113"/>
        <v>293.52911643431486</v>
      </c>
      <c r="AN156" s="59">
        <f ca="1">AVERAGE(OFFSET($AM$3,0,0,'Données projet'!$E$10+1,1))-AVERAGE(OFFSET($H$3,0,0,'Données projet'!$E$10+1,1))</f>
        <v>329.7518221182429</v>
      </c>
      <c r="AO156" s="59">
        <f t="shared" si="144"/>
        <v>207.30737400651807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101.61793524180062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101.61793524180062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68.401916446882282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189.62971370839551</v>
      </c>
      <c r="BJ156" s="59">
        <f t="shared" si="146"/>
        <v>457.05149684588173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10.809266532294595</v>
      </c>
      <c r="BQ156" s="21">
        <f>EXP(-LN(2)/25)*BQ155+(1-EXP(-LN(2)/25))/(LN(2)/25)*Calculateur!BL156*Calculateur!BN156*VLOOKUP('Données projet'!$B$11,Paramètres!$A$1:$I$89,3,0)*0.475*44/12</f>
        <v>0.47490861311909971</v>
      </c>
      <c r="BR156" s="21">
        <f>EXP(-LN(2)/2)*BR155+(1-EXP(-LN(2)/2))/(LN(2)/2)*BL156*BO156*VLOOKUP('Données projet'!$B$11,Paramètres!$A$1:$I$89,3,0)*0.475*44/12</f>
        <v>1.3787989560919153E-20</v>
      </c>
      <c r="BS156" s="22">
        <f t="shared" si="169"/>
        <v>11.284175145413695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68.401916446882282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170.04605856785227</v>
      </c>
      <c r="CE156" s="59">
        <f t="shared" si="148"/>
        <v>377.63973197638802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5.7854622503545832</v>
      </c>
      <c r="CL156" s="21">
        <f>EXP(-LN(2)/25)*CL155+(1-EXP(-LN(2)/25))/(LN(2)/25)*Calculateur!CG156*Calculateur!CI156*VLOOKUP('Données projet'!$B$12,Paramètres!$A$1:$I$89,3,0)*0.475*44/12</f>
        <v>0.54800898890244143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6.3334712392570243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68.401916446882282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68.401916446882282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68.401916446882282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68.401916446882282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68.401916446882282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68.401916446882282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4.6500000000000004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17.05</v>
      </c>
      <c r="H157" s="66">
        <f t="shared" si="110"/>
        <v>188.46666666666667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68.429639623749281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546.49</v>
      </c>
      <c r="L157" s="12">
        <f>VLOOKUP(A157,'Données projet'!$A$35:$I$55,9,0)</f>
        <v>8.7559999999999949</v>
      </c>
      <c r="M157" s="12">
        <f t="array" ref="M157">INDEX(L:L,MIN(IF(ISNUMBER(L157:L353),ROW(L157:L353),"")))</f>
        <v>8.7559999999999949</v>
      </c>
      <c r="N157" s="13">
        <f>IF('Données projet'!$A$36&gt;35,N156+M157-V156,IF(A157&lt;'Données projet'!$A$36,$K$205^A157,IF(A157='Données projet'!$A$36,'Données projet'!$B$36,N156+M157-V156)))</f>
        <v>546.49000000000012</v>
      </c>
      <c r="O157" s="13">
        <f>N157*VLOOKUP('Données projet'!$B$9,Paramètres!$A$1:$I$89,3,0)*VLOOKUP('Données projet'!$B$9,Paramètres!$A$1:$I$89,5,0)</f>
        <v>494.46415200000013</v>
      </c>
      <c r="P157" s="13">
        <f t="shared" si="141"/>
        <v>110.68520764370504</v>
      </c>
      <c r="Q157" s="20">
        <f t="shared" si="162"/>
        <v>1053.9684680461196</v>
      </c>
      <c r="R157" s="59">
        <f t="shared" si="109"/>
        <v>1341.5438133332002</v>
      </c>
      <c r="S157" s="59">
        <f ca="1">AVERAGE(OFFSET($R$3,0,0,'Données projet'!$E$9+1,1))-AVERAGE(OFFSET($H$3,0,0,'Données projet'!$E$9+1,1))</f>
        <v>664.27707313486087</v>
      </c>
      <c r="T157" s="59">
        <f t="shared" si="142"/>
        <v>206.64483278066874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55.13</v>
      </c>
      <c r="W157" s="16">
        <f>IF(ISNA(VLOOKUP(A157,'Données projet'!$A$35:$I$55,5,0)),0%,VLOOKUP(A157,'Données projet'!$A$35:$I$55,5,0)*VLOOKUP('Données projet'!$B$9,Paramètres!$A$1:$I$89,7,0))</f>
        <v>0.43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121.90330371733953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121.90330371733953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68.429639623749281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5.2499999999990337</v>
      </c>
      <c r="AJ157" s="13">
        <f>AI157*VLOOKUP('Données projet'!$B$10,Paramètres!$A$1:$I$89,3,0)*VLOOKUP('Données projet'!$B$10,Paramètres!$A$1:$I$89,5,0)</f>
        <v>2.4569999999995478</v>
      </c>
      <c r="AK157" s="13">
        <f t="shared" si="164"/>
        <v>1.0197977774625564</v>
      </c>
      <c r="AL157" s="20">
        <f t="shared" si="165"/>
        <v>6.0554227957464972</v>
      </c>
      <c r="AM157" s="59">
        <f t="shared" si="113"/>
        <v>293.63076808282716</v>
      </c>
      <c r="AN157" s="59">
        <f ca="1">AVERAGE(OFFSET($AM$3,0,0,'Données projet'!$E$10+1,1))-AVERAGE(OFFSET($H$3,0,0,'Données projet'!$E$10+1,1))</f>
        <v>329.7518221182429</v>
      </c>
      <c r="AO157" s="59">
        <f t="shared" si="144"/>
        <v>207.30737400651807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99.625269512529314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99.625269512529314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68.429639623749281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189.62971370839551</v>
      </c>
      <c r="BJ157" s="59">
        <f t="shared" si="146"/>
        <v>457.05149684588173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10.597303408597877</v>
      </c>
      <c r="BQ157" s="21">
        <f>EXP(-LN(2)/25)*BQ156+(1-EXP(-LN(2)/25))/(LN(2)/25)*Calculateur!BL157*Calculateur!BN157*VLOOKUP('Données projet'!$B$11,Paramètres!$A$1:$I$89,3,0)*0.475*44/12</f>
        <v>0.46192221211899936</v>
      </c>
      <c r="BR157" s="21">
        <f>EXP(-LN(2)/2)*BR156+(1-EXP(-LN(2)/2))/(LN(2)/2)*BL157*BO157*VLOOKUP('Données projet'!$B$11,Paramètres!$A$1:$I$89,3,0)*0.475*44/12</f>
        <v>9.7495809174552611E-21</v>
      </c>
      <c r="BS157" s="22">
        <f t="shared" si="169"/>
        <v>11.059225620716877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68.429639623749281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170.04605856785227</v>
      </c>
      <c r="CE157" s="59">
        <f t="shared" si="148"/>
        <v>377.63973197638802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5.6720128644086643</v>
      </c>
      <c r="CL157" s="21">
        <f>EXP(-LN(2)/25)*CL156+(1-EXP(-LN(2)/25))/(LN(2)/25)*Calculateur!CG157*Calculateur!CI157*VLOOKUP('Données projet'!$B$12,Paramètres!$A$1:$I$89,3,0)*0.475*44/12</f>
        <v>0.53302365428236398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6.2050365186910286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68.429639623749281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68.429639623749281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68.429639623749281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68.429639623749281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68.429639623749281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68.429639623749281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4.6500000000000004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17.05</v>
      </c>
      <c r="H158" s="66">
        <f t="shared" si="110"/>
        <v>188.46666666666667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68.456881865477399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8.8960000000000043</v>
      </c>
      <c r="N158" s="13">
        <f>IF('Données projet'!$A$36&gt;35,N157+M158-V157,IF(A158&lt;'Données projet'!$A$36,$K$205^A158,IF(A158='Données projet'!$A$36,'Données projet'!$B$36,N157+M158-V157)))</f>
        <v>500.25600000000009</v>
      </c>
      <c r="O158" s="13">
        <f>N158*VLOOKUP('Données projet'!$B$9,Paramètres!$A$1:$I$89,3,0)*VLOOKUP('Données projet'!$B$9,Paramètres!$A$1:$I$89,5,0)</f>
        <v>452.63162880000004</v>
      </c>
      <c r="P158" s="13">
        <f t="shared" si="141"/>
        <v>102.36895191108759</v>
      </c>
      <c r="Q158" s="20">
        <f t="shared" si="162"/>
        <v>966.62601140514414</v>
      </c>
      <c r="R158" s="59">
        <f t="shared" si="109"/>
        <v>1254.3012449118946</v>
      </c>
      <c r="S158" s="59">
        <f ca="1">AVERAGE(OFFSET($R$3,0,0,'Données projet'!$E$9+1,1))-AVERAGE(OFFSET($H$3,0,0,'Données projet'!$E$9+1,1))</f>
        <v>664.27707313486087</v>
      </c>
      <c r="T158" s="59">
        <f t="shared" si="142"/>
        <v>206.64483278066874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119.51285428511595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119.51285428511595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68.456881865477399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5.2499999999990337</v>
      </c>
      <c r="AJ158" s="13">
        <f>AI158*VLOOKUP('Données projet'!$B$10,Paramètres!$A$1:$I$89,3,0)*VLOOKUP('Données projet'!$B$10,Paramètres!$A$1:$I$89,5,0)</f>
        <v>2.4569999999995478</v>
      </c>
      <c r="AK158" s="13">
        <f t="shared" si="164"/>
        <v>1.0197977774625564</v>
      </c>
      <c r="AL158" s="20">
        <f t="shared" si="165"/>
        <v>6.0554227957464972</v>
      </c>
      <c r="AM158" s="59">
        <f t="shared" si="113"/>
        <v>293.73065630249693</v>
      </c>
      <c r="AN158" s="59">
        <f ca="1">AVERAGE(OFFSET($AM$3,0,0,'Données projet'!$E$10+1,1))-AVERAGE(OFFSET($H$3,0,0,'Données projet'!$E$10+1,1))</f>
        <v>329.7518221182429</v>
      </c>
      <c r="AO158" s="59">
        <f t="shared" si="144"/>
        <v>207.30737400651807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97.671678742802925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97.671678742802925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68.456881865477399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189.62971370839551</v>
      </c>
      <c r="BJ158" s="59">
        <f t="shared" si="146"/>
        <v>457.05149684588173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10.389496752472112</v>
      </c>
      <c r="BQ158" s="21">
        <f>EXP(-LN(2)/25)*BQ157+(1-EXP(-LN(2)/25))/(LN(2)/25)*Calculateur!BL158*Calculateur!BN158*VLOOKUP('Données projet'!$B$11,Paramètres!$A$1:$I$89,3,0)*0.475*44/12</f>
        <v>0.44929092493717193</v>
      </c>
      <c r="BR158" s="21">
        <f>EXP(-LN(2)/2)*BR157+(1-EXP(-LN(2)/2))/(LN(2)/2)*BL158*BO158*VLOOKUP('Données projet'!$B$11,Paramètres!$A$1:$I$89,3,0)*0.475*44/12</f>
        <v>6.8939947804595765E-21</v>
      </c>
      <c r="BS158" s="22">
        <f t="shared" si="169"/>
        <v>10.838787677409284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68.456881865477399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170.04605856785227</v>
      </c>
      <c r="CE158" s="59">
        <f t="shared" si="148"/>
        <v>377.63973197638802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5.5607881517238518</v>
      </c>
      <c r="CL158" s="21">
        <f>EXP(-LN(2)/25)*CL157+(1-EXP(-LN(2)/25))/(LN(2)/25)*Calculateur!CG158*Calculateur!CI158*VLOOKUP('Données projet'!$B$12,Paramètres!$A$1:$I$89,3,0)*0.475*44/12</f>
        <v>0.51844809442551698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6.0792362461493692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68.456881865477399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68.456881865477399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68.456881865477399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68.456881865477399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68.456881865477399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68.456881865477399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4.6500000000000004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17.05</v>
      </c>
      <c r="H159" s="66">
        <f t="shared" si="110"/>
        <v>188.46666666666667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68.483651515216039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8.8960000000000043</v>
      </c>
      <c r="N159" s="13">
        <f>IF('Données projet'!$A$36&gt;35,N158+M159-V158,IF(A159&lt;'Données projet'!$A$36,$K$205^A159,IF(A159='Données projet'!$A$36,'Données projet'!$B$36,N158+M159-V158)))</f>
        <v>509.1520000000001</v>
      </c>
      <c r="O159" s="13">
        <f>N159*VLOOKUP('Données projet'!$B$9,Paramètres!$A$1:$I$89,3,0)*VLOOKUP('Données projet'!$B$9,Paramètres!$A$1:$I$89,5,0)</f>
        <v>460.68072960000006</v>
      </c>
      <c r="P159" s="13">
        <f t="shared" si="141"/>
        <v>103.97581794168418</v>
      </c>
      <c r="Q159" s="20">
        <f t="shared" si="162"/>
        <v>983.44348696843338</v>
      </c>
      <c r="R159" s="59">
        <f t="shared" si="109"/>
        <v>1271.2168758575588</v>
      </c>
      <c r="S159" s="59">
        <f ca="1">AVERAGE(OFFSET($R$3,0,0,'Données projet'!$E$9+1,1))-AVERAGE(OFFSET($H$3,0,0,'Données projet'!$E$9+1,1))</f>
        <v>664.27707313486087</v>
      </c>
      <c r="T159" s="59">
        <f t="shared" si="142"/>
        <v>206.64483278066874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117.16928010822809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117.16928010822809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68.483651515216039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5.2499999999990337</v>
      </c>
      <c r="AJ159" s="13">
        <f>AI159*VLOOKUP('Données projet'!$B$10,Paramètres!$A$1:$I$89,3,0)*VLOOKUP('Données projet'!$B$10,Paramètres!$A$1:$I$89,5,0)</f>
        <v>2.4569999999995478</v>
      </c>
      <c r="AK159" s="13">
        <f t="shared" si="164"/>
        <v>1.0197977774625564</v>
      </c>
      <c r="AL159" s="20">
        <f t="shared" si="165"/>
        <v>6.0554227957464972</v>
      </c>
      <c r="AM159" s="59">
        <f t="shared" si="113"/>
        <v>293.82881168487194</v>
      </c>
      <c r="AN159" s="59">
        <f ca="1">AVERAGE(OFFSET($AM$3,0,0,'Données projet'!$E$10+1,1))-AVERAGE(OFFSET($H$3,0,0,'Données projet'!$E$10+1,1))</f>
        <v>329.7518221182429</v>
      </c>
      <c r="AO159" s="59">
        <f t="shared" si="144"/>
        <v>207.30737400651807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95.756396696498157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95.756396696498157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68.483651515216039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189.62971370839551</v>
      </c>
      <c r="BJ159" s="59">
        <f t="shared" si="146"/>
        <v>457.05149684588173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10.18576505812343</v>
      </c>
      <c r="BQ159" s="21">
        <f>EXP(-LN(2)/25)*BQ158+(1-EXP(-LN(2)/25))/(LN(2)/25)*Calculateur!BL159*Calculateur!BN159*VLOOKUP('Données projet'!$B$11,Paramètres!$A$1:$I$89,3,0)*0.475*44/12</f>
        <v>0.43700504096758208</v>
      </c>
      <c r="BR159" s="21">
        <f>EXP(-LN(2)/2)*BR158+(1-EXP(-LN(2)/2))/(LN(2)/2)*BL159*BO159*VLOOKUP('Données projet'!$B$11,Paramètres!$A$1:$I$89,3,0)*0.475*44/12</f>
        <v>4.8747904587276305E-21</v>
      </c>
      <c r="BS159" s="22">
        <f t="shared" si="169"/>
        <v>10.622770099091012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68.483651515216039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170.04605856785227</v>
      </c>
      <c r="CE159" s="59">
        <f t="shared" si="148"/>
        <v>377.63973197638802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5.4517444878144126</v>
      </c>
      <c r="CL159" s="21">
        <f>EXP(-LN(2)/25)*CL158+(1-EXP(-LN(2)/25))/(LN(2)/25)*Calculateur!CG159*Calculateur!CI159*VLOOKUP('Données projet'!$B$12,Paramètres!$A$1:$I$89,3,0)*0.475*44/12</f>
        <v>0.50427110401945086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5.9560155918338635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68.483651515216039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68.483651515216039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68.483651515216039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68.483651515216039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68.483651515216039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68.483651515216039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4.6500000000000004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17.05</v>
      </c>
      <c r="H160" s="66">
        <f t="shared" si="110"/>
        <v>188.46666666666667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68.509956771379706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8.8960000000000043</v>
      </c>
      <c r="N160" s="13">
        <f>IF('Données projet'!$A$36&gt;35,N159+M160-V159,IF(A160&lt;'Données projet'!$A$36,$K$205^A160,IF(A160='Données projet'!$A$36,'Données projet'!$B$36,N159+M160-V159)))</f>
        <v>518.04800000000012</v>
      </c>
      <c r="O160" s="13">
        <f>N160*VLOOKUP('Données projet'!$B$9,Paramètres!$A$1:$I$89,3,0)*VLOOKUP('Données projet'!$B$9,Paramètres!$A$1:$I$89,5,0)</f>
        <v>468.72983040000003</v>
      </c>
      <c r="P160" s="13">
        <f t="shared" si="141"/>
        <v>105.57941913319922</v>
      </c>
      <c r="Q160" s="20">
        <f t="shared" si="162"/>
        <v>1000.2552762703218</v>
      </c>
      <c r="R160" s="59">
        <f t="shared" si="109"/>
        <v>1288.1251177653808</v>
      </c>
      <c r="S160" s="59">
        <f ca="1">AVERAGE(OFFSET($R$3,0,0,'Données projet'!$E$9+1,1))-AVERAGE(OFFSET($H$3,0,0,'Données projet'!$E$9+1,1))</f>
        <v>664.27707313486087</v>
      </c>
      <c r="T160" s="59">
        <f t="shared" si="142"/>
        <v>206.64483278066874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114.87166199150991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114.87166199150991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68.509956771379706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5.2499999999990337</v>
      </c>
      <c r="AJ160" s="13">
        <f>AI160*VLOOKUP('Données projet'!$B$10,Paramètres!$A$1:$I$89,3,0)*VLOOKUP('Données projet'!$B$10,Paramètres!$A$1:$I$89,5,0)</f>
        <v>2.4569999999995478</v>
      </c>
      <c r="AK160" s="13">
        <f t="shared" si="164"/>
        <v>1.0197977774625564</v>
      </c>
      <c r="AL160" s="20">
        <f t="shared" si="165"/>
        <v>6.0554227957464972</v>
      </c>
      <c r="AM160" s="59">
        <f t="shared" si="113"/>
        <v>293.92526429080539</v>
      </c>
      <c r="AN160" s="59">
        <f ca="1">AVERAGE(OFFSET($AM$3,0,0,'Données projet'!$E$10+1,1))-AVERAGE(OFFSET($H$3,0,0,'Données projet'!$E$10+1,1))</f>
        <v>329.7518221182429</v>
      </c>
      <c r="AO160" s="59">
        <f t="shared" si="144"/>
        <v>207.30737400651807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93.878672162914739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93.878672162914739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68.509956771379706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189.62971370839551</v>
      </c>
      <c r="BJ160" s="59">
        <f t="shared" si="146"/>
        <v>457.05149684588173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9.9860284180368613</v>
      </c>
      <c r="BQ160" s="21">
        <f>EXP(-LN(2)/25)*BQ159+(1-EXP(-LN(2)/25))/(LN(2)/25)*Calculateur!BL160*Calculateur!BN160*VLOOKUP('Données projet'!$B$11,Paramètres!$A$1:$I$89,3,0)*0.475*44/12</f>
        <v>0.42505511514122724</v>
      </c>
      <c r="BR160" s="21">
        <f>EXP(-LN(2)/2)*BR159+(1-EXP(-LN(2)/2))/(LN(2)/2)*BL160*BO160*VLOOKUP('Données projet'!$B$11,Paramètres!$A$1:$I$89,3,0)*0.475*44/12</f>
        <v>3.4469973902297883E-21</v>
      </c>
      <c r="BS160" s="22">
        <f t="shared" si="169"/>
        <v>10.411083533178088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68.509956771379706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170.04605856785227</v>
      </c>
      <c r="CE160" s="59">
        <f t="shared" si="148"/>
        <v>377.63973197638802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5.34483910364417</v>
      </c>
      <c r="CL160" s="21">
        <f>EXP(-LN(2)/25)*CL159+(1-EXP(-LN(2)/25))/(LN(2)/25)*Calculateur!CG160*Calculateur!CI160*VLOOKUP('Données projet'!$B$12,Paramètres!$A$1:$I$89,3,0)*0.475*44/12</f>
        <v>0.49048178416157412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5.8353208878057439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68.509956771379706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68.509956771379706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68.509956771379706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68.509956771379706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68.509956771379706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68.509956771379706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4.6500000000000004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17.05</v>
      </c>
      <c r="H161" s="66">
        <f t="shared" si="110"/>
        <v>188.46666666666667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68.535805690158668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8.8960000000000043</v>
      </c>
      <c r="N161" s="13">
        <f>IF('Données projet'!$A$36&gt;35,N160+M161-V160,IF(A161&lt;'Données projet'!$A$36,$K$205^A161,IF(A161='Données projet'!$A$36,'Données projet'!$B$36,N160+M161-V160)))</f>
        <v>526.94400000000007</v>
      </c>
      <c r="O161" s="13">
        <f>N161*VLOOKUP('Données projet'!$B$9,Paramètres!$A$1:$I$89,3,0)*VLOOKUP('Données projet'!$B$9,Paramètres!$A$1:$I$89,5,0)</f>
        <v>476.77893120000005</v>
      </c>
      <c r="P161" s="13">
        <f t="shared" si="141"/>
        <v>107.17981801952122</v>
      </c>
      <c r="Q161" s="20">
        <f t="shared" si="162"/>
        <v>1017.0614882239994</v>
      </c>
      <c r="R161" s="59">
        <f t="shared" si="109"/>
        <v>1305.0261090879144</v>
      </c>
      <c r="S161" s="59">
        <f ca="1">AVERAGE(OFFSET($R$3,0,0,'Données projet'!$E$9+1,1))-AVERAGE(OFFSET($H$3,0,0,'Données projet'!$E$9+1,1))</f>
        <v>664.27707313486087</v>
      </c>
      <c r="T161" s="59">
        <f t="shared" si="142"/>
        <v>206.64483278066874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112.61909876465189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112.61909876465189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68.535805690158668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5.2499999999990337</v>
      </c>
      <c r="AJ161" s="13">
        <f>AI161*VLOOKUP('Données projet'!$B$10,Paramètres!$A$1:$I$89,3,0)*VLOOKUP('Données projet'!$B$10,Paramètres!$A$1:$I$89,5,0)</f>
        <v>2.4569999999995478</v>
      </c>
      <c r="AK161" s="13">
        <f t="shared" si="164"/>
        <v>1.0197977774625564</v>
      </c>
      <c r="AL161" s="20">
        <f t="shared" si="165"/>
        <v>6.0554227957464972</v>
      </c>
      <c r="AM161" s="59">
        <f t="shared" si="113"/>
        <v>294.02004365966161</v>
      </c>
      <c r="AN161" s="59">
        <f ca="1">AVERAGE(OFFSET($AM$3,0,0,'Données projet'!$E$10+1,1))-AVERAGE(OFFSET($H$3,0,0,'Données projet'!$E$10+1,1))</f>
        <v>329.7518221182429</v>
      </c>
      <c r="AO161" s="59">
        <f t="shared" si="144"/>
        <v>207.30737400651807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92.037768662136017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92.037768662136017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68.535805690158668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189.62971370839551</v>
      </c>
      <c r="BJ161" s="59">
        <f t="shared" si="146"/>
        <v>457.05149684588173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9.7902084916350702</v>
      </c>
      <c r="BQ161" s="21">
        <f>EXP(-LN(2)/25)*BQ160+(1-EXP(-LN(2)/25))/(LN(2)/25)*Calculateur!BL161*Calculateur!BN161*VLOOKUP('Données projet'!$B$11,Paramètres!$A$1:$I$89,3,0)*0.475*44/12</f>
        <v>0.41343196066501336</v>
      </c>
      <c r="BR161" s="21">
        <f>EXP(-LN(2)/2)*BR160+(1-EXP(-LN(2)/2))/(LN(2)/2)*BL161*BO161*VLOOKUP('Données projet'!$B$11,Paramètres!$A$1:$I$89,3,0)*0.475*44/12</f>
        <v>2.4373952293638153E-21</v>
      </c>
      <c r="BS161" s="22">
        <f t="shared" si="169"/>
        <v>10.203640452300084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68.535805690158668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170.04605856785227</v>
      </c>
      <c r="CE161" s="59">
        <f t="shared" si="148"/>
        <v>377.63973197638802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5.2400300688516595</v>
      </c>
      <c r="CL161" s="21">
        <f>EXP(-LN(2)/25)*CL160+(1-EXP(-LN(2)/25))/(LN(2)/25)*Calculateur!CG161*Calculateur!CI161*VLOOKUP('Données projet'!$B$12,Paramètres!$A$1:$I$89,3,0)*0.475*44/12</f>
        <v>0.47706953398035984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5.7170996028320191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68.535805690158668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68.535805690158668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68.535805690158668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68.535805690158668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68.535805690158668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68.535805690158668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4.6500000000000004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17.05</v>
      </c>
      <c r="H162" s="66">
        <f t="shared" si="110"/>
        <v>188.46666666666667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68.561206187986315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8.8960000000000043</v>
      </c>
      <c r="N162" s="13">
        <f>IF('Données projet'!$A$36&gt;35,N161+M162-V161,IF(A162&lt;'Données projet'!$A$36,$K$205^A162,IF(A162='Données projet'!$A$36,'Données projet'!$B$36,N161+M162-V161)))</f>
        <v>535.84</v>
      </c>
      <c r="O162" s="13">
        <f>N162*VLOOKUP('Données projet'!$B$9,Paramètres!$A$1:$I$89,3,0)*VLOOKUP('Données projet'!$B$9,Paramètres!$A$1:$I$89,5,0)</f>
        <v>484.82803200000001</v>
      </c>
      <c r="P162" s="13">
        <f t="shared" si="141"/>
        <v>108.77707490210506</v>
      </c>
      <c r="Q162" s="20">
        <f t="shared" si="162"/>
        <v>1033.8622278544997</v>
      </c>
      <c r="R162" s="59">
        <f t="shared" si="109"/>
        <v>1321.9199838771162</v>
      </c>
      <c r="S162" s="59">
        <f ca="1">AVERAGE(OFFSET($R$3,0,0,'Données projet'!$E$9+1,1))-AVERAGE(OFFSET($H$3,0,0,'Données projet'!$E$9+1,1))</f>
        <v>664.27707313486087</v>
      </c>
      <c r="T162" s="59">
        <f t="shared" si="142"/>
        <v>206.64483278066874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110.41070692874466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110.41070692874466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68.561206187986315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5.2499999999990337</v>
      </c>
      <c r="AJ162" s="13">
        <f>AI162*VLOOKUP('Données projet'!$B$10,Paramètres!$A$1:$I$89,3,0)*VLOOKUP('Données projet'!$B$10,Paramètres!$A$1:$I$89,5,0)</f>
        <v>2.4569999999995478</v>
      </c>
      <c r="AK162" s="13">
        <f t="shared" si="164"/>
        <v>1.0197977774625564</v>
      </c>
      <c r="AL162" s="20">
        <f t="shared" si="165"/>
        <v>6.0554227957464972</v>
      </c>
      <c r="AM162" s="59">
        <f t="shared" si="113"/>
        <v>294.113178818363</v>
      </c>
      <c r="AN162" s="59">
        <f ca="1">AVERAGE(OFFSET($AM$3,0,0,'Données projet'!$E$10+1,1))-AVERAGE(OFFSET($H$3,0,0,'Données projet'!$E$10+1,1))</f>
        <v>329.7518221182429</v>
      </c>
      <c r="AO162" s="59">
        <f t="shared" si="144"/>
        <v>207.30737400651807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90.232964156167299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90.232964156167299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68.561206187986315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189.62971370839551</v>
      </c>
      <c r="BJ162" s="59">
        <f t="shared" si="146"/>
        <v>457.05149684588173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9.5982284745516555</v>
      </c>
      <c r="BQ162" s="21">
        <f>EXP(-LN(2)/25)*BQ161+(1-EXP(-LN(2)/25))/(LN(2)/25)*Calculateur!BL162*Calculateur!BN162*VLOOKUP('Données projet'!$B$11,Paramètres!$A$1:$I$89,3,0)*0.475*44/12</f>
        <v>0.40212664195918668</v>
      </c>
      <c r="BR162" s="21">
        <f>EXP(-LN(2)/2)*BR161+(1-EXP(-LN(2)/2))/(LN(2)/2)*BL162*BO162*VLOOKUP('Données projet'!$B$11,Paramètres!$A$1:$I$89,3,0)*0.475*44/12</f>
        <v>1.7234986951148941E-21</v>
      </c>
      <c r="BS162" s="22">
        <f t="shared" si="169"/>
        <v>10.000355116510843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68.561206187986315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170.04605856785227</v>
      </c>
      <c r="CE162" s="59">
        <f t="shared" si="148"/>
        <v>377.63973197638802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5.1372762753042318</v>
      </c>
      <c r="CL162" s="21">
        <f>EXP(-LN(2)/25)*CL161+(1-EXP(-LN(2)/25))/(LN(2)/25)*Calculateur!CG162*Calculateur!CI162*VLOOKUP('Données projet'!$B$12,Paramètres!$A$1:$I$89,3,0)*0.475*44/12</f>
        <v>0.46402404248567047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5.6013003177899021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68.561206187986315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68.561206187986315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68.561206187986315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68.561206187986315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68.561206187986315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68.561206187986315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4.6500000000000004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17.05</v>
      </c>
      <c r="H163" s="66">
        <f t="shared" si="110"/>
        <v>188.46666666666667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68.586166043963686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8.8960000000000043</v>
      </c>
      <c r="N163" s="13">
        <f>IF('Données projet'!$A$36&gt;35,N162+M163-V162,IF(A163&lt;'Données projet'!$A$36,$K$205^A163,IF(A163='Données projet'!$A$36,'Données projet'!$B$36,N162+M163-V162)))</f>
        <v>544.73599999999999</v>
      </c>
      <c r="O163" s="13">
        <f>N163*VLOOKUP('Données projet'!$B$9,Paramètres!$A$1:$I$89,3,0)*VLOOKUP('Données projet'!$B$9,Paramètres!$A$1:$I$89,5,0)</f>
        <v>492.87713279999997</v>
      </c>
      <c r="P163" s="13">
        <f t="shared" si="141"/>
        <v>110.37124796538414</v>
      </c>
      <c r="Q163" s="20">
        <f t="shared" si="162"/>
        <v>1050.6575964997107</v>
      </c>
      <c r="R163" s="59">
        <f t="shared" si="109"/>
        <v>1338.8068719942444</v>
      </c>
      <c r="S163" s="59">
        <f ca="1">AVERAGE(OFFSET($R$3,0,0,'Données projet'!$E$9+1,1))-AVERAGE(OFFSET($H$3,0,0,'Données projet'!$E$9+1,1))</f>
        <v>664.27707313486087</v>
      </c>
      <c r="T163" s="59">
        <f t="shared" si="142"/>
        <v>206.64483278066874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108.24562030975355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108.24562030975355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68.586166043963686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5.2499999999990337</v>
      </c>
      <c r="AJ163" s="13">
        <f>AI163*VLOOKUP('Données projet'!$B$10,Paramètres!$A$1:$I$89,3,0)*VLOOKUP('Données projet'!$B$10,Paramètres!$A$1:$I$89,5,0)</f>
        <v>2.4569999999995478</v>
      </c>
      <c r="AK163" s="13">
        <f t="shared" si="164"/>
        <v>1.0197977774625564</v>
      </c>
      <c r="AL163" s="20">
        <f t="shared" si="165"/>
        <v>6.0554227957464972</v>
      </c>
      <c r="AM163" s="59">
        <f t="shared" si="113"/>
        <v>294.20469829028002</v>
      </c>
      <c r="AN163" s="59">
        <f ca="1">AVERAGE(OFFSET($AM$3,0,0,'Données projet'!$E$10+1,1))-AVERAGE(OFFSET($H$3,0,0,'Données projet'!$E$10+1,1))</f>
        <v>329.7518221182429</v>
      </c>
      <c r="AO163" s="59">
        <f t="shared" si="144"/>
        <v>207.30737400651807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88.463550765738574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88.463550765738574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68.586166043963686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189.62971370839551</v>
      </c>
      <c r="BJ163" s="59">
        <f t="shared" si="146"/>
        <v>457.05149684588173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9.4100130685069985</v>
      </c>
      <c r="BQ163" s="21">
        <f>EXP(-LN(2)/25)*BQ162+(1-EXP(-LN(2)/25))/(LN(2)/25)*Calculateur!BL163*Calculateur!BN163*VLOOKUP('Données projet'!$B$11,Paramètres!$A$1:$I$89,3,0)*0.475*44/12</f>
        <v>0.39113046778789168</v>
      </c>
      <c r="BR163" s="21">
        <f>EXP(-LN(2)/2)*BR162+(1-EXP(-LN(2)/2))/(LN(2)/2)*BL163*BO163*VLOOKUP('Données projet'!$B$11,Paramètres!$A$1:$I$89,3,0)*0.475*44/12</f>
        <v>1.2186976146819076E-21</v>
      </c>
      <c r="BS163" s="22">
        <f t="shared" si="169"/>
        <v>9.8011435362948909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68.586166043963686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170.04605856785227</v>
      </c>
      <c r="CE163" s="59">
        <f t="shared" si="148"/>
        <v>377.63973197638802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5.0365374209746436</v>
      </c>
      <c r="CL163" s="21">
        <f>EXP(-LN(2)/25)*CL162+(1-EXP(-LN(2)/25))/(LN(2)/25)*Calculateur!CG163*Calculateur!CI163*VLOOKUP('Données projet'!$B$12,Paramètres!$A$1:$I$89,3,0)*0.475*44/12</f>
        <v>0.45133528064193595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5.4878727016165794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68.586166043963686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68.586166043963686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68.586166043963686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68.586166043963686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68.586166043963686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68.586166043963686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4.6500000000000004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17.05</v>
      </c>
      <c r="H164" s="66">
        <f t="shared" si="110"/>
        <v>188.46666666666667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68.610692902241723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8.8960000000000043</v>
      </c>
      <c r="N164" s="13">
        <f>IF('Données projet'!$A$36&gt;35,N163+M164-V163,IF(A164&lt;'Données projet'!$A$36,$K$205^A164,IF(A164='Données projet'!$A$36,'Données projet'!$B$36,N163+M164-V163)))</f>
        <v>553.63199999999995</v>
      </c>
      <c r="O164" s="13">
        <f>N164*VLOOKUP('Données projet'!$B$9,Paramètres!$A$1:$I$89,3,0)*VLOOKUP('Données projet'!$B$9,Paramètres!$A$1:$I$89,5,0)</f>
        <v>500.92623359999993</v>
      </c>
      <c r="P164" s="13">
        <f t="shared" si="141"/>
        <v>111.96239338442973</v>
      </c>
      <c r="Q164" s="20">
        <f t="shared" si="162"/>
        <v>1067.4476919978817</v>
      </c>
      <c r="R164" s="59">
        <f t="shared" si="109"/>
        <v>1355.6868993061014</v>
      </c>
      <c r="S164" s="59">
        <f ca="1">AVERAGE(OFFSET($R$3,0,0,'Données projet'!$E$9+1,1))-AVERAGE(OFFSET($H$3,0,0,'Données projet'!$E$9+1,1))</f>
        <v>664.27707313486087</v>
      </c>
      <c r="T164" s="59">
        <f t="shared" si="142"/>
        <v>206.64483278066874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106.1229897187884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106.1229897187884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68.610692902241723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5.2499999999990337</v>
      </c>
      <c r="AJ164" s="13">
        <f>AI164*VLOOKUP('Données projet'!$B$10,Paramètres!$A$1:$I$89,3,0)*VLOOKUP('Données projet'!$B$10,Paramètres!$A$1:$I$89,5,0)</f>
        <v>2.4569999999995478</v>
      </c>
      <c r="AK164" s="13">
        <f t="shared" si="164"/>
        <v>1.0197977774625564</v>
      </c>
      <c r="AL164" s="20">
        <f t="shared" si="165"/>
        <v>6.0554227957464972</v>
      </c>
      <c r="AM164" s="59">
        <f t="shared" si="113"/>
        <v>294.29463010396614</v>
      </c>
      <c r="AN164" s="59">
        <f ca="1">AVERAGE(OFFSET($AM$3,0,0,'Données projet'!$E$10+1,1))-AVERAGE(OFFSET($H$3,0,0,'Données projet'!$E$10+1,1))</f>
        <v>329.7518221182429</v>
      </c>
      <c r="AO164" s="59">
        <f t="shared" si="144"/>
        <v>207.30737400651807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86.728834492660553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86.728834492660553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68.610692902241723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189.62971370839551</v>
      </c>
      <c r="BJ164" s="59">
        <f t="shared" si="146"/>
        <v>457.05149684588173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9.2254884517748152</v>
      </c>
      <c r="BQ164" s="21">
        <f>EXP(-LN(2)/25)*BQ163+(1-EXP(-LN(2)/25))/(LN(2)/25)*Calculateur!BL164*Calculateur!BN164*VLOOKUP('Données projet'!$B$11,Paramètres!$A$1:$I$89,3,0)*0.475*44/12</f>
        <v>0.38043498457757441</v>
      </c>
      <c r="BR164" s="21">
        <f>EXP(-LN(2)/2)*BR163+(1-EXP(-LN(2)/2))/(LN(2)/2)*BL164*BO164*VLOOKUP('Données projet'!$B$11,Paramètres!$A$1:$I$89,3,0)*0.475*44/12</f>
        <v>8.6174934755744706E-22</v>
      </c>
      <c r="BS164" s="22">
        <f t="shared" si="169"/>
        <v>9.6059234363523895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68.610692902241723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170.04605856785227</v>
      </c>
      <c r="CE164" s="59">
        <f t="shared" si="148"/>
        <v>377.63973197638802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4.9377739941338241</v>
      </c>
      <c r="CL164" s="21">
        <f>EXP(-LN(2)/25)*CL163+(1-EXP(-LN(2)/25))/(LN(2)/25)*Calculateur!CG164*Calculateur!CI164*VLOOKUP('Données projet'!$B$12,Paramètres!$A$1:$I$89,3,0)*0.475*44/12</f>
        <v>0.43899349365809137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5.3767674877919154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68.610692902241723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68.610692902241723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68.610692902241723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68.610692902241723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68.610692902241723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68.610692902241723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4.6500000000000004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17.05</v>
      </c>
      <c r="H165" s="66">
        <f t="shared" si="110"/>
        <v>188.46666666666667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68.634794274362477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8.8960000000000043</v>
      </c>
      <c r="N165" s="13">
        <f>IF('Données projet'!$A$36&gt;35,N164+M165-V164,IF(A165&lt;'Données projet'!$A$36,$K$205^A165,IF(A165='Données projet'!$A$36,'Données projet'!$B$36,N164+M165-V164)))</f>
        <v>562.52799999999991</v>
      </c>
      <c r="O165" s="13">
        <f>N165*VLOOKUP('Données projet'!$B$9,Paramètres!$A$1:$I$89,3,0)*VLOOKUP('Données projet'!$B$9,Paramètres!$A$1:$I$89,5,0)</f>
        <v>508.97533439999989</v>
      </c>
      <c r="P165" s="13">
        <f t="shared" si="141"/>
        <v>113.55056542549386</v>
      </c>
      <c r="Q165" s="20">
        <f t="shared" si="162"/>
        <v>1084.2326088627349</v>
      </c>
      <c r="R165" s="59">
        <f t="shared" si="109"/>
        <v>1372.5601878687307</v>
      </c>
      <c r="S165" s="59">
        <f ca="1">AVERAGE(OFFSET($R$3,0,0,'Données projet'!$E$9+1,1))-AVERAGE(OFFSET($H$3,0,0,'Données projet'!$E$9+1,1))</f>
        <v>664.27707313486087</v>
      </c>
      <c r="T165" s="59">
        <f t="shared" si="142"/>
        <v>206.64483278066874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104.04198261903527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104.04198261903527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68.634794274362477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5.2499999999990337</v>
      </c>
      <c r="AJ165" s="13">
        <f>AI165*VLOOKUP('Données projet'!$B$10,Paramètres!$A$1:$I$89,3,0)*VLOOKUP('Données projet'!$B$10,Paramètres!$A$1:$I$89,5,0)</f>
        <v>2.4569999999995478</v>
      </c>
      <c r="AK165" s="13">
        <f t="shared" si="164"/>
        <v>1.0197977774625564</v>
      </c>
      <c r="AL165" s="20">
        <f t="shared" si="165"/>
        <v>6.0554227957464972</v>
      </c>
      <c r="AM165" s="59">
        <f t="shared" si="113"/>
        <v>294.38300180174224</v>
      </c>
      <c r="AN165" s="59">
        <f ca="1">AVERAGE(OFFSET($AM$3,0,0,'Données projet'!$E$10+1,1))-AVERAGE(OFFSET($H$3,0,0,'Données projet'!$E$10+1,1))</f>
        <v>329.7518221182429</v>
      </c>
      <c r="AO165" s="59">
        <f t="shared" si="144"/>
        <v>207.30737400651807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85.028134947625148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85.028134947625148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68.634794274362477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189.62971370839551</v>
      </c>
      <c r="BJ165" s="59">
        <f t="shared" si="146"/>
        <v>457.05149684588173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9.0445822502278475</v>
      </c>
      <c r="BQ165" s="21">
        <f>EXP(-LN(2)/25)*BQ164+(1-EXP(-LN(2)/25))/(LN(2)/25)*Calculateur!BL165*Calculateur!BN165*VLOOKUP('Données projet'!$B$11,Paramètres!$A$1:$I$89,3,0)*0.475*44/12</f>
        <v>0.37003196991809428</v>
      </c>
      <c r="BR165" s="21">
        <f>EXP(-LN(2)/2)*BR164+(1-EXP(-LN(2)/2))/(LN(2)/2)*BL165*BO165*VLOOKUP('Données projet'!$B$11,Paramètres!$A$1:$I$89,3,0)*0.475*44/12</f>
        <v>6.0934880734095382E-22</v>
      </c>
      <c r="BS165" s="22">
        <f t="shared" si="169"/>
        <v>9.4146142201459426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68.634794274362477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170.04605856785227</v>
      </c>
      <c r="CE165" s="59">
        <f t="shared" si="148"/>
        <v>377.63973197638802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4.8409472578536112</v>
      </c>
      <c r="CL165" s="21">
        <f>EXP(-LN(2)/25)*CL164+(1-EXP(-LN(2)/25))/(LN(2)/25)*Calculateur!CG165*Calculateur!CI165*VLOOKUP('Données projet'!$B$12,Paramètres!$A$1:$I$89,3,0)*0.475*44/12</f>
        <v>0.42698919348834635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5.2679364513419573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68.634794274362477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68.634794274362477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68.634794274362477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68.634794274362477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68.634794274362477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68.634794274362477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4.6500000000000004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17.05</v>
      </c>
      <c r="H166" s="66">
        <f t="shared" si="110"/>
        <v>188.46666666666667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68.658477541559535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8.8960000000000043</v>
      </c>
      <c r="N166" s="13">
        <f>IF('Données projet'!$A$36&gt;35,N165+M166-V165,IF(A166&lt;'Données projet'!$A$36,$K$205^A166,IF(A166='Données projet'!$A$36,'Données projet'!$B$36,N165+M166-V165)))</f>
        <v>571.42399999999986</v>
      </c>
      <c r="O166" s="13">
        <f>N166*VLOOKUP('Données projet'!$B$9,Paramètres!$A$1:$I$89,3,0)*VLOOKUP('Données projet'!$B$9,Paramètres!$A$1:$I$89,5,0)</f>
        <v>517.02443519999986</v>
      </c>
      <c r="P166" s="13">
        <f t="shared" si="141"/>
        <v>115.1358165400127</v>
      </c>
      <c r="Q166" s="20">
        <f t="shared" si="162"/>
        <v>1101.0124384471885</v>
      </c>
      <c r="R166" s="59">
        <f t="shared" si="109"/>
        <v>1389.4268560995736</v>
      </c>
      <c r="S166" s="59">
        <f ca="1">AVERAGE(OFFSET($R$3,0,0,'Données projet'!$E$9+1,1))-AVERAGE(OFFSET($H$3,0,0,'Données projet'!$E$9+1,1))</f>
        <v>664.27707313486087</v>
      </c>
      <c r="T166" s="59">
        <f t="shared" si="142"/>
        <v>206.64483278066874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102.0017827992193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102.0017827992193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68.658477541559535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5.2499999999990337</v>
      </c>
      <c r="AJ166" s="13">
        <f>AI166*VLOOKUP('Données projet'!$B$10,Paramètres!$A$1:$I$89,3,0)*VLOOKUP('Données projet'!$B$10,Paramètres!$A$1:$I$89,5,0)</f>
        <v>2.4569999999995478</v>
      </c>
      <c r="AK166" s="13">
        <f t="shared" si="164"/>
        <v>1.0197977774625564</v>
      </c>
      <c r="AL166" s="20">
        <f t="shared" si="165"/>
        <v>6.0554227957464972</v>
      </c>
      <c r="AM166" s="59">
        <f t="shared" si="113"/>
        <v>294.46984044813149</v>
      </c>
      <c r="AN166" s="59">
        <f ca="1">AVERAGE(OFFSET($AM$3,0,0,'Données projet'!$E$10+1,1))-AVERAGE(OFFSET($H$3,0,0,'Données projet'!$E$10+1,1))</f>
        <v>329.7518221182429</v>
      </c>
      <c r="AO166" s="59">
        <f t="shared" si="144"/>
        <v>207.30737400651807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83.360785083343586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83.360785083343586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68.658477541559535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189.62971370839551</v>
      </c>
      <c r="BJ166" s="59">
        <f t="shared" si="146"/>
        <v>457.05149684588173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8.8672235089513283</v>
      </c>
      <c r="BQ166" s="21">
        <f>EXP(-LN(2)/25)*BQ165+(1-EXP(-LN(2)/25))/(LN(2)/25)*Calculateur!BL166*Calculateur!BN166*VLOOKUP('Données projet'!$B$11,Paramètres!$A$1:$I$89,3,0)*0.475*44/12</f>
        <v>0.35991342624154843</v>
      </c>
      <c r="BR166" s="21">
        <f>EXP(-LN(2)/2)*BR165+(1-EXP(-LN(2)/2))/(LN(2)/2)*BL166*BO166*VLOOKUP('Données projet'!$B$11,Paramètres!$A$1:$I$89,3,0)*0.475*44/12</f>
        <v>4.3087467377872353E-22</v>
      </c>
      <c r="BS166" s="22">
        <f t="shared" si="169"/>
        <v>9.2271369351928776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68.658477541559535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170.04605856785227</v>
      </c>
      <c r="CE166" s="59">
        <f t="shared" si="148"/>
        <v>377.63973197638802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4.7460192348133754</v>
      </c>
      <c r="CL166" s="21">
        <f>EXP(-LN(2)/25)*CL165+(1-EXP(-LN(2)/25))/(LN(2)/25)*Calculateur!CG166*Calculateur!CI166*VLOOKUP('Données projet'!$B$12,Paramètres!$A$1:$I$89,3,0)*0.475*44/12</f>
        <v>0.41531315153802173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5.1613323863513969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68.658477541559535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68.658477541559535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68.658477541559535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68.658477541559535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68.658477541559535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68.658477541559535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4.6500000000000004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17.05</v>
      </c>
      <c r="H167" s="66">
        <f t="shared" si="110"/>
        <v>188.46666666666667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68.681749957018567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580.32000000000005</v>
      </c>
      <c r="L167" s="12">
        <f>VLOOKUP(A167,'Données projet'!$A$35:$I$55,9,0)</f>
        <v>8.8960000000000043</v>
      </c>
      <c r="M167" s="12">
        <f t="array" ref="M167">INDEX(L:L,MIN(IF(ISNUMBER(L167:L363),ROW(L167:L363),"")))</f>
        <v>8.8960000000000043</v>
      </c>
      <c r="N167" s="13">
        <f>IF('Données projet'!$A$36&gt;35,N166+M167-V166,IF(A167&lt;'Données projet'!$A$36,$K$205^A167,IF(A167='Données projet'!$A$36,'Données projet'!$B$36,N166+M167-V166)))</f>
        <v>580.31999999999982</v>
      </c>
      <c r="O167" s="13">
        <f>N167*VLOOKUP('Données projet'!$B$9,Paramètres!$A$1:$I$89,3,0)*VLOOKUP('Données projet'!$B$9,Paramètres!$A$1:$I$89,5,0)</f>
        <v>525.07353599999988</v>
      </c>
      <c r="P167" s="13">
        <f t="shared" si="141"/>
        <v>116.71819745258918</v>
      </c>
      <c r="Q167" s="20">
        <f t="shared" si="162"/>
        <v>1117.7872690965926</v>
      </c>
      <c r="R167" s="59">
        <f t="shared" si="109"/>
        <v>1406.2870189389939</v>
      </c>
      <c r="S167" s="59">
        <f ca="1">AVERAGE(OFFSET($R$3,0,0,'Données projet'!$E$9+1,1))-AVERAGE(OFFSET($H$3,0,0,'Données projet'!$E$9+1,1))</f>
        <v>664.27707313486087</v>
      </c>
      <c r="T167" s="59">
        <f t="shared" si="142"/>
        <v>206.64483278066874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59.58</v>
      </c>
      <c r="W167" s="16">
        <f>IF(ISNA(VLOOKUP(A167,'Données projet'!$A$35:$I$55,5,0)),0%,VLOOKUP(A167,'Données projet'!$A$35:$I$55,5,0)*VLOOKUP('Données projet'!$B$9,Paramètres!$A$1:$I$89,7,0))</f>
        <v>0.43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125.62687225237548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125.62687225237548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68.681749957018567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5.2499999999990337</v>
      </c>
      <c r="AJ167" s="13">
        <f>AI167*VLOOKUP('Données projet'!$B$10,Paramètres!$A$1:$I$89,3,0)*VLOOKUP('Données projet'!$B$10,Paramètres!$A$1:$I$89,5,0)</f>
        <v>2.4569999999995478</v>
      </c>
      <c r="AK167" s="13">
        <f t="shared" si="164"/>
        <v>1.0197977774625564</v>
      </c>
      <c r="AL167" s="20">
        <f t="shared" si="165"/>
        <v>6.0554227957464972</v>
      </c>
      <c r="AM167" s="59">
        <f t="shared" si="113"/>
        <v>294.55517263814789</v>
      </c>
      <c r="AN167" s="59">
        <f ca="1">AVERAGE(OFFSET($AM$3,0,0,'Données projet'!$E$10+1,1))-AVERAGE(OFFSET($H$3,0,0,'Données projet'!$E$10+1,1))</f>
        <v>329.7518221182429</v>
      </c>
      <c r="AO167" s="59">
        <f t="shared" si="144"/>
        <v>207.30737400651807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81.726130932917584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81.726130932917584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68.681749957018567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189.62971370839551</v>
      </c>
      <c r="BJ167" s="59">
        <f t="shared" si="146"/>
        <v>457.05149684588173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8.6933426644130911</v>
      </c>
      <c r="BQ167" s="21">
        <f>EXP(-LN(2)/25)*BQ166+(1-EXP(-LN(2)/25))/(LN(2)/25)*Calculateur!BL167*Calculateur!BN167*VLOOKUP('Données projet'!$B$11,Paramètres!$A$1:$I$89,3,0)*0.475*44/12</f>
        <v>0.35007157467394878</v>
      </c>
      <c r="BR167" s="21">
        <f>EXP(-LN(2)/2)*BR166+(1-EXP(-LN(2)/2))/(LN(2)/2)*BL167*BO167*VLOOKUP('Données projet'!$B$11,Paramètres!$A$1:$I$89,3,0)*0.475*44/12</f>
        <v>3.0467440367047691E-22</v>
      </c>
      <c r="BS167" s="22">
        <f t="shared" si="169"/>
        <v>9.0434142390870402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68.681749957018567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170.04605856785227</v>
      </c>
      <c r="CE167" s="59">
        <f t="shared" si="148"/>
        <v>377.63973197638802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4.6529526924045816</v>
      </c>
      <c r="CL167" s="21">
        <f>EXP(-LN(2)/25)*CL166+(1-EXP(-LN(2)/25))/(LN(2)/25)*Calculateur!CG167*Calculateur!CI167*VLOOKUP('Données projet'!$B$12,Paramètres!$A$1:$I$89,3,0)*0.475*44/12</f>
        <v>0.40395639156884511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5.0569090839734265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68.681749957018567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68.681749957018567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68.681749957018567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68.681749957018567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68.681749957018567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68.681749957018567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4.6500000000000004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17.05</v>
      </c>
      <c r="H168" s="66">
        <f t="shared" si="110"/>
        <v>188.46666666666667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68.704618648098702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8.977999999999998</v>
      </c>
      <c r="N168" s="13">
        <f>IF('Données projet'!$A$36&gt;35,N167+M168-V167,IF(A168&lt;'Données projet'!$A$36,$K$205^A168,IF(A168='Données projet'!$A$36,'Données projet'!$B$36,N167+M168-V167)))</f>
        <v>529.71799999999973</v>
      </c>
      <c r="O168" s="13">
        <f>N168*VLOOKUP('Données projet'!$B$9,Paramètres!$A$1:$I$89,3,0)*VLOOKUP('Données projet'!$B$9,Paramètres!$A$1:$I$89,5,0)</f>
        <v>479.28884639999978</v>
      </c>
      <c r="P168" s="13">
        <f t="shared" si="141"/>
        <v>107.67821785986543</v>
      </c>
      <c r="Q168" s="20">
        <f t="shared" si="162"/>
        <v>1022.3009702525984</v>
      </c>
      <c r="R168" s="59">
        <f t="shared" si="109"/>
        <v>1310.8845719622936</v>
      </c>
      <c r="S168" s="59">
        <f ca="1">AVERAGE(OFFSET($R$3,0,0,'Données projet'!$E$9+1,1))-AVERAGE(OFFSET($H$3,0,0,'Données projet'!$E$9+1,1))</f>
        <v>664.27707313486087</v>
      </c>
      <c r="T168" s="59">
        <f t="shared" si="142"/>
        <v>206.64483278066874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123.16340591233239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123.16340591233239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68.704618648098702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5.2499999999990337</v>
      </c>
      <c r="AJ168" s="13">
        <f>AI168*VLOOKUP('Données projet'!$B$10,Paramètres!$A$1:$I$89,3,0)*VLOOKUP('Données projet'!$B$10,Paramètres!$A$1:$I$89,5,0)</f>
        <v>2.4569999999995478</v>
      </c>
      <c r="AK168" s="13">
        <f t="shared" si="164"/>
        <v>1.0197977774625564</v>
      </c>
      <c r="AL168" s="20">
        <f t="shared" si="165"/>
        <v>6.0554227957464972</v>
      </c>
      <c r="AM168" s="59">
        <f t="shared" si="113"/>
        <v>294.63902450544174</v>
      </c>
      <c r="AN168" s="59">
        <f ca="1">AVERAGE(OFFSET($AM$3,0,0,'Données projet'!$E$10+1,1))-AVERAGE(OFFSET($H$3,0,0,'Données projet'!$E$10+1,1))</f>
        <v>329.7518221182429</v>
      </c>
      <c r="AO168" s="59">
        <f t="shared" si="144"/>
        <v>207.30737400651807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80.123531353340852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80.123531353340852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68.704618648098702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189.62971370839551</v>
      </c>
      <c r="BJ168" s="59">
        <f t="shared" si="146"/>
        <v>457.05149684588173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8.5228715171794054</v>
      </c>
      <c r="BQ168" s="21">
        <f>EXP(-LN(2)/25)*BQ167+(1-EXP(-LN(2)/25))/(LN(2)/25)*Calculateur!BL168*Calculateur!BN168*VLOOKUP('Données projet'!$B$11,Paramètres!$A$1:$I$89,3,0)*0.475*44/12</f>
        <v>0.34049884905502564</v>
      </c>
      <c r="BR168" s="21">
        <f>EXP(-LN(2)/2)*BR167+(1-EXP(-LN(2)/2))/(LN(2)/2)*BL168*BO168*VLOOKUP('Données projet'!$B$11,Paramètres!$A$1:$I$89,3,0)*0.475*44/12</f>
        <v>2.1543733688936177E-22</v>
      </c>
      <c r="BS168" s="22">
        <f t="shared" si="169"/>
        <v>8.863370366234431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68.704618648098702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170.04605856785227</v>
      </c>
      <c r="CE168" s="59">
        <f t="shared" si="148"/>
        <v>377.63973197638802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4.5617111281274392</v>
      </c>
      <c r="CL168" s="21">
        <f>EXP(-LN(2)/25)*CL167+(1-EXP(-LN(2)/25))/(LN(2)/25)*Calculateur!CG168*Calculateur!CI168*VLOOKUP('Données projet'!$B$12,Paramètres!$A$1:$I$89,3,0)*0.475*44/12</f>
        <v>0.39291018279825168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4.9546213109256909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68.704618648098702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68.704618648098702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68.704618648098702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68.704618648098702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68.704618648098702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68.704618648098702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4.6500000000000004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17.05</v>
      </c>
      <c r="H169" s="66">
        <f t="shared" si="110"/>
        <v>188.46666666666667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68.727090618515362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8.977999999999998</v>
      </c>
      <c r="N169" s="13">
        <f>IF('Données projet'!$A$36&gt;35,N168+M169-V168,IF(A169&lt;'Données projet'!$A$36,$K$205^A169,IF(A169='Données projet'!$A$36,'Données projet'!$B$36,N168+M169-V168)))</f>
        <v>538.69599999999969</v>
      </c>
      <c r="O169" s="13">
        <f>N169*VLOOKUP('Données projet'!$B$9,Paramètres!$A$1:$I$89,3,0)*VLOOKUP('Données projet'!$B$9,Paramètres!$A$1:$I$89,5,0)</f>
        <v>487.41214079999969</v>
      </c>
      <c r="P169" s="13">
        <f t="shared" si="141"/>
        <v>109.28920663007598</v>
      </c>
      <c r="Q169" s="20">
        <f t="shared" si="162"/>
        <v>1039.2548467740485</v>
      </c>
      <c r="R169" s="59">
        <f t="shared" si="109"/>
        <v>1327.9208457086047</v>
      </c>
      <c r="S169" s="59">
        <f ca="1">AVERAGE(OFFSET($R$3,0,0,'Données projet'!$E$9+1,1))-AVERAGE(OFFSET($H$3,0,0,'Données projet'!$E$9+1,1))</f>
        <v>664.27707313486087</v>
      </c>
      <c r="T169" s="59">
        <f t="shared" si="142"/>
        <v>206.64483278066874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120.74824664465146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120.74824664465146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68.727090618515362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5.2499999999990337</v>
      </c>
      <c r="AJ169" s="13">
        <f>AI169*VLOOKUP('Données projet'!$B$10,Paramètres!$A$1:$I$89,3,0)*VLOOKUP('Données projet'!$B$10,Paramètres!$A$1:$I$89,5,0)</f>
        <v>2.4569999999995478</v>
      </c>
      <c r="AK169" s="13">
        <f t="shared" si="164"/>
        <v>1.0197977774625564</v>
      </c>
      <c r="AL169" s="20">
        <f t="shared" si="165"/>
        <v>6.0554227957464972</v>
      </c>
      <c r="AM169" s="59">
        <f t="shared" si="113"/>
        <v>294.72142173030284</v>
      </c>
      <c r="AN169" s="59">
        <f ca="1">AVERAGE(OFFSET($AM$3,0,0,'Données projet'!$E$10+1,1))-AVERAGE(OFFSET($H$3,0,0,'Données projet'!$E$10+1,1))</f>
        <v>329.7518221182429</v>
      </c>
      <c r="AO169" s="59">
        <f t="shared" si="144"/>
        <v>207.30737400651807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78.552357774030398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78.552357774030398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68.727090618515362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189.62971370839551</v>
      </c>
      <c r="BJ169" s="59">
        <f t="shared" si="146"/>
        <v>457.05149684588173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8.3557432051658402</v>
      </c>
      <c r="BQ169" s="21">
        <f>EXP(-LN(2)/25)*BQ168+(1-EXP(-LN(2)/25))/(LN(2)/25)*Calculateur!BL169*Calculateur!BN169*VLOOKUP('Données projet'!$B$11,Paramètres!$A$1:$I$89,3,0)*0.475*44/12</f>
        <v>0.33118789012155969</v>
      </c>
      <c r="BR169" s="21">
        <f>EXP(-LN(2)/2)*BR168+(1-EXP(-LN(2)/2))/(LN(2)/2)*BL169*BO169*VLOOKUP('Données projet'!$B$11,Paramètres!$A$1:$I$89,3,0)*0.475*44/12</f>
        <v>1.5233720183523845E-22</v>
      </c>
      <c r="BS169" s="22">
        <f t="shared" si="169"/>
        <v>8.6869310952874006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68.727090618515362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170.04605856785227</v>
      </c>
      <c r="CE169" s="59">
        <f t="shared" si="148"/>
        <v>377.63973197638802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4.4722587552739119</v>
      </c>
      <c r="CL169" s="21">
        <f>EXP(-LN(2)/25)*CL168+(1-EXP(-LN(2)/25))/(LN(2)/25)*Calculateur!CG169*Calculateur!CI169*VLOOKUP('Données projet'!$B$12,Paramètres!$A$1:$I$89,3,0)*0.475*44/12</f>
        <v>0.38216603318738501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4.854424788461297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68.727090618515362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68.727090618515362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68.727090618515362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68.727090618515362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68.727090618515362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68.727090618515362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4.6500000000000004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17.05</v>
      </c>
      <c r="H170" s="66">
        <f t="shared" si="110"/>
        <v>188.46666666666667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68.749172750485073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8.977999999999998</v>
      </c>
      <c r="N170" s="13">
        <f>IF('Données projet'!$A$36&gt;35,N169+M170-V169,IF(A170&lt;'Données projet'!$A$36,$K$205^A170,IF(A170='Données projet'!$A$36,'Données projet'!$B$36,N169+M170-V169)))</f>
        <v>547.67399999999964</v>
      </c>
      <c r="O170" s="13">
        <f>N170*VLOOKUP('Données projet'!$B$9,Paramètres!$A$1:$I$89,3,0)*VLOOKUP('Données projet'!$B$9,Paramètres!$A$1:$I$89,5,0)</f>
        <v>495.53543519999965</v>
      </c>
      <c r="P170" s="13">
        <f t="shared" si="141"/>
        <v>110.89707305149885</v>
      </c>
      <c r="Q170" s="20">
        <f t="shared" si="162"/>
        <v>1056.2032852046932</v>
      </c>
      <c r="R170" s="59">
        <f t="shared" si="109"/>
        <v>1344.9502519564717</v>
      </c>
      <c r="S170" s="59">
        <f ca="1">AVERAGE(OFFSET($R$3,0,0,'Données projet'!$E$9+1,1))-AVERAGE(OFFSET($H$3,0,0,'Données projet'!$E$9+1,1))</f>
        <v>664.27707313486087</v>
      </c>
      <c r="T170" s="59">
        <f t="shared" si="142"/>
        <v>206.64483278066874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118.38044717710805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118.38044717710805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68.749172750485073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5.2499999999990337</v>
      </c>
      <c r="AJ170" s="13">
        <f>AI170*VLOOKUP('Données projet'!$B$10,Paramètres!$A$1:$I$89,3,0)*VLOOKUP('Données projet'!$B$10,Paramètres!$A$1:$I$89,5,0)</f>
        <v>2.4569999999995478</v>
      </c>
      <c r="AK170" s="13">
        <f t="shared" si="164"/>
        <v>1.0197977774625564</v>
      </c>
      <c r="AL170" s="20">
        <f t="shared" si="165"/>
        <v>6.0554227957464972</v>
      </c>
      <c r="AM170" s="59">
        <f t="shared" si="113"/>
        <v>294.80238954752508</v>
      </c>
      <c r="AN170" s="59">
        <f ca="1">AVERAGE(OFFSET($AM$3,0,0,'Données projet'!$E$10+1,1))-AVERAGE(OFFSET($H$3,0,0,'Données projet'!$E$10+1,1))</f>
        <v>329.7518221182429</v>
      </c>
      <c r="AO170" s="59">
        <f t="shared" si="144"/>
        <v>207.30737400651807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77.011993950288968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77.011993950288968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68.749172750485073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189.62971370839551</v>
      </c>
      <c r="BJ170" s="59">
        <f t="shared" si="146"/>
        <v>457.05149684588173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8.1918921774126563</v>
      </c>
      <c r="BQ170" s="21">
        <f>EXP(-LN(2)/25)*BQ169+(1-EXP(-LN(2)/25))/(LN(2)/25)*Calculateur!BL170*Calculateur!BN170*VLOOKUP('Données projet'!$B$11,Paramètres!$A$1:$I$89,3,0)*0.475*44/12</f>
        <v>0.32213153984977144</v>
      </c>
      <c r="BR170" s="21">
        <f>EXP(-LN(2)/2)*BR169+(1-EXP(-LN(2)/2))/(LN(2)/2)*BL170*BO170*VLOOKUP('Données projet'!$B$11,Paramètres!$A$1:$I$89,3,0)*0.475*44/12</f>
        <v>1.0771866844468088E-22</v>
      </c>
      <c r="BS170" s="22">
        <f t="shared" si="169"/>
        <v>8.5140237172624271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68.749172750485073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170.04605856785227</v>
      </c>
      <c r="CE170" s="59">
        <f t="shared" si="148"/>
        <v>377.63973197638802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4.3845604888914824</v>
      </c>
      <c r="CL170" s="21">
        <f>EXP(-LN(2)/25)*CL169+(1-EXP(-LN(2)/25))/(LN(2)/25)*Calculateur!CG170*Calculateur!CI170*VLOOKUP('Données projet'!$B$12,Paramètres!$A$1:$I$89,3,0)*0.475*44/12</f>
        <v>0.37171568291263773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4.75627617180412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68.749172750485073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68.749172750485073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68.749172750485073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68.749172750485073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68.749172750485073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68.749172750485073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4.6500000000000004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17.05</v>
      </c>
      <c r="H171" s="66">
        <f t="shared" si="110"/>
        <v>188.46666666666667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68.770871806833355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8.977999999999998</v>
      </c>
      <c r="N171" s="13">
        <f>IF('Données projet'!$A$36&gt;35,N170+M171-V170,IF(A171&lt;'Données projet'!$A$36,$K$205^A171,IF(A171='Données projet'!$A$36,'Données projet'!$B$36,N170+M171-V170)))</f>
        <v>556.65199999999959</v>
      </c>
      <c r="O171" s="13">
        <f>N171*VLOOKUP('Données projet'!$B$9,Paramètres!$A$1:$I$89,3,0)*VLOOKUP('Données projet'!$B$9,Paramètres!$A$1:$I$89,5,0)</f>
        <v>503.65872959999956</v>
      </c>
      <c r="P171" s="13">
        <f t="shared" si="141"/>
        <v>112.50187421723477</v>
      </c>
      <c r="Q171" s="20">
        <f t="shared" si="162"/>
        <v>1073.1463849816832</v>
      </c>
      <c r="R171" s="59">
        <f t="shared" si="109"/>
        <v>1361.9729149400723</v>
      </c>
      <c r="S171" s="59">
        <f ca="1">AVERAGE(OFFSET($R$3,0,0,'Données projet'!$E$9+1,1))-AVERAGE(OFFSET($H$3,0,0,'Données projet'!$E$9+1,1))</f>
        <v>664.27707313486087</v>
      </c>
      <c r="T171" s="59">
        <f t="shared" si="142"/>
        <v>206.64483278066874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116.0590788129081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116.0590788129081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68.770871806833355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5.2499999999990337</v>
      </c>
      <c r="AJ171" s="13">
        <f>AI171*VLOOKUP('Données projet'!$B$10,Paramètres!$A$1:$I$89,3,0)*VLOOKUP('Données projet'!$B$10,Paramètres!$A$1:$I$89,5,0)</f>
        <v>2.4569999999995478</v>
      </c>
      <c r="AK171" s="13">
        <f t="shared" si="164"/>
        <v>1.0197977774625564</v>
      </c>
      <c r="AL171" s="20">
        <f t="shared" si="165"/>
        <v>6.0554227957464972</v>
      </c>
      <c r="AM171" s="59">
        <f t="shared" si="113"/>
        <v>294.88195275413545</v>
      </c>
      <c r="AN171" s="59">
        <f ca="1">AVERAGE(OFFSET($AM$3,0,0,'Données projet'!$E$10+1,1))-AVERAGE(OFFSET($H$3,0,0,'Données projet'!$E$10+1,1))</f>
        <v>329.7518221182429</v>
      </c>
      <c r="AO171" s="59">
        <f t="shared" si="144"/>
        <v>207.30737400651807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75.50183572160195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75.50183572160195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68.770871806833355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189.62971370839551</v>
      </c>
      <c r="BJ171" s="59">
        <f t="shared" si="146"/>
        <v>457.05149684588173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8.0312541683744527</v>
      </c>
      <c r="BQ171" s="21">
        <f>EXP(-LN(2)/25)*BQ170+(1-EXP(-LN(2)/25))/(LN(2)/25)*Calculateur!BL171*Calculateur!BN171*VLOOKUP('Données projet'!$B$11,Paramètres!$A$1:$I$89,3,0)*0.475*44/12</f>
        <v>0.313322835952418</v>
      </c>
      <c r="BR171" s="21">
        <f>EXP(-LN(2)/2)*BR170+(1-EXP(-LN(2)/2))/(LN(2)/2)*BL171*BO171*VLOOKUP('Données projet'!$B$11,Paramètres!$A$1:$I$89,3,0)*0.475*44/12</f>
        <v>7.6168600917619227E-23</v>
      </c>
      <c r="BS171" s="22">
        <f t="shared" si="169"/>
        <v>8.3445770043268706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68.770871806833355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170.04605856785227</v>
      </c>
      <c r="CE171" s="59">
        <f t="shared" si="148"/>
        <v>377.63973197638802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4.2985819320221514</v>
      </c>
      <c r="CL171" s="21">
        <f>EXP(-LN(2)/25)*CL170+(1-EXP(-LN(2)/25))/(LN(2)/25)*Calculateur!CG171*Calculateur!CI171*VLOOKUP('Données projet'!$B$12,Paramètres!$A$1:$I$89,3,0)*0.475*44/12</f>
        <v>0.36155109801571345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4.6601330300378647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68.770871806833355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68.770871806833355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68.770871806833355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68.770871806833355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68.770871806833355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68.770871806833355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4.6500000000000004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17.05</v>
      </c>
      <c r="H172" s="66">
        <f t="shared" si="110"/>
        <v>188.46666666666667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68.792194433065831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8.977999999999998</v>
      </c>
      <c r="N172" s="13">
        <f>IF('Données projet'!$A$36&gt;35,N171+M172-V171,IF(A172&lt;'Données projet'!$A$36,$K$205^A172,IF(A172='Données projet'!$A$36,'Données projet'!$B$36,N171+M172-V171)))</f>
        <v>565.62999999999954</v>
      </c>
      <c r="O172" s="13">
        <f>N172*VLOOKUP('Données projet'!$B$9,Paramètres!$A$1:$I$89,3,0)*VLOOKUP('Données projet'!$B$9,Paramètres!$A$1:$I$89,5,0)</f>
        <v>511.78202399999958</v>
      </c>
      <c r="P172" s="13">
        <f t="shared" si="141"/>
        <v>114.10366527311611</v>
      </c>
      <c r="Q172" s="20">
        <f t="shared" si="162"/>
        <v>1090.0842421506763</v>
      </c>
      <c r="R172" s="59">
        <f t="shared" si="109"/>
        <v>1378.9889550719176</v>
      </c>
      <c r="S172" s="59">
        <f ca="1">AVERAGE(OFFSET($R$3,0,0,'Données projet'!$E$9+1,1))-AVERAGE(OFFSET($H$3,0,0,'Données projet'!$E$9+1,1))</f>
        <v>664.27707313486087</v>
      </c>
      <c r="T172" s="59">
        <f t="shared" si="142"/>
        <v>206.64483278066874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113.78323106643521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113.78323106643521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68.792194433065831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5.2499999999990337</v>
      </c>
      <c r="AJ172" s="13">
        <f>AI172*VLOOKUP('Données projet'!$B$10,Paramètres!$A$1:$I$89,3,0)*VLOOKUP('Données projet'!$B$10,Paramètres!$A$1:$I$89,5,0)</f>
        <v>2.4569999999995478</v>
      </c>
      <c r="AK172" s="13">
        <f t="shared" si="164"/>
        <v>1.0197977774625564</v>
      </c>
      <c r="AL172" s="20">
        <f t="shared" si="165"/>
        <v>6.0554227957464972</v>
      </c>
      <c r="AM172" s="59">
        <f t="shared" si="113"/>
        <v>294.96013571698785</v>
      </c>
      <c r="AN172" s="59">
        <f ca="1">AVERAGE(OFFSET($AM$3,0,0,'Données projet'!$E$10+1,1))-AVERAGE(OFFSET($H$3,0,0,'Données projet'!$E$10+1,1))</f>
        <v>329.7518221182429</v>
      </c>
      <c r="AO172" s="59">
        <f t="shared" si="144"/>
        <v>207.30737400651807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74.021290774673915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74.021290774673915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68.792194433065831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189.62971370839551</v>
      </c>
      <c r="BJ172" s="59">
        <f t="shared" si="146"/>
        <v>457.05149684588173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7.8737661727139781</v>
      </c>
      <c r="BQ172" s="21">
        <f>EXP(-LN(2)/25)*BQ171+(1-EXP(-LN(2)/25))/(LN(2)/25)*Calculateur!BL172*Calculateur!BN172*VLOOKUP('Données projet'!$B$11,Paramètres!$A$1:$I$89,3,0)*0.475*44/12</f>
        <v>0.30475500652636728</v>
      </c>
      <c r="BR172" s="21">
        <f>EXP(-LN(2)/2)*BR171+(1-EXP(-LN(2)/2))/(LN(2)/2)*BL172*BO172*VLOOKUP('Données projet'!$B$11,Paramètres!$A$1:$I$89,3,0)*0.475*44/12</f>
        <v>5.3859334222340442E-23</v>
      </c>
      <c r="BS172" s="22">
        <f t="shared" si="169"/>
        <v>8.1785211792403452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68.792194433065831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170.04605856785227</v>
      </c>
      <c r="CE172" s="59">
        <f t="shared" si="148"/>
        <v>377.63973197638802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4.2142893622112867</v>
      </c>
      <c r="CL172" s="21">
        <f>EXP(-LN(2)/25)*CL171+(1-EXP(-LN(2)/25))/(LN(2)/25)*Calculateur!CG172*Calculateur!CI172*VLOOKUP('Données projet'!$B$12,Paramètres!$A$1:$I$89,3,0)*0.475*44/12</f>
        <v>0.35166446422732783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4.5659538264386148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68.792194433065831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68.792194433065831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68.792194433065831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68.792194433065831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68.792194433065831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68.792194433065831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4.6500000000000004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17.05</v>
      </c>
      <c r="H173" s="66">
        <f t="shared" si="110"/>
        <v>188.46666666666667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68.813147159403414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8.977999999999998</v>
      </c>
      <c r="N173" s="13">
        <f>IF('Données projet'!$A$36&gt;35,N172+M173-V172,IF(A173&lt;'Données projet'!$A$36,$K$205^A173,IF(A173='Données projet'!$A$36,'Données projet'!$B$36,N172+M173-V172)))</f>
        <v>574.60799999999949</v>
      </c>
      <c r="O173" s="13">
        <f>N173*VLOOKUP('Données projet'!$B$9,Paramètres!$A$1:$I$89,3,0)*VLOOKUP('Données projet'!$B$9,Paramètres!$A$1:$I$89,5,0)</f>
        <v>519.90531839999949</v>
      </c>
      <c r="P173" s="13">
        <f t="shared" si="141"/>
        <v>115.70249951395583</v>
      </c>
      <c r="Q173" s="20">
        <f t="shared" si="162"/>
        <v>1107.0169495334719</v>
      </c>
      <c r="R173" s="59">
        <f t="shared" si="109"/>
        <v>1395.9984891179511</v>
      </c>
      <c r="S173" s="59">
        <f ca="1">AVERAGE(OFFSET($R$3,0,0,'Données projet'!$E$9+1,1))-AVERAGE(OFFSET($H$3,0,0,'Données projet'!$E$9+1,1))</f>
        <v>664.27707313486087</v>
      </c>
      <c r="T173" s="59">
        <f t="shared" si="142"/>
        <v>206.64483278066874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111.55201130614059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111.55201130614059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68.813147159403414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5.2499999999990337</v>
      </c>
      <c r="AJ173" s="13">
        <f>AI173*VLOOKUP('Données projet'!$B$10,Paramètres!$A$1:$I$89,3,0)*VLOOKUP('Données projet'!$B$10,Paramètres!$A$1:$I$89,5,0)</f>
        <v>2.4569999999995478</v>
      </c>
      <c r="AK173" s="13">
        <f t="shared" si="164"/>
        <v>1.0197977774625564</v>
      </c>
      <c r="AL173" s="20">
        <f t="shared" si="165"/>
        <v>6.0554227957464972</v>
      </c>
      <c r="AM173" s="59">
        <f t="shared" si="113"/>
        <v>295.0369623802257</v>
      </c>
      <c r="AN173" s="59">
        <f ca="1">AVERAGE(OFFSET($AM$3,0,0,'Données projet'!$E$10+1,1))-AVERAGE(OFFSET($H$3,0,0,'Données projet'!$E$10+1,1))</f>
        <v>329.7518221182429</v>
      </c>
      <c r="AO173" s="59">
        <f t="shared" si="144"/>
        <v>207.30737400651807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72.569778411111884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72.569778411111884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68.813147159403414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189.62971370839551</v>
      </c>
      <c r="BJ173" s="59">
        <f t="shared" si="146"/>
        <v>457.05149684588173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7.7193664205902124</v>
      </c>
      <c r="BQ173" s="21">
        <f>EXP(-LN(2)/25)*BQ172+(1-EXP(-LN(2)/25))/(LN(2)/25)*Calculateur!BL173*Calculateur!BN173*VLOOKUP('Données projet'!$B$11,Paramètres!$A$1:$I$89,3,0)*0.475*44/12</f>
        <v>0.29642146484653448</v>
      </c>
      <c r="BR173" s="21">
        <f>EXP(-LN(2)/2)*BR172+(1-EXP(-LN(2)/2))/(LN(2)/2)*BL173*BO173*VLOOKUP('Données projet'!$B$11,Paramètres!$A$1:$I$89,3,0)*0.475*44/12</f>
        <v>3.8084300458809614E-23</v>
      </c>
      <c r="BS173" s="22">
        <f t="shared" si="169"/>
        <v>8.0157878854367475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68.813147159403414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170.04605856785227</v>
      </c>
      <c r="CE173" s="59">
        <f t="shared" si="148"/>
        <v>377.63973197638802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4.1316497182810226</v>
      </c>
      <c r="CL173" s="21">
        <f>EXP(-LN(2)/25)*CL172+(1-EXP(-LN(2)/25))/(LN(2)/25)*Calculateur!CG173*Calculateur!CI173*VLOOKUP('Données projet'!$B$12,Paramètres!$A$1:$I$89,3,0)*0.475*44/12</f>
        <v>0.34204818095980111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4.4736978992408236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68.813147159403414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68.813147159403414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68.813147159403414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68.813147159403414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68.813147159403414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68.813147159403414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4.6500000000000004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17.05</v>
      </c>
      <c r="H174" s="66">
        <f t="shared" si="110"/>
        <v>188.46666666666667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68.833736402782321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8.977999999999998</v>
      </c>
      <c r="N174" s="13">
        <f>IF('Données projet'!$A$36&gt;35,N173+M174-V173,IF(A174&lt;'Données projet'!$A$36,$K$205^A174,IF(A174='Données projet'!$A$36,'Données projet'!$B$36,N173+M174-V173)))</f>
        <v>583.58599999999944</v>
      </c>
      <c r="O174" s="13">
        <f>N174*VLOOKUP('Données projet'!$B$9,Paramètres!$A$1:$I$89,3,0)*VLOOKUP('Données projet'!$B$9,Paramètres!$A$1:$I$89,5,0)</f>
        <v>528.02861279999945</v>
      </c>
      <c r="P174" s="13">
        <f t="shared" si="141"/>
        <v>117.29842847361064</v>
      </c>
      <c r="Q174" s="20">
        <f t="shared" si="162"/>
        <v>1123.9445968848709</v>
      </c>
      <c r="R174" s="59">
        <f t="shared" si="109"/>
        <v>1413.0016303617394</v>
      </c>
      <c r="S174" s="59">
        <f ca="1">AVERAGE(OFFSET($R$3,0,0,'Données projet'!$E$9+1,1))-AVERAGE(OFFSET($H$3,0,0,'Données projet'!$E$9+1,1))</f>
        <v>664.27707313486087</v>
      </c>
      <c r="T174" s="59">
        <f t="shared" si="142"/>
        <v>206.64483278066874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109.36454440443568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109.36454440443568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68.833736402782321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5.2499999999990337</v>
      </c>
      <c r="AJ174" s="13">
        <f>AI174*VLOOKUP('Données projet'!$B$10,Paramètres!$A$1:$I$89,3,0)*VLOOKUP('Données projet'!$B$10,Paramètres!$A$1:$I$89,5,0)</f>
        <v>2.4569999999995478</v>
      </c>
      <c r="AK174" s="13">
        <f t="shared" si="164"/>
        <v>1.0197977774625564</v>
      </c>
      <c r="AL174" s="20">
        <f t="shared" si="165"/>
        <v>6.0554227957464972</v>
      </c>
      <c r="AM174" s="59">
        <f t="shared" si="113"/>
        <v>295.11245627261502</v>
      </c>
      <c r="AN174" s="59">
        <f ca="1">AVERAGE(OFFSET($AM$3,0,0,'Données projet'!$E$10+1,1))-AVERAGE(OFFSET($H$3,0,0,'Données projet'!$E$10+1,1))</f>
        <v>329.7518221182429</v>
      </c>
      <c r="AO174" s="59">
        <f t="shared" si="144"/>
        <v>207.30737400651807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71.146729319664189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71.146729319664189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68.833736402782321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189.62971370839551</v>
      </c>
      <c r="BJ174" s="59">
        <f t="shared" si="146"/>
        <v>457.05149684588173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7.5679943534310441</v>
      </c>
      <c r="BQ174" s="21">
        <f>EXP(-LN(2)/25)*BQ173+(1-EXP(-LN(2)/25))/(LN(2)/25)*Calculateur!BL174*Calculateur!BN174*VLOOKUP('Données projet'!$B$11,Paramètres!$A$1:$I$89,3,0)*0.475*44/12</f>
        <v>0.28831580430217862</v>
      </c>
      <c r="BR174" s="21">
        <f>EXP(-LN(2)/2)*BR173+(1-EXP(-LN(2)/2))/(LN(2)/2)*BL174*BO174*VLOOKUP('Données projet'!$B$11,Paramètres!$A$1:$I$89,3,0)*0.475*44/12</f>
        <v>2.6929667111170221E-23</v>
      </c>
      <c r="BS174" s="22">
        <f t="shared" si="169"/>
        <v>7.8563101577332226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68.833736402782321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170.04605856785227</v>
      </c>
      <c r="CE174" s="59">
        <f t="shared" si="148"/>
        <v>377.63973197638802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4.0506305873630248</v>
      </c>
      <c r="CL174" s="21">
        <f>EXP(-LN(2)/25)*CL173+(1-EXP(-LN(2)/25))/(LN(2)/25)*Calculateur!CG174*Calculateur!CI174*VLOOKUP('Données projet'!$B$12,Paramètres!$A$1:$I$89,3,0)*0.475*44/12</f>
        <v>0.33269485546392324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4.3833254428269477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68.833736402782321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68.833736402782321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68.833736402782321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68.833736402782321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68.833736402782321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68.833736402782321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4.6500000000000004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17.05</v>
      </c>
      <c r="H175" s="66">
        <f t="shared" si="110"/>
        <v>188.46666666666667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68.853968468819261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8.977999999999998</v>
      </c>
      <c r="N175" s="13">
        <f>IF('Données projet'!$A$36&gt;35,N174+M175-V174,IF(A175&lt;'Données projet'!$A$36,$K$205^A175,IF(A175='Données projet'!$A$36,'Données projet'!$B$36,N174+M175-V174)))</f>
        <v>592.5639999999994</v>
      </c>
      <c r="O175" s="13">
        <f>N175*VLOOKUP('Données projet'!$B$9,Paramètres!$A$1:$I$89,3,0)*VLOOKUP('Données projet'!$B$9,Paramètres!$A$1:$I$89,5,0)</f>
        <v>536.15190719999953</v>
      </c>
      <c r="P175" s="13">
        <f t="shared" si="141"/>
        <v>118.89150200934502</v>
      </c>
      <c r="Q175" s="20">
        <f t="shared" si="162"/>
        <v>1140.8672710396083</v>
      </c>
      <c r="R175" s="59">
        <f t="shared" si="109"/>
        <v>1429.9984887586122</v>
      </c>
      <c r="S175" s="59">
        <f ca="1">AVERAGE(OFFSET($R$3,0,0,'Données projet'!$E$9+1,1))-AVERAGE(OFFSET($H$3,0,0,'Données projet'!$E$9+1,1))</f>
        <v>664.27707313486087</v>
      </c>
      <c r="T175" s="59">
        <f t="shared" si="142"/>
        <v>206.64483278066874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107.21997239445012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107.21997239445012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68.853968468819261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5.2499999999990337</v>
      </c>
      <c r="AJ175" s="13">
        <f>AI175*VLOOKUP('Données projet'!$B$10,Paramètres!$A$1:$I$89,3,0)*VLOOKUP('Données projet'!$B$10,Paramètres!$A$1:$I$89,5,0)</f>
        <v>2.4569999999995478</v>
      </c>
      <c r="AK175" s="13">
        <f t="shared" si="164"/>
        <v>1.0197977774625564</v>
      </c>
      <c r="AL175" s="20">
        <f t="shared" si="165"/>
        <v>6.0554227957464972</v>
      </c>
      <c r="AM175" s="59">
        <f t="shared" si="113"/>
        <v>295.18664051475042</v>
      </c>
      <c r="AN175" s="59">
        <f ca="1">AVERAGE(OFFSET($AM$3,0,0,'Données projet'!$E$10+1,1))-AVERAGE(OFFSET($H$3,0,0,'Données projet'!$E$10+1,1))</f>
        <v>329.7518221182429</v>
      </c>
      <c r="AO175" s="59">
        <f t="shared" si="144"/>
        <v>207.30737400651807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69.751585352925531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69.751585352925531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68.853968468819261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189.62971370839551</v>
      </c>
      <c r="BJ175" s="59">
        <f t="shared" si="146"/>
        <v>457.05149684588173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7.4195906001810226</v>
      </c>
      <c r="BQ175" s="21">
        <f>EXP(-LN(2)/25)*BQ174+(1-EXP(-LN(2)/25))/(LN(2)/25)*Calculateur!BL175*Calculateur!BN175*VLOOKUP('Données projet'!$B$11,Paramètres!$A$1:$I$89,3,0)*0.475*44/12</f>
        <v>0.28043179347166636</v>
      </c>
      <c r="BR175" s="21">
        <f>EXP(-LN(2)/2)*BR174+(1-EXP(-LN(2)/2))/(LN(2)/2)*BL175*BO175*VLOOKUP('Données projet'!$B$11,Paramètres!$A$1:$I$89,3,0)*0.475*44/12</f>
        <v>1.9042150229404807E-23</v>
      </c>
      <c r="BS175" s="22">
        <f t="shared" si="169"/>
        <v>7.7000223936526888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68.853968468819261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170.04605856785227</v>
      </c>
      <c r="CE175" s="59">
        <f t="shared" si="148"/>
        <v>377.63973197638802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3.9712001921855387</v>
      </c>
      <c r="CL175" s="21">
        <f>EXP(-LN(2)/25)*CL174+(1-EXP(-LN(2)/25))/(LN(2)/25)*Calculateur!CG175*Calculateur!CI175*VLOOKUP('Données projet'!$B$12,Paramètres!$A$1:$I$89,3,0)*0.475*44/12</f>
        <v>0.3235972971456002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4.2947974893311391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68.853968468819261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68.853968468819261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68.853968468819261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68.853968468819261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68.853968468819261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68.853968468819261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4.6500000000000004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17.05</v>
      </c>
      <c r="H176" s="66">
        <f t="shared" si="110"/>
        <v>188.46666666666667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68.873849553742573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8.977999999999998</v>
      </c>
      <c r="N176" s="13">
        <f>IF('Données projet'!$A$36&gt;35,N175+M176-V175,IF(A176&lt;'Données projet'!$A$36,$K$205^A176,IF(A176='Données projet'!$A$36,'Données projet'!$B$36,N175+M176-V175)))</f>
        <v>601.54199999999935</v>
      </c>
      <c r="O176" s="13">
        <f>N176*VLOOKUP('Données projet'!$B$9,Paramètres!$A$1:$I$89,3,0)*VLOOKUP('Données projet'!$B$9,Paramètres!$A$1:$I$89,5,0)</f>
        <v>544.27520159999938</v>
      </c>
      <c r="P176" s="13">
        <f t="shared" si="141"/>
        <v>120.48176838093659</v>
      </c>
      <c r="Q176" s="20">
        <f t="shared" si="162"/>
        <v>1157.7850560501302</v>
      </c>
      <c r="R176" s="59">
        <f t="shared" si="109"/>
        <v>1446.9891710805196</v>
      </c>
      <c r="S176" s="59">
        <f ca="1">AVERAGE(OFFSET($R$3,0,0,'Données projet'!$E$9+1,1))-AVERAGE(OFFSET($H$3,0,0,'Données projet'!$E$9+1,1))</f>
        <v>664.27707313486087</v>
      </c>
      <c r="T176" s="59">
        <f t="shared" si="142"/>
        <v>206.64483278066874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105.11745413352062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105.11745413352062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68.873849553742573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5.2499999999990337</v>
      </c>
      <c r="AJ176" s="13">
        <f>AI176*VLOOKUP('Données projet'!$B$10,Paramètres!$A$1:$I$89,3,0)*VLOOKUP('Données projet'!$B$10,Paramètres!$A$1:$I$89,5,0)</f>
        <v>2.4569999999995478</v>
      </c>
      <c r="AK176" s="13">
        <f t="shared" si="164"/>
        <v>1.0197977774625564</v>
      </c>
      <c r="AL176" s="20">
        <f t="shared" si="165"/>
        <v>6.0554227957464972</v>
      </c>
      <c r="AM176" s="59">
        <f t="shared" si="113"/>
        <v>295.25953782613595</v>
      </c>
      <c r="AN176" s="59">
        <f ca="1">AVERAGE(OFFSET($AM$3,0,0,'Données projet'!$E$10+1,1))-AVERAGE(OFFSET($H$3,0,0,'Données projet'!$E$10+1,1))</f>
        <v>329.7518221182429</v>
      </c>
      <c r="AO176" s="59">
        <f t="shared" si="144"/>
        <v>207.30737400651807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68.383799308420834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68.383799308420834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68.873849553742573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189.62971370839551</v>
      </c>
      <c r="BJ176" s="59">
        <f t="shared" si="146"/>
        <v>457.05149684588173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7.2740969540148823</v>
      </c>
      <c r="BQ176" s="21">
        <f>EXP(-LN(2)/25)*BQ175+(1-EXP(-LN(2)/25))/(LN(2)/25)*Calculateur!BL176*Calculateur!BN176*VLOOKUP('Données projet'!$B$11,Paramètres!$A$1:$I$89,3,0)*0.475*44/12</f>
        <v>0.27276337133191658</v>
      </c>
      <c r="BR176" s="21">
        <f>EXP(-LN(2)/2)*BR175+(1-EXP(-LN(2)/2))/(LN(2)/2)*BL176*BO176*VLOOKUP('Données projet'!$B$11,Paramètres!$A$1:$I$89,3,0)*0.475*44/12</f>
        <v>1.346483355558511E-23</v>
      </c>
      <c r="BS176" s="22">
        <f t="shared" si="169"/>
        <v>7.546860325346799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68.873849553742573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170.04605856785227</v>
      </c>
      <c r="CE176" s="59">
        <f t="shared" si="148"/>
        <v>377.63973197638802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3.893327378609726</v>
      </c>
      <c r="CL176" s="21">
        <f>EXP(-LN(2)/25)*CL175+(1-EXP(-LN(2)/25))/(LN(2)/25)*Calculateur!CG176*Calculateur!CI176*VLOOKUP('Données projet'!$B$12,Paramètres!$A$1:$I$89,3,0)*0.475*44/12</f>
        <v>0.31474851203791149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4.2080758906476374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68.873849553742573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68.873849553742573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68.873849553742573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68.873849553742573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68.873849553742573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68.873849553742573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4.6500000000000004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17.05</v>
      </c>
      <c r="H177" s="66">
        <f t="shared" si="110"/>
        <v>188.46666666666667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68.893385746289923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610.52</v>
      </c>
      <c r="L177" s="12">
        <f>VLOOKUP(A177,'Données projet'!$A$35:$I$55,9,0)</f>
        <v>8.977999999999998</v>
      </c>
      <c r="M177" s="12">
        <f t="array" ref="M177">INDEX(L:L,MIN(IF(ISNUMBER(L177:L373),ROW(L177:L373),"")))</f>
        <v>8.977999999999998</v>
      </c>
      <c r="N177" s="13">
        <f>IF('Données projet'!$A$36&gt;35,N176+M177-V176,IF(A177&lt;'Données projet'!$A$36,$K$205^A177,IF(A177='Données projet'!$A$36,'Données projet'!$B$36,N176+M177-V176)))</f>
        <v>610.5199999999993</v>
      </c>
      <c r="O177" s="13">
        <f>N177*VLOOKUP('Données projet'!$B$9,Paramètres!$A$1:$I$89,3,0)*VLOOKUP('Données projet'!$B$9,Paramètres!$A$1:$I$89,5,0)</f>
        <v>552.39849599999934</v>
      </c>
      <c r="P177" s="13">
        <f t="shared" si="141"/>
        <v>122.06927432492564</v>
      </c>
      <c r="Q177" s="20">
        <f t="shared" si="162"/>
        <v>1174.6980333159111</v>
      </c>
      <c r="R177" s="59">
        <f t="shared" si="109"/>
        <v>1463.9737810523075</v>
      </c>
      <c r="S177" s="59">
        <f ca="1">AVERAGE(OFFSET($R$3,0,0,'Données projet'!$E$9+1,1))-AVERAGE(OFFSET($H$3,0,0,'Données projet'!$E$9+1,1))</f>
        <v>664.27707313486087</v>
      </c>
      <c r="T177" s="59">
        <f t="shared" si="142"/>
        <v>206.64483278066874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214.77</v>
      </c>
      <c r="W177" s="16">
        <f>IF(ISNA(VLOOKUP(A177,'Données projet'!$A$35:$I$55,5,0)),0%,VLOOKUP(A177,'Données projet'!$A$35:$I$55,5,0)*VLOOKUP('Données projet'!$B$9,Paramètres!$A$1:$I$89,7,0))</f>
        <v>0.43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195.42846873055828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195.42846873055828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68.893385746289923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5.2499999999990337</v>
      </c>
      <c r="AJ177" s="13">
        <f>AI177*VLOOKUP('Données projet'!$B$10,Paramètres!$A$1:$I$89,3,0)*VLOOKUP('Données projet'!$B$10,Paramètres!$A$1:$I$89,5,0)</f>
        <v>2.4569999999995478</v>
      </c>
      <c r="AK177" s="13">
        <f t="shared" si="164"/>
        <v>1.0197977774625564</v>
      </c>
      <c r="AL177" s="20">
        <f t="shared" si="165"/>
        <v>6.0554227957464972</v>
      </c>
      <c r="AM177" s="59">
        <f t="shared" si="113"/>
        <v>295.33117053214289</v>
      </c>
      <c r="AN177" s="59">
        <f ca="1">AVERAGE(OFFSET($AM$3,0,0,'Données projet'!$E$10+1,1))-AVERAGE(OFFSET($H$3,0,0,'Données projet'!$E$10+1,1))</f>
        <v>329.7518221182429</v>
      </c>
      <c r="AO177" s="59">
        <f t="shared" si="144"/>
        <v>207.30737400651807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67.042834713981762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67.042834713981762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68.893385746289923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189.62971370839551</v>
      </c>
      <c r="BJ177" s="59">
        <f t="shared" si="146"/>
        <v>457.05149684588173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7.1314563495076984</v>
      </c>
      <c r="BQ177" s="21">
        <f>EXP(-LN(2)/25)*BQ176+(1-EXP(-LN(2)/25))/(LN(2)/25)*Calculateur!BL177*Calculateur!BN177*VLOOKUP('Données projet'!$B$11,Paramètres!$A$1:$I$89,3,0)*0.475*44/12</f>
        <v>0.26530464259884301</v>
      </c>
      <c r="BR177" s="21">
        <f>EXP(-LN(2)/2)*BR176+(1-EXP(-LN(2)/2))/(LN(2)/2)*BL177*BO177*VLOOKUP('Données projet'!$B$11,Paramètres!$A$1:$I$89,3,0)*0.475*44/12</f>
        <v>9.5210751147024034E-24</v>
      </c>
      <c r="BS177" s="22">
        <f t="shared" si="169"/>
        <v>7.3967609921065414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68.893385746289923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170.04605856785227</v>
      </c>
      <c r="CE177" s="59">
        <f t="shared" si="148"/>
        <v>377.63973197638802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3.8169816034104085</v>
      </c>
      <c r="CL177" s="21">
        <f>EXP(-LN(2)/25)*CL176+(1-EXP(-LN(2)/25))/(LN(2)/25)*Calculateur!CG177*Calculateur!CI177*VLOOKUP('Données projet'!$B$12,Paramètres!$A$1:$I$89,3,0)*0.475*44/12</f>
        <v>0.30614169742432989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4.1231233008347381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68.893385746289923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68.893385746289923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68.893385746289923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68.893385746289923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68.893385746289923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68.893385746289923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4.6500000000000004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17.05</v>
      </c>
      <c r="H178" s="66">
        <f t="shared" si="110"/>
        <v>188.46666666666667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68.912583029572957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-2.2700000000000009</v>
      </c>
      <c r="N178" s="13">
        <f>IF('Données projet'!$A$36&gt;35,N177+M178-V177,IF(A178&lt;'Données projet'!$A$36,$K$205^A178,IF(A178='Données projet'!$A$36,'Données projet'!$B$36,N177+M178-V177)))</f>
        <v>393.47999999999934</v>
      </c>
      <c r="O178" s="13">
        <f>N178*VLOOKUP('Données projet'!$B$9,Paramètres!$A$1:$I$89,3,0)*VLOOKUP('Données projet'!$B$9,Paramètres!$A$1:$I$89,5,0)</f>
        <v>356.0207039999994</v>
      </c>
      <c r="P178" s="13">
        <f t="shared" si="141"/>
        <v>82.801003433501791</v>
      </c>
      <c r="Q178" s="20">
        <f t="shared" si="162"/>
        <v>764.28114044668121</v>
      </c>
      <c r="R178" s="59">
        <f t="shared" si="109"/>
        <v>1053.627278221782</v>
      </c>
      <c r="S178" s="59">
        <f ca="1">AVERAGE(OFFSET($R$3,0,0,'Données projet'!$E$9+1,1))-AVERAGE(OFFSET($H$3,0,0,'Données projet'!$E$9+1,1))</f>
        <v>664.27707313486087</v>
      </c>
      <c r="T178" s="59">
        <f t="shared" si="142"/>
        <v>206.64483278066874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191.59623565834798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191.59623565834798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68.912583029572957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5.2499999999990337</v>
      </c>
      <c r="AJ178" s="13">
        <f>AI178*VLOOKUP('Données projet'!$B$10,Paramètres!$A$1:$I$89,3,0)*VLOOKUP('Données projet'!$B$10,Paramètres!$A$1:$I$89,5,0)</f>
        <v>2.4569999999995478</v>
      </c>
      <c r="AK178" s="13">
        <f t="shared" si="164"/>
        <v>1.0197977774625564</v>
      </c>
      <c r="AL178" s="20">
        <f t="shared" si="165"/>
        <v>6.0554227957464972</v>
      </c>
      <c r="AM178" s="59">
        <f t="shared" si="113"/>
        <v>295.40156057084732</v>
      </c>
      <c r="AN178" s="59">
        <f ca="1">AVERAGE(OFFSET($AM$3,0,0,'Données projet'!$E$10+1,1))-AVERAGE(OFFSET($H$3,0,0,'Données projet'!$E$10+1,1))</f>
        <v>329.7518221182429</v>
      </c>
      <c r="AO178" s="59">
        <f t="shared" si="144"/>
        <v>207.30737400651807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65.728165617331996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65.728165617331996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68.912583029572957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189.62971370839551</v>
      </c>
      <c r="BJ178" s="59">
        <f t="shared" si="146"/>
        <v>457.05149684588173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6.9916128402527224</v>
      </c>
      <c r="BQ178" s="21">
        <f>EXP(-LN(2)/25)*BQ177+(1-EXP(-LN(2)/25))/(LN(2)/25)*Calculateur!BL178*Calculateur!BN178*VLOOKUP('Données projet'!$B$11,Paramètres!$A$1:$I$89,3,0)*0.475*44/12</f>
        <v>0.25804987319521283</v>
      </c>
      <c r="BR178" s="21">
        <f>EXP(-LN(2)/2)*BR177+(1-EXP(-LN(2)/2))/(LN(2)/2)*BL178*BO178*VLOOKUP('Données projet'!$B$11,Paramètres!$A$1:$I$89,3,0)*0.475*44/12</f>
        <v>6.7324167777925552E-24</v>
      </c>
      <c r="BS178" s="22">
        <f t="shared" si="169"/>
        <v>7.2496627134479352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68.912583029572957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170.04605856785227</v>
      </c>
      <c r="CE178" s="59">
        <f t="shared" si="148"/>
        <v>377.63973197638802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3.7421329222964248</v>
      </c>
      <c r="CL178" s="21">
        <f>EXP(-LN(2)/25)*CL177+(1-EXP(-LN(2)/25))/(LN(2)/25)*Calculateur!CG178*Calculateur!CI178*VLOOKUP('Données projet'!$B$12,Paramètres!$A$1:$I$89,3,0)*0.475*44/12</f>
        <v>0.2977702366089694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4.0399031589053944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68.912583029572957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68.912583029572957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68.912583029572957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68.912583029572957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68.912583029572957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68.912583029572957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4.6500000000000004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17.05</v>
      </c>
      <c r="H179" s="66">
        <f t="shared" si="110"/>
        <v>188.46666666666667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68.93144728290973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-2.2700000000000009</v>
      </c>
      <c r="N179" s="13">
        <f>IF('Données projet'!$A$36&gt;35,N178+M179-V178,IF(A179&lt;'Données projet'!$A$36,$K$205^A179,IF(A179='Données projet'!$A$36,'Données projet'!$B$36,N178+M179-V178)))</f>
        <v>391.20999999999935</v>
      </c>
      <c r="O179" s="13">
        <f>N179*VLOOKUP('Données projet'!$B$9,Paramètres!$A$1:$I$89,3,0)*VLOOKUP('Données projet'!$B$9,Paramètres!$A$1:$I$89,5,0)</f>
        <v>353.96680799999939</v>
      </c>
      <c r="P179" s="13">
        <f t="shared" si="141"/>
        <v>82.378781676406732</v>
      </c>
      <c r="Q179" s="20">
        <f t="shared" si="162"/>
        <v>759.96856868640737</v>
      </c>
      <c r="R179" s="59">
        <f t="shared" si="109"/>
        <v>1049.3838753904097</v>
      </c>
      <c r="S179" s="59">
        <f ca="1">AVERAGE(OFFSET($R$3,0,0,'Données projet'!$E$9+1,1))-AVERAGE(OFFSET($H$3,0,0,'Données projet'!$E$9+1,1))</f>
        <v>664.27707313486087</v>
      </c>
      <c r="T179" s="59">
        <f t="shared" si="142"/>
        <v>206.64483278066874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187.83915033925234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187.83915033925234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68.93144728290973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5.2499999999990337</v>
      </c>
      <c r="AJ179" s="13">
        <f>AI179*VLOOKUP('Données projet'!$B$10,Paramètres!$A$1:$I$89,3,0)*VLOOKUP('Données projet'!$B$10,Paramètres!$A$1:$I$89,5,0)</f>
        <v>2.4569999999995478</v>
      </c>
      <c r="AK179" s="13">
        <f t="shared" si="164"/>
        <v>1.0197977774625564</v>
      </c>
      <c r="AL179" s="20">
        <f t="shared" si="165"/>
        <v>6.0554227957464972</v>
      </c>
      <c r="AM179" s="59">
        <f t="shared" si="113"/>
        <v>295.47072949974887</v>
      </c>
      <c r="AN179" s="59">
        <f ca="1">AVERAGE(OFFSET($AM$3,0,0,'Données projet'!$E$10+1,1))-AVERAGE(OFFSET($H$3,0,0,'Données projet'!$E$10+1,1))</f>
        <v>329.7518221182429</v>
      </c>
      <c r="AO179" s="59">
        <f t="shared" si="144"/>
        <v>207.30737400651807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64.439276379798557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64.439276379798557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68.93144728290973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189.62971370839551</v>
      </c>
      <c r="BJ179" s="59">
        <f t="shared" si="146"/>
        <v>457.05149684588173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6.8545115769181182</v>
      </c>
      <c r="BQ179" s="21">
        <f>EXP(-LN(2)/25)*BQ178+(1-EXP(-LN(2)/25))/(LN(2)/25)*Calculateur!BL179*Calculateur!BN179*VLOOKUP('Données projet'!$B$11,Paramètres!$A$1:$I$89,3,0)*0.475*44/12</f>
        <v>0.25099348584243669</v>
      </c>
      <c r="BR179" s="21">
        <f>EXP(-LN(2)/2)*BR178+(1-EXP(-LN(2)/2))/(LN(2)/2)*BL179*BO179*VLOOKUP('Données projet'!$B$11,Paramètres!$A$1:$I$89,3,0)*0.475*44/12</f>
        <v>4.7605375573512017E-24</v>
      </c>
      <c r="BS179" s="22">
        <f t="shared" si="169"/>
        <v>7.1055050627605549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68.93144728290973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170.04605856785227</v>
      </c>
      <c r="CE179" s="59">
        <f t="shared" si="148"/>
        <v>377.63973197638802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3.6687519781658988</v>
      </c>
      <c r="CL179" s="21">
        <f>EXP(-LN(2)/25)*CL178+(1-EXP(-LN(2)/25))/(LN(2)/25)*Calculateur!CG179*Calculateur!CI179*VLOOKUP('Données projet'!$B$12,Paramètres!$A$1:$I$89,3,0)*0.475*44/12</f>
        <v>0.28962769382984094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3.9583796719957398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68.93144728290973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68.93144728290973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68.93144728290973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68.93144728290973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68.93144728290973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68.93144728290973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4.6500000000000004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17.05</v>
      </c>
      <c r="H180" s="66">
        <f t="shared" si="110"/>
        <v>188.46666666666667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68.949984283625255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388.94</v>
      </c>
      <c r="L180" s="12">
        <f>VLOOKUP(A180,'Données projet'!$A$35:$I$55,9,0)</f>
        <v>-2.2700000000000009</v>
      </c>
      <c r="M180" s="12">
        <f t="array" ref="M180">INDEX(L:L,MIN(IF(ISNUMBER(L180:L376),ROW(L180:L376),"")))</f>
        <v>-2.2700000000000009</v>
      </c>
      <c r="N180" s="13">
        <f>IF('Données projet'!$A$36&gt;35,N179+M180-V179,IF(A180&lt;'Données projet'!$A$36,$K$205^A180,IF(A180='Données projet'!$A$36,'Données projet'!$B$36,N179+M180-V179)))</f>
        <v>388.93999999999937</v>
      </c>
      <c r="O180" s="13">
        <f>N180*VLOOKUP('Données projet'!$B$9,Paramètres!$A$1:$I$89,3,0)*VLOOKUP('Données projet'!$B$9,Paramètres!$A$1:$I$89,5,0)</f>
        <v>351.91291199999944</v>
      </c>
      <c r="P180" s="13">
        <f t="shared" si="141"/>
        <v>81.956274647572045</v>
      </c>
      <c r="Q180" s="20">
        <f t="shared" si="162"/>
        <v>755.65550007785362</v>
      </c>
      <c r="R180" s="59">
        <f t="shared" si="109"/>
        <v>1045.1387757844795</v>
      </c>
      <c r="S180" s="59">
        <f ca="1">AVERAGE(OFFSET($R$3,0,0,'Données projet'!$E$9+1,1))-AVERAGE(OFFSET($H$3,0,0,'Données projet'!$E$9+1,1))</f>
        <v>664.27707313486087</v>
      </c>
      <c r="T180" s="59">
        <f t="shared" si="142"/>
        <v>206.64483278066874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115.19</v>
      </c>
      <c r="W180" s="16">
        <f>IF(ISNA(VLOOKUP(A180,'Données projet'!$A$35:$I$55,5,0)),0%,VLOOKUP(A180,'Données projet'!$A$35:$I$55,5,0)*VLOOKUP('Données projet'!$B$9,Paramètres!$A$1:$I$89,7,0))</f>
        <v>0.43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233.6988116203394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233.6988116203394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68.949984283625255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5.2499999999990337</v>
      </c>
      <c r="AJ180" s="13">
        <f>AI180*VLOOKUP('Données projet'!$B$10,Paramètres!$A$1:$I$89,3,0)*VLOOKUP('Données projet'!$B$10,Paramètres!$A$1:$I$89,5,0)</f>
        <v>2.4569999999995478</v>
      </c>
      <c r="AK180" s="13">
        <f t="shared" si="164"/>
        <v>1.0197977774625564</v>
      </c>
      <c r="AL180" s="20">
        <f t="shared" si="165"/>
        <v>6.0554227957464972</v>
      </c>
      <c r="AM180" s="59">
        <f t="shared" si="113"/>
        <v>295.53869850237243</v>
      </c>
      <c r="AN180" s="59">
        <f ca="1">AVERAGE(OFFSET($AM$3,0,0,'Données projet'!$E$10+1,1))-AVERAGE(OFFSET($H$3,0,0,'Données projet'!$E$10+1,1))</f>
        <v>329.7518221182429</v>
      </c>
      <c r="AO180" s="59">
        <f t="shared" si="144"/>
        <v>207.30737400651807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63.175661474068342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63.175661474068342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68.949984283625255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189.62971370839551</v>
      </c>
      <c r="BJ180" s="59">
        <f t="shared" si="146"/>
        <v>457.05149684588173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6.7200987857339927</v>
      </c>
      <c r="BQ180" s="21">
        <f>EXP(-LN(2)/25)*BQ179+(1-EXP(-LN(2)/25))/(LN(2)/25)*Calculateur!BL180*Calculateur!BN180*VLOOKUP('Données projet'!$B$11,Paramètres!$A$1:$I$89,3,0)*0.475*44/12</f>
        <v>0.24413005577290151</v>
      </c>
      <c r="BR180" s="21">
        <f>EXP(-LN(2)/2)*BR179+(1-EXP(-LN(2)/2))/(LN(2)/2)*BL180*BO180*VLOOKUP('Données projet'!$B$11,Paramètres!$A$1:$I$89,3,0)*0.475*44/12</f>
        <v>3.3662083888962776E-24</v>
      </c>
      <c r="BS180" s="22">
        <f t="shared" si="169"/>
        <v>6.9642288415068938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68.949984283625255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170.04605856785227</v>
      </c>
      <c r="CE180" s="59">
        <f t="shared" si="148"/>
        <v>377.63973197638802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3.596809989591816</v>
      </c>
      <c r="CL180" s="21">
        <f>EXP(-LN(2)/25)*CL179+(1-EXP(-LN(2)/25))/(LN(2)/25)*Calculateur!CG180*Calculateur!CI180*VLOOKUP('Données projet'!$B$12,Paramètres!$A$1:$I$89,3,0)*0.475*44/12</f>
        <v>0.28170780931120548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3.8785177989030215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68.949984283625255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68.949984283625255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68.949984283625255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68.949984283625255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68.949984283625255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68.949984283625255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4.6500000000000004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17.05</v>
      </c>
      <c r="H181" s="66">
        <f t="shared" si="110"/>
        <v>188.46666666666667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68.96819970882089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-0.72999999999999921</v>
      </c>
      <c r="N181" s="13">
        <f>IF('Données projet'!$A$36&gt;35,N180+M181-V180,IF(A181&lt;'Données projet'!$A$36,$K$205^A181,IF(A181='Données projet'!$A$36,'Données projet'!$B$36,N180+M181-V180)))</f>
        <v>273.01999999999936</v>
      </c>
      <c r="O181" s="13">
        <f>N181*VLOOKUP('Données projet'!$B$9,Paramètres!$A$1:$I$89,3,0)*VLOOKUP('Données projet'!$B$9,Paramètres!$A$1:$I$89,5,0)</f>
        <v>247.02849599999942</v>
      </c>
      <c r="P181" s="13">
        <f t="shared" si="141"/>
        <v>59.949195861748692</v>
      </c>
      <c r="Q181" s="20">
        <f t="shared" si="162"/>
        <v>534.6528133258779</v>
      </c>
      <c r="R181" s="59">
        <f t="shared" si="109"/>
        <v>824.20287892488784</v>
      </c>
      <c r="S181" s="59">
        <f ca="1">AVERAGE(OFFSET($R$3,0,0,'Données projet'!$E$9+1,1))-AVERAGE(OFFSET($H$3,0,0,'Données projet'!$E$9+1,1))</f>
        <v>664.27707313486087</v>
      </c>
      <c r="T181" s="59">
        <f t="shared" si="142"/>
        <v>206.64483278066874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229.11612046666477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229.11612046666477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68.96819970882089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5.2499999999990337</v>
      </c>
      <c r="AJ181" s="13">
        <f>AI181*VLOOKUP('Données projet'!$B$10,Paramètres!$A$1:$I$89,3,0)*VLOOKUP('Données projet'!$B$10,Paramètres!$A$1:$I$89,5,0)</f>
        <v>2.4569999999995478</v>
      </c>
      <c r="AK181" s="13">
        <f t="shared" si="164"/>
        <v>1.0197977774625564</v>
      </c>
      <c r="AL181" s="20">
        <f t="shared" si="165"/>
        <v>6.0554227957464972</v>
      </c>
      <c r="AM181" s="59">
        <f t="shared" si="113"/>
        <v>295.60548839475643</v>
      </c>
      <c r="AN181" s="59">
        <f ca="1">AVERAGE(OFFSET($AM$3,0,0,'Données projet'!$E$10+1,1))-AVERAGE(OFFSET($H$3,0,0,'Données projet'!$E$10+1,1))</f>
        <v>329.7518221182429</v>
      </c>
      <c r="AO181" s="59">
        <f t="shared" si="144"/>
        <v>207.30737400651807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61.936825285910508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61.936825285910508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68.96819970882089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189.62971370839551</v>
      </c>
      <c r="BJ181" s="59">
        <f t="shared" si="146"/>
        <v>457.05149684588173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6.5883217474012801</v>
      </c>
      <c r="BQ181" s="21">
        <f>EXP(-LN(2)/25)*BQ180+(1-EXP(-LN(2)/25))/(LN(2)/25)*Calculateur!BL181*Calculateur!BN181*VLOOKUP('Données projet'!$B$11,Paramètres!$A$1:$I$89,3,0)*0.475*44/12</f>
        <v>0.23745430655954985</v>
      </c>
      <c r="BR181" s="21">
        <f>EXP(-LN(2)/2)*BR180+(1-EXP(-LN(2)/2))/(LN(2)/2)*BL181*BO181*VLOOKUP('Données projet'!$B$11,Paramètres!$A$1:$I$89,3,0)*0.475*44/12</f>
        <v>2.3802687786756008E-24</v>
      </c>
      <c r="BS181" s="22">
        <f t="shared" si="169"/>
        <v>6.8257760539608299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68.96819970882089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170.04605856785227</v>
      </c>
      <c r="CE181" s="59">
        <f t="shared" si="148"/>
        <v>377.63973197638802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3.5262787395333905</v>
      </c>
      <c r="CL181" s="21">
        <f>EXP(-LN(2)/25)*CL180+(1-EXP(-LN(2)/25))/(LN(2)/25)*Calculateur!CG181*Calculateur!CI181*VLOOKUP('Données projet'!$B$12,Paramètres!$A$1:$I$89,3,0)*0.475*44/12</f>
        <v>0.27400449445122071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3.8002832339846111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68.96819970882089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68.96819970882089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68.96819970882089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68.96819970882089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68.96819970882089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68.96819970882089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4.6500000000000004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17.05</v>
      </c>
      <c r="H182" s="66">
        <f t="shared" si="110"/>
        <v>188.46666666666667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68.986099137112973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-0.72999999999999921</v>
      </c>
      <c r="N182" s="13">
        <f>IF('Données projet'!$A$36&gt;35,N181+M182-V181,IF(A182&lt;'Données projet'!$A$36,$K$205^A182,IF(A182='Données projet'!$A$36,'Données projet'!$B$36,N181+M182-V181)))</f>
        <v>272.28999999999934</v>
      </c>
      <c r="O182" s="13">
        <f>N182*VLOOKUP('Données projet'!$B$9,Paramètres!$A$1:$I$89,3,0)*VLOOKUP('Données projet'!$B$9,Paramètres!$A$1:$I$89,5,0)</f>
        <v>246.36799199999939</v>
      </c>
      <c r="P182" s="13">
        <f t="shared" si="141"/>
        <v>59.807539816896266</v>
      </c>
      <c r="Q182" s="20">
        <f t="shared" si="162"/>
        <v>533.25571791442655</v>
      </c>
      <c r="R182" s="59">
        <f t="shared" si="109"/>
        <v>822.87141475050748</v>
      </c>
      <c r="S182" s="59">
        <f ca="1">AVERAGE(OFFSET($R$3,0,0,'Données projet'!$E$9+1,1))-AVERAGE(OFFSET($H$3,0,0,'Données projet'!$E$9+1,1))</f>
        <v>664.27707313486087</v>
      </c>
      <c r="T182" s="59">
        <f t="shared" si="142"/>
        <v>206.64483278066874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224.62329309134807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224.62329309134807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68.986099137112973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5.2499999999990337</v>
      </c>
      <c r="AJ182" s="13">
        <f>AI182*VLOOKUP('Données projet'!$B$10,Paramètres!$A$1:$I$89,3,0)*VLOOKUP('Données projet'!$B$10,Paramètres!$A$1:$I$89,5,0)</f>
        <v>2.4569999999995478</v>
      </c>
      <c r="AK182" s="13">
        <f t="shared" si="164"/>
        <v>1.0197977774625564</v>
      </c>
      <c r="AL182" s="20">
        <f t="shared" si="165"/>
        <v>6.0554227957464972</v>
      </c>
      <c r="AM182" s="59">
        <f t="shared" si="113"/>
        <v>295.67111963182737</v>
      </c>
      <c r="AN182" s="59">
        <f ca="1">AVERAGE(OFFSET($AM$3,0,0,'Données projet'!$E$10+1,1))-AVERAGE(OFFSET($H$3,0,0,'Données projet'!$E$10+1,1))</f>
        <v>329.7518221182429</v>
      </c>
      <c r="AO182" s="59">
        <f t="shared" si="144"/>
        <v>207.30737400651807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60.722281919786987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60.722281919786987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68.986099137112973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189.62971370839551</v>
      </c>
      <c r="BJ182" s="59">
        <f t="shared" si="146"/>
        <v>457.05149684588173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6.4591287764142153</v>
      </c>
      <c r="BQ182" s="21">
        <f>EXP(-LN(2)/25)*BQ181+(1-EXP(-LN(2)/25))/(LN(2)/25)*Calculateur!BL182*Calculateur!BN182*VLOOKUP('Données projet'!$B$11,Paramètres!$A$1:$I$89,3,0)*0.475*44/12</f>
        <v>0.23096110605949968</v>
      </c>
      <c r="BR182" s="21">
        <f>EXP(-LN(2)/2)*BR181+(1-EXP(-LN(2)/2))/(LN(2)/2)*BL182*BO182*VLOOKUP('Données projet'!$B$11,Paramètres!$A$1:$I$89,3,0)*0.475*44/12</f>
        <v>1.6831041944481388E-24</v>
      </c>
      <c r="BS182" s="22">
        <f t="shared" si="169"/>
        <v>6.6900898824737149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68.986099137112973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170.04605856785227</v>
      </c>
      <c r="CE182" s="59">
        <f t="shared" si="148"/>
        <v>377.63973197638802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3.4571305642687964</v>
      </c>
      <c r="CL182" s="21">
        <f>EXP(-LN(2)/25)*CL181+(1-EXP(-LN(2)/25))/(LN(2)/25)*Calculateur!CG182*Calculateur!CI182*VLOOKUP('Données projet'!$B$12,Paramètres!$A$1:$I$89,3,0)*0.475*44/12</f>
        <v>0.26651182714118199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3.7236423914099785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68.986099137112973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68.986099137112973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68.986099137112973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68.986099137112973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68.986099137112973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68.986099137112973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4.6500000000000004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17.05</v>
      </c>
      <c r="H183" s="66">
        <f t="shared" si="110"/>
        <v>188.46666666666667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69.003688050341324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271.56</v>
      </c>
      <c r="L183" s="12">
        <f>VLOOKUP(A183,'Données projet'!$A$35:$I$55,9,0)</f>
        <v>-0.72999999999999921</v>
      </c>
      <c r="M183" s="12">
        <f t="array" ref="M183">INDEX(L:L,MIN(IF(ISNUMBER(L183:L379),ROW(L183:L379),"")))</f>
        <v>-0.72999999999999921</v>
      </c>
      <c r="N183" s="13">
        <f>IF('Données projet'!$A$36&gt;35,N182+M183-V182,IF(A183&lt;'Données projet'!$A$36,$K$205^A183,IF(A183='Données projet'!$A$36,'Données projet'!$B$36,N182+M183-V182)))</f>
        <v>271.55999999999932</v>
      </c>
      <c r="O183" s="13">
        <f>N183*VLOOKUP('Données projet'!$B$9,Paramètres!$A$1:$I$89,3,0)*VLOOKUP('Données projet'!$B$9,Paramètres!$A$1:$I$89,5,0)</f>
        <v>245.70748799999936</v>
      </c>
      <c r="P183" s="13">
        <f t="shared" si="141"/>
        <v>59.665839559288955</v>
      </c>
      <c r="Q183" s="20">
        <f t="shared" si="162"/>
        <v>531.85854549909379</v>
      </c>
      <c r="R183" s="59">
        <f t="shared" si="109"/>
        <v>821.53873501701196</v>
      </c>
      <c r="S183" s="59">
        <f ca="1">AVERAGE(OFFSET($R$3,0,0,'Données projet'!$E$9+1,1))-AVERAGE(OFFSET($H$3,0,0,'Données projet'!$E$9+1,1))</f>
        <v>664.27707313486087</v>
      </c>
      <c r="T183" s="59">
        <f t="shared" si="142"/>
        <v>206.64483278066874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77.72</v>
      </c>
      <c r="W183" s="16">
        <f>IF(ISNA(VLOOKUP(A183,'Données projet'!$A$35:$I$55,5,0)),0%,VLOOKUP(A183,'Données projet'!$A$35:$I$55,5,0)*VLOOKUP('Données projet'!$B$9,Paramètres!$A$1:$I$89,7,0))</f>
        <v>0.43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253.64584044066271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253.64584044066271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69.003688050341324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5.2499999999990337</v>
      </c>
      <c r="AJ183" s="13">
        <f>AI183*VLOOKUP('Données projet'!$B$10,Paramètres!$A$1:$I$89,3,0)*VLOOKUP('Données projet'!$B$10,Paramètres!$A$1:$I$89,5,0)</f>
        <v>2.4569999999995478</v>
      </c>
      <c r="AK183" s="13">
        <f t="shared" si="164"/>
        <v>1.0197977774625564</v>
      </c>
      <c r="AL183" s="20">
        <f t="shared" si="165"/>
        <v>6.0554227957464972</v>
      </c>
      <c r="AM183" s="59">
        <f t="shared" si="113"/>
        <v>295.73561231366472</v>
      </c>
      <c r="AN183" s="59">
        <f ca="1">AVERAGE(OFFSET($AM$3,0,0,'Données projet'!$E$10+1,1))-AVERAGE(OFFSET($H$3,0,0,'Données projet'!$E$10+1,1))</f>
        <v>329.7518221182429</v>
      </c>
      <c r="AO183" s="59">
        <f t="shared" si="144"/>
        <v>207.30737400651807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59.531555008274843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59.531555008274843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69.003688050341324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189.62971370839551</v>
      </c>
      <c r="BJ183" s="59">
        <f t="shared" si="146"/>
        <v>457.05149684588173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6.3324692007882755</v>
      </c>
      <c r="BQ183" s="21">
        <f>EXP(-LN(2)/25)*BQ182+(1-EXP(-LN(2)/25))/(LN(2)/25)*Calculateur!BL183*Calculateur!BN183*VLOOKUP('Données projet'!$B$11,Paramètres!$A$1:$I$89,3,0)*0.475*44/12</f>
        <v>0.22464546246858597</v>
      </c>
      <c r="BR183" s="21">
        <f>EXP(-LN(2)/2)*BR182+(1-EXP(-LN(2)/2))/(LN(2)/2)*BL183*BO183*VLOOKUP('Données projet'!$B$11,Paramètres!$A$1:$I$89,3,0)*0.475*44/12</f>
        <v>1.1901343893378004E-24</v>
      </c>
      <c r="BS183" s="22">
        <f t="shared" si="169"/>
        <v>6.5571146632568613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69.003688050341324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170.04605856785227</v>
      </c>
      <c r="CE183" s="59">
        <f t="shared" si="148"/>
        <v>377.63973197638802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3.3893383425449186</v>
      </c>
      <c r="CL183" s="21">
        <f>EXP(-LN(2)/25)*CL182+(1-EXP(-LN(2)/25))/(LN(2)/25)*Calculateur!CG183*Calculateur!CI183*VLOOKUP('Données projet'!$B$12,Paramètres!$A$1:$I$89,3,0)*0.475*44/12</f>
        <v>0.25922404721275849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3.6485623897576769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69.003688050341324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69.003688050341324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69.003688050341324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69.003688050341324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69.003688050341324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69.003688050341324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4.6500000000000004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17.05</v>
      </c>
      <c r="H184" s="66">
        <f t="shared" si="110"/>
        <v>188.46666666666667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69.020971835248062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-0.79000000000000148</v>
      </c>
      <c r="N184" s="13">
        <f>IF('Données projet'!$A$36&gt;35,N183+M184-V183,IF(A184&lt;'Données projet'!$A$36,$K$205^A184,IF(A184='Données projet'!$A$36,'Données projet'!$B$36,N183+M184-V183)))</f>
        <v>193.0499999999993</v>
      </c>
      <c r="O184" s="13">
        <f>N184*VLOOKUP('Données projet'!$B$9,Paramètres!$A$1:$I$89,3,0)*VLOOKUP('Données projet'!$B$9,Paramètres!$A$1:$I$89,5,0)</f>
        <v>174.67163999999934</v>
      </c>
      <c r="P184" s="13">
        <f t="shared" si="141"/>
        <v>44.134659021409632</v>
      </c>
      <c r="Q184" s="20">
        <f t="shared" si="162"/>
        <v>381.0876374622872</v>
      </c>
      <c r="R184" s="59">
        <f t="shared" si="109"/>
        <v>670.83120085819678</v>
      </c>
      <c r="S184" s="59">
        <f ca="1">AVERAGE(OFFSET($R$3,0,0,'Données projet'!$E$9+1,1))-AVERAGE(OFFSET($H$3,0,0,'Données projet'!$E$9+1,1))</f>
        <v>664.27707313486087</v>
      </c>
      <c r="T184" s="59">
        <f t="shared" si="142"/>
        <v>206.64483278066874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248.67200021830777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248.67200021830777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69.020971835248062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5.2499999999990337</v>
      </c>
      <c r="AJ184" s="13">
        <f>AI184*VLOOKUP('Données projet'!$B$10,Paramètres!$A$1:$I$89,3,0)*VLOOKUP('Données projet'!$B$10,Paramètres!$A$1:$I$89,5,0)</f>
        <v>2.4569999999995478</v>
      </c>
      <c r="AK184" s="13">
        <f t="shared" si="164"/>
        <v>1.0197977774625564</v>
      </c>
      <c r="AL184" s="20">
        <f t="shared" si="165"/>
        <v>6.0554227957464972</v>
      </c>
      <c r="AM184" s="59">
        <f t="shared" si="113"/>
        <v>295.79898619165607</v>
      </c>
      <c r="AN184" s="59">
        <f ca="1">AVERAGE(OFFSET($AM$3,0,0,'Données projet'!$E$10+1,1))-AVERAGE(OFFSET($H$3,0,0,'Données projet'!$E$10+1,1))</f>
        <v>329.7518221182429</v>
      </c>
      <c r="AO184" s="59">
        <f t="shared" si="144"/>
        <v>207.30737400651807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58.364177525225749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58.364177525225749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69.020971835248062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189.62971370839551</v>
      </c>
      <c r="BJ184" s="59">
        <f t="shared" si="146"/>
        <v>457.05149684588173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6.2082933421856472</v>
      </c>
      <c r="BQ184" s="21">
        <f>EXP(-LN(2)/25)*BQ183+(1-EXP(-LN(2)/25))/(LN(2)/25)*Calculateur!BL184*Calculateur!BN184*VLOOKUP('Données projet'!$B$11,Paramètres!$A$1:$I$89,3,0)*0.475*44/12</f>
        <v>0.21850252048379104</v>
      </c>
      <c r="BR184" s="21">
        <f>EXP(-LN(2)/2)*BR183+(1-EXP(-LN(2)/2))/(LN(2)/2)*BL184*BO184*VLOOKUP('Données projet'!$B$11,Paramètres!$A$1:$I$89,3,0)*0.475*44/12</f>
        <v>8.415520972240694E-25</v>
      </c>
      <c r="BS184" s="22">
        <f t="shared" si="169"/>
        <v>6.4267958626694384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69.020971835248062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170.04605856785227</v>
      </c>
      <c r="CE184" s="59">
        <f t="shared" si="148"/>
        <v>377.63973197638802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3.3228754849398734</v>
      </c>
      <c r="CL184" s="21">
        <f>EXP(-LN(2)/25)*CL183+(1-EXP(-LN(2)/25))/(LN(2)/25)*Calculateur!CG184*Calculateur!CI184*VLOOKUP('Données projet'!$B$12,Paramètres!$A$1:$I$89,3,0)*0.475*44/12</f>
        <v>0.25213555200972543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3.5750110369495989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69.020971835248062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69.020971835248062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69.020971835248062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69.020971835248062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69.020971835248062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69.020971835248062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4.6500000000000004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17.05</v>
      </c>
      <c r="H185" s="66">
        <f t="shared" si="110"/>
        <v>188.46666666666667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69.037955785127451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-0.79000000000000148</v>
      </c>
      <c r="N185" s="13">
        <f>IF('Données projet'!$A$36&gt;35,N184+M185-V184,IF(A185&lt;'Données projet'!$A$36,$K$205^A185,IF(A185='Données projet'!$A$36,'Données projet'!$B$36,N184+M185-V184)))</f>
        <v>192.25999999999931</v>
      </c>
      <c r="O185" s="13">
        <f>N185*VLOOKUP('Données projet'!$B$9,Paramètres!$A$1:$I$89,3,0)*VLOOKUP('Données projet'!$B$9,Paramètres!$A$1:$I$89,5,0)</f>
        <v>173.95684799999935</v>
      </c>
      <c r="P185" s="13">
        <f t="shared" si="141"/>
        <v>43.975035698276209</v>
      </c>
      <c r="Q185" s="20">
        <f t="shared" si="162"/>
        <v>379.56469744116322</v>
      </c>
      <c r="R185" s="59">
        <f t="shared" si="109"/>
        <v>669.37053531996389</v>
      </c>
      <c r="S185" s="59">
        <f ca="1">AVERAGE(OFFSET($R$3,0,0,'Données projet'!$E$9+1,1))-AVERAGE(OFFSET($H$3,0,0,'Données projet'!$E$9+1,1))</f>
        <v>664.27707313486087</v>
      </c>
      <c r="T185" s="59">
        <f t="shared" si="142"/>
        <v>206.64483278066874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243.79569396897023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243.79569396897023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69.037955785127451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5.2499999999990337</v>
      </c>
      <c r="AJ185" s="13">
        <f>AI185*VLOOKUP('Données projet'!$B$10,Paramètres!$A$1:$I$89,3,0)*VLOOKUP('Données projet'!$B$10,Paramètres!$A$1:$I$89,5,0)</f>
        <v>2.4569999999995478</v>
      </c>
      <c r="AK185" s="13">
        <f t="shared" si="164"/>
        <v>1.0197977774625564</v>
      </c>
      <c r="AL185" s="20">
        <f t="shared" si="165"/>
        <v>6.0554227957464972</v>
      </c>
      <c r="AM185" s="59">
        <f t="shared" si="113"/>
        <v>295.86126067454717</v>
      </c>
      <c r="AN185" s="59">
        <f ca="1">AVERAGE(OFFSET($AM$3,0,0,'Données projet'!$E$10+1,1))-AVERAGE(OFFSET($H$3,0,0,'Données projet'!$E$10+1,1))</f>
        <v>329.7518221182429</v>
      </c>
      <c r="AO185" s="59">
        <f t="shared" si="144"/>
        <v>207.30737400651807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57.219691602589286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57.219691602589286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69.037955785127451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189.62971370839551</v>
      </c>
      <c r="BJ185" s="59">
        <f t="shared" si="146"/>
        <v>457.05149684588173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6.0865524964304214</v>
      </c>
      <c r="BQ185" s="21">
        <f>EXP(-LN(2)/25)*BQ184+(1-EXP(-LN(2)/25))/(LN(2)/25)*Calculateur!BL185*Calculateur!BN185*VLOOKUP('Données projet'!$B$11,Paramètres!$A$1:$I$89,3,0)*0.475*44/12</f>
        <v>0.21252755757061362</v>
      </c>
      <c r="BR185" s="21">
        <f>EXP(-LN(2)/2)*BR184+(1-EXP(-LN(2)/2))/(LN(2)/2)*BL185*BO185*VLOOKUP('Données projet'!$B$11,Paramètres!$A$1:$I$89,3,0)*0.475*44/12</f>
        <v>5.9506719466890021E-25</v>
      </c>
      <c r="BS185" s="22">
        <f t="shared" si="169"/>
        <v>6.2990800540010348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69.037955785127451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170.04605856785227</v>
      </c>
      <c r="CE185" s="59">
        <f t="shared" si="148"/>
        <v>377.63973197638802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3.2577159234341231</v>
      </c>
      <c r="CL185" s="21">
        <f>EXP(-LN(2)/25)*CL184+(1-EXP(-LN(2)/25))/(LN(2)/25)*Calculateur!CG185*Calculateur!CI185*VLOOKUP('Données projet'!$B$12,Paramètres!$A$1:$I$89,3,0)*0.475*44/12</f>
        <v>0.24524089208078706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3.50295681551491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69.037955785127451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69.037955785127451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69.037955785127451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69.037955785127451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69.037955785127451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69.037955785127451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4.6500000000000004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17.05</v>
      </c>
      <c r="H186" s="66">
        <f t="shared" si="110"/>
        <v>188.46666666666667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69.054645101446837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191.47</v>
      </c>
      <c r="L186" s="12">
        <f>VLOOKUP(A186,'Données projet'!$A$35:$I$55,9,0)</f>
        <v>-0.79000000000000148</v>
      </c>
      <c r="M186" s="12">
        <f t="array" ref="M186">INDEX(L:L,MIN(IF(ISNUMBER(L186:L382),ROW(L186:L382),"")))</f>
        <v>-0.79000000000000148</v>
      </c>
      <c r="N186" s="13">
        <f>IF('Données projet'!$A$36&gt;35,N185+M186-V185,IF(A186&lt;'Données projet'!$A$36,$K$205^A186,IF(A186='Données projet'!$A$36,'Données projet'!$B$36,N185+M186-V185)))</f>
        <v>191.46999999999932</v>
      </c>
      <c r="O186" s="13">
        <f>N186*VLOOKUP('Données projet'!$B$9,Paramètres!$A$1:$I$89,3,0)*VLOOKUP('Données projet'!$B$9,Paramètres!$A$1:$I$89,5,0)</f>
        <v>173.24205599999939</v>
      </c>
      <c r="P186" s="13">
        <f t="shared" si="141"/>
        <v>43.815336010444845</v>
      </c>
      <c r="Q186" s="20">
        <f t="shared" si="162"/>
        <v>378.04162441819039</v>
      </c>
      <c r="R186" s="59">
        <f t="shared" si="109"/>
        <v>667.90865645682879</v>
      </c>
      <c r="S186" s="59">
        <f ca="1">AVERAGE(OFFSET($R$3,0,0,'Données projet'!$E$9+1,1))-AVERAGE(OFFSET($H$3,0,0,'Données projet'!$E$9+1,1))</f>
        <v>664.27707313486087</v>
      </c>
      <c r="T186" s="59">
        <f t="shared" si="142"/>
        <v>206.64483278066874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169.76</v>
      </c>
      <c r="W186" s="16">
        <f>IF(ISNA(VLOOKUP(A186,'Données projet'!$A$35:$I$55,5,0)),0%,VLOOKUP(A186,'Données projet'!$A$35:$I$55,5,0)*VLOOKUP('Données projet'!$B$9,Paramètres!$A$1:$I$89,7,0))</f>
        <v>0.43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312.02856913251412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312.02856913251412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69.054645101446837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5.2499999999990337</v>
      </c>
      <c r="AJ186" s="13">
        <f>AI186*VLOOKUP('Données projet'!$B$10,Paramètres!$A$1:$I$89,3,0)*VLOOKUP('Données projet'!$B$10,Paramètres!$A$1:$I$89,5,0)</f>
        <v>2.4569999999995478</v>
      </c>
      <c r="AK186" s="13">
        <f t="shared" si="164"/>
        <v>1.0197977774625564</v>
      </c>
      <c r="AL186" s="20">
        <f t="shared" si="165"/>
        <v>6.0554227957464972</v>
      </c>
      <c r="AM186" s="59">
        <f t="shared" si="113"/>
        <v>295.92245483438489</v>
      </c>
      <c r="AN186" s="59">
        <f ca="1">AVERAGE(OFFSET($AM$3,0,0,'Données projet'!$E$10+1,1))-AVERAGE(OFFSET($H$3,0,0,'Données projet'!$E$10+1,1))</f>
        <v>329.7518221182429</v>
      </c>
      <c r="AO186" s="59">
        <f t="shared" si="144"/>
        <v>207.30737400651807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56.097648350828244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56.097648350828244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69.054645101446837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189.62971370839551</v>
      </c>
      <c r="BJ186" s="59">
        <f t="shared" si="146"/>
        <v>457.05149684588173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5.9671989144058717</v>
      </c>
      <c r="BQ186" s="21">
        <f>EXP(-LN(2)/25)*BQ185+(1-EXP(-LN(2)/25))/(LN(2)/25)*Calculateur!BL186*Calculateur!BN186*VLOOKUP('Données projet'!$B$11,Paramètres!$A$1:$I$89,3,0)*0.475*44/12</f>
        <v>0.20671598033250668</v>
      </c>
      <c r="BR186" s="21">
        <f>EXP(-LN(2)/2)*BR185+(1-EXP(-LN(2)/2))/(LN(2)/2)*BL186*BO186*VLOOKUP('Données projet'!$B$11,Paramètres!$A$1:$I$89,3,0)*0.475*44/12</f>
        <v>4.207760486120347E-25</v>
      </c>
      <c r="BS186" s="22">
        <f t="shared" si="169"/>
        <v>6.1739148947383784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69.054645101446837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170.04605856785227</v>
      </c>
      <c r="CE186" s="59">
        <f t="shared" si="148"/>
        <v>377.63973197638802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3.1938341011860922</v>
      </c>
      <c r="CL186" s="21">
        <f>EXP(-LN(2)/25)*CL185+(1-EXP(-LN(2)/25))/(LN(2)/25)*Calculateur!CG186*Calculateur!CI186*VLOOKUP('Données projet'!$B$12,Paramètres!$A$1:$I$89,3,0)*0.475*44/12</f>
        <v>0.23853476699017992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3.4323688681762721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69.054645101446837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69.054645101446837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69.054645101446837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69.054645101446837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69.054645101446837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69.054645101446837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4.6500000000000004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17.05</v>
      </c>
      <c r="H187" s="66">
        <f t="shared" si="110"/>
        <v>188.46666666666667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69.071044895439812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21.709999999999326</v>
      </c>
      <c r="O187" s="13">
        <f>N187*VLOOKUP('Données projet'!$B$9,Paramètres!$A$1:$I$89,3,0)*VLOOKUP('Données projet'!$B$9,Paramètres!$A$1:$I$89,5,0)</f>
        <v>19.64320799999939</v>
      </c>
      <c r="P187" s="13">
        <f t="shared" si="141"/>
        <v>6.4008043874806155</v>
      </c>
      <c r="Q187" s="20">
        <f t="shared" si="162"/>
        <v>45.359988241527674</v>
      </c>
      <c r="R187" s="59">
        <f t="shared" si="109"/>
        <v>335.2871528581403</v>
      </c>
      <c r="S187" s="59">
        <f ca="1">AVERAGE(OFFSET($R$3,0,0,'Données projet'!$E$9+1,1))-AVERAGE(OFFSET($H$3,0,0,'Données projet'!$E$9+1,1))</f>
        <v>664.27707313486087</v>
      </c>
      <c r="T187" s="59">
        <f t="shared" si="142"/>
        <v>206.64483278066874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305.9098792104603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305.9098792104603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69.071044895439812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5.2499999999990337</v>
      </c>
      <c r="AJ187" s="13">
        <f>AI187*VLOOKUP('Données projet'!$B$10,Paramètres!$A$1:$I$89,3,0)*VLOOKUP('Données projet'!$B$10,Paramètres!$A$1:$I$89,5,0)</f>
        <v>2.4569999999995478</v>
      </c>
      <c r="AK187" s="13">
        <f t="shared" si="164"/>
        <v>1.0197977774625564</v>
      </c>
      <c r="AL187" s="20">
        <f t="shared" si="165"/>
        <v>6.0554227957464972</v>
      </c>
      <c r="AM187" s="59">
        <f t="shared" si="113"/>
        <v>295.98258741235912</v>
      </c>
      <c r="AN187" s="59">
        <f ca="1">AVERAGE(OFFSET($AM$3,0,0,'Données projet'!$E$10+1,1))-AVERAGE(OFFSET($H$3,0,0,'Données projet'!$E$10+1,1))</f>
        <v>329.7518221182429</v>
      </c>
      <c r="AO187" s="59">
        <f t="shared" si="144"/>
        <v>207.30737400651807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54.997607682855431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54.997607682855431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69.071044895439812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189.62971370839551</v>
      </c>
      <c r="BJ187" s="59">
        <f t="shared" si="146"/>
        <v>457.05149684588173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5.8501857833263262</v>
      </c>
      <c r="BQ187" s="21">
        <f>EXP(-LN(2)/25)*BQ186+(1-EXP(-LN(2)/25))/(LN(2)/25)*Calculateur!BL187*Calculateur!BN187*VLOOKUP('Données projet'!$B$11,Paramètres!$A$1:$I$89,3,0)*0.475*44/12</f>
        <v>0.20106332097959334</v>
      </c>
      <c r="BR187" s="21">
        <f>EXP(-LN(2)/2)*BR186+(1-EXP(-LN(2)/2))/(LN(2)/2)*BL187*BO187*VLOOKUP('Données projet'!$B$11,Paramètres!$A$1:$I$89,3,0)*0.475*44/12</f>
        <v>2.9753359733445011E-25</v>
      </c>
      <c r="BS187" s="22">
        <f t="shared" si="169"/>
        <v>6.0512491043059198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69.071044895439812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170.04605856785227</v>
      </c>
      <c r="CE187" s="59">
        <f t="shared" si="148"/>
        <v>377.63973197638802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3.131204962508281</v>
      </c>
      <c r="CL187" s="21">
        <f>EXP(-LN(2)/25)*CL186+(1-EXP(-LN(2)/25))/(LN(2)/25)*Calculateur!CG187*Calculateur!CI187*VLOOKUP('Données projet'!$B$12,Paramètres!$A$1:$I$89,3,0)*0.475*44/12</f>
        <v>0.23201202124283524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3.3632169837511161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69.071044895439812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69.071044895439812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69.071044895439812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69.071044895439812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69.071044895439812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69.071044895439812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4.6500000000000004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17.05</v>
      </c>
      <c r="H188" s="66">
        <f t="shared" si="110"/>
        <v>188.46666666666667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69.087160189671451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21.709999999999326</v>
      </c>
      <c r="O188" s="13">
        <f>N188*VLOOKUP('Données projet'!$B$9,Paramètres!$A$1:$I$89,3,0)*VLOOKUP('Données projet'!$B$9,Paramètres!$A$1:$I$89,5,0)</f>
        <v>19.64320799999939</v>
      </c>
      <c r="P188" s="13">
        <f t="shared" si="141"/>
        <v>6.4008043874806155</v>
      </c>
      <c r="Q188" s="20">
        <f t="shared" si="162"/>
        <v>45.359988241527674</v>
      </c>
      <c r="R188" s="59">
        <f t="shared" si="109"/>
        <v>335.34624227032299</v>
      </c>
      <c r="S188" s="59">
        <f ca="1">AVERAGE(OFFSET($R$3,0,0,'Données projet'!$E$9+1,1))-AVERAGE(OFFSET($H$3,0,0,'Données projet'!$E$9+1,1))</f>
        <v>664.27707313486087</v>
      </c>
      <c r="T188" s="59">
        <f t="shared" si="142"/>
        <v>206.64483278066874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299.91117306574557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299.91117306574557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69.087160189671451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5.2499999999990337</v>
      </c>
      <c r="AJ188" s="13">
        <f>AI188*VLOOKUP('Données projet'!$B$10,Paramètres!$A$1:$I$89,3,0)*VLOOKUP('Données projet'!$B$10,Paramètres!$A$1:$I$89,5,0)</f>
        <v>2.4569999999995478</v>
      </c>
      <c r="AK188" s="13">
        <f t="shared" si="164"/>
        <v>1.0197977774625564</v>
      </c>
      <c r="AL188" s="20">
        <f t="shared" si="165"/>
        <v>6.0554227957464972</v>
      </c>
      <c r="AM188" s="59">
        <f t="shared" si="113"/>
        <v>296.04167682454181</v>
      </c>
      <c r="AN188" s="59">
        <f ca="1">AVERAGE(OFFSET($AM$3,0,0,'Données projet'!$E$10+1,1))-AVERAGE(OFFSET($H$3,0,0,'Données projet'!$E$10+1,1))</f>
        <v>329.7518221182429</v>
      </c>
      <c r="AO188" s="59">
        <f t="shared" si="144"/>
        <v>207.30737400651807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53.919138141423005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53.919138141423005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69.087160189671451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189.62971370839551</v>
      </c>
      <c r="BJ188" s="59">
        <f t="shared" si="146"/>
        <v>457.05149684588173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5.7354672083762885</v>
      </c>
      <c r="BQ188" s="21">
        <f>EXP(-LN(2)/25)*BQ187+(1-EXP(-LN(2)/25))/(LN(2)/25)*Calculateur!BL188*Calculateur!BN188*VLOOKUP('Données projet'!$B$11,Paramètres!$A$1:$I$89,3,0)*0.475*44/12</f>
        <v>0.19556523389394584</v>
      </c>
      <c r="BR188" s="21">
        <f>EXP(-LN(2)/2)*BR187+(1-EXP(-LN(2)/2))/(LN(2)/2)*BL188*BO188*VLOOKUP('Données projet'!$B$11,Paramètres!$A$1:$I$89,3,0)*0.475*44/12</f>
        <v>2.1038802430601735E-25</v>
      </c>
      <c r="BS188" s="22">
        <f t="shared" si="169"/>
        <v>5.9310324422702347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69.087160189671451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170.04605856785227</v>
      </c>
      <c r="CE188" s="59">
        <f t="shared" si="148"/>
        <v>377.63973197638802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3.0698039430399389</v>
      </c>
      <c r="CL188" s="21">
        <f>EXP(-LN(2)/25)*CL187+(1-EXP(-LN(2)/25))/(LN(2)/25)*Calculateur!CG188*Calculateur!CI188*VLOOKUP('Données projet'!$B$12,Paramètres!$A$1:$I$89,3,0)*0.475*44/12</f>
        <v>0.22566764032096798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3.2954715833609067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69.087160189671451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69.087160189671451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69.087160189671451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69.087160189671451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69.087160189671451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69.087160189671451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4.6500000000000004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17.05</v>
      </c>
      <c r="H189" s="66">
        <f t="shared" si="110"/>
        <v>188.46666666666667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69.102995919576571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21.709999999999326</v>
      </c>
      <c r="O189" s="13">
        <f>N189*VLOOKUP('Données projet'!$B$9,Paramètres!$A$1:$I$89,3,0)*VLOOKUP('Données projet'!$B$9,Paramètres!$A$1:$I$89,5,0)</f>
        <v>19.64320799999939</v>
      </c>
      <c r="P189" s="13">
        <f t="shared" si="141"/>
        <v>6.4008043874806155</v>
      </c>
      <c r="Q189" s="20">
        <f t="shared" si="162"/>
        <v>45.359988241527674</v>
      </c>
      <c r="R189" s="59">
        <f t="shared" si="109"/>
        <v>335.40430661330845</v>
      </c>
      <c r="S189" s="59">
        <f ca="1">AVERAGE(OFFSET($R$3,0,0,'Données projet'!$E$9+1,1))-AVERAGE(OFFSET($H$3,0,0,'Données projet'!$E$9+1,1))</f>
        <v>664.27707313486087</v>
      </c>
      <c r="T189" s="59">
        <f t="shared" si="142"/>
        <v>206.64483278066874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294.03009788967927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294.03009788967927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69.102995919576571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5.2499999999990337</v>
      </c>
      <c r="AJ189" s="13">
        <f>AI189*VLOOKUP('Données projet'!$B$10,Paramètres!$A$1:$I$89,3,0)*VLOOKUP('Données projet'!$B$10,Paramètres!$A$1:$I$89,5,0)</f>
        <v>2.4569999999995478</v>
      </c>
      <c r="AK189" s="13">
        <f t="shared" si="164"/>
        <v>1.0197977774625564</v>
      </c>
      <c r="AL189" s="20">
        <f t="shared" si="165"/>
        <v>6.0554227957464972</v>
      </c>
      <c r="AM189" s="59">
        <f t="shared" si="113"/>
        <v>296.09974116752727</v>
      </c>
      <c r="AN189" s="59">
        <f ca="1">AVERAGE(OFFSET($AM$3,0,0,'Données projet'!$E$10+1,1))-AVERAGE(OFFSET($H$3,0,0,'Données projet'!$E$10+1,1))</f>
        <v>329.7518221182429</v>
      </c>
      <c r="AO189" s="59">
        <f t="shared" si="144"/>
        <v>207.30737400651807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52.861816729896603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52.861816729896603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69.102995919576571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189.62971370839551</v>
      </c>
      <c r="BJ189" s="59">
        <f t="shared" si="146"/>
        <v>457.05149684588173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5.6229981947095995</v>
      </c>
      <c r="BQ189" s="21">
        <f>EXP(-LN(2)/25)*BQ188+(1-EXP(-LN(2)/25))/(LN(2)/25)*Calculateur!BL189*Calculateur!BN189*VLOOKUP('Données projet'!$B$11,Paramètres!$A$1:$I$89,3,0)*0.475*44/12</f>
        <v>0.1902174922887872</v>
      </c>
      <c r="BR189" s="21">
        <f>EXP(-LN(2)/2)*BR188+(1-EXP(-LN(2)/2))/(LN(2)/2)*BL189*BO189*VLOOKUP('Données projet'!$B$11,Paramètres!$A$1:$I$89,3,0)*0.475*44/12</f>
        <v>1.4876679866722505E-25</v>
      </c>
      <c r="BS189" s="22">
        <f t="shared" si="169"/>
        <v>5.8132156869983866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69.102995919576571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170.04605856785227</v>
      </c>
      <c r="CE189" s="59">
        <f t="shared" si="148"/>
        <v>377.63973197638802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3.0096069601124471</v>
      </c>
      <c r="CL189" s="21">
        <f>EXP(-LN(2)/25)*CL188+(1-EXP(-LN(2)/25))/(LN(2)/25)*Calculateur!CG189*Calculateur!CI189*VLOOKUP('Données projet'!$B$12,Paramètres!$A$1:$I$89,3,0)*0.475*44/12</f>
        <v>0.21949674682904569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3.2291037069414927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69.102995919576571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69.102995919576571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69.102995919576571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69.102995919576571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69.102995919576571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69.102995919576571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4.6500000000000004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17.05</v>
      </c>
      <c r="H190" s="66">
        <f t="shared" si="110"/>
        <v>188.46666666666667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69.118556934971224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21.709999999999326</v>
      </c>
      <c r="O190" s="13">
        <f>N190*VLOOKUP('Données projet'!$B$9,Paramètres!$A$1:$I$89,3,0)*VLOOKUP('Données projet'!$B$9,Paramètres!$A$1:$I$89,5,0)</f>
        <v>19.64320799999939</v>
      </c>
      <c r="P190" s="13">
        <f t="shared" si="141"/>
        <v>6.4008043874806155</v>
      </c>
      <c r="Q190" s="20">
        <f t="shared" si="162"/>
        <v>45.359988241527674</v>
      </c>
      <c r="R190" s="59">
        <f t="shared" si="109"/>
        <v>335.46136366975549</v>
      </c>
      <c r="S190" s="59">
        <f ca="1">AVERAGE(OFFSET($R$3,0,0,'Données projet'!$E$9+1,1))-AVERAGE(OFFSET($H$3,0,0,'Données projet'!$E$9+1,1))</f>
        <v>664.27707313486087</v>
      </c>
      <c r="T190" s="59">
        <f t="shared" si="142"/>
        <v>206.64483278066874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288.26434701071395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288.26434701071395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69.118556934971224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5.2499999999990337</v>
      </c>
      <c r="AJ190" s="13">
        <f>AI190*VLOOKUP('Données projet'!$B$10,Paramètres!$A$1:$I$89,3,0)*VLOOKUP('Données projet'!$B$10,Paramètres!$A$1:$I$89,5,0)</f>
        <v>2.4569999999995478</v>
      </c>
      <c r="AK190" s="13">
        <f t="shared" si="164"/>
        <v>1.0197977774625564</v>
      </c>
      <c r="AL190" s="20">
        <f t="shared" si="165"/>
        <v>6.0554227957464972</v>
      </c>
      <c r="AM190" s="59">
        <f t="shared" si="113"/>
        <v>296.15679822397431</v>
      </c>
      <c r="AN190" s="59">
        <f ca="1">AVERAGE(OFFSET($AM$3,0,0,'Données projet'!$E$10+1,1))-AVERAGE(OFFSET($H$3,0,0,'Données projet'!$E$10+1,1))</f>
        <v>329.7518221182429</v>
      </c>
      <c r="AO190" s="59">
        <f t="shared" si="144"/>
        <v>207.30737400651807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51.825228746347854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51.825228746347854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69.118556934971224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189.62971370839551</v>
      </c>
      <c r="BJ190" s="59">
        <f t="shared" si="146"/>
        <v>457.05149684588173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5.5127346298015896</v>
      </c>
      <c r="BQ190" s="21">
        <f>EXP(-LN(2)/25)*BQ189+(1-EXP(-LN(2)/25))/(LN(2)/25)*Calculateur!BL190*Calculateur!BN190*VLOOKUP('Données projet'!$B$11,Paramètres!$A$1:$I$89,3,0)*0.475*44/12</f>
        <v>0.18501598495904714</v>
      </c>
      <c r="BR190" s="21">
        <f>EXP(-LN(2)/2)*BR189+(1-EXP(-LN(2)/2))/(LN(2)/2)*BL190*BO190*VLOOKUP('Données projet'!$B$11,Paramètres!$A$1:$I$89,3,0)*0.475*44/12</f>
        <v>1.0519401215300867E-25</v>
      </c>
      <c r="BS190" s="22">
        <f t="shared" si="169"/>
        <v>5.6977506147606363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69.118556934971224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170.04605856785227</v>
      </c>
      <c r="CE190" s="59">
        <f t="shared" si="148"/>
        <v>377.63973197638802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2.9505904033036296</v>
      </c>
      <c r="CL190" s="21">
        <f>EXP(-LN(2)/25)*CL189+(1-EXP(-LN(2)/25))/(LN(2)/25)*Calculateur!CG190*Calculateur!CI190*VLOOKUP('Données projet'!$B$12,Paramètres!$A$1:$I$89,3,0)*0.475*44/12</f>
        <v>0.21349459674417318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3.1640850000478027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69.118556934971224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69.118556934971224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69.118556934971224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69.118556934971224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69.118556934971224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69.118556934971224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4.6500000000000004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17.05</v>
      </c>
      <c r="H191" s="66">
        <f t="shared" si="110"/>
        <v>188.46666666666667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69.133848001537999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21.709999999999326</v>
      </c>
      <c r="O191" s="13">
        <f>N191*VLOOKUP('Données projet'!$B$9,Paramètres!$A$1:$I$89,3,0)*VLOOKUP('Données projet'!$B$9,Paramètres!$A$1:$I$89,5,0)</f>
        <v>19.64320799999939</v>
      </c>
      <c r="P191" s="13">
        <f t="shared" si="141"/>
        <v>6.4008043874806155</v>
      </c>
      <c r="Q191" s="20">
        <f t="shared" si="162"/>
        <v>45.359988241527674</v>
      </c>
      <c r="R191" s="59">
        <f t="shared" si="109"/>
        <v>335.51743091383366</v>
      </c>
      <c r="S191" s="59">
        <f ca="1">AVERAGE(OFFSET($R$3,0,0,'Données projet'!$E$9+1,1))-AVERAGE(OFFSET($H$3,0,0,'Données projet'!$E$9+1,1))</f>
        <v>664.27707313486087</v>
      </c>
      <c r="T191" s="59">
        <f t="shared" si="142"/>
        <v>206.64483278066874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282.61165898972433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282.61165898972433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69.133848001537999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5.2499999999990337</v>
      </c>
      <c r="AJ191" s="13">
        <f>AI191*VLOOKUP('Données projet'!$B$10,Paramètres!$A$1:$I$89,3,0)*VLOOKUP('Données projet'!$B$10,Paramètres!$A$1:$I$89,5,0)</f>
        <v>2.4569999999995478</v>
      </c>
      <c r="AK191" s="13">
        <f t="shared" si="164"/>
        <v>1.0197977774625564</v>
      </c>
      <c r="AL191" s="20">
        <f t="shared" si="165"/>
        <v>6.0554227957464972</v>
      </c>
      <c r="AM191" s="59">
        <f t="shared" si="113"/>
        <v>296.21286546805248</v>
      </c>
      <c r="AN191" s="59">
        <f ca="1">AVERAGE(OFFSET($AM$3,0,0,'Données projet'!$E$10+1,1))-AVERAGE(OFFSET($H$3,0,0,'Données projet'!$E$10+1,1))</f>
        <v>329.7518221182429</v>
      </c>
      <c r="AO191" s="59">
        <f t="shared" si="144"/>
        <v>207.30737400651807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50.808967620900255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50.808967620900255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69.133848001537999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189.62971370839551</v>
      </c>
      <c r="BJ191" s="59">
        <f t="shared" si="146"/>
        <v>457.05149684588173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5.4046332661472913</v>
      </c>
      <c r="BQ191" s="21">
        <f>EXP(-LN(2)/25)*BQ190+(1-EXP(-LN(2)/25))/(LN(2)/25)*Calculateur!BL191*Calculateur!BN191*VLOOKUP('Données projet'!$B$11,Paramètres!$A$1:$I$89,3,0)*0.475*44/12</f>
        <v>0.17995671312077421</v>
      </c>
      <c r="BR191" s="21">
        <f>EXP(-LN(2)/2)*BR190+(1-EXP(-LN(2)/2))/(LN(2)/2)*BL191*BO191*VLOOKUP('Données projet'!$B$11,Paramètres!$A$1:$I$89,3,0)*0.475*44/12</f>
        <v>7.4383399333612527E-26</v>
      </c>
      <c r="BS191" s="22">
        <f t="shared" si="169"/>
        <v>5.5845899792680651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69.133848001537999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170.04605856785227</v>
      </c>
      <c r="CE191" s="59">
        <f t="shared" si="148"/>
        <v>377.63973197638802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2.8927311251772876</v>
      </c>
      <c r="CL191" s="21">
        <f>EXP(-LN(2)/25)*CL190+(1-EXP(-LN(2)/25))/(LN(2)/25)*Calculateur!CG191*Calculateur!CI191*VLOOKUP('Données projet'!$B$12,Paramètres!$A$1:$I$89,3,0)*0.475*44/12</f>
        <v>0.20765657576901086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3.1003877009462983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69.133848001537999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69.133848001537999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69.133848001537999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69.133848001537999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69.133848001537999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69.133848001537999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4.6500000000000004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17.05</v>
      </c>
      <c r="H192" s="66">
        <f t="shared" si="110"/>
        <v>188.46666666666667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69.148873802285536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21.709999999999326</v>
      </c>
      <c r="O192" s="13">
        <f>N192*VLOOKUP('Données projet'!$B$9,Paramètres!$A$1:$I$89,3,0)*VLOOKUP('Données projet'!$B$9,Paramètres!$A$1:$I$89,5,0)</f>
        <v>19.64320799999939</v>
      </c>
      <c r="P192" s="13">
        <f t="shared" si="141"/>
        <v>6.4008043874806155</v>
      </c>
      <c r="Q192" s="20">
        <f t="shared" si="162"/>
        <v>45.359988241527674</v>
      </c>
      <c r="R192" s="59">
        <f t="shared" si="109"/>
        <v>335.57252551657461</v>
      </c>
      <c r="S192" s="59">
        <f ca="1">AVERAGE(OFFSET($R$3,0,0,'Données projet'!$E$9+1,1))-AVERAGE(OFFSET($H$3,0,0,'Données projet'!$E$9+1,1))</f>
        <v>664.27707313486087</v>
      </c>
      <c r="T192" s="59">
        <f t="shared" si="142"/>
        <v>206.64483278066874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277.0698167330271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277.0698167330271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69.148873802285536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5.2499999999990337</v>
      </c>
      <c r="AJ192" s="13">
        <f>AI192*VLOOKUP('Données projet'!$B$10,Paramètres!$A$1:$I$89,3,0)*VLOOKUP('Données projet'!$B$10,Paramètres!$A$1:$I$89,5,0)</f>
        <v>2.4569999999995478</v>
      </c>
      <c r="AK192" s="13">
        <f t="shared" si="164"/>
        <v>1.0197977774625564</v>
      </c>
      <c r="AL192" s="20">
        <f t="shared" si="165"/>
        <v>6.0554227957464972</v>
      </c>
      <c r="AM192" s="59">
        <f t="shared" si="113"/>
        <v>296.26796007079344</v>
      </c>
      <c r="AN192" s="59">
        <f ca="1">AVERAGE(OFFSET($AM$3,0,0,'Données projet'!$E$10+1,1))-AVERAGE(OFFSET($H$3,0,0,'Données projet'!$E$10+1,1))</f>
        <v>329.7518221182429</v>
      </c>
      <c r="AO192" s="59">
        <f t="shared" si="144"/>
        <v>207.30737400651807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49.8126347562646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49.8126347562646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69.148873802285536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189.62971370839551</v>
      </c>
      <c r="BJ192" s="59">
        <f t="shared" si="146"/>
        <v>457.05149684588173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5.2986517042989325</v>
      </c>
      <c r="BQ192" s="21">
        <f>EXP(-LN(2)/25)*BQ191+(1-EXP(-LN(2)/25))/(LN(2)/25)*Calculateur!BL192*Calculateur!BN192*VLOOKUP('Données projet'!$B$11,Paramètres!$A$1:$I$89,3,0)*0.475*44/12</f>
        <v>0.17503578733697439</v>
      </c>
      <c r="BR192" s="21">
        <f>EXP(-LN(2)/2)*BR191+(1-EXP(-LN(2)/2))/(LN(2)/2)*BL192*BO192*VLOOKUP('Données projet'!$B$11,Paramètres!$A$1:$I$89,3,0)*0.475*44/12</f>
        <v>5.2597006076504337E-26</v>
      </c>
      <c r="BS192" s="22">
        <f t="shared" si="169"/>
        <v>5.4736874916359071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69.148873802285536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170.04605856785227</v>
      </c>
      <c r="CE192" s="59">
        <f t="shared" si="148"/>
        <v>377.63973197638802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2.8360064322043281</v>
      </c>
      <c r="CL192" s="21">
        <f>EXP(-LN(2)/25)*CL191+(1-EXP(-LN(2)/25))/(LN(2)/25)*Calculateur!CG192*Calculateur!CI192*VLOOKUP('Données projet'!$B$12,Paramètres!$A$1:$I$89,3,0)*0.475*44/12</f>
        <v>0.20197819578442255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3.0379846279887506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69.148873802285536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69.148873802285536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69.148873802285536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69.148873802285536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69.148873802285536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69.148873802285536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4.6500000000000004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17.05</v>
      </c>
      <c r="H193" s="66">
        <f t="shared" si="110"/>
        <v>188.46666666666667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69.163638938982771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21.709999999999326</v>
      </c>
      <c r="O193" s="13">
        <f>N193*VLOOKUP('Données projet'!$B$9,Paramètres!$A$1:$I$89,3,0)*VLOOKUP('Données projet'!$B$9,Paramètres!$A$1:$I$89,5,0)</f>
        <v>19.64320799999939</v>
      </c>
      <c r="P193" s="13">
        <f t="shared" si="141"/>
        <v>6.4008043874806155</v>
      </c>
      <c r="Q193" s="20">
        <f t="shared" si="162"/>
        <v>45.359988241527674</v>
      </c>
      <c r="R193" s="59">
        <f t="shared" si="109"/>
        <v>335.62666435113118</v>
      </c>
      <c r="S193" s="59">
        <f ca="1">AVERAGE(OFFSET($R$3,0,0,'Données projet'!$E$9+1,1))-AVERAGE(OFFSET($H$3,0,0,'Données projet'!$E$9+1,1))</f>
        <v>664.27707313486087</v>
      </c>
      <c r="T193" s="59">
        <f t="shared" si="142"/>
        <v>206.64483278066874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271.63664662279371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271.63664662279371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69.163638938982771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5.2499999999990337</v>
      </c>
      <c r="AJ193" s="13">
        <f>AI193*VLOOKUP('Données projet'!$B$10,Paramètres!$A$1:$I$89,3,0)*VLOOKUP('Données projet'!$B$10,Paramètres!$A$1:$I$89,5,0)</f>
        <v>2.4569999999995478</v>
      </c>
      <c r="AK193" s="13">
        <f t="shared" si="164"/>
        <v>1.0197977774625564</v>
      </c>
      <c r="AL193" s="20">
        <f t="shared" si="165"/>
        <v>6.0554227957464972</v>
      </c>
      <c r="AM193" s="59">
        <f t="shared" si="113"/>
        <v>296.32209890535</v>
      </c>
      <c r="AN193" s="59">
        <f ca="1">AVERAGE(OFFSET($AM$3,0,0,'Données projet'!$E$10+1,1))-AVERAGE(OFFSET($H$3,0,0,'Données projet'!$E$10+1,1))</f>
        <v>329.7518221182429</v>
      </c>
      <c r="AO193" s="59">
        <f t="shared" si="144"/>
        <v>207.30737400651807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48.835839371401413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48.835839371401413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69.163638938982771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189.62971370839551</v>
      </c>
      <c r="BJ193" s="59">
        <f t="shared" si="146"/>
        <v>457.05149684588173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5.1947483762360509</v>
      </c>
      <c r="BQ193" s="21">
        <f>EXP(-LN(2)/25)*BQ192+(1-EXP(-LN(2)/25))/(LN(2)/25)*Calculateur!BL193*Calculateur!BN193*VLOOKUP('Données projet'!$B$11,Paramètres!$A$1:$I$89,3,0)*0.475*44/12</f>
        <v>0.17024942452751282</v>
      </c>
      <c r="BR193" s="21">
        <f>EXP(-LN(2)/2)*BR192+(1-EXP(-LN(2)/2))/(LN(2)/2)*BL193*BO193*VLOOKUP('Données projet'!$B$11,Paramètres!$A$1:$I$89,3,0)*0.475*44/12</f>
        <v>3.7191699666806263E-26</v>
      </c>
      <c r="BS193" s="22">
        <f t="shared" si="169"/>
        <v>5.3649978007635637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69.163638938982771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170.04605856785227</v>
      </c>
      <c r="CE193" s="59">
        <f t="shared" si="148"/>
        <v>377.63973197638802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2.7803940758619219</v>
      </c>
      <c r="CL193" s="21">
        <f>EXP(-LN(2)/25)*CL192+(1-EXP(-LN(2)/25))/(LN(2)/25)*Calculateur!CG193*Calculateur!CI193*VLOOKUP('Données projet'!$B$12,Paramètres!$A$1:$I$89,3,0)*0.475*44/12</f>
        <v>0.19645509139912584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2.9768491672610478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69.163638938982771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69.163638938982771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69.163638938982771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69.163638938982771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69.163638938982771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69.163638938982771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4.6500000000000004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17.05</v>
      </c>
      <c r="H194" s="66">
        <f t="shared" si="110"/>
        <v>188.46666666666667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69.178147933568198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21.709999999999326</v>
      </c>
      <c r="O194" s="13">
        <f>N194*VLOOKUP('Données projet'!$B$9,Paramètres!$A$1:$I$89,3,0)*VLOOKUP('Données projet'!$B$9,Paramètres!$A$1:$I$89,5,0)</f>
        <v>19.64320799999939</v>
      </c>
      <c r="P194" s="13">
        <f t="shared" si="141"/>
        <v>6.4008043874806155</v>
      </c>
      <c r="Q194" s="20">
        <f t="shared" si="162"/>
        <v>45.359988241527674</v>
      </c>
      <c r="R194" s="59">
        <f t="shared" si="109"/>
        <v>335.67986399794438</v>
      </c>
      <c r="S194" s="59">
        <f ca="1">AVERAGE(OFFSET($R$3,0,0,'Données projet'!$E$9+1,1))-AVERAGE(OFFSET($H$3,0,0,'Données projet'!$E$9+1,1))</f>
        <v>664.27707313486087</v>
      </c>
      <c r="T194" s="59">
        <f t="shared" si="142"/>
        <v>206.64483278066874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266.31001766451544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266.31001766451544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69.178147933568198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5.2499999999990337</v>
      </c>
      <c r="AJ194" s="13">
        <f>AI194*VLOOKUP('Données projet'!$B$10,Paramètres!$A$1:$I$89,3,0)*VLOOKUP('Données projet'!$B$10,Paramètres!$A$1:$I$89,5,0)</f>
        <v>2.4569999999995478</v>
      </c>
      <c r="AK194" s="13">
        <f t="shared" si="164"/>
        <v>1.0197977774625564</v>
      </c>
      <c r="AL194" s="20">
        <f t="shared" si="165"/>
        <v>6.0554227957464972</v>
      </c>
      <c r="AM194" s="59">
        <f t="shared" si="113"/>
        <v>296.3752985521632</v>
      </c>
      <c r="AN194" s="59">
        <f ca="1">AVERAGE(OFFSET($AM$3,0,0,'Données projet'!$E$10+1,1))-AVERAGE(OFFSET($H$3,0,0,'Données projet'!$E$10+1,1))</f>
        <v>329.7518221182429</v>
      </c>
      <c r="AO194" s="59">
        <f t="shared" si="144"/>
        <v>207.30737400651807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47.878198348249036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47.878198348249036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69.178147933568198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189.62971370839551</v>
      </c>
      <c r="BJ194" s="59">
        <f t="shared" si="146"/>
        <v>457.05149684588173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5.0928825290617095</v>
      </c>
      <c r="BQ194" s="21">
        <f>EXP(-LN(2)/25)*BQ193+(1-EXP(-LN(2)/25))/(LN(2)/25)*Calculateur!BL194*Calculateur!BN194*VLOOKUP('Données projet'!$B$11,Paramètres!$A$1:$I$89,3,0)*0.475*44/12</f>
        <v>0.16559394506077985</v>
      </c>
      <c r="BR194" s="21">
        <f>EXP(-LN(2)/2)*BR193+(1-EXP(-LN(2)/2))/(LN(2)/2)*BL194*BO194*VLOOKUP('Données projet'!$B$11,Paramètres!$A$1:$I$89,3,0)*0.475*44/12</f>
        <v>2.6298503038252169E-26</v>
      </c>
      <c r="BS194" s="22">
        <f t="shared" si="169"/>
        <v>5.2584764741224896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69.178147933568198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170.04605856785227</v>
      </c>
      <c r="CE194" s="59">
        <f t="shared" si="148"/>
        <v>377.63973197638802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2.7258722439072023</v>
      </c>
      <c r="CL194" s="21">
        <f>EXP(-LN(2)/25)*CL193+(1-EXP(-LN(2)/25))/(LN(2)/25)*Calculateur!CG194*Calculateur!CI194*VLOOKUP('Données projet'!$B$12,Paramètres!$A$1:$I$89,3,0)*0.475*44/12</f>
        <v>0.19108301659369251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2.9169552605008948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69.178147933568198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69.178147933568198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69.178147933568198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69.178147933568198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69.178147933568198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69.178147933568198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4.6500000000000004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17.05</v>
      </c>
      <c r="H195" s="66">
        <f t="shared" si="110"/>
        <v>188.46666666666667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69.192405229534842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21.709999999999326</v>
      </c>
      <c r="O195" s="13">
        <f>N195*VLOOKUP('Données projet'!$B$9,Paramètres!$A$1:$I$89,3,0)*VLOOKUP('Données projet'!$B$9,Paramètres!$A$1:$I$89,5,0)</f>
        <v>19.64320799999939</v>
      </c>
      <c r="P195" s="13">
        <f t="shared" si="141"/>
        <v>6.4008043874806155</v>
      </c>
      <c r="Q195" s="20">
        <f t="shared" si="162"/>
        <v>45.359988241527674</v>
      </c>
      <c r="R195" s="59">
        <f t="shared" ref="R195:R203" si="191">Q195+(I195+J195)*44/12</f>
        <v>335.73214074982207</v>
      </c>
      <c r="S195" s="59">
        <f ca="1">AVERAGE(OFFSET($R$3,0,0,'Données projet'!$E$9+1,1))-AVERAGE(OFFSET($H$3,0,0,'Données projet'!$E$9+1,1))</f>
        <v>664.27707313486087</v>
      </c>
      <c r="T195" s="59">
        <f t="shared" si="142"/>
        <v>206.64483278066874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261.08784065118613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261.08784065118613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69.192405229534842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5.2499999999990337</v>
      </c>
      <c r="AJ195" s="13">
        <f>AI195*VLOOKUP('Données projet'!$B$10,Paramètres!$A$1:$I$89,3,0)*VLOOKUP('Données projet'!$B$10,Paramètres!$A$1:$I$89,5,0)</f>
        <v>2.4569999999995478</v>
      </c>
      <c r="AK195" s="13">
        <f t="shared" si="164"/>
        <v>1.0197977774625564</v>
      </c>
      <c r="AL195" s="20">
        <f t="shared" si="165"/>
        <v>6.0554227957464972</v>
      </c>
      <c r="AM195" s="59">
        <f t="shared" si="113"/>
        <v>296.42757530404089</v>
      </c>
      <c r="AN195" s="59">
        <f ca="1">AVERAGE(OFFSET($AM$3,0,0,'Données projet'!$E$10+1,1))-AVERAGE(OFFSET($H$3,0,0,'Données projet'!$E$10+1,1))</f>
        <v>329.7518221182429</v>
      </c>
      <c r="AO195" s="59">
        <f t="shared" si="144"/>
        <v>207.30737400651807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46.939336081457327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46.939336081457327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69.192405229534842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189.62971370839551</v>
      </c>
      <c r="BJ195" s="59">
        <f t="shared" si="146"/>
        <v>457.05149684588173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4.9930142090184253</v>
      </c>
      <c r="BQ195" s="21">
        <f>EXP(-LN(2)/25)*BQ194+(1-EXP(-LN(2)/25))/(LN(2)/25)*Calculateur!BL195*Calculateur!BN195*VLOOKUP('Données projet'!$B$11,Paramètres!$A$1:$I$89,3,0)*0.475*44/12</f>
        <v>0.16106576992488572</v>
      </c>
      <c r="BR195" s="21">
        <f>EXP(-LN(2)/2)*BR194+(1-EXP(-LN(2)/2))/(LN(2)/2)*BL195*BO195*VLOOKUP('Données projet'!$B$11,Paramètres!$A$1:$I$89,3,0)*0.475*44/12</f>
        <v>1.8595849833403132E-26</v>
      </c>
      <c r="BS195" s="22">
        <f t="shared" si="169"/>
        <v>5.1540799789433107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69.192405229534842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170.04605856785227</v>
      </c>
      <c r="CE195" s="59">
        <f t="shared" si="148"/>
        <v>377.63973197638802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2.672419551822081</v>
      </c>
      <c r="CL195" s="21">
        <f>EXP(-LN(2)/25)*CL194+(1-EXP(-LN(2)/25))/(LN(2)/25)*Calculateur!CG195*Calculateur!CI195*VLOOKUP('Données projet'!$B$12,Paramètres!$A$1:$I$89,3,0)*0.475*44/12</f>
        <v>0.18585784145631887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2.8582773932783998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69.192405229534842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69.192405229534842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69.192405229534842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69.192405229534842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69.192405229534842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69.192405229534842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4.6500000000000004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17.05</v>
      </c>
      <c r="H196" s="66">
        <f t="shared" ref="H196:H203" si="192">(B196+E196+F196)*44/12+(C196+D196)*0.475*44/12</f>
        <v>188.46666666666667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69.206415193290979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21.709999999999326</v>
      </c>
      <c r="O196" s="13">
        <f>N196*VLOOKUP('Données projet'!$B$9,Paramètres!$A$1:$I$89,3,0)*VLOOKUP('Données projet'!$B$9,Paramètres!$A$1:$I$89,5,0)</f>
        <v>19.64320799999939</v>
      </c>
      <c r="P196" s="13">
        <f t="shared" si="141"/>
        <v>6.4008043874806155</v>
      </c>
      <c r="Q196" s="20">
        <f t="shared" si="162"/>
        <v>45.359988241527674</v>
      </c>
      <c r="R196" s="59">
        <f t="shared" si="191"/>
        <v>335.78351061692797</v>
      </c>
      <c r="S196" s="59">
        <f ca="1">AVERAGE(OFFSET($R$3,0,0,'Données projet'!$E$9+1,1))-AVERAGE(OFFSET($H$3,0,0,'Données projet'!$E$9+1,1))</f>
        <v>664.27707313486087</v>
      </c>
      <c r="T196" s="59">
        <f t="shared" si="142"/>
        <v>206.64483278066874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255.96806734387474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255.96806734387474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69.206415193290979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5.2499999999990337</v>
      </c>
      <c r="AJ196" s="13">
        <f>AI196*VLOOKUP('Données projet'!$B$10,Paramètres!$A$1:$I$89,3,0)*VLOOKUP('Données projet'!$B$10,Paramètres!$A$1:$I$89,5,0)</f>
        <v>2.4569999999995478</v>
      </c>
      <c r="AK196" s="13">
        <f t="shared" si="164"/>
        <v>1.0197977774625564</v>
      </c>
      <c r="AL196" s="20">
        <f t="shared" si="165"/>
        <v>6.0554227957464972</v>
      </c>
      <c r="AM196" s="59">
        <f t="shared" ref="AM196:AM203" si="193">AL196+(AD196+AE196)*44/12</f>
        <v>296.47894517114679</v>
      </c>
      <c r="AN196" s="59">
        <f ca="1">AVERAGE(OFFSET($AM$3,0,0,'Données projet'!$E$10+1,1))-AVERAGE(OFFSET($H$3,0,0,'Données projet'!$E$10+1,1))</f>
        <v>329.7518221182429</v>
      </c>
      <c r="AO196" s="59">
        <f t="shared" si="144"/>
        <v>207.30737400651807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46.018884331067966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46.018884331067966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69.206415193290979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189.62971370839551</v>
      </c>
      <c r="BJ196" s="59">
        <f t="shared" si="146"/>
        <v>457.05149684588173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4.8951042458175298</v>
      </c>
      <c r="BQ196" s="21">
        <f>EXP(-LN(2)/25)*BQ195+(1-EXP(-LN(2)/25))/(LN(2)/25)*Calculateur!BL196*Calculateur!BN196*VLOOKUP('Données projet'!$B$11,Paramètres!$A$1:$I$89,3,0)*0.475*44/12</f>
        <v>0.156661417976209</v>
      </c>
      <c r="BR196" s="21">
        <f>EXP(-LN(2)/2)*BR195+(1-EXP(-LN(2)/2))/(LN(2)/2)*BL196*BO196*VLOOKUP('Données projet'!$B$11,Paramètres!$A$1:$I$89,3,0)*0.475*44/12</f>
        <v>1.3149251519126084E-26</v>
      </c>
      <c r="BS196" s="22">
        <f t="shared" si="169"/>
        <v>5.0517656637937387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69.206415193290979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170.04605856785227</v>
      </c>
      <c r="CE196" s="59">
        <f t="shared" si="148"/>
        <v>377.63973197638802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2.6200150344258262</v>
      </c>
      <c r="CL196" s="21">
        <f>EXP(-LN(2)/25)*CL195+(1-EXP(-LN(2)/25))/(LN(2)/25)*Calculateur!CG196*Calculateur!CI196*VLOOKUP('Données projet'!$B$12,Paramètres!$A$1:$I$89,3,0)*0.475*44/12</f>
        <v>0.18077554900785672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2.8007905834336828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69.206415193290979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69.206415193290979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69.206415193290979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69.206415193290979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69.206415193290979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69.206415193290979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4.6500000000000004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17.05</v>
      </c>
      <c r="H197" s="66">
        <f t="shared" si="192"/>
        <v>188.46666666666667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69.220182115497551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21.709999999999326</v>
      </c>
      <c r="O197" s="13">
        <f>N197*VLOOKUP('Données projet'!$B$9,Paramètres!$A$1:$I$89,3,0)*VLOOKUP('Données projet'!$B$9,Paramètres!$A$1:$I$89,5,0)</f>
        <v>19.64320799999939</v>
      </c>
      <c r="P197" s="13">
        <f t="shared" ref="P197:P203" si="203">EXP(-1.0587+0.8836*LN(O197)+0.284)</f>
        <v>6.4008043874806155</v>
      </c>
      <c r="Q197" s="20">
        <f t="shared" si="162"/>
        <v>45.359988241527674</v>
      </c>
      <c r="R197" s="59">
        <f t="shared" si="191"/>
        <v>335.83398933168536</v>
      </c>
      <c r="S197" s="59">
        <f ca="1">AVERAGE(OFFSET($R$3,0,0,'Données projet'!$E$9+1,1))-AVERAGE(OFFSET($H$3,0,0,'Données projet'!$E$9+1,1))</f>
        <v>664.27707313486087</v>
      </c>
      <c r="T197" s="59">
        <f t="shared" ref="T197:T203" si="204">$T$3</f>
        <v>206.64483278066874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250.94868966836637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250.94868966836637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69.220182115497551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5.2499999999990337</v>
      </c>
      <c r="AJ197" s="13">
        <f>AI197*VLOOKUP('Données projet'!$B$10,Paramètres!$A$1:$I$89,3,0)*VLOOKUP('Données projet'!$B$10,Paramètres!$A$1:$I$89,5,0)</f>
        <v>2.4569999999995478</v>
      </c>
      <c r="AK197" s="13">
        <f t="shared" si="164"/>
        <v>1.0197977774625564</v>
      </c>
      <c r="AL197" s="20">
        <f t="shared" si="165"/>
        <v>6.0554227957464972</v>
      </c>
      <c r="AM197" s="59">
        <f t="shared" si="193"/>
        <v>296.52942388590418</v>
      </c>
      <c r="AN197" s="59">
        <f ca="1">AVERAGE(OFFSET($AM$3,0,0,'Données projet'!$E$10+1,1))-AVERAGE(OFFSET($H$3,0,0,'Données projet'!$E$10+1,1))</f>
        <v>329.7518221182429</v>
      </c>
      <c r="AO197" s="59">
        <f t="shared" ref="AO197:AO203" si="205">$AO$3</f>
        <v>207.30737400651807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45.116482078083607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45.116482078083607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69.220182115497551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189.62971370839551</v>
      </c>
      <c r="BJ197" s="59">
        <f t="shared" ref="BJ197:BJ203" si="206">$BJ$3</f>
        <v>457.05149684588173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4.7991142372758224</v>
      </c>
      <c r="BQ197" s="21">
        <f>EXP(-LN(2)/25)*BQ196+(1-EXP(-LN(2)/25))/(LN(2)/25)*Calculateur!BL197*Calculateur!BN197*VLOOKUP('Données projet'!$B$11,Paramètres!$A$1:$I$89,3,0)*0.475*44/12</f>
        <v>0.15237750326318364</v>
      </c>
      <c r="BR197" s="21">
        <f>EXP(-LN(2)/2)*BR196+(1-EXP(-LN(2)/2))/(LN(2)/2)*BL197*BO197*VLOOKUP('Données projet'!$B$11,Paramètres!$A$1:$I$89,3,0)*0.475*44/12</f>
        <v>9.2979249167015658E-27</v>
      </c>
      <c r="BS197" s="22">
        <f t="shared" si="169"/>
        <v>4.951491740539006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69.220182115497551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170.04605856785227</v>
      </c>
      <c r="CE197" s="59">
        <f t="shared" ref="CE197:CE203" si="207">$CE$3</f>
        <v>377.63973197638802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2.5686381376521124</v>
      </c>
      <c r="CL197" s="21">
        <f>EXP(-LN(2)/25)*CL196+(1-EXP(-LN(2)/25))/(LN(2)/25)*Calculateur!CG197*Calculateur!CI197*VLOOKUP('Données projet'!$B$12,Paramètres!$A$1:$I$89,3,0)*0.475*44/12</f>
        <v>0.17583223211366392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2.7444703697657764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69.220182115497551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69.220182115497551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69.220182115497551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69.220182115497551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69.220182115497551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69.220182115497551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4.6500000000000004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17.05</v>
      </c>
      <c r="H198" s="66">
        <f t="shared" si="192"/>
        <v>188.46666666666667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69.233710212382064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21.709999999999326</v>
      </c>
      <c r="O198" s="13">
        <f>N198*VLOOKUP('Données projet'!$B$9,Paramètres!$A$1:$I$89,3,0)*VLOOKUP('Données projet'!$B$9,Paramètres!$A$1:$I$89,5,0)</f>
        <v>19.64320799999939</v>
      </c>
      <c r="P198" s="13">
        <f t="shared" si="203"/>
        <v>6.4008043874806155</v>
      </c>
      <c r="Q198" s="20">
        <f t="shared" si="162"/>
        <v>45.359988241527674</v>
      </c>
      <c r="R198" s="59">
        <f t="shared" si="191"/>
        <v>335.88359235359525</v>
      </c>
      <c r="S198" s="59">
        <f ca="1">AVERAGE(OFFSET($R$3,0,0,'Données projet'!$E$9+1,1))-AVERAGE(OFFSET($H$3,0,0,'Données projet'!$E$9+1,1))</f>
        <v>664.27707313486087</v>
      </c>
      <c r="T198" s="59">
        <f t="shared" si="204"/>
        <v>206.64483278066874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246.02773892755664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246.02773892755664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69.233710212382064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5.2499999999990337</v>
      </c>
      <c r="AJ198" s="13">
        <f>AI198*VLOOKUP('Données projet'!$B$10,Paramètres!$A$1:$I$89,3,0)*VLOOKUP('Données projet'!$B$10,Paramètres!$A$1:$I$89,5,0)</f>
        <v>2.4569999999995478</v>
      </c>
      <c r="AK198" s="13">
        <f t="shared" si="164"/>
        <v>1.0197977774625564</v>
      </c>
      <c r="AL198" s="20">
        <f t="shared" si="165"/>
        <v>6.0554227957464972</v>
      </c>
      <c r="AM198" s="59">
        <f t="shared" si="193"/>
        <v>296.57902690781407</v>
      </c>
      <c r="AN198" s="59">
        <f ca="1">AVERAGE(OFFSET($AM$3,0,0,'Données projet'!$E$10+1,1))-AVERAGE(OFFSET($H$3,0,0,'Données projet'!$E$10+1,1))</f>
        <v>329.7518221182429</v>
      </c>
      <c r="AO198" s="59">
        <f t="shared" si="205"/>
        <v>207.30737400651807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44.231775382869245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44.231775382869245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69.233710212382064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189.62971370839551</v>
      </c>
      <c r="BJ198" s="59">
        <f t="shared" si="206"/>
        <v>457.05149684588173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4.7050065342534939</v>
      </c>
      <c r="BQ198" s="21">
        <f>EXP(-LN(2)/25)*BQ197+(1-EXP(-LN(2)/25))/(LN(2)/25)*Calculateur!BL198*Calculateur!BN198*VLOOKUP('Données projet'!$B$11,Paramètres!$A$1:$I$89,3,0)*0.475*44/12</f>
        <v>0.14821073242326724</v>
      </c>
      <c r="BR198" s="21">
        <f>EXP(-LN(2)/2)*BR197+(1-EXP(-LN(2)/2))/(LN(2)/2)*BL198*BO198*VLOOKUP('Données projet'!$B$11,Paramètres!$A$1:$I$89,3,0)*0.475*44/12</f>
        <v>6.5746257595630422E-27</v>
      </c>
      <c r="BS198" s="22">
        <f t="shared" si="169"/>
        <v>4.8532172666767615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69.233710212382064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170.04605856785227</v>
      </c>
      <c r="CE198" s="59">
        <f t="shared" si="207"/>
        <v>377.63973197638802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2.5182687104873183</v>
      </c>
      <c r="CL198" s="21">
        <f>EXP(-LN(2)/25)*CL197+(1-EXP(-LN(2)/25))/(LN(2)/25)*Calculateur!CG198*Calculateur!CI198*VLOOKUP('Données projet'!$B$12,Paramètres!$A$1:$I$89,3,0)*0.475*44/12</f>
        <v>0.17102409047990055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2.6892928009672188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69.233710212382064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69.233710212382064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69.233710212382064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69.233710212382064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69.233710212382064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69.233710212382064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4.6500000000000004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17.05</v>
      </c>
      <c r="H199" s="66">
        <f t="shared" si="192"/>
        <v>188.46666666666667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69.247003627029926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21.709999999999326</v>
      </c>
      <c r="O199" s="13">
        <f>N199*VLOOKUP('Données projet'!$B$9,Paramètres!$A$1:$I$89,3,0)*VLOOKUP('Données projet'!$B$9,Paramètres!$A$1:$I$89,5,0)</f>
        <v>19.64320799999939</v>
      </c>
      <c r="P199" s="13">
        <f t="shared" si="203"/>
        <v>6.4008043874806155</v>
      </c>
      <c r="Q199" s="20">
        <f t="shared" si="162"/>
        <v>45.359988241527674</v>
      </c>
      <c r="R199" s="59">
        <f t="shared" si="191"/>
        <v>335.93233487397072</v>
      </c>
      <c r="S199" s="59">
        <f ca="1">AVERAGE(OFFSET($R$3,0,0,'Données projet'!$E$9+1,1))-AVERAGE(OFFSET($H$3,0,0,'Données projet'!$E$9+1,1))</f>
        <v>664.27707313486087</v>
      </c>
      <c r="T199" s="59">
        <f t="shared" si="204"/>
        <v>206.64483278066874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241.20328502929061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241.20328502929061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69.247003627029926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5.2499999999990337</v>
      </c>
      <c r="AJ199" s="13">
        <f>AI199*VLOOKUP('Données projet'!$B$10,Paramètres!$A$1:$I$89,3,0)*VLOOKUP('Données projet'!$B$10,Paramètres!$A$1:$I$89,5,0)</f>
        <v>2.4569999999995478</v>
      </c>
      <c r="AK199" s="13">
        <f t="shared" si="164"/>
        <v>1.0197977774625564</v>
      </c>
      <c r="AL199" s="20">
        <f t="shared" si="165"/>
        <v>6.0554227957464972</v>
      </c>
      <c r="AM199" s="59">
        <f t="shared" si="193"/>
        <v>296.62776942818954</v>
      </c>
      <c r="AN199" s="59">
        <f ca="1">AVERAGE(OFFSET($AM$3,0,0,'Données projet'!$E$10+1,1))-AVERAGE(OFFSET($H$3,0,0,'Données projet'!$E$10+1,1))</f>
        <v>329.7518221182429</v>
      </c>
      <c r="AO199" s="59">
        <f t="shared" si="205"/>
        <v>207.30737400651807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43.364417246330234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43.364417246330234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69.247003627029926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189.62971370839551</v>
      </c>
      <c r="BJ199" s="59">
        <f t="shared" si="206"/>
        <v>457.05149684588173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4.6127442258874023</v>
      </c>
      <c r="BQ199" s="21">
        <f>EXP(-LN(2)/25)*BQ198+(1-EXP(-LN(2)/25))/(LN(2)/25)*Calculateur!BL199*Calculateur!BN199*VLOOKUP('Données projet'!$B$11,Paramètres!$A$1:$I$89,3,0)*0.475*44/12</f>
        <v>0.14415790215108931</v>
      </c>
      <c r="BR199" s="21">
        <f>EXP(-LN(2)/2)*BR198+(1-EXP(-LN(2)/2))/(LN(2)/2)*BL199*BO199*VLOOKUP('Données projet'!$B$11,Paramètres!$A$1:$I$89,3,0)*0.475*44/12</f>
        <v>4.6489624583507829E-27</v>
      </c>
      <c r="BS199" s="22">
        <f t="shared" si="169"/>
        <v>4.756902128038492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69.247003627029926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170.04605856785227</v>
      </c>
      <c r="CE199" s="59">
        <f t="shared" si="207"/>
        <v>377.63973197638802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2.4688869970669085</v>
      </c>
      <c r="CL199" s="21">
        <f>EXP(-LN(2)/25)*CL198+(1-EXP(-LN(2)/25))/(LN(2)/25)*Calculateur!CG199*Calculateur!CI199*VLOOKUP('Données projet'!$B$12,Paramètres!$A$1:$I$89,3,0)*0.475*44/12</f>
        <v>0.16634742773196162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2.6352344247988699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69.247003627029926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69.247003627029926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69.247003627029926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69.247003627029926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69.247003627029926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69.247003627029926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4.6500000000000004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17.05</v>
      </c>
      <c r="H200" s="66">
        <f t="shared" si="192"/>
        <v>188.46666666666667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69.260066430653254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21.709999999999326</v>
      </c>
      <c r="O200" s="13">
        <f>N200*VLOOKUP('Données projet'!$B$9,Paramètres!$A$1:$I$89,3,0)*VLOOKUP('Données projet'!$B$9,Paramètres!$A$1:$I$89,5,0)</f>
        <v>19.64320799999939</v>
      </c>
      <c r="P200" s="13">
        <f t="shared" si="203"/>
        <v>6.4008043874806155</v>
      </c>
      <c r="Q200" s="20">
        <f t="shared" si="162"/>
        <v>45.359988241527674</v>
      </c>
      <c r="R200" s="59">
        <f t="shared" si="191"/>
        <v>335.98023182058961</v>
      </c>
      <c r="S200" s="59">
        <f ca="1">AVERAGE(OFFSET($R$3,0,0,'Données projet'!$E$9+1,1))-AVERAGE(OFFSET($H$3,0,0,'Données projet'!$E$9+1,1))</f>
        <v>664.27707313486087</v>
      </c>
      <c r="T200" s="59">
        <f t="shared" si="204"/>
        <v>206.64483278066874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236.47343572934324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236.47343572934324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69.260066430653254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5.2499999999990337</v>
      </c>
      <c r="AJ200" s="13">
        <f>AI200*VLOOKUP('Données projet'!$B$10,Paramètres!$A$1:$I$89,3,0)*VLOOKUP('Données projet'!$B$10,Paramètres!$A$1:$I$89,5,0)</f>
        <v>2.4569999999995478</v>
      </c>
      <c r="AK200" s="13">
        <f t="shared" si="164"/>
        <v>1.0197977774625564</v>
      </c>
      <c r="AL200" s="20">
        <f t="shared" si="165"/>
        <v>6.0554227957464972</v>
      </c>
      <c r="AM200" s="59">
        <f t="shared" si="193"/>
        <v>296.67566637480843</v>
      </c>
      <c r="AN200" s="59">
        <f ca="1">AVERAGE(OFFSET($AM$3,0,0,'Données projet'!$E$10+1,1))-AVERAGE(OFFSET($H$3,0,0,'Données projet'!$E$10+1,1))</f>
        <v>329.7518221182429</v>
      </c>
      <c r="AO200" s="59">
        <f t="shared" si="205"/>
        <v>207.30737400651807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42.514067473812531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42.514067473812531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69.260066430653254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189.62971370839551</v>
      </c>
      <c r="BJ200" s="59">
        <f t="shared" si="206"/>
        <v>457.05149684588173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4.5222911251139184</v>
      </c>
      <c r="BQ200" s="21">
        <f>EXP(-LN(2)/25)*BQ199+(1-EXP(-LN(2)/25))/(LN(2)/25)*Calculateur!BL200*Calculateur!BN200*VLOOKUP('Données projet'!$B$11,Paramètres!$A$1:$I$89,3,0)*0.475*44/12</f>
        <v>0.14021589673583318</v>
      </c>
      <c r="BR200" s="21">
        <f>EXP(-LN(2)/2)*BR199+(1-EXP(-LN(2)/2))/(LN(2)/2)*BL200*BO200*VLOOKUP('Données projet'!$B$11,Paramètres!$A$1:$I$89,3,0)*0.475*44/12</f>
        <v>3.2873128797815211E-27</v>
      </c>
      <c r="BS200" s="22">
        <f t="shared" si="169"/>
        <v>4.662507021849752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69.260066430653254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170.04605856785227</v>
      </c>
      <c r="CE200" s="59">
        <f t="shared" si="207"/>
        <v>377.63973197638802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2.4204736289268021</v>
      </c>
      <c r="CL200" s="21">
        <f>EXP(-LN(2)/25)*CL199+(1-EXP(-LN(2)/25))/(LN(2)/25)*Calculateur!CG200*Calculateur!CI200*VLOOKUP('Données projet'!$B$12,Paramètres!$A$1:$I$89,3,0)*0.475*44/12</f>
        <v>0.1617986485728001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2.5822722774996021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69.260066430653254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69.260066430653254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69.260066430653254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69.260066430653254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69.260066430653254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69.260066430653254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4.6500000000000004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17.05</v>
      </c>
      <c r="H201" s="66">
        <f t="shared" si="192"/>
        <v>188.46666666666667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69.272902623837794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21.709999999999326</v>
      </c>
      <c r="O201" s="13">
        <f>N201*VLOOKUP('Données projet'!$B$9,Paramètres!$A$1:$I$89,3,0)*VLOOKUP('Données projet'!$B$9,Paramètres!$A$1:$I$89,5,0)</f>
        <v>19.64320799999939</v>
      </c>
      <c r="P201" s="13">
        <f t="shared" si="203"/>
        <v>6.4008043874806155</v>
      </c>
      <c r="Q201" s="20">
        <f t="shared" si="162"/>
        <v>45.359988241527674</v>
      </c>
      <c r="R201" s="59">
        <f t="shared" si="191"/>
        <v>336.02729786226627</v>
      </c>
      <c r="S201" s="59">
        <f ca="1">AVERAGE(OFFSET($R$3,0,0,'Données projet'!$E$9+1,1))-AVERAGE(OFFSET($H$3,0,0,'Données projet'!$E$9+1,1))</f>
        <v>664.27707313486087</v>
      </c>
      <c r="T201" s="59">
        <f t="shared" si="204"/>
        <v>206.64483278066874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231.83633588924462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231.83633588924462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69.272902623837794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5.2499999999990337</v>
      </c>
      <c r="AJ201" s="13">
        <f>AI201*VLOOKUP('Données projet'!$B$10,Paramètres!$A$1:$I$89,3,0)*VLOOKUP('Données projet'!$B$10,Paramètres!$A$1:$I$89,5,0)</f>
        <v>2.4569999999995478</v>
      </c>
      <c r="AK201" s="13">
        <f t="shared" si="164"/>
        <v>1.0197977774625564</v>
      </c>
      <c r="AL201" s="20">
        <f t="shared" si="165"/>
        <v>6.0554227957464972</v>
      </c>
      <c r="AM201" s="59">
        <f t="shared" si="193"/>
        <v>296.72273241648509</v>
      </c>
      <c r="AN201" s="59">
        <f ca="1">AVERAGE(OFFSET($AM$3,0,0,'Données projet'!$E$10+1,1))-AVERAGE(OFFSET($H$3,0,0,'Données projet'!$E$10+1,1))</f>
        <v>329.7518221182429</v>
      </c>
      <c r="AO201" s="59">
        <f t="shared" si="205"/>
        <v>207.30737400651807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41.68039254167175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41.68039254167175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69.272902623837794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189.62971370839551</v>
      </c>
      <c r="BJ201" s="59">
        <f t="shared" si="206"/>
        <v>457.05149684588173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4.4336117544756588</v>
      </c>
      <c r="BQ201" s="21">
        <f>EXP(-LN(2)/25)*BQ200+(1-EXP(-LN(2)/25))/(LN(2)/25)*Calculateur!BL201*Calculateur!BN201*VLOOKUP('Données projet'!$B$11,Paramètres!$A$1:$I$89,3,0)*0.475*44/12</f>
        <v>0.13638168566595829</v>
      </c>
      <c r="BR201" s="21">
        <f>EXP(-LN(2)/2)*BR200+(1-EXP(-LN(2)/2))/(LN(2)/2)*BL201*BO201*VLOOKUP('Données projet'!$B$11,Paramètres!$A$1:$I$89,3,0)*0.475*44/12</f>
        <v>2.3244812291753915E-27</v>
      </c>
      <c r="BS201" s="22">
        <f t="shared" si="169"/>
        <v>4.5699934401416167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69.272902623837794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170.04605856785227</v>
      </c>
      <c r="CE201" s="59">
        <f t="shared" si="207"/>
        <v>377.63973197638802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2.3730096174066841</v>
      </c>
      <c r="CL201" s="21">
        <f>EXP(-LN(2)/25)*CL200+(1-EXP(-LN(2)/25))/(LN(2)/25)*Calculateur!CG201*Calculateur!CI201*VLOOKUP('Données projet'!$B$12,Paramètres!$A$1:$I$89,3,0)*0.475*44/12</f>
        <v>0.15737425601895574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2.5303838734256399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69.272902623837794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69.272902623837794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69.272902623837794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69.272902623837794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69.272902623837794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69.272902623837794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4.6500000000000004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17.05</v>
      </c>
      <c r="H202" s="66">
        <f t="shared" si="192"/>
        <v>188.46666666666667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69.285516137767999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21.709999999999326</v>
      </c>
      <c r="O202" s="13">
        <f>N202*VLOOKUP('Données projet'!$B$9,Paramètres!$A$1:$I$89,3,0)*VLOOKUP('Données projet'!$B$9,Paramètres!$A$1:$I$89,5,0)</f>
        <v>19.64320799999939</v>
      </c>
      <c r="P202" s="13">
        <f t="shared" si="203"/>
        <v>6.4008043874806155</v>
      </c>
      <c r="Q202" s="20">
        <f t="shared" si="162"/>
        <v>45.359988241527674</v>
      </c>
      <c r="R202" s="59">
        <f t="shared" si="191"/>
        <v>336.0735474133437</v>
      </c>
      <c r="S202" s="59">
        <f ca="1">AVERAGE(OFFSET($R$3,0,0,'Données projet'!$E$9+1,1))-AVERAGE(OFFSET($H$3,0,0,'Données projet'!$E$9+1,1))</f>
        <v>664.27707313486087</v>
      </c>
      <c r="T202" s="59">
        <f t="shared" si="204"/>
        <v>206.64483278066874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227.29016674865872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227.29016674865872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69.285516137767999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5.2499999999990337</v>
      </c>
      <c r="AJ202" s="13">
        <f>AI202*VLOOKUP('Données projet'!$B$10,Paramètres!$A$1:$I$89,3,0)*VLOOKUP('Données projet'!$B$10,Paramètres!$A$1:$I$89,5,0)</f>
        <v>2.4569999999995478</v>
      </c>
      <c r="AK202" s="13">
        <f t="shared" si="164"/>
        <v>1.0197977774625564</v>
      </c>
      <c r="AL202" s="20">
        <f t="shared" si="165"/>
        <v>6.0554227957464972</v>
      </c>
      <c r="AM202" s="59">
        <f t="shared" si="193"/>
        <v>296.76898196756252</v>
      </c>
      <c r="AN202" s="59">
        <f ca="1">AVERAGE(OFFSET($AM$3,0,0,'Données projet'!$E$10+1,1))-AVERAGE(OFFSET($H$3,0,0,'Données projet'!$E$10+1,1))</f>
        <v>329.7518221182429</v>
      </c>
      <c r="AO202" s="59">
        <f t="shared" si="205"/>
        <v>207.30737400651807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40.86306546645875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40.86306546645875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69.285516137767999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189.62971370839551</v>
      </c>
      <c r="BJ202" s="59">
        <f t="shared" si="206"/>
        <v>457.05149684588173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4.3466713322065402</v>
      </c>
      <c r="BQ202" s="21">
        <f>EXP(-LN(2)/25)*BQ201+(1-EXP(-LN(2)/25))/(LN(2)/25)*Calculateur!BL202*Calculateur!BN202*VLOOKUP('Données projet'!$B$11,Paramètres!$A$1:$I$89,3,0)*0.475*44/12</f>
        <v>0.13265232129942151</v>
      </c>
      <c r="BR202" s="21">
        <f>EXP(-LN(2)/2)*BR201+(1-EXP(-LN(2)/2))/(LN(2)/2)*BL202*BO202*VLOOKUP('Données projet'!$B$11,Paramètres!$A$1:$I$89,3,0)*0.475*44/12</f>
        <v>1.6436564398907605E-27</v>
      </c>
      <c r="BS202" s="22">
        <f t="shared" si="169"/>
        <v>4.4793236535059613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69.285516137767999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170.04605856785227</v>
      </c>
      <c r="CE202" s="59">
        <f t="shared" si="207"/>
        <v>377.63973197638802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2.3264763462022877</v>
      </c>
      <c r="CL202" s="21">
        <f>EXP(-LN(2)/25)*CL201+(1-EXP(-LN(2)/25))/(LN(2)/25)*Calculateur!CG202*Calculateur!CI202*VLOOKUP('Données projet'!$B$12,Paramètres!$A$1:$I$89,3,0)*0.475*44/12</f>
        <v>0.15307084871216495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2.4795471949144527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69.285516137767999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69.285516137767999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69.285516137767999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69.285516137767999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69.285516137767999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69.285516137767999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4.6500000000000004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46.75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17.05</v>
      </c>
      <c r="H203" s="66">
        <f t="shared" si="192"/>
        <v>188.46666666666667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69.297910835431111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21.709999999999326</v>
      </c>
      <c r="O203" s="13">
        <f>N203*VLOOKUP('Données projet'!$B$9,Paramètres!$A$1:$I$89,3,0)*VLOOKUP('Données projet'!$B$9,Paramètres!$A$1:$I$89,5,0)</f>
        <v>19.64320799999939</v>
      </c>
      <c r="P203" s="13">
        <f t="shared" si="203"/>
        <v>6.4008043874806155</v>
      </c>
      <c r="Q203" s="20">
        <f t="shared" si="162"/>
        <v>45.359988241527674</v>
      </c>
      <c r="R203" s="59">
        <f t="shared" si="191"/>
        <v>336.1189946381084</v>
      </c>
      <c r="S203" s="59">
        <f ca="1">AVERAGE(OFFSET($R$3,0,0,'Données projet'!$E$9+1,1))-AVERAGE(OFFSET($H$3,0,0,'Données projet'!$E$9+1,1))</f>
        <v>664.27707313486087</v>
      </c>
      <c r="T203" s="59">
        <f t="shared" si="204"/>
        <v>206.64483278066874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222.83314521203033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222.83314521203033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69.297910835431111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5.2499999999990337</v>
      </c>
      <c r="AJ203" s="13">
        <f>AI203*VLOOKUP('Données projet'!$B$10,Paramètres!$A$1:$I$89,3,0)*VLOOKUP('Données projet'!$B$10,Paramètres!$A$1:$I$89,5,0)</f>
        <v>2.4569999999995478</v>
      </c>
      <c r="AK203" s="13">
        <f t="shared" si="164"/>
        <v>1.0197977774625564</v>
      </c>
      <c r="AL203" s="20">
        <f t="shared" si="165"/>
        <v>6.0554227957464972</v>
      </c>
      <c r="AM203" s="59">
        <f t="shared" si="193"/>
        <v>296.81442919232722</v>
      </c>
      <c r="AN203" s="59">
        <f ca="1">AVERAGE(OFFSET($AM$3,0,0,'Données projet'!$E$10+1,1))-AVERAGE(OFFSET($H$3,0,0,'Données projet'!$E$10+1,1))</f>
        <v>329.7518221182429</v>
      </c>
      <c r="AO203" s="59">
        <f t="shared" si="205"/>
        <v>207.30737400651807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40.061765676670383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40.061765676670383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69.297910835431111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189.62971370839551</v>
      </c>
      <c r="BJ203" s="59">
        <f t="shared" si="206"/>
        <v>457.05149684588173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4.2614357585896974</v>
      </c>
      <c r="BQ203" s="21">
        <f>EXP(-LN(2)/25)*BQ202+(1-EXP(-LN(2)/25))/(LN(2)/25)*Calculateur!BL203*Calculateur!BN203*VLOOKUP('Données projet'!$B$11,Paramètres!$A$1:$I$89,3,0)*0.475*44/12</f>
        <v>0.12902493659760642</v>
      </c>
      <c r="BR203" s="21">
        <f>EXP(-LN(2)/2)*BR202+(1-EXP(-LN(2)/2))/(LN(2)/2)*BL203*BO203*VLOOKUP('Données projet'!$B$11,Paramètres!$A$1:$I$89,3,0)*0.475*44/12</f>
        <v>1.1622406145876957E-27</v>
      </c>
      <c r="BS203" s="22">
        <f t="shared" si="169"/>
        <v>4.3904606951873042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69.297910835431111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170.04605856785227</v>
      </c>
      <c r="CE203" s="59">
        <f t="shared" si="207"/>
        <v>377.63973197638802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2.2808555640637165</v>
      </c>
      <c r="CL203" s="21">
        <f>EXP(-LN(2)/25)*CL202+(1-EXP(-LN(2)/25))/(LN(2)/25)*Calculateur!CG203*Calculateur!CI203*VLOOKUP('Données projet'!$B$12,Paramètres!$A$1:$I$89,3,0)*0.475*44/12</f>
        <v>0.1488851183044847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2.4297406823682013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69.297910835431111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69.297910835431111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69.297910835431111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69.297910835431111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69.297910835431111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69.297910835431111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1.1549646791293957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1.1808012106418171</v>
      </c>
      <c r="BA205" s="81">
        <f>EXP(LN('Données projet'!B88)/'Données projet'!A88)</f>
        <v>1.4943820583928935</v>
      </c>
      <c r="BV205" s="81">
        <f>EXP(LN('Données projet'!B114)/'Données projet'!A114)</f>
        <v>1.660847009958063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sessile</v>
      </c>
      <c r="B6" s="144">
        <f>'Données projet'!D9</f>
        <v>0.57871794871794868</v>
      </c>
      <c r="C6" s="145">
        <f ca="1">IF(OR('Données projet'!B9="",'Données projet'!C9="",'Données projet'!C9=0%),0,Calculateur!S3)</f>
        <v>664.27707313486087</v>
      </c>
      <c r="D6" s="145">
        <f>IF(OR('Données projet'!B9="",'Données projet'!C9="",'Données projet'!C9=0%),0,Calculateur!T3)</f>
        <v>206.64483278066874</v>
      </c>
      <c r="E6" s="145">
        <f ca="1">MIN(C6,D6)</f>
        <v>206.64483278066874</v>
      </c>
      <c r="F6" s="145">
        <f ca="1">E6*B6</f>
        <v>119.58907373999213</v>
      </c>
      <c r="G6" s="145">
        <f ca="1">F6*(100%-'Données projet'!$C$24)*(100%-'Données projet'!$C$25)*(100%-'Données projet'!$C$26)*(100%-'Données projet'!$C$27)</f>
        <v>107.63016636599292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107.63016636599292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Cèdre de l'Atlas</v>
      </c>
      <c r="B7" s="152">
        <f>'Données projet'!D10</f>
        <v>0.31216440422322778</v>
      </c>
      <c r="C7" s="145">
        <f ca="1">IF(OR('Données projet'!B10="",'Données projet'!C10="",'Données projet'!C10=0%),0,Calculateur!AN3)</f>
        <v>329.7518221182429</v>
      </c>
      <c r="D7" s="145">
        <f>IF(OR('Données projet'!B10="",'Données projet'!C10="",'Données projet'!C10=0%),0,Calculateur!AO3)</f>
        <v>207.30737400651807</v>
      </c>
      <c r="E7" s="145">
        <f t="shared" ref="E7:E15" ca="1" si="0">MIN(C7,D7)</f>
        <v>207.30737400651807</v>
      </c>
      <c r="F7" s="145">
        <f t="shared" ref="F7:F15" ca="1" si="1">E7*B7</f>
        <v>64.713982897826568</v>
      </c>
      <c r="G7" s="145">
        <f ca="1">F7*(100%-'Données projet'!$C$24)*(100%-'Données projet'!$C$25)*(100%-'Données projet'!$C$26)*(100%-'Données projet'!$C$27)</f>
        <v>58.242584608043913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58.242584608043913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Pin maritime</v>
      </c>
      <c r="B8" s="152">
        <f>'Données projet'!D11</f>
        <v>2.7091176470588234</v>
      </c>
      <c r="C8" s="145">
        <f ca="1">IF(OR('Données projet'!B11="",'Données projet'!C11="",'Données projet'!C11=0%),0,Calculateur!BI3)</f>
        <v>189.62971370839551</v>
      </c>
      <c r="D8" s="145">
        <f>IF(OR('Données projet'!B11="",'Données projet'!C11="",'Données projet'!C11=0%),0,Calculateur!BJ3)</f>
        <v>457.05149684588173</v>
      </c>
      <c r="E8" s="145">
        <f t="shared" ca="1" si="0"/>
        <v>189.62971370839551</v>
      </c>
      <c r="F8" s="145">
        <f t="shared" ca="1" si="1"/>
        <v>513.72920381412678</v>
      </c>
      <c r="G8" s="145">
        <f ca="1">F8*(100%-'Données projet'!$C$24)*(100%-'Données projet'!$C$25)*(100%-'Données projet'!$C$26)*(100%-'Données projet'!$C$27)</f>
        <v>462.35628343271412</v>
      </c>
      <c r="H8" s="153">
        <f>IF(OR('Données projet'!B11="",'Données projet'!C11="",'Données projet'!C11=0%),0,AVERAGE(Calculateur!$BS$3:$BS$33)*B8)</f>
        <v>46.777608598171796</v>
      </c>
      <c r="I8" s="147">
        <f>H8*(100%-'Données projet'!$C$24)*(100%-'Données projet'!$C$25)*(100%-'Données projet'!$C$26)*(100%-'Données projet'!$C$27)</f>
        <v>42.099847738354619</v>
      </c>
      <c r="J8" s="148">
        <f>IF(OR('Données projet'!B11="",'Données projet'!C11="",'Données projet'!C11=0%),0,SUM(Calculateur!$BL$3:$BL$33)*VLOOKUP('Données projet'!$B$11,Paramètres!$A$1:$I$89,9,0)*B8)</f>
        <v>706.48369999999989</v>
      </c>
      <c r="K8" s="149">
        <f>J8*(100%-'Données projet'!$C$24)*(100%-'Données projet'!$C$25)*(100%-'Données projet'!$C$26)*(100%-'Données projet'!$C$27)</f>
        <v>635.83532999999989</v>
      </c>
      <c r="L8" s="150">
        <f t="shared" ca="1" si="2"/>
        <v>1140.2914611710687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Peuplier Koster</v>
      </c>
      <c r="B9" s="152">
        <f>'Données projet'!D12</f>
        <v>0.27000000000000007</v>
      </c>
      <c r="C9" s="145">
        <f ca="1">IF(OR('Données projet'!B12="",'Données projet'!C12="",'Données projet'!C12=0%),0,Calculateur!CD3)</f>
        <v>170.04605856785227</v>
      </c>
      <c r="D9" s="145">
        <f>IF(OR('Données projet'!B12="",'Données projet'!C12="",'Données projet'!C12=0%),0,Calculateur!CE3)</f>
        <v>377.63973197638802</v>
      </c>
      <c r="E9" s="145">
        <f t="shared" ca="1" si="0"/>
        <v>170.04605856785227</v>
      </c>
      <c r="F9" s="145">
        <f t="shared" ca="1" si="1"/>
        <v>45.912435813320123</v>
      </c>
      <c r="G9" s="145">
        <f ca="1">F9*(100%-'Données projet'!$C$24)*(100%-'Données projet'!$C$25)*(100%-'Données projet'!$C$26)*(100%-'Données projet'!$C$27)</f>
        <v>41.321192231988114</v>
      </c>
      <c r="H9" s="153">
        <f>IF(OR('Données projet'!B12="",'Données projet'!C12="",'Données projet'!C12=0%),0,AVERAGE(Calculateur!$CN$3:$CN$33)*B9)</f>
        <v>8.8392200875666269</v>
      </c>
      <c r="I9" s="147">
        <f>H9*(100%-'Données projet'!$C$24)*(100%-'Données projet'!$C$25)*(100%-'Données projet'!$C$26)*(100%-'Données projet'!$C$27)</f>
        <v>7.9552980788099648</v>
      </c>
      <c r="J9" s="148">
        <f>IF(OR('Données projet'!B12="",'Données projet'!C12="",'Données projet'!C12=0%),0,SUM(Calculateur!$CG$3:$CG$33)*VLOOKUP('Données projet'!$B$12,Paramètres!$A$1:$I$89,9,0)*B9)</f>
        <v>86.282307704430025</v>
      </c>
      <c r="K9" s="149">
        <f>J9*(100%-'Données projet'!$C$24)*(100%-'Données projet'!$C$25)*(100%-'Données projet'!$C$26)*(100%-'Données projet'!$C$27)</f>
        <v>77.654076933987028</v>
      </c>
      <c r="L9" s="150">
        <f t="shared" ca="1" si="2"/>
        <v>126.93056724478511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743.94469626526563</v>
      </c>
      <c r="G16" s="164">
        <f t="shared" ca="1" si="3"/>
        <v>669.5502266387391</v>
      </c>
      <c r="H16" s="165">
        <f t="shared" si="3"/>
        <v>55.616828685738426</v>
      </c>
      <c r="I16" s="165">
        <f t="shared" si="3"/>
        <v>50.055145817164586</v>
      </c>
      <c r="J16" s="166">
        <f t="shared" si="3"/>
        <v>792.76600770442997</v>
      </c>
      <c r="K16" s="166">
        <f t="shared" si="3"/>
        <v>713.48940693398686</v>
      </c>
      <c r="L16" s="167">
        <f t="shared" ca="1" si="3"/>
        <v>1433.0947793898906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Pin maritime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Peuplier Koster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9" zoomScale="90" zoomScaleNormal="90" workbookViewId="0">
      <selection activeCell="I23" sqref="I23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-3130.05</v>
      </c>
      <c r="U10" s="176">
        <f>'Données projet'!D9</f>
        <v>0.57871794871794868</v>
      </c>
      <c r="V10" s="175">
        <f>U10*T10</f>
        <v>-1811.4161153846153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Cèdre de l'Atlas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-2668.96</v>
      </c>
      <c r="U11" s="176">
        <f>'Données projet'!D10</f>
        <v>0.31216440422322778</v>
      </c>
      <c r="V11" s="175">
        <f t="shared" ref="V11" si="0">U11*T11</f>
        <v>-833.15430829562604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Pin maritime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4631.8738289016965</v>
      </c>
      <c r="U12" s="176">
        <f>'Données projet'!D11</f>
        <v>2.7091176470588234</v>
      </c>
      <c r="V12" s="175">
        <f t="shared" ref="V12:V19" si="1">U12*T12</f>
        <v>12548.291128827506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Peuplier Koster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5779.0751017314169</v>
      </c>
      <c r="U13" s="176">
        <f>'Données projet'!D12</f>
        <v>0.27000000000000007</v>
      </c>
      <c r="V13" s="175">
        <f t="shared" si="1"/>
        <v>1560.350277467483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3130.05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2353.08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984.5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1085.27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-5134.3571107805492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42</v>
      </c>
      <c r="B24" s="179">
        <f>'Données projet'!D37</f>
        <v>43.21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6667.9178302564833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50</v>
      </c>
      <c r="B25" s="179">
        <f>'Données projet'!D38</f>
        <v>35.58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123</v>
      </c>
      <c r="Q25" s="232"/>
      <c r="R25" s="23"/>
      <c r="S25" s="184" t="s">
        <v>266</v>
      </c>
      <c r="T25" s="312">
        <f ca="1">T23-T24</f>
        <v>-11802.274941037032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58</v>
      </c>
      <c r="B26" s="179">
        <f>'Données projet'!D39</f>
        <v>44.93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66</v>
      </c>
      <c r="B27" s="179">
        <f>'Données projet'!D40</f>
        <v>49.91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74</v>
      </c>
      <c r="B28" s="179">
        <f>'Données projet'!D41</f>
        <v>47.4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84</v>
      </c>
      <c r="B29" s="179">
        <f>'Données projet'!D42</f>
        <v>61.47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94</v>
      </c>
      <c r="B30" s="179">
        <f>'Données projet'!D43</f>
        <v>61.85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1722.976183528807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104</v>
      </c>
      <c r="B31" s="179">
        <f>'Données projet'!D44</f>
        <v>60.19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114</v>
      </c>
      <c r="B32" s="179">
        <f>'Données projet'!D45</f>
        <v>56.07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124</v>
      </c>
      <c r="B33" s="179">
        <f>'Données projet'!D46</f>
        <v>52.53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123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134</v>
      </c>
      <c r="B34" s="179">
        <f>'Données projet'!D47</f>
        <v>54.95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117.70334928229666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144</v>
      </c>
      <c r="B35" s="179">
        <f>'Données projet'!D48</f>
        <v>56.01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112.63478400219778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154</v>
      </c>
      <c r="B36" s="179">
        <f>'Données projet'!D49</f>
        <v>55.13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107.78448229875384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164</v>
      </c>
      <c r="B37" s="179">
        <f>'Données projet'!D50</f>
        <v>59.58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103.14304526196543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174</v>
      </c>
      <c r="B38" s="179">
        <f>'Données projet'!D51</f>
        <v>214.77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98.701478719584145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177</v>
      </c>
      <c r="B39" s="179">
        <f>'Données projet'!D52</f>
        <v>115.19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94.451175808214515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180</v>
      </c>
      <c r="B40" s="179">
        <f>'Données projet'!D53</f>
        <v>77.72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90.383900294942109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183</v>
      </c>
      <c r="B41" s="179">
        <f>'Données projet'!D54</f>
        <v>169.76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86.491770617169522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82.767244609731591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79.203104889695325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75.792444870521834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Cèdre de l'Atlas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72.528655378489816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69.405411845444789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66.416662053057237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2668.96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63.556614404839458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60.819726703195677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58.200695409756626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55.69444536818817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53.296119969558063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51.001071741203901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 t="str">
        <f>IF(O53+1&lt;=MIN('Données projet'!$E$9:$E$18),O53+1,"STOP")</f>
        <v>STOP</v>
      </c>
      <c r="P54" s="183" t="e">
        <f t="shared" si="3"/>
        <v>#VALUE!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42</v>
      </c>
      <c r="B55" s="179">
        <f>'Données projet'!D63</f>
        <v>105.41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 t="e">
        <f>IF(O54+1&lt;=MIN('Données projet'!$E$9:$E$18),O54+1,"STOP")</f>
        <v>#VALUE!</v>
      </c>
      <c r="P55" s="183" t="e">
        <f t="shared" si="3"/>
        <v>#VALUE!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50</v>
      </c>
      <c r="B56" s="179">
        <f>'Données projet'!D64</f>
        <v>106.51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 t="e">
        <f>IF(O55+1&lt;=MIN('Données projet'!$E$9:$E$18),O55+1,"STOP")</f>
        <v>#VALUE!</v>
      </c>
      <c r="P56" s="183" t="e">
        <f t="shared" si="3"/>
        <v>#VALUE!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58</v>
      </c>
      <c r="B57" s="179">
        <f>'Données projet'!D65</f>
        <v>87.34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 t="e">
        <f>IF(O56+1&lt;=MIN('Données projet'!$E$9:$E$18),O56+1,"STOP")</f>
        <v>#VALUE!</v>
      </c>
      <c r="P57" s="183" t="e">
        <f t="shared" si="3"/>
        <v>#VALUE!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66</v>
      </c>
      <c r="B58" s="179">
        <f>'Données projet'!D66</f>
        <v>87.73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 t="e">
        <f>IF(O57+1&lt;=MIN('Données projet'!$E$9:$E$18),O57+1,"STOP")</f>
        <v>#VALUE!</v>
      </c>
      <c r="P58" s="183" t="e">
        <f t="shared" si="3"/>
        <v>#VALUE!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75</v>
      </c>
      <c r="B59" s="179">
        <f>'Données projet'!D67</f>
        <v>87.99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e">
        <f>IF(O58+1&lt;=MIN('Données projet'!$E$9:$E$18),O58+1,"STOP")</f>
        <v>#VALUE!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83</v>
      </c>
      <c r="B60" s="179">
        <f>'Données projet'!D68</f>
        <v>90.24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91</v>
      </c>
      <c r="B61" s="179">
        <f>'Données projet'!D69</f>
        <v>260.64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101</v>
      </c>
      <c r="B62" s="179">
        <f>'Données projet'!D70</f>
        <v>351.18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Pin maritime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1362.13</v>
      </c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11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12</v>
      </c>
      <c r="B86" s="179">
        <f>'Données projet'!D89</f>
        <v>34</v>
      </c>
      <c r="C86" s="189">
        <v>20</v>
      </c>
      <c r="D86" s="177">
        <f t="shared" ref="D86:D104" si="6">B86*C86</f>
        <v>680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13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14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15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16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17</v>
      </c>
      <c r="B91" s="179">
        <f>'Données projet'!D94</f>
        <v>43</v>
      </c>
      <c r="C91" s="189">
        <v>27.75</v>
      </c>
      <c r="D91" s="177">
        <f t="shared" si="6"/>
        <v>1193.25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18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19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20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21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22</v>
      </c>
      <c r="B96" s="179">
        <f>'Données projet'!D99</f>
        <v>56</v>
      </c>
      <c r="C96" s="189">
        <v>38.6</v>
      </c>
      <c r="D96" s="177">
        <f t="shared" si="6"/>
        <v>2161.6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23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24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25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26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27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28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29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30</v>
      </c>
      <c r="B104" s="179">
        <f>'Données projet'!D107</f>
        <v>309</v>
      </c>
      <c r="C104" s="189">
        <v>51</v>
      </c>
      <c r="D104" s="177">
        <f t="shared" si="6"/>
        <v>15759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Peuplier Koster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1682.37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9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14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19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20</v>
      </c>
      <c r="B119" s="179">
        <f>'Données projet'!D117</f>
        <v>310.25641030000003</v>
      </c>
      <c r="C119" s="189">
        <v>58</v>
      </c>
      <c r="D119" s="177">
        <f t="shared" si="8"/>
        <v>17994.871797400003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2026-02-02T11:17:39Z</dcterms:modified>
</cp:coreProperties>
</file>