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A0879D24-7C57-4E36-83B0-A026F160C083}" xr6:coauthVersionLast="47" xr6:coauthVersionMax="47" xr10:uidLastSave="{00000000-0000-0000-0000-000000000000}"/>
  <bookViews>
    <workbookView xWindow="-120" yWindow="-120" windowWidth="29040" windowHeight="15720" tabRatio="815" activeTab="3" xr2:uid="{00000000-000D-0000-FFFF-FFFF00000000}"/>
  </bookViews>
  <sheets>
    <sheet name="Référencement" sheetId="2" r:id="rId1"/>
    <sheet name="Etape 1 - surface" sheetId="29" r:id="rId2"/>
    <sheet name="Etape 2 - calcul VAN" sheetId="26" r:id="rId3"/>
    <sheet name="Etape 3 - comparaison VAN" sheetId="1" r:id="rId4"/>
    <sheet name="Fonction de prix" sheetId="28" r:id="rId5"/>
    <sheet name="Acronyme" sheetId="30" r:id="rId6"/>
  </sheets>
  <externalReferences>
    <externalReference r:id="rId7"/>
  </externalReferences>
  <definedNames>
    <definedName name="_xlnm._FilterDatabase" localSheetId="2" hidden="1">'Etape 2 - calcul VAN'!$A$11:$BD$397</definedName>
    <definedName name="_xlnm._FilterDatabase" localSheetId="4" hidden="1">'Fonction de prix'!$A$1:$F$15</definedName>
    <definedName name="AccPS">'[1]REA-PIN-NOIR-Fert2'!$C$58</definedName>
    <definedName name="Ci">#REF!</definedName>
    <definedName name="CS_BE">'[1]REA-PIN-NOIR-Fert2'!$B$48</definedName>
    <definedName name="CS_BIPAP">'[1]REA-PIN-NOIR-Fert2'!$B$47</definedName>
    <definedName name="CS_BIPX">'[1]REA-PIN-NOIR-Fert2'!$B$46</definedName>
    <definedName name="CS_BO">'[1]REA-PIN-NOIR-Fert2'!$B$45</definedName>
    <definedName name="CS_dyn_F2">#REF!</definedName>
    <definedName name="Ct">#REF!</definedName>
    <definedName name="n">#REF!</definedName>
    <definedName name="PA_F1">#REF!</definedName>
    <definedName name="PL_F2">#REF!</definedName>
    <definedName name="PO1_5" comment="Données Capsis">#REF!</definedName>
    <definedName name="r_">#REF!</definedName>
    <definedName name="R0">#REF!</definedName>
    <definedName name="Ri">#REF!</definedName>
    <definedName name="Rt">#REF!</definedName>
    <definedName name="S">'[1]REA-MODELE-agencePA'!$C$3</definedName>
    <definedName name="Srob">'[1]REA-MODELE-agencePA'!$C$31</definedName>
    <definedName name="t">#REF!</definedName>
    <definedName name="VANannuelle">#REF!</definedName>
    <definedName name="_xlnm.Print_Area" localSheetId="3">'Etape 3 - comparaison VAN'!$A$1:$J$31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G22" i="1"/>
  <c r="I25" i="1"/>
  <c r="G25" i="1" s="1"/>
  <c r="BA125" i="26"/>
  <c r="AX125" i="26"/>
  <c r="AW102" i="26"/>
  <c r="AW125" i="26"/>
  <c r="AW124" i="26"/>
  <c r="D9" i="1" l="1"/>
  <c r="AX102" i="26"/>
  <c r="BA102" i="26" s="1"/>
  <c r="AW103" i="26"/>
  <c r="AW39" i="26"/>
  <c r="AW21" i="26"/>
  <c r="AX21" i="26" s="1"/>
  <c r="BA21" i="26" s="1"/>
  <c r="AW17" i="26"/>
  <c r="AX17" i="26" s="1"/>
  <c r="AW19" i="26"/>
  <c r="BA39" i="26" l="1"/>
  <c r="AX39" i="26"/>
  <c r="BA17" i="26"/>
  <c r="AY37" i="26"/>
  <c r="AX19" i="26"/>
  <c r="BA19" i="26" s="1"/>
  <c r="B2" i="29"/>
  <c r="AY44" i="26" l="1"/>
  <c r="AV18" i="26" l="1"/>
  <c r="C44" i="26"/>
  <c r="AW44" i="26" s="1"/>
  <c r="AX44" i="26" s="1"/>
  <c r="C239" i="26"/>
  <c r="AW239" i="26" s="1"/>
  <c r="AX239" i="26" s="1"/>
  <c r="BA239" i="26" s="1"/>
  <c r="C188" i="26"/>
  <c r="AW188" i="26" s="1"/>
  <c r="AX188" i="26" s="1"/>
  <c r="BA188" i="26" s="1"/>
  <c r="C132" i="26"/>
  <c r="AW132" i="26" s="1"/>
  <c r="AX132" i="26" s="1"/>
  <c r="BA132" i="26" s="1"/>
  <c r="C69" i="26"/>
  <c r="AW69" i="26" s="1"/>
  <c r="AX69" i="26" s="1"/>
  <c r="BA69" i="26" s="1"/>
  <c r="C30" i="26"/>
  <c r="AW30" i="26" s="1"/>
  <c r="AX30" i="26" s="1"/>
  <c r="BA30" i="26" s="1"/>
  <c r="AU69" i="26"/>
  <c r="AU132" i="26"/>
  <c r="AU188" i="26"/>
  <c r="AU239" i="26"/>
  <c r="AU30" i="26"/>
  <c r="BA44" i="26" l="1"/>
  <c r="AW171" i="26"/>
  <c r="AW131" i="26"/>
  <c r="AW97" i="26"/>
  <c r="AW76" i="26"/>
  <c r="AW60" i="26"/>
  <c r="AW43" i="26"/>
  <c r="AW29" i="26"/>
  <c r="AW23" i="26"/>
  <c r="AW167" i="26" l="1"/>
  <c r="AW120" i="26"/>
  <c r="AW96" i="26"/>
  <c r="AW198" i="26"/>
  <c r="AX198" i="26" s="1"/>
  <c r="AW246" i="26"/>
  <c r="AX246" i="26" s="1"/>
  <c r="AW298" i="26"/>
  <c r="AX298" i="26" s="1"/>
  <c r="AW347" i="26"/>
  <c r="AX347" i="26" s="1"/>
  <c r="AW370" i="26"/>
  <c r="AX370" i="26" s="1"/>
  <c r="AW378" i="26"/>
  <c r="AX378" i="26" s="1"/>
  <c r="AW199" i="26"/>
  <c r="AX199" i="26" s="1"/>
  <c r="AW247" i="26"/>
  <c r="AX247" i="26" s="1"/>
  <c r="AW290" i="26"/>
  <c r="AX290" i="26" s="1"/>
  <c r="AW340" i="26"/>
  <c r="AX340" i="26" s="1"/>
  <c r="AW372" i="26"/>
  <c r="AX372" i="26" s="1"/>
  <c r="AW382" i="26"/>
  <c r="AX382" i="26" s="1"/>
  <c r="AW392" i="26"/>
  <c r="AX392" i="26" s="1"/>
  <c r="AU392" i="26"/>
  <c r="AY392" i="26" s="1"/>
  <c r="AU382" i="26"/>
  <c r="AY382" i="26" s="1"/>
  <c r="AU372" i="26"/>
  <c r="AY372" i="26" s="1"/>
  <c r="AU340" i="26"/>
  <c r="AY340" i="26" s="1"/>
  <c r="AU290" i="26"/>
  <c r="AY290" i="26" s="1"/>
  <c r="AU247" i="26"/>
  <c r="AY247" i="26" s="1"/>
  <c r="AU199" i="26"/>
  <c r="AY199" i="26" s="1"/>
  <c r="AU378" i="26"/>
  <c r="AY378" i="26" s="1"/>
  <c r="AU370" i="26"/>
  <c r="AY370" i="26" s="1"/>
  <c r="AU347" i="26"/>
  <c r="AY347" i="26" s="1"/>
  <c r="AU298" i="26"/>
  <c r="AY298" i="26" s="1"/>
  <c r="AU246" i="26"/>
  <c r="AY246" i="26" s="1"/>
  <c r="AU198" i="26"/>
  <c r="AY198" i="26" s="1"/>
  <c r="AW135" i="26"/>
  <c r="AX135" i="26" s="1"/>
  <c r="AW183" i="26"/>
  <c r="AX183" i="26" s="1"/>
  <c r="AW230" i="26"/>
  <c r="AX230" i="26" s="1"/>
  <c r="AW261" i="26"/>
  <c r="AX261" i="26" s="1"/>
  <c r="AW297" i="26"/>
  <c r="AX297" i="26" s="1"/>
  <c r="AW324" i="26"/>
  <c r="AX324" i="26" s="1"/>
  <c r="AW136" i="26"/>
  <c r="AX136" i="26" s="1"/>
  <c r="AW173" i="26"/>
  <c r="AX173" i="26" s="1"/>
  <c r="AW217" i="26"/>
  <c r="AX217" i="26" s="1"/>
  <c r="AW259" i="26"/>
  <c r="AX259" i="26" s="1"/>
  <c r="AW289" i="26"/>
  <c r="AX289" i="26" s="1"/>
  <c r="AW325" i="26"/>
  <c r="AX325" i="26" s="1"/>
  <c r="AW351" i="26"/>
  <c r="AX351" i="26" s="1"/>
  <c r="AW366" i="26"/>
  <c r="AX366" i="26" s="1"/>
  <c r="AU366" i="26"/>
  <c r="AY366" i="26" s="1"/>
  <c r="AU351" i="26"/>
  <c r="AY351" i="26" s="1"/>
  <c r="AU325" i="26"/>
  <c r="AY325" i="26" s="1"/>
  <c r="AU289" i="26"/>
  <c r="AY289" i="26" s="1"/>
  <c r="AU259" i="26"/>
  <c r="AY259" i="26" s="1"/>
  <c r="AU217" i="26"/>
  <c r="AY217" i="26" s="1"/>
  <c r="AU173" i="26"/>
  <c r="AY173" i="26" s="1"/>
  <c r="AU136" i="26"/>
  <c r="AY136" i="26" s="1"/>
  <c r="AU324" i="26"/>
  <c r="AY324" i="26" s="1"/>
  <c r="AU297" i="26"/>
  <c r="AY297" i="26" s="1"/>
  <c r="AU261" i="26"/>
  <c r="AY261" i="26" s="1"/>
  <c r="AU230" i="26"/>
  <c r="AY230" i="26" s="1"/>
  <c r="AU183" i="26"/>
  <c r="AY183" i="26" s="1"/>
  <c r="AU135" i="26"/>
  <c r="AY135" i="26" s="1"/>
  <c r="AU319" i="26"/>
  <c r="AY319" i="26" s="1"/>
  <c r="AU288" i="26"/>
  <c r="AY288" i="26" s="1"/>
  <c r="AU260" i="26"/>
  <c r="AY260" i="26" s="1"/>
  <c r="AU234" i="26"/>
  <c r="AY234" i="26" s="1"/>
  <c r="AU210" i="26"/>
  <c r="AY210" i="26" s="1"/>
  <c r="AU182" i="26"/>
  <c r="AY182" i="26" s="1"/>
  <c r="AU155" i="26"/>
  <c r="AY155" i="26" s="1"/>
  <c r="AU119" i="26"/>
  <c r="AY119" i="26" s="1"/>
  <c r="AU95" i="26"/>
  <c r="AY95" i="26" s="1"/>
  <c r="AU308" i="26"/>
  <c r="AY308" i="26" s="1"/>
  <c r="AU276" i="26"/>
  <c r="AY276" i="26" s="1"/>
  <c r="AU253" i="26"/>
  <c r="AY253" i="26" s="1"/>
  <c r="AU229" i="26"/>
  <c r="AY229" i="26" s="1"/>
  <c r="AU193" i="26"/>
  <c r="AY193" i="26" s="1"/>
  <c r="AU161" i="26"/>
  <c r="AY161" i="26" s="1"/>
  <c r="AU128" i="26"/>
  <c r="AY128" i="26" s="1"/>
  <c r="AU94" i="26"/>
  <c r="AY94" i="26" s="1"/>
  <c r="AW95" i="26"/>
  <c r="AX95" i="26" s="1"/>
  <c r="AW119" i="26"/>
  <c r="AX119" i="26" s="1"/>
  <c r="AW155" i="26"/>
  <c r="AX155" i="26" s="1"/>
  <c r="AW182" i="26"/>
  <c r="AX182" i="26" s="1"/>
  <c r="AW210" i="26"/>
  <c r="AX210" i="26" s="1"/>
  <c r="AW234" i="26"/>
  <c r="AX234" i="26" s="1"/>
  <c r="AW260" i="26"/>
  <c r="AX260" i="26" s="1"/>
  <c r="AW288" i="26"/>
  <c r="AX288" i="26" s="1"/>
  <c r="AW319" i="26"/>
  <c r="AX319" i="26" s="1"/>
  <c r="BA382" i="26" l="1"/>
  <c r="BA247" i="26"/>
  <c r="BA289" i="26"/>
  <c r="BA392" i="26"/>
  <c r="BA136" i="26"/>
  <c r="BA199" i="26"/>
  <c r="BA366" i="26"/>
  <c r="BA259" i="26"/>
  <c r="BA324" i="26"/>
  <c r="BA183" i="26"/>
  <c r="BA378" i="26"/>
  <c r="BA370" i="26"/>
  <c r="BA230" i="26"/>
  <c r="BA351" i="26"/>
  <c r="BA217" i="26"/>
  <c r="BA297" i="26"/>
  <c r="BA135" i="26"/>
  <c r="BA347" i="26"/>
  <c r="BA372" i="26"/>
  <c r="BA298" i="26"/>
  <c r="BA325" i="26"/>
  <c r="BA173" i="26"/>
  <c r="BA261" i="26"/>
  <c r="BA340" i="26"/>
  <c r="BA246" i="26"/>
  <c r="BA290" i="26"/>
  <c r="BA198" i="26"/>
  <c r="BA260" i="26"/>
  <c r="BA155" i="26"/>
  <c r="BA234" i="26"/>
  <c r="BA288" i="26"/>
  <c r="BA182" i="26"/>
  <c r="BA319" i="26"/>
  <c r="BA210" i="26"/>
  <c r="BA119" i="26"/>
  <c r="BA95" i="26"/>
  <c r="AW308" i="26" l="1"/>
  <c r="AX308" i="26" s="1"/>
  <c r="BA308" i="26" s="1"/>
  <c r="AY330" i="26"/>
  <c r="AY58" i="26"/>
  <c r="AY127" i="26" l="1"/>
  <c r="AY206" i="26"/>
  <c r="AY304" i="26"/>
  <c r="AY272" i="26"/>
  <c r="AY208" i="26"/>
  <c r="AY130" i="26"/>
  <c r="AY59" i="26"/>
  <c r="AY303" i="26"/>
  <c r="AY271" i="26"/>
  <c r="AY207" i="26"/>
  <c r="AY129" i="26"/>
  <c r="AY270" i="26"/>
  <c r="AY79" i="26"/>
  <c r="AY78" i="26"/>
  <c r="AY77" i="26"/>
  <c r="AY75" i="26"/>
  <c r="AY74" i="26"/>
  <c r="AY73" i="26"/>
  <c r="AY72" i="26"/>
  <c r="AY71" i="26"/>
  <c r="AW59" i="26"/>
  <c r="AX59" i="26" s="1"/>
  <c r="AW130" i="26"/>
  <c r="AX130" i="26" s="1"/>
  <c r="AW208" i="26"/>
  <c r="AX208" i="26" s="1"/>
  <c r="AW272" i="26"/>
  <c r="AX272" i="26" s="1"/>
  <c r="AW304" i="26"/>
  <c r="AX304" i="26" s="1"/>
  <c r="AW129" i="26"/>
  <c r="AX129" i="26" s="1"/>
  <c r="AW58" i="26"/>
  <c r="AX58" i="26" s="1"/>
  <c r="AW207" i="26"/>
  <c r="AX207" i="26" s="1"/>
  <c r="AW271" i="26"/>
  <c r="AX271" i="26" s="1"/>
  <c r="AW303" i="26"/>
  <c r="AX303" i="26" s="1"/>
  <c r="K16" i="28"/>
  <c r="K15" i="28"/>
  <c r="BA207" i="26" l="1"/>
  <c r="BA304" i="26"/>
  <c r="BA130" i="26"/>
  <c r="BA129" i="26"/>
  <c r="BA303" i="26"/>
  <c r="BA272" i="26"/>
  <c r="BA271" i="26"/>
  <c r="BA59" i="26"/>
  <c r="BA208" i="26"/>
  <c r="BA58" i="26"/>
  <c r="AW22" i="26" l="1"/>
  <c r="AW28" i="26"/>
  <c r="AW40" i="26"/>
  <c r="AW51" i="26"/>
  <c r="AW70" i="26"/>
  <c r="AW94" i="26"/>
  <c r="AX94" i="26" s="1"/>
  <c r="BA94" i="26" s="1"/>
  <c r="AW128" i="26"/>
  <c r="AX128" i="26" s="1"/>
  <c r="BA128" i="26" s="1"/>
  <c r="AW161" i="26"/>
  <c r="AX161" i="26" s="1"/>
  <c r="BA161" i="26" s="1"/>
  <c r="AW193" i="26"/>
  <c r="AX193" i="26" s="1"/>
  <c r="BA193" i="26" s="1"/>
  <c r="AW229" i="26"/>
  <c r="AX229" i="26" s="1"/>
  <c r="BA229" i="26" s="1"/>
  <c r="AW253" i="26"/>
  <c r="AX253" i="26" s="1"/>
  <c r="BA253" i="26" s="1"/>
  <c r="AW276" i="26"/>
  <c r="AX276" i="26" s="1"/>
  <c r="BA276" i="26" s="1"/>
  <c r="AW127" i="26"/>
  <c r="AX127" i="26" s="1"/>
  <c r="BA127" i="26" s="1"/>
  <c r="AW206" i="26"/>
  <c r="AX206" i="26" s="1"/>
  <c r="BA206" i="26" s="1"/>
  <c r="AW270" i="26"/>
  <c r="AX270" i="26" s="1"/>
  <c r="BA270" i="26" s="1"/>
  <c r="AW330" i="26"/>
  <c r="AX330" i="26" s="1"/>
  <c r="BA330" i="26" s="1"/>
  <c r="AW18" i="26"/>
  <c r="D10" i="1" l="1"/>
  <c r="AW14" i="26"/>
  <c r="AX14" i="26" s="1"/>
  <c r="B397" i="26"/>
  <c r="B396" i="26"/>
  <c r="B395" i="26"/>
  <c r="B394" i="26"/>
  <c r="B393" i="26"/>
  <c r="B391" i="26"/>
  <c r="B390" i="26"/>
  <c r="B389" i="26"/>
  <c r="B388" i="26"/>
  <c r="B387" i="26"/>
  <c r="B386" i="26"/>
  <c r="B385" i="26"/>
  <c r="B384" i="26"/>
  <c r="B383" i="26"/>
  <c r="B381" i="26"/>
  <c r="B380" i="26"/>
  <c r="B379" i="26"/>
  <c r="B377" i="26"/>
  <c r="B376" i="26"/>
  <c r="B375" i="26"/>
  <c r="B374" i="26"/>
  <c r="B373" i="26"/>
  <c r="B371" i="26"/>
  <c r="B369" i="26"/>
  <c r="B368" i="26"/>
  <c r="B367" i="26"/>
  <c r="B365" i="26"/>
  <c r="B364" i="26"/>
  <c r="B363" i="26"/>
  <c r="B362" i="26"/>
  <c r="B361" i="26"/>
  <c r="B360" i="26"/>
  <c r="B359" i="26"/>
  <c r="B358" i="26"/>
  <c r="B357" i="26"/>
  <c r="B356" i="26"/>
  <c r="B355" i="26"/>
  <c r="B354" i="26"/>
  <c r="B353" i="26"/>
  <c r="B352" i="26"/>
  <c r="B350" i="26"/>
  <c r="B349" i="26"/>
  <c r="B348" i="26"/>
  <c r="B346" i="26"/>
  <c r="B345" i="26"/>
  <c r="B344" i="26"/>
  <c r="B343" i="26"/>
  <c r="B342" i="26"/>
  <c r="B341" i="26"/>
  <c r="B339" i="26"/>
  <c r="B338" i="26"/>
  <c r="B337" i="26"/>
  <c r="B336" i="26"/>
  <c r="B335" i="26"/>
  <c r="B334" i="26"/>
  <c r="B333" i="26"/>
  <c r="B332" i="26"/>
  <c r="B331" i="26"/>
  <c r="B329" i="26"/>
  <c r="B328" i="26"/>
  <c r="B327" i="26"/>
  <c r="B326" i="26"/>
  <c r="B323" i="26"/>
  <c r="B322" i="26"/>
  <c r="B321" i="26"/>
  <c r="B320" i="26"/>
  <c r="B318" i="26"/>
  <c r="B317" i="26"/>
  <c r="B316" i="26"/>
  <c r="B315" i="26"/>
  <c r="B314" i="26"/>
  <c r="B313" i="26"/>
  <c r="B312" i="26"/>
  <c r="B311" i="26"/>
  <c r="B310" i="26"/>
  <c r="B309" i="26"/>
  <c r="B307" i="26"/>
  <c r="B306" i="26"/>
  <c r="B305" i="26"/>
  <c r="B302" i="26"/>
  <c r="B301" i="26"/>
  <c r="B300" i="26"/>
  <c r="B299" i="26"/>
  <c r="B296" i="26"/>
  <c r="B295" i="26"/>
  <c r="B294" i="26"/>
  <c r="B293" i="26"/>
  <c r="B292" i="26"/>
  <c r="B291" i="26"/>
  <c r="B287" i="26"/>
  <c r="B286" i="26"/>
  <c r="B285" i="26"/>
  <c r="B284" i="26"/>
  <c r="B283" i="26"/>
  <c r="B282" i="26"/>
  <c r="B281" i="26"/>
  <c r="B280" i="26"/>
  <c r="B279" i="26"/>
  <c r="B278" i="26"/>
  <c r="B277" i="26"/>
  <c r="B275" i="26"/>
  <c r="B274" i="26"/>
  <c r="B273" i="26"/>
  <c r="B269" i="26"/>
  <c r="B268" i="26"/>
  <c r="B267" i="26"/>
  <c r="B266" i="26"/>
  <c r="B265" i="26"/>
  <c r="B264" i="26"/>
  <c r="B263" i="26"/>
  <c r="B262" i="26"/>
  <c r="B258" i="26"/>
  <c r="B257" i="26"/>
  <c r="B256" i="26"/>
  <c r="B255" i="26"/>
  <c r="B254" i="26"/>
  <c r="B252" i="26"/>
  <c r="B251" i="26"/>
  <c r="B250" i="26"/>
  <c r="B249" i="26"/>
  <c r="B248" i="26"/>
  <c r="B245" i="26"/>
  <c r="B244" i="26"/>
  <c r="B243" i="26"/>
  <c r="B242" i="26"/>
  <c r="B241" i="26"/>
  <c r="B240" i="26"/>
  <c r="B238" i="26"/>
  <c r="B237" i="26"/>
  <c r="B236" i="26"/>
  <c r="B235" i="26"/>
  <c r="B233" i="26"/>
  <c r="B232" i="26"/>
  <c r="B231" i="26"/>
  <c r="B228" i="26"/>
  <c r="B227" i="26"/>
  <c r="B226" i="26"/>
  <c r="B225" i="26"/>
  <c r="B224" i="26"/>
  <c r="B223" i="26"/>
  <c r="B222" i="26"/>
  <c r="B221" i="26"/>
  <c r="B220" i="26"/>
  <c r="B219" i="26"/>
  <c r="B218" i="26"/>
  <c r="B216" i="26"/>
  <c r="B215" i="26"/>
  <c r="B214" i="26"/>
  <c r="B213" i="26"/>
  <c r="B212" i="26"/>
  <c r="B211" i="26"/>
  <c r="B209" i="26"/>
  <c r="B205" i="26"/>
  <c r="B204" i="26"/>
  <c r="B203" i="26"/>
  <c r="B202" i="26"/>
  <c r="B201" i="26"/>
  <c r="B200" i="26"/>
  <c r="B197" i="26"/>
  <c r="B196" i="26"/>
  <c r="B195" i="26"/>
  <c r="B194" i="26"/>
  <c r="B192" i="26"/>
  <c r="B191" i="26"/>
  <c r="B190" i="26"/>
  <c r="B189" i="26"/>
  <c r="B187" i="26"/>
  <c r="B186" i="26"/>
  <c r="B185" i="26"/>
  <c r="B184" i="26"/>
  <c r="B181" i="26"/>
  <c r="B180" i="26"/>
  <c r="B179" i="26"/>
  <c r="B178" i="26"/>
  <c r="B177" i="26"/>
  <c r="B176" i="26"/>
  <c r="B175" i="26"/>
  <c r="B174" i="26"/>
  <c r="B172" i="26"/>
  <c r="B170" i="26"/>
  <c r="B169" i="26"/>
  <c r="B168" i="26"/>
  <c r="B166" i="26"/>
  <c r="B165" i="26"/>
  <c r="B164" i="26"/>
  <c r="B163" i="26"/>
  <c r="B162" i="26"/>
  <c r="B160" i="26"/>
  <c r="B159" i="26"/>
  <c r="B158" i="26"/>
  <c r="B157" i="26"/>
  <c r="B156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4" i="26"/>
  <c r="B133" i="26"/>
  <c r="B126" i="26"/>
  <c r="B124" i="26"/>
  <c r="B123" i="26"/>
  <c r="B122" i="26"/>
  <c r="B121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1" i="26"/>
  <c r="B100" i="26"/>
  <c r="B99" i="26"/>
  <c r="B98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5" i="26"/>
  <c r="B74" i="26"/>
  <c r="B73" i="26"/>
  <c r="B72" i="26"/>
  <c r="B71" i="26"/>
  <c r="B68" i="26"/>
  <c r="B67" i="26"/>
  <c r="B66" i="26"/>
  <c r="B65" i="26"/>
  <c r="B64" i="26"/>
  <c r="B63" i="26"/>
  <c r="B62" i="26"/>
  <c r="B61" i="26"/>
  <c r="B57" i="26"/>
  <c r="B56" i="26"/>
  <c r="B55" i="26"/>
  <c r="B54" i="26"/>
  <c r="B53" i="26"/>
  <c r="B52" i="26"/>
  <c r="B50" i="26"/>
  <c r="B49" i="26"/>
  <c r="B48" i="26"/>
  <c r="B47" i="26"/>
  <c r="B46" i="26"/>
  <c r="B45" i="26"/>
  <c r="B42" i="26"/>
  <c r="B41" i="26"/>
  <c r="B38" i="26"/>
  <c r="B37" i="26"/>
  <c r="B36" i="26"/>
  <c r="B35" i="26"/>
  <c r="B34" i="26"/>
  <c r="B33" i="26"/>
  <c r="B32" i="26"/>
  <c r="B31" i="26"/>
  <c r="B27" i="26"/>
  <c r="B26" i="26"/>
  <c r="B25" i="26"/>
  <c r="B24" i="26"/>
  <c r="A397" i="26"/>
  <c r="A396" i="26"/>
  <c r="A395" i="26"/>
  <c r="A394" i="26"/>
  <c r="A393" i="26"/>
  <c r="A391" i="26"/>
  <c r="A390" i="26"/>
  <c r="A389" i="26"/>
  <c r="A388" i="26"/>
  <c r="A387" i="26"/>
  <c r="A386" i="26"/>
  <c r="A385" i="26"/>
  <c r="A384" i="26"/>
  <c r="A383" i="26"/>
  <c r="A381" i="26"/>
  <c r="A380" i="26"/>
  <c r="A379" i="26"/>
  <c r="A377" i="26"/>
  <c r="A376" i="26"/>
  <c r="A375" i="26"/>
  <c r="A374" i="26"/>
  <c r="A373" i="26"/>
  <c r="A371" i="26"/>
  <c r="A369" i="26"/>
  <c r="A368" i="26"/>
  <c r="A367" i="26"/>
  <c r="A365" i="26"/>
  <c r="A364" i="26"/>
  <c r="A363" i="26"/>
  <c r="A362" i="26"/>
  <c r="A361" i="26"/>
  <c r="A360" i="26"/>
  <c r="A359" i="26"/>
  <c r="A358" i="26"/>
  <c r="A357" i="26"/>
  <c r="A356" i="26"/>
  <c r="A355" i="26"/>
  <c r="A354" i="26"/>
  <c r="A353" i="26"/>
  <c r="A352" i="26"/>
  <c r="A350" i="26"/>
  <c r="A349" i="26"/>
  <c r="A348" i="26"/>
  <c r="A346" i="26"/>
  <c r="A345" i="26"/>
  <c r="A344" i="26"/>
  <c r="A343" i="26"/>
  <c r="A342" i="26"/>
  <c r="A341" i="26"/>
  <c r="A339" i="26"/>
  <c r="A338" i="26"/>
  <c r="A337" i="26"/>
  <c r="A336" i="26"/>
  <c r="A335" i="26"/>
  <c r="A334" i="26"/>
  <c r="A333" i="26"/>
  <c r="A332" i="26"/>
  <c r="A331" i="26"/>
  <c r="A329" i="26"/>
  <c r="A328" i="26"/>
  <c r="A327" i="26"/>
  <c r="A326" i="26"/>
  <c r="A323" i="26"/>
  <c r="A322" i="26"/>
  <c r="A321" i="26"/>
  <c r="A320" i="26"/>
  <c r="A318" i="26"/>
  <c r="A317" i="26"/>
  <c r="A316" i="26"/>
  <c r="A315" i="26"/>
  <c r="A314" i="26"/>
  <c r="A313" i="26"/>
  <c r="A312" i="26"/>
  <c r="A311" i="26"/>
  <c r="A310" i="26"/>
  <c r="A309" i="26"/>
  <c r="A307" i="26"/>
  <c r="A306" i="26"/>
  <c r="A305" i="26"/>
  <c r="A302" i="26"/>
  <c r="A301" i="26"/>
  <c r="A300" i="26"/>
  <c r="A299" i="26"/>
  <c r="A296" i="26"/>
  <c r="A295" i="26"/>
  <c r="A294" i="26"/>
  <c r="A293" i="26"/>
  <c r="A292" i="26"/>
  <c r="A291" i="26"/>
  <c r="A287" i="26"/>
  <c r="A286" i="26"/>
  <c r="A285" i="26"/>
  <c r="A284" i="26"/>
  <c r="A283" i="26"/>
  <c r="A282" i="26"/>
  <c r="A281" i="26"/>
  <c r="A280" i="26"/>
  <c r="A279" i="26"/>
  <c r="A278" i="26"/>
  <c r="A277" i="26"/>
  <c r="A275" i="26"/>
  <c r="A274" i="26"/>
  <c r="A273" i="26"/>
  <c r="A269" i="26"/>
  <c r="A268" i="26"/>
  <c r="A267" i="26"/>
  <c r="A266" i="26"/>
  <c r="A265" i="26"/>
  <c r="A264" i="26"/>
  <c r="A263" i="26"/>
  <c r="A262" i="26"/>
  <c r="A258" i="26"/>
  <c r="A257" i="26"/>
  <c r="A256" i="26"/>
  <c r="A255" i="26"/>
  <c r="A254" i="26"/>
  <c r="A252" i="26"/>
  <c r="A251" i="26"/>
  <c r="A250" i="26"/>
  <c r="A249" i="26"/>
  <c r="A248" i="26"/>
  <c r="A245" i="26"/>
  <c r="A244" i="26"/>
  <c r="A243" i="26"/>
  <c r="A242" i="26"/>
  <c r="A241" i="26"/>
  <c r="A240" i="26"/>
  <c r="A238" i="26"/>
  <c r="A237" i="26"/>
  <c r="A236" i="26"/>
  <c r="A235" i="26"/>
  <c r="A233" i="26"/>
  <c r="A232" i="26"/>
  <c r="A231" i="26"/>
  <c r="A228" i="26"/>
  <c r="A227" i="26"/>
  <c r="A226" i="26"/>
  <c r="A225" i="26"/>
  <c r="A224" i="26"/>
  <c r="A223" i="26"/>
  <c r="A222" i="26"/>
  <c r="A221" i="26"/>
  <c r="A220" i="26"/>
  <c r="A219" i="26"/>
  <c r="A218" i="26"/>
  <c r="A216" i="26"/>
  <c r="A215" i="26"/>
  <c r="A214" i="26"/>
  <c r="A213" i="26"/>
  <c r="A212" i="26"/>
  <c r="A211" i="26"/>
  <c r="A209" i="26"/>
  <c r="A205" i="26"/>
  <c r="A204" i="26"/>
  <c r="A203" i="26"/>
  <c r="A202" i="26"/>
  <c r="A201" i="26"/>
  <c r="A200" i="26"/>
  <c r="A197" i="26"/>
  <c r="A196" i="26"/>
  <c r="A195" i="26"/>
  <c r="A194" i="26"/>
  <c r="A192" i="26"/>
  <c r="A191" i="26"/>
  <c r="A190" i="26"/>
  <c r="A189" i="26"/>
  <c r="A187" i="26"/>
  <c r="A186" i="26"/>
  <c r="A185" i="26"/>
  <c r="A184" i="26"/>
  <c r="A181" i="26"/>
  <c r="A180" i="26"/>
  <c r="A179" i="26"/>
  <c r="A178" i="26"/>
  <c r="A177" i="26"/>
  <c r="A176" i="26"/>
  <c r="A175" i="26"/>
  <c r="A174" i="26"/>
  <c r="A172" i="26"/>
  <c r="A170" i="26"/>
  <c r="A169" i="26"/>
  <c r="A168" i="26"/>
  <c r="A166" i="26"/>
  <c r="A165" i="26"/>
  <c r="A164" i="26"/>
  <c r="A163" i="26"/>
  <c r="A162" i="26"/>
  <c r="A160" i="26"/>
  <c r="A159" i="26"/>
  <c r="A158" i="26"/>
  <c r="A157" i="26"/>
  <c r="A156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4" i="26"/>
  <c r="A133" i="26"/>
  <c r="A126" i="26"/>
  <c r="A124" i="26"/>
  <c r="A123" i="26"/>
  <c r="A122" i="26"/>
  <c r="A121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1" i="26"/>
  <c r="A100" i="26"/>
  <c r="A99" i="26"/>
  <c r="A98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5" i="26"/>
  <c r="A74" i="26"/>
  <c r="A73" i="26"/>
  <c r="A72" i="26"/>
  <c r="A71" i="26"/>
  <c r="A68" i="26"/>
  <c r="A67" i="26"/>
  <c r="A66" i="26"/>
  <c r="A65" i="26"/>
  <c r="A64" i="26"/>
  <c r="A63" i="26"/>
  <c r="A62" i="26"/>
  <c r="A61" i="26"/>
  <c r="A57" i="26"/>
  <c r="A56" i="26"/>
  <c r="A55" i="26"/>
  <c r="A54" i="26"/>
  <c r="A53" i="26"/>
  <c r="A52" i="26"/>
  <c r="A50" i="26"/>
  <c r="A49" i="26"/>
  <c r="A48" i="26"/>
  <c r="A47" i="26"/>
  <c r="A46" i="26"/>
  <c r="A45" i="26"/>
  <c r="A42" i="26"/>
  <c r="A41" i="26"/>
  <c r="A38" i="26"/>
  <c r="A37" i="26"/>
  <c r="A36" i="26"/>
  <c r="A35" i="26"/>
  <c r="A34" i="26"/>
  <c r="A33" i="26"/>
  <c r="A32" i="26"/>
  <c r="A31" i="26"/>
  <c r="A27" i="26"/>
  <c r="A26" i="26"/>
  <c r="A25" i="26"/>
  <c r="A24" i="26"/>
  <c r="A20" i="26"/>
  <c r="B20" i="26"/>
  <c r="F9" i="1" l="1"/>
  <c r="H25" i="1"/>
  <c r="AW16" i="26"/>
  <c r="AW15" i="26"/>
  <c r="AX15" i="26" s="1"/>
  <c r="AW13" i="26"/>
  <c r="AX13" i="26" s="1"/>
  <c r="AW12" i="26"/>
  <c r="B15" i="26"/>
  <c r="B16" i="26"/>
  <c r="B18" i="26"/>
  <c r="B22" i="26"/>
  <c r="B28" i="26"/>
  <c r="B40" i="26"/>
  <c r="B51" i="26"/>
  <c r="B70" i="26"/>
  <c r="B96" i="26"/>
  <c r="B120" i="26"/>
  <c r="B167" i="26"/>
  <c r="B12" i="26"/>
  <c r="A15" i="26"/>
  <c r="C15" i="26" s="1"/>
  <c r="A16" i="26"/>
  <c r="C16" i="26" s="1"/>
  <c r="A18" i="26"/>
  <c r="C20" i="26"/>
  <c r="AW20" i="26" s="1"/>
  <c r="A22" i="26"/>
  <c r="C25" i="26"/>
  <c r="AW25" i="26" s="1"/>
  <c r="A28" i="26"/>
  <c r="C31" i="26"/>
  <c r="AW31" i="26" s="1"/>
  <c r="C32" i="26"/>
  <c r="AW32" i="26" s="1"/>
  <c r="C33" i="26"/>
  <c r="AW33" i="26" s="1"/>
  <c r="C35" i="26"/>
  <c r="AW35" i="26" s="1"/>
  <c r="C36" i="26"/>
  <c r="AW36" i="26" s="1"/>
  <c r="A40" i="26"/>
  <c r="C41" i="26"/>
  <c r="AW41" i="26" s="1"/>
  <c r="C42" i="26"/>
  <c r="AW42" i="26" s="1"/>
  <c r="C46" i="26"/>
  <c r="AW46" i="26" s="1"/>
  <c r="C47" i="26"/>
  <c r="AW47" i="26" s="1"/>
  <c r="C50" i="26"/>
  <c r="AW50" i="26" s="1"/>
  <c r="A51" i="26"/>
  <c r="C52" i="26"/>
  <c r="AW52" i="26" s="1"/>
  <c r="C54" i="26"/>
  <c r="AW54" i="26" s="1"/>
  <c r="C55" i="26"/>
  <c r="AW55" i="26" s="1"/>
  <c r="C56" i="26"/>
  <c r="AW56" i="26" s="1"/>
  <c r="C62" i="26"/>
  <c r="AW62" i="26" s="1"/>
  <c r="C63" i="26"/>
  <c r="AW63" i="26" s="1"/>
  <c r="C65" i="26"/>
  <c r="AW65" i="26" s="1"/>
  <c r="C66" i="26"/>
  <c r="AW66" i="26" s="1"/>
  <c r="C67" i="26"/>
  <c r="AW67" i="26" s="1"/>
  <c r="A70" i="26"/>
  <c r="C72" i="26"/>
  <c r="AW72" i="26" s="1"/>
  <c r="C75" i="26"/>
  <c r="AW75" i="26" s="1"/>
  <c r="C77" i="26"/>
  <c r="AW77" i="26" s="1"/>
  <c r="C81" i="26"/>
  <c r="AW81" i="26" s="1"/>
  <c r="C84" i="26"/>
  <c r="AW84" i="26" s="1"/>
  <c r="C85" i="26"/>
  <c r="AW85" i="26" s="1"/>
  <c r="C89" i="26"/>
  <c r="AW89" i="26" s="1"/>
  <c r="C92" i="26"/>
  <c r="AW92" i="26" s="1"/>
  <c r="C93" i="26"/>
  <c r="AW93" i="26" s="1"/>
  <c r="A96" i="26"/>
  <c r="AW100" i="26"/>
  <c r="AW104" i="26"/>
  <c r="AW105" i="26"/>
  <c r="AW106" i="26"/>
  <c r="AW109" i="26"/>
  <c r="AW112" i="26"/>
  <c r="AW113" i="26"/>
  <c r="AW114" i="26"/>
  <c r="AW117" i="26"/>
  <c r="A120" i="26"/>
  <c r="AW122" i="26"/>
  <c r="AW123" i="26"/>
  <c r="AW133" i="26"/>
  <c r="AW139" i="26"/>
  <c r="AW140" i="26"/>
  <c r="AW143" i="26"/>
  <c r="AW148" i="26"/>
  <c r="AW151" i="26"/>
  <c r="AW156" i="26"/>
  <c r="AW157" i="26"/>
  <c r="AW160" i="26"/>
  <c r="AW165" i="26"/>
  <c r="AW166" i="26"/>
  <c r="A167" i="26"/>
  <c r="AW169" i="26"/>
  <c r="AW172" i="26"/>
  <c r="AW176" i="26"/>
  <c r="AW177" i="26"/>
  <c r="AW179" i="26"/>
  <c r="AW181" i="26"/>
  <c r="AW187" i="26"/>
  <c r="AW190" i="26"/>
  <c r="AW192" i="26"/>
  <c r="AW197" i="26"/>
  <c r="AW201" i="26"/>
  <c r="AW203" i="26"/>
  <c r="AW211" i="26"/>
  <c r="AW213" i="26"/>
  <c r="AW215" i="26"/>
  <c r="AW220" i="26"/>
  <c r="AW222" i="26"/>
  <c r="AW224" i="26"/>
  <c r="AW228" i="26"/>
  <c r="AW232" i="26"/>
  <c r="AW235" i="26"/>
  <c r="AW240" i="26"/>
  <c r="AW242" i="26"/>
  <c r="AW244" i="26"/>
  <c r="AW250" i="26"/>
  <c r="AW252" i="26"/>
  <c r="AW255" i="26"/>
  <c r="AW262" i="26"/>
  <c r="AW264" i="26"/>
  <c r="AW266" i="26"/>
  <c r="AW273" i="26"/>
  <c r="AW275" i="26"/>
  <c r="AW278" i="26"/>
  <c r="AW282" i="26"/>
  <c r="AW284" i="26"/>
  <c r="AW286" i="26"/>
  <c r="AW293" i="26"/>
  <c r="AW295" i="26"/>
  <c r="AW299" i="26"/>
  <c r="AW305" i="26"/>
  <c r="AW307" i="26"/>
  <c r="C310" i="26"/>
  <c r="AW310" i="26" s="1"/>
  <c r="C314" i="26"/>
  <c r="AW314" i="26" s="1"/>
  <c r="C316" i="26"/>
  <c r="AW316" i="26" s="1"/>
  <c r="C318" i="26"/>
  <c r="AW318" i="26" s="1"/>
  <c r="C323" i="26"/>
  <c r="AW323" i="26" s="1"/>
  <c r="C327" i="26"/>
  <c r="AW327" i="26" s="1"/>
  <c r="C329" i="26"/>
  <c r="AW329" i="26" s="1"/>
  <c r="C334" i="26"/>
  <c r="AW334" i="26" s="1"/>
  <c r="C336" i="26"/>
  <c r="AW336" i="26" s="1"/>
  <c r="C338" i="26"/>
  <c r="AW338" i="26" s="1"/>
  <c r="C343" i="26"/>
  <c r="AW343" i="26" s="1"/>
  <c r="C345" i="26"/>
  <c r="AW345" i="26" s="1"/>
  <c r="C348" i="26"/>
  <c r="AW348" i="26" s="1"/>
  <c r="C353" i="26"/>
  <c r="AW353" i="26" s="1"/>
  <c r="C355" i="26"/>
  <c r="AW355" i="26" s="1"/>
  <c r="C357" i="26"/>
  <c r="AW357" i="26" s="1"/>
  <c r="C361" i="26"/>
  <c r="AW361" i="26" s="1"/>
  <c r="C363" i="26"/>
  <c r="AW363" i="26" s="1"/>
  <c r="C365" i="26"/>
  <c r="AW365" i="26" s="1"/>
  <c r="C371" i="26"/>
  <c r="AW371" i="26" s="1"/>
  <c r="C374" i="26"/>
  <c r="AW374" i="26" s="1"/>
  <c r="C376" i="26"/>
  <c r="AW376" i="26" s="1"/>
  <c r="C381" i="26"/>
  <c r="AW381" i="26" s="1"/>
  <c r="C384" i="26"/>
  <c r="AW384" i="26" s="1"/>
  <c r="C386" i="26"/>
  <c r="AW386" i="26" s="1"/>
  <c r="C390" i="26"/>
  <c r="AW390" i="26" s="1"/>
  <c r="C393" i="26"/>
  <c r="AW393" i="26" s="1"/>
  <c r="C395" i="26"/>
  <c r="AW395" i="26" s="1"/>
  <c r="A12" i="26"/>
  <c r="C12" i="26" s="1"/>
  <c r="C389" i="26" l="1"/>
  <c r="AW389" i="26" s="1"/>
  <c r="C313" i="26"/>
  <c r="AW313" i="26" s="1"/>
  <c r="AW227" i="26"/>
  <c r="AW147" i="26"/>
  <c r="AW277" i="26"/>
  <c r="AW265" i="26"/>
  <c r="AW254" i="26"/>
  <c r="AW243" i="26"/>
  <c r="AW233" i="26"/>
  <c r="AW223" i="26"/>
  <c r="AW214" i="26"/>
  <c r="AW202" i="26"/>
  <c r="AW191" i="26"/>
  <c r="AW180" i="26"/>
  <c r="AW170" i="26"/>
  <c r="AW162" i="26"/>
  <c r="AW152" i="26"/>
  <c r="AW144" i="26"/>
  <c r="AW134" i="26"/>
  <c r="AW118" i="26"/>
  <c r="AW110" i="26"/>
  <c r="AW101" i="26"/>
  <c r="C64" i="26"/>
  <c r="AW64" i="26" s="1"/>
  <c r="C53" i="26"/>
  <c r="AW53" i="26" s="1"/>
  <c r="C45" i="26"/>
  <c r="AW45" i="26" s="1"/>
  <c r="C34" i="26"/>
  <c r="AW34" i="26" s="1"/>
  <c r="C24" i="26"/>
  <c r="AW24" i="26" s="1"/>
  <c r="C394" i="26"/>
  <c r="AW394" i="26" s="1"/>
  <c r="C385" i="26"/>
  <c r="AW385" i="26" s="1"/>
  <c r="C375" i="26"/>
  <c r="AW375" i="26" s="1"/>
  <c r="C364" i="26"/>
  <c r="AW364" i="26" s="1"/>
  <c r="C356" i="26"/>
  <c r="AW356" i="26" s="1"/>
  <c r="C346" i="26"/>
  <c r="AW346" i="26" s="1"/>
  <c r="C337" i="26"/>
  <c r="AW337" i="26" s="1"/>
  <c r="C328" i="26"/>
  <c r="AW328" i="26" s="1"/>
  <c r="C317" i="26"/>
  <c r="AW317" i="26" s="1"/>
  <c r="C309" i="26"/>
  <c r="AW309" i="26" s="1"/>
  <c r="AW296" i="26"/>
  <c r="AW285" i="26"/>
  <c r="C369" i="26"/>
  <c r="AW369" i="26" s="1"/>
  <c r="C352" i="26"/>
  <c r="AW352" i="26" s="1"/>
  <c r="C333" i="26"/>
  <c r="AW333" i="26" s="1"/>
  <c r="AW292" i="26"/>
  <c r="AW269" i="26"/>
  <c r="AW249" i="26"/>
  <c r="AW219" i="26"/>
  <c r="AW196" i="26"/>
  <c r="C380" i="26"/>
  <c r="AW380" i="26" s="1"/>
  <c r="C360" i="26"/>
  <c r="AW360" i="26" s="1"/>
  <c r="C342" i="26"/>
  <c r="AW342" i="26" s="1"/>
  <c r="C322" i="26"/>
  <c r="AW322" i="26" s="1"/>
  <c r="AW302" i="26"/>
  <c r="AW281" i="26"/>
  <c r="AW258" i="26"/>
  <c r="AW238" i="26"/>
  <c r="AW209" i="26"/>
  <c r="AW186" i="26"/>
  <c r="C91" i="26"/>
  <c r="AW91" i="26" s="1"/>
  <c r="C83" i="26"/>
  <c r="AW83" i="26" s="1"/>
  <c r="C74" i="26"/>
  <c r="AW74" i="26" s="1"/>
  <c r="AW141" i="26"/>
  <c r="AW149" i="26"/>
  <c r="AW158" i="26"/>
  <c r="AW168" i="26"/>
  <c r="AW178" i="26"/>
  <c r="AW189" i="26"/>
  <c r="AW200" i="26"/>
  <c r="AW212" i="26"/>
  <c r="AW221" i="26"/>
  <c r="AW231" i="26"/>
  <c r="AW241" i="26"/>
  <c r="AW251" i="26"/>
  <c r="AW263" i="26"/>
  <c r="AW274" i="26"/>
  <c r="AW283" i="26"/>
  <c r="AW294" i="26"/>
  <c r="AW306" i="26"/>
  <c r="C315" i="26"/>
  <c r="AW315" i="26" s="1"/>
  <c r="C326" i="26"/>
  <c r="AW326" i="26" s="1"/>
  <c r="C335" i="26"/>
  <c r="AW335" i="26" s="1"/>
  <c r="C344" i="26"/>
  <c r="AW344" i="26" s="1"/>
  <c r="C354" i="26"/>
  <c r="AW354" i="26" s="1"/>
  <c r="C362" i="26"/>
  <c r="AW362" i="26" s="1"/>
  <c r="C373" i="26"/>
  <c r="AW373" i="26" s="1"/>
  <c r="C383" i="26"/>
  <c r="AW383" i="26" s="1"/>
  <c r="C391" i="26"/>
  <c r="AW391" i="26" s="1"/>
  <c r="C78" i="26"/>
  <c r="AW78" i="26" s="1"/>
  <c r="C86" i="26"/>
  <c r="AW86" i="26" s="1"/>
  <c r="AW98" i="26"/>
  <c r="AW107" i="26"/>
  <c r="AW115" i="26"/>
  <c r="AW126" i="26"/>
  <c r="AW142" i="26"/>
  <c r="AW150" i="26"/>
  <c r="AW159" i="26"/>
  <c r="C48" i="26"/>
  <c r="AW48" i="26" s="1"/>
  <c r="C57" i="26"/>
  <c r="AW57" i="26" s="1"/>
  <c r="C68" i="26"/>
  <c r="AW68" i="26" s="1"/>
  <c r="C79" i="26"/>
  <c r="AW79" i="26" s="1"/>
  <c r="C87" i="26"/>
  <c r="AW87" i="26" s="1"/>
  <c r="AW99" i="26"/>
  <c r="AW108" i="26"/>
  <c r="AW116" i="26"/>
  <c r="C26" i="26"/>
  <c r="AW26" i="26" s="1"/>
  <c r="C37" i="26"/>
  <c r="AW37" i="26" s="1"/>
  <c r="C49" i="26"/>
  <c r="AW49" i="26" s="1"/>
  <c r="C61" i="26"/>
  <c r="AW61" i="26" s="1"/>
  <c r="C71" i="26"/>
  <c r="AW71" i="26" s="1"/>
  <c r="C80" i="26"/>
  <c r="AW80" i="26" s="1"/>
  <c r="C88" i="26"/>
  <c r="AW88" i="26" s="1"/>
  <c r="C27" i="26"/>
  <c r="AW27" i="26" s="1"/>
  <c r="C38" i="26"/>
  <c r="AW38" i="26" s="1"/>
  <c r="AW137" i="26"/>
  <c r="AW145" i="26"/>
  <c r="AW153" i="26"/>
  <c r="AW163" i="26"/>
  <c r="AW174" i="26"/>
  <c r="AW184" i="26"/>
  <c r="AW194" i="26"/>
  <c r="AW204" i="26"/>
  <c r="AW216" i="26"/>
  <c r="AW225" i="26"/>
  <c r="AW236" i="26"/>
  <c r="AW245" i="26"/>
  <c r="AW256" i="26"/>
  <c r="AW267" i="26"/>
  <c r="AW279" i="26"/>
  <c r="AW287" i="26"/>
  <c r="AW300" i="26"/>
  <c r="C311" i="26"/>
  <c r="AW311" i="26" s="1"/>
  <c r="C320" i="26"/>
  <c r="AW320" i="26" s="1"/>
  <c r="C331" i="26"/>
  <c r="AW331" i="26" s="1"/>
  <c r="C339" i="26"/>
  <c r="AW339" i="26" s="1"/>
  <c r="C349" i="26"/>
  <c r="AW349" i="26" s="1"/>
  <c r="C358" i="26"/>
  <c r="AW358" i="26" s="1"/>
  <c r="C367" i="26"/>
  <c r="AW367" i="26" s="1"/>
  <c r="C377" i="26"/>
  <c r="AW377" i="26" s="1"/>
  <c r="C387" i="26"/>
  <c r="AW387" i="26" s="1"/>
  <c r="C396" i="26"/>
  <c r="AW396" i="26" s="1"/>
  <c r="C73" i="26"/>
  <c r="AW73" i="26" s="1"/>
  <c r="C82" i="26"/>
  <c r="AW82" i="26" s="1"/>
  <c r="C90" i="26"/>
  <c r="AW90" i="26" s="1"/>
  <c r="AW111" i="26"/>
  <c r="AW121" i="26"/>
  <c r="AW138" i="26"/>
  <c r="AW146" i="26"/>
  <c r="AW154" i="26"/>
  <c r="AW164" i="26"/>
  <c r="AW175" i="26"/>
  <c r="AW185" i="26"/>
  <c r="AW195" i="26"/>
  <c r="AW205" i="26"/>
  <c r="AW218" i="26"/>
  <c r="AW226" i="26"/>
  <c r="AW237" i="26"/>
  <c r="AW248" i="26"/>
  <c r="AW257" i="26"/>
  <c r="AW268" i="26"/>
  <c r="AW280" i="26"/>
  <c r="AW291" i="26"/>
  <c r="AW301" i="26"/>
  <c r="C312" i="26"/>
  <c r="AW312" i="26" s="1"/>
  <c r="C321" i="26"/>
  <c r="AW321" i="26" s="1"/>
  <c r="C332" i="26"/>
  <c r="AW332" i="26" s="1"/>
  <c r="C341" i="26"/>
  <c r="AW341" i="26" s="1"/>
  <c r="C350" i="26"/>
  <c r="AW350" i="26" s="1"/>
  <c r="C359" i="26"/>
  <c r="AW359" i="26" s="1"/>
  <c r="C368" i="26"/>
  <c r="AW368" i="26" s="1"/>
  <c r="C379" i="26"/>
  <c r="AW379" i="26" s="1"/>
  <c r="C388" i="26"/>
  <c r="AW388" i="26" s="1"/>
  <c r="C397" i="26"/>
  <c r="AW397" i="26" s="1"/>
  <c r="AY348" i="26" l="1"/>
  <c r="AY328" i="26"/>
  <c r="AY301" i="26"/>
  <c r="AY267" i="26"/>
  <c r="AY236" i="26"/>
  <c r="AY205" i="26"/>
  <c r="AY170" i="26"/>
  <c r="AY122" i="26"/>
  <c r="AY393" i="26"/>
  <c r="AY389" i="26"/>
  <c r="AY380" i="26"/>
  <c r="AY371" i="26"/>
  <c r="AY339" i="26"/>
  <c r="AY286" i="26"/>
  <c r="AY226" i="26"/>
  <c r="AY294" i="26"/>
  <c r="AY275" i="26"/>
  <c r="AY251" i="26"/>
  <c r="AY224" i="26"/>
  <c r="AY195" i="26"/>
  <c r="AY164" i="26"/>
  <c r="AY140" i="26"/>
  <c r="AY104" i="26"/>
  <c r="AY368" i="26"/>
  <c r="AY356" i="26"/>
  <c r="AY343" i="26"/>
  <c r="AY321" i="26"/>
  <c r="AY293" i="26"/>
  <c r="AY274" i="26"/>
  <c r="AY250" i="26"/>
  <c r="AY223" i="26"/>
  <c r="AY194" i="26"/>
  <c r="AY163" i="26"/>
  <c r="AY139" i="26"/>
  <c r="AY103" i="26"/>
  <c r="AY361" i="26"/>
  <c r="AY345" i="26"/>
  <c r="AY322" i="26"/>
  <c r="AY292" i="26"/>
  <c r="AY265" i="26"/>
  <c r="AY242" i="26"/>
  <c r="AY216" i="26"/>
  <c r="AY185" i="26"/>
  <c r="AY157" i="26"/>
  <c r="AY50" i="26"/>
  <c r="AY99" i="26"/>
  <c r="AY138" i="26"/>
  <c r="AY168" i="26"/>
  <c r="AY56" i="26"/>
  <c r="AY80" i="26"/>
  <c r="AY107" i="26"/>
  <c r="AY146" i="26"/>
  <c r="AY338" i="26"/>
  <c r="AY318" i="26"/>
  <c r="AY258" i="26"/>
  <c r="AY186" i="26"/>
  <c r="AY327" i="26"/>
  <c r="AY300" i="26"/>
  <c r="AY257" i="26"/>
  <c r="AY204" i="26"/>
  <c r="AY121" i="26"/>
  <c r="AY326" i="26"/>
  <c r="AY299" i="26"/>
  <c r="AY266" i="26"/>
  <c r="AY225" i="26"/>
  <c r="AY169" i="26"/>
  <c r="AY105" i="26"/>
  <c r="AY317" i="26"/>
  <c r="AY285" i="26"/>
  <c r="AY235" i="26"/>
  <c r="AY203" i="26"/>
  <c r="AY150" i="26"/>
  <c r="AY84" i="26"/>
  <c r="AY189" i="26"/>
  <c r="AY154" i="26"/>
  <c r="AY108" i="26"/>
  <c r="AY57" i="26"/>
  <c r="AY232" i="26"/>
  <c r="AY200" i="26"/>
  <c r="AY162" i="26"/>
  <c r="AY117" i="26"/>
  <c r="AY83" i="26"/>
  <c r="AY62" i="26"/>
  <c r="AY337" i="26"/>
  <c r="AY331" i="26"/>
  <c r="AY306" i="26"/>
  <c r="AY273" i="26"/>
  <c r="AY240" i="26"/>
  <c r="AY212" i="26"/>
  <c r="AY178" i="26"/>
  <c r="AY145" i="26"/>
  <c r="AY110" i="26"/>
  <c r="AY82" i="26"/>
  <c r="AY64" i="26"/>
  <c r="AY341" i="26"/>
  <c r="AY333" i="26"/>
  <c r="AY309" i="26"/>
  <c r="AY278" i="26"/>
  <c r="AY244" i="26"/>
  <c r="AY211" i="26"/>
  <c r="AY174" i="26"/>
  <c r="AY137" i="26"/>
  <c r="AY88" i="26"/>
  <c r="AY63" i="26"/>
  <c r="AY315" i="26"/>
  <c r="AY305" i="26"/>
  <c r="AY277" i="26"/>
  <c r="AY248" i="26"/>
  <c r="AY218" i="26"/>
  <c r="AY184" i="26"/>
  <c r="AY152" i="26"/>
  <c r="AY109" i="26"/>
  <c r="AY53" i="26"/>
  <c r="AY287" i="26"/>
  <c r="AY238" i="26"/>
  <c r="AY181" i="26"/>
  <c r="AY126" i="26"/>
  <c r="AY283" i="26"/>
  <c r="AY233" i="26"/>
  <c r="AY172" i="26"/>
  <c r="AY118" i="26"/>
  <c r="AY46" i="26"/>
  <c r="AY263" i="26"/>
  <c r="AY219" i="26"/>
  <c r="AY142" i="26"/>
  <c r="AY190" i="26"/>
  <c r="AY222" i="26"/>
  <c r="AY254" i="26"/>
  <c r="AY280" i="26"/>
  <c r="AY316" i="26"/>
  <c r="AY344" i="26"/>
  <c r="AY362" i="26"/>
  <c r="AY367" i="26"/>
  <c r="AY374" i="26"/>
  <c r="AY376" i="26"/>
  <c r="AY91" i="26"/>
  <c r="AY114" i="26"/>
  <c r="AY147" i="26"/>
  <c r="AY179" i="26"/>
  <c r="AY213" i="26"/>
  <c r="AY241" i="26"/>
  <c r="AY264" i="26"/>
  <c r="AY291" i="26"/>
  <c r="AY332" i="26"/>
  <c r="AY342" i="26"/>
  <c r="AY350" i="26"/>
  <c r="AY355" i="26"/>
  <c r="AY156" i="26"/>
  <c r="M7" i="28"/>
  <c r="N7" i="28" s="1"/>
  <c r="AY54" i="26"/>
  <c r="AY89" i="26"/>
  <c r="AY112" i="26"/>
  <c r="AY148" i="26"/>
  <c r="AY175" i="26"/>
  <c r="AY201" i="26"/>
  <c r="AY231" i="26"/>
  <c r="AY55" i="26"/>
  <c r="AY90" i="26"/>
  <c r="AY113" i="26"/>
  <c r="AY149" i="26"/>
  <c r="M4" i="28"/>
  <c r="N4" i="28" s="1"/>
  <c r="AY310" i="26"/>
  <c r="AY279" i="26"/>
  <c r="AY249" i="26"/>
  <c r="AY215" i="26"/>
  <c r="AY177" i="26"/>
  <c r="AY143" i="26"/>
  <c r="AY98" i="26"/>
  <c r="AY67" i="26"/>
  <c r="AY202" i="26"/>
  <c r="AY176" i="26"/>
  <c r="AY153" i="26"/>
  <c r="AY116" i="26"/>
  <c r="AY87" i="26"/>
  <c r="AY66" i="26"/>
  <c r="AY144" i="26"/>
  <c r="AY111" i="26"/>
  <c r="AY86" i="26"/>
  <c r="AY52" i="26"/>
  <c r="M3" i="28"/>
  <c r="N3" i="28" s="1"/>
  <c r="AY397" i="26"/>
  <c r="AY396" i="26"/>
  <c r="AY395" i="26"/>
  <c r="AY394" i="26"/>
  <c r="AY391" i="26"/>
  <c r="AY385" i="26"/>
  <c r="AY377" i="26"/>
  <c r="AY369" i="26"/>
  <c r="AY354" i="26"/>
  <c r="AY336" i="26"/>
  <c r="AY314" i="26"/>
  <c r="AY284" i="26"/>
  <c r="AY256" i="26"/>
  <c r="AY221" i="26"/>
  <c r="AY192" i="26"/>
  <c r="AY160" i="26"/>
  <c r="AY124" i="26"/>
  <c r="AY93" i="26"/>
  <c r="AY388" i="26"/>
  <c r="AY386" i="26"/>
  <c r="AY384" i="26"/>
  <c r="AY381" i="26"/>
  <c r="AY375" i="26"/>
  <c r="AY364" i="26"/>
  <c r="AY349" i="26"/>
  <c r="AY329" i="26"/>
  <c r="AY302" i="26"/>
  <c r="AY269" i="26"/>
  <c r="AY245" i="26"/>
  <c r="AY220" i="26"/>
  <c r="AY191" i="26"/>
  <c r="AY159" i="26"/>
  <c r="AY123" i="26"/>
  <c r="AY92" i="26"/>
  <c r="AY65" i="26"/>
  <c r="AY363" i="26"/>
  <c r="AY360" i="26"/>
  <c r="AY358" i="26"/>
  <c r="AY353" i="26"/>
  <c r="AY335" i="26"/>
  <c r="AY313" i="26"/>
  <c r="AY282" i="26"/>
  <c r="AY252" i="26"/>
  <c r="AY228" i="26"/>
  <c r="AY197" i="26"/>
  <c r="AY166" i="26"/>
  <c r="AY141" i="26"/>
  <c r="AY106" i="26"/>
  <c r="AY81" i="26"/>
  <c r="AY320" i="26"/>
  <c r="AY312" i="26"/>
  <c r="AY307" i="26"/>
  <c r="AY296" i="26"/>
  <c r="AY268" i="26"/>
  <c r="AY243" i="26"/>
  <c r="AY214" i="26"/>
  <c r="AY187" i="26"/>
  <c r="AY158" i="26"/>
  <c r="AY134" i="26"/>
  <c r="AY101" i="26"/>
  <c r="AY61" i="26"/>
  <c r="AY365" i="26"/>
  <c r="AY359" i="26"/>
  <c r="AY352" i="26"/>
  <c r="AY346" i="26"/>
  <c r="AY323" i="26"/>
  <c r="AY295" i="26"/>
  <c r="AY262" i="26"/>
  <c r="AY237" i="26"/>
  <c r="AY209" i="26"/>
  <c r="AY180" i="26"/>
  <c r="AY151" i="26"/>
  <c r="AY115" i="26"/>
  <c r="AY85" i="26"/>
  <c r="AY68" i="26"/>
  <c r="AY390" i="26"/>
  <c r="AY387" i="26"/>
  <c r="AY383" i="26"/>
  <c r="AY379" i="26"/>
  <c r="AY373" i="26"/>
  <c r="AY357" i="26"/>
  <c r="AY334" i="26"/>
  <c r="AY311" i="26"/>
  <c r="AY281" i="26"/>
  <c r="AY255" i="26"/>
  <c r="AY227" i="26"/>
  <c r="AY196" i="26"/>
  <c r="AY165" i="26"/>
  <c r="AY133" i="26"/>
  <c r="AY100" i="26"/>
  <c r="N5" i="28"/>
  <c r="N6" i="28"/>
  <c r="N8" i="28"/>
  <c r="N9" i="28"/>
  <c r="N10" i="28"/>
  <c r="N11" i="28"/>
  <c r="N12" i="28"/>
  <c r="N13" i="28"/>
  <c r="N14" i="28"/>
  <c r="N15" i="28"/>
  <c r="N2" i="28"/>
  <c r="M15" i="28"/>
  <c r="M14" i="28"/>
  <c r="M13" i="28"/>
  <c r="M12" i="28"/>
  <c r="M11" i="28"/>
  <c r="M10" i="28"/>
  <c r="M9" i="28"/>
  <c r="M8" i="28"/>
  <c r="M6" i="28"/>
  <c r="M5" i="28"/>
  <c r="M2" i="28"/>
  <c r="K14" i="28"/>
  <c r="K13" i="28"/>
  <c r="K12" i="28"/>
  <c r="K11" i="28"/>
  <c r="K10" i="28"/>
  <c r="K9" i="28"/>
  <c r="K8" i="28"/>
  <c r="K7" i="28"/>
  <c r="K6" i="28"/>
  <c r="K5" i="28"/>
  <c r="K4" i="28"/>
  <c r="K3" i="28"/>
  <c r="K2" i="28"/>
  <c r="AV25" i="26" l="1"/>
  <c r="AX25" i="26" s="1"/>
  <c r="BA25" i="26" s="1"/>
  <c r="AV35" i="26"/>
  <c r="AX35" i="26" s="1"/>
  <c r="BA35" i="26" s="1"/>
  <c r="AV52" i="26"/>
  <c r="AX52" i="26" s="1"/>
  <c r="BA52" i="26" s="1"/>
  <c r="AV71" i="26"/>
  <c r="AX71" i="26" s="1"/>
  <c r="BA71" i="26" s="1"/>
  <c r="AV86" i="26"/>
  <c r="AX86" i="26" s="1"/>
  <c r="BA86" i="26" s="1"/>
  <c r="AV111" i="26"/>
  <c r="AX111" i="26" s="1"/>
  <c r="BA111" i="26" s="1"/>
  <c r="AV144" i="26"/>
  <c r="AX144" i="26" s="1"/>
  <c r="BA144" i="26" s="1"/>
  <c r="AV36" i="26"/>
  <c r="AX36" i="26" s="1"/>
  <c r="BA36" i="26" s="1"/>
  <c r="AV53" i="26"/>
  <c r="AX53" i="26" s="1"/>
  <c r="BA53" i="26" s="1"/>
  <c r="AV79" i="26"/>
  <c r="AX79" i="26" s="1"/>
  <c r="BA79" i="26" s="1"/>
  <c r="AV109" i="26"/>
  <c r="AX109" i="26" s="1"/>
  <c r="BA109" i="26" s="1"/>
  <c r="AV152" i="26"/>
  <c r="AX152" i="26" s="1"/>
  <c r="BA152" i="26" s="1"/>
  <c r="AV184" i="26"/>
  <c r="AX184" i="26" s="1"/>
  <c r="BA184" i="26" s="1"/>
  <c r="AV218" i="26"/>
  <c r="AX218" i="26" s="1"/>
  <c r="BA218" i="26" s="1"/>
  <c r="AV248" i="26"/>
  <c r="AX248" i="26" s="1"/>
  <c r="BA248" i="26" s="1"/>
  <c r="AV277" i="26"/>
  <c r="AX277" i="26" s="1"/>
  <c r="BA277" i="26" s="1"/>
  <c r="AV305" i="26"/>
  <c r="AX305" i="26" s="1"/>
  <c r="BA305" i="26" s="1"/>
  <c r="AV315" i="26"/>
  <c r="AX315" i="26" s="1"/>
  <c r="BA315" i="26" s="1"/>
  <c r="AV31" i="26"/>
  <c r="AX31" i="26" s="1"/>
  <c r="BA31" i="26" s="1"/>
  <c r="AV47" i="26"/>
  <c r="AX47" i="26" s="1"/>
  <c r="BA47" i="26" s="1"/>
  <c r="AV66" i="26"/>
  <c r="AX66" i="26" s="1"/>
  <c r="BA66" i="26" s="1"/>
  <c r="AV87" i="26"/>
  <c r="AX87" i="26" s="1"/>
  <c r="BA87" i="26" s="1"/>
  <c r="AV116" i="26"/>
  <c r="AX116" i="26" s="1"/>
  <c r="BA116" i="26" s="1"/>
  <c r="AV153" i="26"/>
  <c r="AX153" i="26" s="1"/>
  <c r="BA153" i="26" s="1"/>
  <c r="AV176" i="26"/>
  <c r="AX176" i="26" s="1"/>
  <c r="BA176" i="26" s="1"/>
  <c r="AV202" i="26"/>
  <c r="AX202" i="26" s="1"/>
  <c r="BA202" i="26" s="1"/>
  <c r="AV67" i="26"/>
  <c r="AX67" i="26" s="1"/>
  <c r="BA67" i="26" s="1"/>
  <c r="AV98" i="26"/>
  <c r="AX98" i="26" s="1"/>
  <c r="BA98" i="26" s="1"/>
  <c r="AV143" i="26"/>
  <c r="AX143" i="26" s="1"/>
  <c r="BA143" i="26" s="1"/>
  <c r="AV177" i="26"/>
  <c r="AX177" i="26" s="1"/>
  <c r="BA177" i="26" s="1"/>
  <c r="AV215" i="26"/>
  <c r="AX215" i="26" s="1"/>
  <c r="BA215" i="26" s="1"/>
  <c r="AV249" i="26"/>
  <c r="AX249" i="26" s="1"/>
  <c r="BA249" i="26" s="1"/>
  <c r="AV279" i="26"/>
  <c r="AX279" i="26" s="1"/>
  <c r="BA279" i="26" s="1"/>
  <c r="AV310" i="26"/>
  <c r="AX310" i="26" s="1"/>
  <c r="BA310" i="26" s="1"/>
  <c r="AV48" i="26"/>
  <c r="AX48" i="26" s="1"/>
  <c r="BA48" i="26" s="1"/>
  <c r="AV63" i="26"/>
  <c r="AX63" i="26" s="1"/>
  <c r="BA63" i="26" s="1"/>
  <c r="AV88" i="26"/>
  <c r="AX88" i="26" s="1"/>
  <c r="BA88" i="26" s="1"/>
  <c r="AV137" i="26"/>
  <c r="AX137" i="26" s="1"/>
  <c r="BA137" i="26" s="1"/>
  <c r="AV174" i="26"/>
  <c r="AX174" i="26" s="1"/>
  <c r="BA174" i="26" s="1"/>
  <c r="AV211" i="26"/>
  <c r="AX211" i="26" s="1"/>
  <c r="BA211" i="26" s="1"/>
  <c r="AV244" i="26"/>
  <c r="AX244" i="26" s="1"/>
  <c r="BA244" i="26" s="1"/>
  <c r="AV278" i="26"/>
  <c r="AX278" i="26" s="1"/>
  <c r="BA278" i="26" s="1"/>
  <c r="AV309" i="26"/>
  <c r="AX309" i="26" s="1"/>
  <c r="BA309" i="26" s="1"/>
  <c r="AV333" i="26"/>
  <c r="AX333" i="26" s="1"/>
  <c r="BA333" i="26" s="1"/>
  <c r="AV341" i="26"/>
  <c r="AX341" i="26" s="1"/>
  <c r="BA341" i="26" s="1"/>
  <c r="AV33" i="26"/>
  <c r="AX33" i="26" s="1"/>
  <c r="BA33" i="26" s="1"/>
  <c r="AV49" i="26"/>
  <c r="AX49" i="26" s="1"/>
  <c r="BA49" i="26" s="1"/>
  <c r="AV64" i="26"/>
  <c r="AX64" i="26" s="1"/>
  <c r="BA64" i="26" s="1"/>
  <c r="AV82" i="26"/>
  <c r="AX82" i="26" s="1"/>
  <c r="BA82" i="26" s="1"/>
  <c r="AV110" i="26"/>
  <c r="AX110" i="26" s="1"/>
  <c r="BA110" i="26" s="1"/>
  <c r="AV145" i="26"/>
  <c r="AX145" i="26" s="1"/>
  <c r="BA145" i="26" s="1"/>
  <c r="AV178" i="26"/>
  <c r="AX178" i="26" s="1"/>
  <c r="BA178" i="26" s="1"/>
  <c r="AV212" i="26"/>
  <c r="AX212" i="26" s="1"/>
  <c r="BA212" i="26" s="1"/>
  <c r="AV240" i="26"/>
  <c r="AX240" i="26" s="1"/>
  <c r="BA240" i="26" s="1"/>
  <c r="AV273" i="26"/>
  <c r="AX273" i="26" s="1"/>
  <c r="BA273" i="26" s="1"/>
  <c r="AV306" i="26"/>
  <c r="AX306" i="26" s="1"/>
  <c r="BA306" i="26" s="1"/>
  <c r="AV331" i="26"/>
  <c r="AX331" i="26" s="1"/>
  <c r="BA331" i="26" s="1"/>
  <c r="AV337" i="26"/>
  <c r="AX337" i="26" s="1"/>
  <c r="BA337" i="26" s="1"/>
  <c r="AV32" i="26"/>
  <c r="AX32" i="26" s="1"/>
  <c r="BA32" i="26" s="1"/>
  <c r="AV45" i="26"/>
  <c r="AX45" i="26" s="1"/>
  <c r="BA45" i="26" s="1"/>
  <c r="AV62" i="26"/>
  <c r="AX62" i="26" s="1"/>
  <c r="BA62" i="26" s="1"/>
  <c r="AV83" i="26"/>
  <c r="AX83" i="26" s="1"/>
  <c r="BA83" i="26" s="1"/>
  <c r="AV117" i="26"/>
  <c r="AX117" i="26" s="1"/>
  <c r="BA117" i="26" s="1"/>
  <c r="AV162" i="26"/>
  <c r="AX162" i="26" s="1"/>
  <c r="BA162" i="26" s="1"/>
  <c r="AV200" i="26"/>
  <c r="AX200" i="26" s="1"/>
  <c r="BA200" i="26" s="1"/>
  <c r="AV232" i="26"/>
  <c r="AX232" i="26" s="1"/>
  <c r="BA232" i="26" s="1"/>
  <c r="AV41" i="26"/>
  <c r="AX41" i="26" s="1"/>
  <c r="BA41" i="26" s="1"/>
  <c r="AV54" i="26"/>
  <c r="AX54" i="26" s="1"/>
  <c r="BA54" i="26" s="1"/>
  <c r="AV72" i="26"/>
  <c r="AX72" i="26" s="1"/>
  <c r="BA72" i="26" s="1"/>
  <c r="AV89" i="26"/>
  <c r="AX89" i="26" s="1"/>
  <c r="BA89" i="26" s="1"/>
  <c r="AV112" i="26"/>
  <c r="AX112" i="26" s="1"/>
  <c r="BA112" i="26" s="1"/>
  <c r="AV148" i="26"/>
  <c r="AX148" i="26" s="1"/>
  <c r="BA148" i="26" s="1"/>
  <c r="AV175" i="26"/>
  <c r="AX175" i="26" s="1"/>
  <c r="BA175" i="26" s="1"/>
  <c r="AV201" i="26"/>
  <c r="AX201" i="26" s="1"/>
  <c r="BA201" i="26" s="1"/>
  <c r="AV231" i="26"/>
  <c r="AX231" i="26" s="1"/>
  <c r="BA231" i="26" s="1"/>
  <c r="AV42" i="26"/>
  <c r="AX42" i="26" s="1"/>
  <c r="BA42" i="26" s="1"/>
  <c r="AV55" i="26"/>
  <c r="AX55" i="26" s="1"/>
  <c r="BA55" i="26" s="1"/>
  <c r="AV73" i="26"/>
  <c r="AX73" i="26" s="1"/>
  <c r="BA73" i="26" s="1"/>
  <c r="AV90" i="26"/>
  <c r="AX90" i="26" s="1"/>
  <c r="BA90" i="26" s="1"/>
  <c r="AV113" i="26"/>
  <c r="AX113" i="26" s="1"/>
  <c r="BA113" i="26" s="1"/>
  <c r="AV149" i="26"/>
  <c r="AX149" i="26" s="1"/>
  <c r="BA149" i="26" s="1"/>
  <c r="AV24" i="26"/>
  <c r="AX24" i="26" s="1"/>
  <c r="BA24" i="26" s="1"/>
  <c r="AV34" i="26"/>
  <c r="AX34" i="26" s="1"/>
  <c r="BA34" i="26" s="1"/>
  <c r="AV50" i="26"/>
  <c r="AX50" i="26" s="1"/>
  <c r="BA50" i="26" s="1"/>
  <c r="AV74" i="26"/>
  <c r="AX74" i="26" s="1"/>
  <c r="BA74" i="26" s="1"/>
  <c r="AV99" i="26"/>
  <c r="AX99" i="26" s="1"/>
  <c r="BA99" i="26" s="1"/>
  <c r="AV138" i="26"/>
  <c r="AX138" i="26" s="1"/>
  <c r="BA138" i="26" s="1"/>
  <c r="AV168" i="26"/>
  <c r="AX168" i="26" s="1"/>
  <c r="BA168" i="26" s="1"/>
  <c r="AV20" i="26"/>
  <c r="AV26" i="26"/>
  <c r="AX26" i="26" s="1"/>
  <c r="BA26" i="26" s="1"/>
  <c r="AV37" i="26"/>
  <c r="AX37" i="26" s="1"/>
  <c r="BA37" i="26" s="1"/>
  <c r="AV56" i="26"/>
  <c r="AX56" i="26" s="1"/>
  <c r="BA56" i="26" s="1"/>
  <c r="AV80" i="26"/>
  <c r="AX80" i="26" s="1"/>
  <c r="BA80" i="26" s="1"/>
  <c r="AV107" i="26"/>
  <c r="AX107" i="26" s="1"/>
  <c r="BA107" i="26" s="1"/>
  <c r="AV146" i="26"/>
  <c r="AX146" i="26" s="1"/>
  <c r="BA146" i="26" s="1"/>
  <c r="AV27" i="26"/>
  <c r="AX27" i="26" s="1"/>
  <c r="BA27" i="26" s="1"/>
  <c r="AV38" i="26"/>
  <c r="AX38" i="26" s="1"/>
  <c r="BA38" i="26" s="1"/>
  <c r="AV57" i="26"/>
  <c r="AX57" i="26" s="1"/>
  <c r="BA57" i="26" s="1"/>
  <c r="AV77" i="26"/>
  <c r="AX77" i="26" s="1"/>
  <c r="BA77" i="26" s="1"/>
  <c r="AV108" i="26"/>
  <c r="AX108" i="26" s="1"/>
  <c r="BA108" i="26" s="1"/>
  <c r="AV154" i="26"/>
  <c r="AX154" i="26" s="1"/>
  <c r="BA154" i="26" s="1"/>
  <c r="AV189" i="26"/>
  <c r="AX189" i="26" s="1"/>
  <c r="BA189" i="26" s="1"/>
  <c r="AV156" i="26"/>
  <c r="AX156" i="26" s="1"/>
  <c r="BA156" i="26" s="1"/>
  <c r="AV190" i="26"/>
  <c r="AX190" i="26" s="1"/>
  <c r="BA190" i="26" s="1"/>
  <c r="AV222" i="26"/>
  <c r="AX222" i="26" s="1"/>
  <c r="BA222" i="26" s="1"/>
  <c r="AV254" i="26"/>
  <c r="AX254" i="26" s="1"/>
  <c r="BA254" i="26" s="1"/>
  <c r="AV280" i="26"/>
  <c r="AX280" i="26" s="1"/>
  <c r="BA280" i="26" s="1"/>
  <c r="AV316" i="26"/>
  <c r="AX316" i="26" s="1"/>
  <c r="BA316" i="26" s="1"/>
  <c r="AV344" i="26"/>
  <c r="AX344" i="26" s="1"/>
  <c r="BA344" i="26" s="1"/>
  <c r="AV362" i="26"/>
  <c r="AX362" i="26" s="1"/>
  <c r="BA362" i="26" s="1"/>
  <c r="AV367" i="26"/>
  <c r="AX367" i="26" s="1"/>
  <c r="BA367" i="26" s="1"/>
  <c r="AV374" i="26"/>
  <c r="AX374" i="26" s="1"/>
  <c r="BA374" i="26" s="1"/>
  <c r="AV376" i="26"/>
  <c r="AX376" i="26" s="1"/>
  <c r="BA376" i="26" s="1"/>
  <c r="AV91" i="26"/>
  <c r="AX91" i="26" s="1"/>
  <c r="BA91" i="26" s="1"/>
  <c r="AV114" i="26"/>
  <c r="AX114" i="26" s="1"/>
  <c r="BA114" i="26" s="1"/>
  <c r="AV147" i="26"/>
  <c r="AX147" i="26" s="1"/>
  <c r="BA147" i="26" s="1"/>
  <c r="AV179" i="26"/>
  <c r="AX179" i="26" s="1"/>
  <c r="BA179" i="26" s="1"/>
  <c r="AV213" i="26"/>
  <c r="AX213" i="26" s="1"/>
  <c r="BA213" i="26" s="1"/>
  <c r="AV241" i="26"/>
  <c r="AX241" i="26" s="1"/>
  <c r="BA241" i="26" s="1"/>
  <c r="AV264" i="26"/>
  <c r="AX264" i="26" s="1"/>
  <c r="BA264" i="26" s="1"/>
  <c r="AV291" i="26"/>
  <c r="AX291" i="26" s="1"/>
  <c r="BA291" i="26" s="1"/>
  <c r="AV332" i="26"/>
  <c r="AX332" i="26" s="1"/>
  <c r="BA332" i="26" s="1"/>
  <c r="AV342" i="26"/>
  <c r="AX342" i="26" s="1"/>
  <c r="BA342" i="26" s="1"/>
  <c r="AV350" i="26"/>
  <c r="AX350" i="26" s="1"/>
  <c r="BA350" i="26" s="1"/>
  <c r="AV355" i="26"/>
  <c r="AX355" i="26" s="1"/>
  <c r="BA355" i="26" s="1"/>
  <c r="AV157" i="26"/>
  <c r="AX157" i="26" s="1"/>
  <c r="BA157" i="26" s="1"/>
  <c r="AV185" i="26"/>
  <c r="AX185" i="26" s="1"/>
  <c r="BA185" i="26" s="1"/>
  <c r="AV216" i="26"/>
  <c r="AX216" i="26" s="1"/>
  <c r="BA216" i="26" s="1"/>
  <c r="AV242" i="26"/>
  <c r="AX242" i="26" s="1"/>
  <c r="BA242" i="26" s="1"/>
  <c r="AV265" i="26"/>
  <c r="AX265" i="26" s="1"/>
  <c r="BA265" i="26" s="1"/>
  <c r="AV292" i="26"/>
  <c r="AX292" i="26" s="1"/>
  <c r="BA292" i="26" s="1"/>
  <c r="AV322" i="26"/>
  <c r="AX322" i="26" s="1"/>
  <c r="BA322" i="26" s="1"/>
  <c r="AV345" i="26"/>
  <c r="AX345" i="26" s="1"/>
  <c r="BA345" i="26" s="1"/>
  <c r="AV361" i="26"/>
  <c r="AX361" i="26" s="1"/>
  <c r="BA361" i="26" s="1"/>
  <c r="AV103" i="26"/>
  <c r="AV139" i="26"/>
  <c r="AX139" i="26" s="1"/>
  <c r="BA139" i="26" s="1"/>
  <c r="AV163" i="26"/>
  <c r="AX163" i="26" s="1"/>
  <c r="BA163" i="26" s="1"/>
  <c r="AV194" i="26"/>
  <c r="AX194" i="26" s="1"/>
  <c r="BA194" i="26" s="1"/>
  <c r="AV223" i="26"/>
  <c r="AX223" i="26" s="1"/>
  <c r="BA223" i="26" s="1"/>
  <c r="AV250" i="26"/>
  <c r="AX250" i="26" s="1"/>
  <c r="BA250" i="26" s="1"/>
  <c r="AV274" i="26"/>
  <c r="AX274" i="26" s="1"/>
  <c r="BA274" i="26" s="1"/>
  <c r="AV293" i="26"/>
  <c r="AX293" i="26" s="1"/>
  <c r="BA293" i="26" s="1"/>
  <c r="AV321" i="26"/>
  <c r="AX321" i="26" s="1"/>
  <c r="BA321" i="26" s="1"/>
  <c r="AV343" i="26"/>
  <c r="AX343" i="26" s="1"/>
  <c r="BA343" i="26" s="1"/>
  <c r="AV356" i="26"/>
  <c r="AX356" i="26" s="1"/>
  <c r="BA356" i="26" s="1"/>
  <c r="AV368" i="26"/>
  <c r="AX368" i="26" s="1"/>
  <c r="BA368" i="26" s="1"/>
  <c r="AV104" i="26"/>
  <c r="AX104" i="26" s="1"/>
  <c r="BA104" i="26" s="1"/>
  <c r="AV140" i="26"/>
  <c r="AX140" i="26" s="1"/>
  <c r="BA140" i="26" s="1"/>
  <c r="AV164" i="26"/>
  <c r="AX164" i="26" s="1"/>
  <c r="BA164" i="26" s="1"/>
  <c r="AV195" i="26"/>
  <c r="AX195" i="26" s="1"/>
  <c r="BA195" i="26" s="1"/>
  <c r="AV224" i="26"/>
  <c r="AX224" i="26" s="1"/>
  <c r="BA224" i="26" s="1"/>
  <c r="AV251" i="26"/>
  <c r="AX251" i="26" s="1"/>
  <c r="BA251" i="26" s="1"/>
  <c r="AV275" i="26"/>
  <c r="AX275" i="26" s="1"/>
  <c r="BA275" i="26" s="1"/>
  <c r="AV294" i="26"/>
  <c r="AX294" i="26" s="1"/>
  <c r="BA294" i="26" s="1"/>
  <c r="AV84" i="26"/>
  <c r="AX84" i="26" s="1"/>
  <c r="BA84" i="26" s="1"/>
  <c r="AV150" i="26"/>
  <c r="AX150" i="26" s="1"/>
  <c r="BA150" i="26" s="1"/>
  <c r="AV203" i="26"/>
  <c r="AX203" i="26" s="1"/>
  <c r="BA203" i="26" s="1"/>
  <c r="AV235" i="26"/>
  <c r="AX235" i="26" s="1"/>
  <c r="BA235" i="26" s="1"/>
  <c r="AV285" i="26"/>
  <c r="AX285" i="26" s="1"/>
  <c r="BA285" i="26" s="1"/>
  <c r="AV317" i="26"/>
  <c r="AX317" i="26" s="1"/>
  <c r="BA317" i="26" s="1"/>
  <c r="AV105" i="26"/>
  <c r="AX105" i="26" s="1"/>
  <c r="BA105" i="26" s="1"/>
  <c r="AV169" i="26"/>
  <c r="AX169" i="26" s="1"/>
  <c r="BA169" i="26" s="1"/>
  <c r="AV225" i="26"/>
  <c r="AX225" i="26" s="1"/>
  <c r="BA225" i="26" s="1"/>
  <c r="AV266" i="26"/>
  <c r="AX266" i="26" s="1"/>
  <c r="BA266" i="26" s="1"/>
  <c r="AV299" i="26"/>
  <c r="AX299" i="26" s="1"/>
  <c r="BA299" i="26" s="1"/>
  <c r="AV326" i="26"/>
  <c r="AX326" i="26" s="1"/>
  <c r="BA326" i="26" s="1"/>
  <c r="AV121" i="26"/>
  <c r="AX121" i="26" s="1"/>
  <c r="BA121" i="26" s="1"/>
  <c r="AV204" i="26"/>
  <c r="AX204" i="26" s="1"/>
  <c r="BA204" i="26" s="1"/>
  <c r="AV257" i="26"/>
  <c r="AX257" i="26" s="1"/>
  <c r="BA257" i="26" s="1"/>
  <c r="AV300" i="26"/>
  <c r="AX300" i="26" s="1"/>
  <c r="BA300" i="26" s="1"/>
  <c r="AV327" i="26"/>
  <c r="AX327" i="26" s="1"/>
  <c r="BA327" i="26" s="1"/>
  <c r="AV186" i="26"/>
  <c r="AX186" i="26" s="1"/>
  <c r="BA186" i="26" s="1"/>
  <c r="AV258" i="26"/>
  <c r="AX258" i="26" s="1"/>
  <c r="BA258" i="26" s="1"/>
  <c r="AV318" i="26"/>
  <c r="AX318" i="26" s="1"/>
  <c r="BA318" i="26" s="1"/>
  <c r="AV338" i="26"/>
  <c r="AX338" i="26" s="1"/>
  <c r="BA338" i="26" s="1"/>
  <c r="AV226" i="26"/>
  <c r="AX226" i="26" s="1"/>
  <c r="BA226" i="26" s="1"/>
  <c r="AV286" i="26"/>
  <c r="AX286" i="26" s="1"/>
  <c r="BA286" i="26" s="1"/>
  <c r="AV339" i="26"/>
  <c r="AX339" i="26" s="1"/>
  <c r="BA339" i="26" s="1"/>
  <c r="AV371" i="26"/>
  <c r="AX371" i="26" s="1"/>
  <c r="BA371" i="26" s="1"/>
  <c r="AV380" i="26"/>
  <c r="AX380" i="26" s="1"/>
  <c r="BA380" i="26" s="1"/>
  <c r="AV389" i="26"/>
  <c r="AX389" i="26" s="1"/>
  <c r="BA389" i="26" s="1"/>
  <c r="AV393" i="26"/>
  <c r="AX393" i="26" s="1"/>
  <c r="BA393" i="26" s="1"/>
  <c r="AV122" i="26"/>
  <c r="AX122" i="26" s="1"/>
  <c r="BA122" i="26" s="1"/>
  <c r="AV170" i="26"/>
  <c r="AX170" i="26" s="1"/>
  <c r="BA170" i="26" s="1"/>
  <c r="AV205" i="26"/>
  <c r="AX205" i="26" s="1"/>
  <c r="BA205" i="26" s="1"/>
  <c r="AV236" i="26"/>
  <c r="AX236" i="26" s="1"/>
  <c r="BA236" i="26" s="1"/>
  <c r="AV267" i="26"/>
  <c r="AX267" i="26" s="1"/>
  <c r="BA267" i="26" s="1"/>
  <c r="AV301" i="26"/>
  <c r="AX301" i="26" s="1"/>
  <c r="BA301" i="26" s="1"/>
  <c r="AV328" i="26"/>
  <c r="AX328" i="26" s="1"/>
  <c r="BA328" i="26" s="1"/>
  <c r="AV348" i="26"/>
  <c r="AX348" i="26" s="1"/>
  <c r="BA348" i="26" s="1"/>
  <c r="AV100" i="26"/>
  <c r="AX100" i="26" s="1"/>
  <c r="BA100" i="26" s="1"/>
  <c r="AV133" i="26"/>
  <c r="AX133" i="26" s="1"/>
  <c r="BA133" i="26" s="1"/>
  <c r="AV165" i="26"/>
  <c r="AX165" i="26" s="1"/>
  <c r="BA165" i="26" s="1"/>
  <c r="AV196" i="26"/>
  <c r="AX196" i="26" s="1"/>
  <c r="BA196" i="26" s="1"/>
  <c r="AV227" i="26"/>
  <c r="AX227" i="26" s="1"/>
  <c r="BA227" i="26" s="1"/>
  <c r="AV255" i="26"/>
  <c r="AX255" i="26" s="1"/>
  <c r="BA255" i="26" s="1"/>
  <c r="AV281" i="26"/>
  <c r="AX281" i="26" s="1"/>
  <c r="BA281" i="26" s="1"/>
  <c r="AV311" i="26"/>
  <c r="AX311" i="26" s="1"/>
  <c r="BA311" i="26" s="1"/>
  <c r="AV334" i="26"/>
  <c r="AX334" i="26" s="1"/>
  <c r="BA334" i="26" s="1"/>
  <c r="AV357" i="26"/>
  <c r="AX357" i="26" s="1"/>
  <c r="BA357" i="26" s="1"/>
  <c r="AV373" i="26"/>
  <c r="AX373" i="26" s="1"/>
  <c r="BA373" i="26" s="1"/>
  <c r="AV379" i="26"/>
  <c r="AX379" i="26" s="1"/>
  <c r="BA379" i="26" s="1"/>
  <c r="AV383" i="26"/>
  <c r="AX383" i="26" s="1"/>
  <c r="BA383" i="26" s="1"/>
  <c r="AV387" i="26"/>
  <c r="AX387" i="26" s="1"/>
  <c r="BA387" i="26" s="1"/>
  <c r="AV390" i="26"/>
  <c r="AX390" i="26" s="1"/>
  <c r="BA390" i="26" s="1"/>
  <c r="AV68" i="26"/>
  <c r="AX68" i="26" s="1"/>
  <c r="BA68" i="26" s="1"/>
  <c r="AV85" i="26"/>
  <c r="AX85" i="26" s="1"/>
  <c r="BA85" i="26" s="1"/>
  <c r="AV115" i="26"/>
  <c r="AX115" i="26" s="1"/>
  <c r="BA115" i="26" s="1"/>
  <c r="AV151" i="26"/>
  <c r="AX151" i="26" s="1"/>
  <c r="BA151" i="26" s="1"/>
  <c r="AV180" i="26"/>
  <c r="AX180" i="26" s="1"/>
  <c r="BA180" i="26" s="1"/>
  <c r="AV209" i="26"/>
  <c r="AX209" i="26" s="1"/>
  <c r="BA209" i="26" s="1"/>
  <c r="AV237" i="26"/>
  <c r="AX237" i="26" s="1"/>
  <c r="BA237" i="26" s="1"/>
  <c r="AV262" i="26"/>
  <c r="AX262" i="26" s="1"/>
  <c r="BA262" i="26" s="1"/>
  <c r="AV295" i="26"/>
  <c r="AX295" i="26" s="1"/>
  <c r="BA295" i="26" s="1"/>
  <c r="AV323" i="26"/>
  <c r="AX323" i="26" s="1"/>
  <c r="BA323" i="26" s="1"/>
  <c r="AV346" i="26"/>
  <c r="AX346" i="26" s="1"/>
  <c r="BA346" i="26" s="1"/>
  <c r="AV352" i="26"/>
  <c r="AX352" i="26" s="1"/>
  <c r="BA352" i="26" s="1"/>
  <c r="AV359" i="26"/>
  <c r="AX359" i="26" s="1"/>
  <c r="BA359" i="26" s="1"/>
  <c r="AV365" i="26"/>
  <c r="AX365" i="26" s="1"/>
  <c r="BA365" i="26" s="1"/>
  <c r="AV61" i="26"/>
  <c r="AX61" i="26" s="1"/>
  <c r="BA61" i="26" s="1"/>
  <c r="AV78" i="26"/>
  <c r="AX78" i="26" s="1"/>
  <c r="BA78" i="26" s="1"/>
  <c r="AV101" i="26"/>
  <c r="AX101" i="26" s="1"/>
  <c r="BA101" i="26" s="1"/>
  <c r="AV134" i="26"/>
  <c r="AX134" i="26" s="1"/>
  <c r="BA134" i="26" s="1"/>
  <c r="AV158" i="26"/>
  <c r="AX158" i="26" s="1"/>
  <c r="BA158" i="26" s="1"/>
  <c r="AV187" i="26"/>
  <c r="AX187" i="26" s="1"/>
  <c r="BA187" i="26" s="1"/>
  <c r="AV214" i="26"/>
  <c r="AX214" i="26" s="1"/>
  <c r="BA214" i="26" s="1"/>
  <c r="AV243" i="26"/>
  <c r="AX243" i="26" s="1"/>
  <c r="BA243" i="26" s="1"/>
  <c r="AV268" i="26"/>
  <c r="AX268" i="26" s="1"/>
  <c r="BA268" i="26" s="1"/>
  <c r="AV296" i="26"/>
  <c r="AX296" i="26" s="1"/>
  <c r="BA296" i="26" s="1"/>
  <c r="AV307" i="26"/>
  <c r="AX307" i="26" s="1"/>
  <c r="BA307" i="26" s="1"/>
  <c r="AV312" i="26"/>
  <c r="AX312" i="26" s="1"/>
  <c r="BA312" i="26" s="1"/>
  <c r="AV320" i="26"/>
  <c r="AX320" i="26" s="1"/>
  <c r="BA320" i="26" s="1"/>
  <c r="AV81" i="26"/>
  <c r="AX81" i="26" s="1"/>
  <c r="BA81" i="26" s="1"/>
  <c r="AV106" i="26"/>
  <c r="AX106" i="26" s="1"/>
  <c r="BA106" i="26" s="1"/>
  <c r="AV141" i="26"/>
  <c r="AX141" i="26" s="1"/>
  <c r="BA141" i="26" s="1"/>
  <c r="AV166" i="26"/>
  <c r="AX166" i="26" s="1"/>
  <c r="BA166" i="26" s="1"/>
  <c r="AV197" i="26"/>
  <c r="AX197" i="26" s="1"/>
  <c r="BA197" i="26" s="1"/>
  <c r="AV228" i="26"/>
  <c r="AX228" i="26" s="1"/>
  <c r="BA228" i="26" s="1"/>
  <c r="AV252" i="26"/>
  <c r="AX252" i="26" s="1"/>
  <c r="BA252" i="26" s="1"/>
  <c r="AV282" i="26"/>
  <c r="AX282" i="26" s="1"/>
  <c r="BA282" i="26" s="1"/>
  <c r="AV313" i="26"/>
  <c r="AX313" i="26" s="1"/>
  <c r="BA313" i="26" s="1"/>
  <c r="AV335" i="26"/>
  <c r="AX335" i="26" s="1"/>
  <c r="BA335" i="26" s="1"/>
  <c r="AV353" i="26"/>
  <c r="AX353" i="26" s="1"/>
  <c r="BA353" i="26" s="1"/>
  <c r="AV358" i="26"/>
  <c r="AX358" i="26" s="1"/>
  <c r="BA358" i="26" s="1"/>
  <c r="AV360" i="26"/>
  <c r="AX360" i="26" s="1"/>
  <c r="BA360" i="26" s="1"/>
  <c r="AV363" i="26"/>
  <c r="AX363" i="26" s="1"/>
  <c r="BA363" i="26" s="1"/>
  <c r="AV75" i="26"/>
  <c r="AX75" i="26" s="1"/>
  <c r="BA75" i="26" s="1"/>
  <c r="AV142" i="26"/>
  <c r="AX142" i="26" s="1"/>
  <c r="BA142" i="26" s="1"/>
  <c r="AV219" i="26"/>
  <c r="AX219" i="26" s="1"/>
  <c r="BA219" i="26" s="1"/>
  <c r="AV263" i="26"/>
  <c r="AX263" i="26" s="1"/>
  <c r="BA263" i="26" s="1"/>
  <c r="AV46" i="26"/>
  <c r="AX46" i="26" s="1"/>
  <c r="BA46" i="26" s="1"/>
  <c r="AV118" i="26"/>
  <c r="AX118" i="26" s="1"/>
  <c r="BA118" i="26" s="1"/>
  <c r="AV172" i="26"/>
  <c r="AX172" i="26" s="1"/>
  <c r="BA172" i="26" s="1"/>
  <c r="AV233" i="26"/>
  <c r="AX233" i="26" s="1"/>
  <c r="BA233" i="26" s="1"/>
  <c r="AV283" i="26"/>
  <c r="AX283" i="26" s="1"/>
  <c r="BA283" i="26" s="1"/>
  <c r="AV65" i="26"/>
  <c r="AX65" i="26" s="1"/>
  <c r="BA65" i="26" s="1"/>
  <c r="AV92" i="26"/>
  <c r="AX92" i="26" s="1"/>
  <c r="BA92" i="26" s="1"/>
  <c r="AV123" i="26"/>
  <c r="AX123" i="26" s="1"/>
  <c r="BA123" i="26" s="1"/>
  <c r="AV159" i="26"/>
  <c r="AX159" i="26" s="1"/>
  <c r="BA159" i="26" s="1"/>
  <c r="AV191" i="26"/>
  <c r="AX191" i="26" s="1"/>
  <c r="BA191" i="26" s="1"/>
  <c r="AV220" i="26"/>
  <c r="AX220" i="26" s="1"/>
  <c r="BA220" i="26" s="1"/>
  <c r="AV245" i="26"/>
  <c r="AX245" i="26" s="1"/>
  <c r="BA245" i="26" s="1"/>
  <c r="AV269" i="26"/>
  <c r="AX269" i="26" s="1"/>
  <c r="BA269" i="26" s="1"/>
  <c r="AV302" i="26"/>
  <c r="AX302" i="26" s="1"/>
  <c r="BA302" i="26" s="1"/>
  <c r="AV329" i="26"/>
  <c r="AX329" i="26" s="1"/>
  <c r="BA329" i="26" s="1"/>
  <c r="AV349" i="26"/>
  <c r="AX349" i="26" s="1"/>
  <c r="BA349" i="26" s="1"/>
  <c r="AV364" i="26"/>
  <c r="AX364" i="26" s="1"/>
  <c r="BA364" i="26" s="1"/>
  <c r="AV375" i="26"/>
  <c r="AX375" i="26" s="1"/>
  <c r="BA375" i="26" s="1"/>
  <c r="AV381" i="26"/>
  <c r="AX381" i="26" s="1"/>
  <c r="BA381" i="26" s="1"/>
  <c r="AV384" i="26"/>
  <c r="AX384" i="26" s="1"/>
  <c r="BA384" i="26" s="1"/>
  <c r="AV386" i="26"/>
  <c r="AX386" i="26" s="1"/>
  <c r="BA386" i="26" s="1"/>
  <c r="AV388" i="26"/>
  <c r="AX388" i="26" s="1"/>
  <c r="BA388" i="26" s="1"/>
  <c r="AV93" i="26"/>
  <c r="AX93" i="26" s="1"/>
  <c r="BA93" i="26" s="1"/>
  <c r="AV124" i="26"/>
  <c r="AX124" i="26" s="1"/>
  <c r="BA124" i="26" s="1"/>
  <c r="AV160" i="26"/>
  <c r="AX160" i="26" s="1"/>
  <c r="BA160" i="26" s="1"/>
  <c r="AV192" i="26"/>
  <c r="AX192" i="26" s="1"/>
  <c r="BA192" i="26" s="1"/>
  <c r="AV221" i="26"/>
  <c r="AX221" i="26" s="1"/>
  <c r="BA221" i="26" s="1"/>
  <c r="AV256" i="26"/>
  <c r="AX256" i="26" s="1"/>
  <c r="BA256" i="26" s="1"/>
  <c r="AV284" i="26"/>
  <c r="AX284" i="26" s="1"/>
  <c r="BA284" i="26" s="1"/>
  <c r="AV314" i="26"/>
  <c r="AX314" i="26" s="1"/>
  <c r="BA314" i="26" s="1"/>
  <c r="AV336" i="26"/>
  <c r="AX336" i="26" s="1"/>
  <c r="BA336" i="26" s="1"/>
  <c r="AV354" i="26"/>
  <c r="AX354" i="26" s="1"/>
  <c r="BA354" i="26" s="1"/>
  <c r="AV369" i="26"/>
  <c r="AX369" i="26" s="1"/>
  <c r="BA369" i="26" s="1"/>
  <c r="AV377" i="26"/>
  <c r="AX377" i="26" s="1"/>
  <c r="BA377" i="26" s="1"/>
  <c r="AV385" i="26"/>
  <c r="AX385" i="26" s="1"/>
  <c r="BA385" i="26" s="1"/>
  <c r="AV391" i="26"/>
  <c r="AX391" i="26" s="1"/>
  <c r="BA391" i="26" s="1"/>
  <c r="AV394" i="26"/>
  <c r="AX394" i="26" s="1"/>
  <c r="BA394" i="26" s="1"/>
  <c r="AV395" i="26"/>
  <c r="AX395" i="26" s="1"/>
  <c r="BA395" i="26" s="1"/>
  <c r="AV396" i="26"/>
  <c r="AX396" i="26" s="1"/>
  <c r="BA396" i="26" s="1"/>
  <c r="AV397" i="26"/>
  <c r="AX397" i="26" s="1"/>
  <c r="BA397" i="26" s="1"/>
  <c r="AV126" i="26"/>
  <c r="AX126" i="26" s="1"/>
  <c r="BA126" i="26" s="1"/>
  <c r="AV181" i="26"/>
  <c r="AX181" i="26" s="1"/>
  <c r="BA181" i="26" s="1"/>
  <c r="AV238" i="26"/>
  <c r="AX238" i="26" s="1"/>
  <c r="BA238" i="26" s="1"/>
  <c r="AV287" i="26"/>
  <c r="AX287" i="26" s="1"/>
  <c r="BA287" i="26" s="1"/>
  <c r="AA338" i="26"/>
  <c r="AA318" i="26"/>
  <c r="AA258" i="26"/>
  <c r="AA186" i="26"/>
  <c r="AV167" i="26"/>
  <c r="AV96" i="26"/>
  <c r="AV120" i="26"/>
  <c r="AV40" i="26"/>
  <c r="AV51" i="26"/>
  <c r="AV70" i="26"/>
  <c r="AV22" i="26"/>
  <c r="AV28" i="26"/>
  <c r="AX103" i="26" l="1"/>
  <c r="BA103" i="26" s="1"/>
  <c r="AX20" i="26"/>
  <c r="BA20" i="26" s="1"/>
  <c r="AX51" i="26"/>
  <c r="BA51" i="26" s="1"/>
  <c r="AX70" i="26"/>
  <c r="BA70" i="26" s="1"/>
  <c r="AX40" i="26"/>
  <c r="BA40" i="26" s="1"/>
  <c r="AX96" i="26"/>
  <c r="BA96" i="26" s="1"/>
  <c r="AX120" i="26"/>
  <c r="BA120" i="26" s="1"/>
  <c r="AX28" i="26"/>
  <c r="BA28" i="26" s="1"/>
  <c r="AX167" i="26"/>
  <c r="BA167" i="26" s="1"/>
  <c r="AX22" i="26"/>
  <c r="BA22" i="26" s="1"/>
  <c r="AX18" i="26"/>
  <c r="BA18" i="26" s="1"/>
  <c r="D27" i="1"/>
  <c r="D29" i="1" s="1"/>
  <c r="AX43" i="26" l="1"/>
  <c r="BA43" i="26" s="1"/>
  <c r="AX76" i="26"/>
  <c r="BA76" i="26" s="1"/>
  <c r="AX97" i="26"/>
  <c r="BA97" i="26" s="1"/>
  <c r="AX29" i="26"/>
  <c r="BA29" i="26" s="1"/>
  <c r="AX23" i="26"/>
  <c r="BA23" i="26" s="1"/>
  <c r="AX131" i="26"/>
  <c r="BA131" i="26" s="1"/>
  <c r="AX60" i="26"/>
  <c r="BA60" i="26" s="1"/>
  <c r="AX171" i="26"/>
  <c r="BA171" i="26" s="1"/>
  <c r="AX12" i="26" l="1"/>
  <c r="BD13" i="26" l="1"/>
  <c r="BD14" i="26" s="1"/>
  <c r="BD15" i="26" s="1"/>
  <c r="BD16" i="26" l="1"/>
  <c r="BD17" i="26" s="1"/>
  <c r="BD18" i="26" s="1"/>
  <c r="BD19" i="26" s="1"/>
  <c r="BD20" i="26" s="1"/>
  <c r="BD21" i="26" l="1"/>
  <c r="BD22" i="26" s="1"/>
  <c r="BD23" i="26" s="1"/>
  <c r="BD24" i="26" s="1"/>
  <c r="BD25" i="26" s="1"/>
  <c r="BD26" i="26" s="1"/>
  <c r="BD27" i="26" s="1"/>
  <c r="BD28" i="26" s="1"/>
  <c r="BD29" i="26" s="1"/>
  <c r="BD30" i="26" s="1"/>
  <c r="BD31" i="26" s="1"/>
  <c r="BD32" i="26" s="1"/>
  <c r="BD33" i="26" s="1"/>
  <c r="BD34" i="26" s="1"/>
  <c r="BD35" i="26" s="1"/>
  <c r="BD36" i="26" s="1"/>
  <c r="BD37" i="26" s="1"/>
  <c r="BD38" i="26" s="1"/>
  <c r="BD39" i="26" s="1"/>
  <c r="BD40" i="26" s="1"/>
  <c r="BD41" i="26" s="1"/>
  <c r="BD42" i="26" s="1"/>
  <c r="BD43" i="26" s="1"/>
  <c r="BD44" i="26" s="1"/>
  <c r="BD45" i="26" s="1"/>
  <c r="BD46" i="26" s="1"/>
  <c r="BD47" i="26" s="1"/>
  <c r="BD48" i="26" s="1"/>
  <c r="BD49" i="26" s="1"/>
  <c r="BD50" i="26" s="1"/>
  <c r="BD51" i="26" s="1"/>
  <c r="BD52" i="26" s="1"/>
  <c r="BD53" i="26" s="1"/>
  <c r="BD54" i="26" s="1"/>
  <c r="BD55" i="26" s="1"/>
  <c r="BD56" i="26" s="1"/>
  <c r="BD57" i="26" s="1"/>
  <c r="BD58" i="26" s="1"/>
  <c r="BD59" i="26" s="1"/>
  <c r="BD60" i="26" s="1"/>
  <c r="BD61" i="26" s="1"/>
  <c r="BD62" i="26" s="1"/>
  <c r="BD63" i="26" s="1"/>
  <c r="BD64" i="26" s="1"/>
  <c r="BD65" i="26" s="1"/>
  <c r="BD66" i="26" s="1"/>
  <c r="BD67" i="26" s="1"/>
  <c r="BD68" i="26" s="1"/>
  <c r="BD69" i="26" s="1"/>
  <c r="BD70" i="26" s="1"/>
  <c r="BD71" i="26" s="1"/>
  <c r="BD72" i="26" s="1"/>
  <c r="BD73" i="26" s="1"/>
  <c r="BD74" i="26" s="1"/>
  <c r="BD75" i="26" s="1"/>
  <c r="BD76" i="26" s="1"/>
  <c r="BD77" i="26" s="1"/>
  <c r="BD78" i="26" s="1"/>
  <c r="BD79" i="26" s="1"/>
  <c r="BD80" i="26" s="1"/>
  <c r="BD81" i="26" s="1"/>
  <c r="BD82" i="26" s="1"/>
  <c r="BD83" i="26" s="1"/>
  <c r="BD84" i="26" s="1"/>
  <c r="BD85" i="26" s="1"/>
  <c r="BD86" i="26" s="1"/>
  <c r="BD87" i="26" s="1"/>
  <c r="BD88" i="26" s="1"/>
  <c r="BD89" i="26" s="1"/>
  <c r="BD90" i="26" s="1"/>
  <c r="BD91" i="26" s="1"/>
  <c r="BD92" i="26" s="1"/>
  <c r="BD93" i="26" s="1"/>
  <c r="BD94" i="26" s="1"/>
  <c r="BD95" i="26" s="1"/>
  <c r="BD96" i="26" s="1"/>
  <c r="BD97" i="26" s="1"/>
  <c r="BD98" i="26" s="1"/>
  <c r="BD99" i="26" s="1"/>
  <c r="BD100" i="26" s="1"/>
  <c r="BD101" i="26" s="1"/>
  <c r="BD102" i="26" s="1"/>
  <c r="BD103" i="26" s="1"/>
  <c r="BD104" i="26" s="1"/>
  <c r="BD105" i="26" s="1"/>
  <c r="BD106" i="26" s="1"/>
  <c r="BD107" i="26" s="1"/>
  <c r="BD108" i="26" s="1"/>
  <c r="BD109" i="26" s="1"/>
  <c r="BD110" i="26" s="1"/>
  <c r="BD111" i="26" s="1"/>
  <c r="BD112" i="26" s="1"/>
  <c r="BD113" i="26" s="1"/>
  <c r="BD114" i="26" s="1"/>
  <c r="BD115" i="26" s="1"/>
  <c r="BD116" i="26" s="1"/>
  <c r="BD117" i="26" s="1"/>
  <c r="BD118" i="26" s="1"/>
  <c r="BD119" i="26" s="1"/>
  <c r="BD120" i="26" s="1"/>
  <c r="BD121" i="26" s="1"/>
  <c r="BD122" i="26" s="1"/>
  <c r="BD123" i="26" s="1"/>
  <c r="BD124" i="26" s="1"/>
  <c r="BD125" i="26" l="1"/>
  <c r="BD126" i="26" s="1"/>
  <c r="BD127" i="26" s="1"/>
  <c r="BD128" i="26" s="1"/>
  <c r="BD129" i="26" s="1"/>
  <c r="BD130" i="26" s="1"/>
  <c r="BD131" i="26" s="1"/>
  <c r="BD132" i="26" s="1"/>
  <c r="BD133" i="26" s="1"/>
  <c r="BD134" i="26" s="1"/>
  <c r="BD135" i="26" s="1"/>
  <c r="BD136" i="26" s="1"/>
  <c r="BD137" i="26" s="1"/>
  <c r="BD138" i="26" s="1"/>
  <c r="BD139" i="26" s="1"/>
  <c r="BD140" i="26" s="1"/>
  <c r="BD141" i="26" s="1"/>
  <c r="BD142" i="26" s="1"/>
  <c r="BD143" i="26" s="1"/>
  <c r="BD144" i="26" s="1"/>
  <c r="BD145" i="26" s="1"/>
  <c r="BD146" i="26" s="1"/>
  <c r="BD147" i="26" s="1"/>
  <c r="BD148" i="26" s="1"/>
  <c r="BD149" i="26" s="1"/>
  <c r="BD150" i="26" s="1"/>
  <c r="BD151" i="26" s="1"/>
  <c r="BD152" i="26" s="1"/>
  <c r="BD153" i="26" s="1"/>
  <c r="BD154" i="26" s="1"/>
  <c r="BD155" i="26" s="1"/>
  <c r="BD156" i="26" s="1"/>
  <c r="BD157" i="26" s="1"/>
  <c r="BD158" i="26" s="1"/>
  <c r="BD159" i="26" s="1"/>
  <c r="BD160" i="26" s="1"/>
  <c r="BD161" i="26" s="1"/>
  <c r="BD162" i="26" s="1"/>
  <c r="BD163" i="26" s="1"/>
  <c r="BD164" i="26" s="1"/>
  <c r="BD165" i="26" s="1"/>
  <c r="BD166" i="26" s="1"/>
  <c r="BD167" i="26" s="1"/>
  <c r="BD168" i="26" s="1"/>
  <c r="BD169" i="26" s="1"/>
  <c r="BD170" i="26" s="1"/>
  <c r="BD171" i="26" s="1"/>
  <c r="BD172" i="26" s="1"/>
  <c r="BD173" i="26" s="1"/>
  <c r="BD174" i="26" s="1"/>
  <c r="BD175" i="26" s="1"/>
  <c r="BD176" i="26" s="1"/>
  <c r="BD177" i="26" s="1"/>
  <c r="BD178" i="26" s="1"/>
  <c r="BD179" i="26" s="1"/>
  <c r="BD180" i="26" s="1"/>
  <c r="BD181" i="26" s="1"/>
  <c r="BD182" i="26" s="1"/>
  <c r="BD183" i="26" s="1"/>
  <c r="BD184" i="26" s="1"/>
  <c r="BD185" i="26" s="1"/>
  <c r="BD186" i="26" s="1"/>
  <c r="BD187" i="26" s="1"/>
  <c r="BD188" i="26" s="1"/>
  <c r="BD189" i="26" s="1"/>
  <c r="BD190" i="26" s="1"/>
  <c r="BD191" i="26" s="1"/>
  <c r="BD192" i="26" s="1"/>
  <c r="BD193" i="26" s="1"/>
  <c r="BD194" i="26" s="1"/>
  <c r="BD195" i="26" s="1"/>
  <c r="BD196" i="26" s="1"/>
  <c r="BD197" i="26" s="1"/>
  <c r="BD198" i="26" s="1"/>
  <c r="BD199" i="26" s="1"/>
  <c r="BD200" i="26" s="1"/>
  <c r="BD201" i="26" s="1"/>
  <c r="BD202" i="26" s="1"/>
  <c r="BD203" i="26" s="1"/>
  <c r="BD204" i="26" s="1"/>
  <c r="BD205" i="26" s="1"/>
  <c r="BD206" i="26" s="1"/>
  <c r="BD207" i="26" s="1"/>
  <c r="BD208" i="26" s="1"/>
  <c r="BD209" i="26" s="1"/>
  <c r="BD210" i="26" s="1"/>
  <c r="BD211" i="26" s="1"/>
  <c r="BD212" i="26" s="1"/>
  <c r="BD213" i="26" s="1"/>
  <c r="BD214" i="26" s="1"/>
  <c r="BD215" i="26" s="1"/>
  <c r="BD216" i="26" s="1"/>
  <c r="BD217" i="26" s="1"/>
  <c r="BD218" i="26" s="1"/>
  <c r="BD219" i="26" s="1"/>
  <c r="BD220" i="26" s="1"/>
  <c r="BD221" i="26" s="1"/>
  <c r="BD222" i="26" s="1"/>
  <c r="BD223" i="26" s="1"/>
  <c r="BD224" i="26" s="1"/>
  <c r="BD225" i="26" s="1"/>
  <c r="BD226" i="26" s="1"/>
  <c r="BD227" i="26" s="1"/>
  <c r="BD228" i="26" s="1"/>
  <c r="BD229" i="26" s="1"/>
  <c r="BD230" i="26" s="1"/>
  <c r="BD231" i="26" s="1"/>
  <c r="BD232" i="26" s="1"/>
  <c r="BD233" i="26" s="1"/>
  <c r="BD234" i="26" s="1"/>
  <c r="BD235" i="26" s="1"/>
  <c r="BD236" i="26" s="1"/>
  <c r="BD237" i="26" s="1"/>
  <c r="BD238" i="26" s="1"/>
  <c r="BD239" i="26" s="1"/>
  <c r="BD240" i="26" s="1"/>
  <c r="BD241" i="26" s="1"/>
  <c r="BD242" i="26" s="1"/>
  <c r="BD243" i="26" s="1"/>
  <c r="BD244" i="26" s="1"/>
  <c r="BD245" i="26" s="1"/>
  <c r="BD246" i="26" s="1"/>
  <c r="BD247" i="26" s="1"/>
  <c r="BD248" i="26" s="1"/>
  <c r="BD249" i="26" s="1"/>
  <c r="BD250" i="26" s="1"/>
  <c r="BD251" i="26" s="1"/>
  <c r="BD252" i="26" s="1"/>
  <c r="BD253" i="26" s="1"/>
  <c r="BD254" i="26" s="1"/>
  <c r="BD255" i="26" s="1"/>
  <c r="BD256" i="26" s="1"/>
  <c r="BD257" i="26" s="1"/>
  <c r="BD258" i="26" s="1"/>
  <c r="BD259" i="26" s="1"/>
  <c r="BD260" i="26" s="1"/>
  <c r="BD261" i="26" s="1"/>
  <c r="BD262" i="26" s="1"/>
  <c r="BD263" i="26" s="1"/>
  <c r="BD264" i="26" s="1"/>
  <c r="BD265" i="26" s="1"/>
  <c r="BD266" i="26" s="1"/>
  <c r="BD267" i="26" s="1"/>
  <c r="BD268" i="26" s="1"/>
  <c r="BD269" i="26" s="1"/>
  <c r="BD270" i="26" s="1"/>
  <c r="BD271" i="26" s="1"/>
  <c r="BD272" i="26" s="1"/>
  <c r="BD273" i="26" s="1"/>
  <c r="BD274" i="26" s="1"/>
  <c r="BD275" i="26" s="1"/>
  <c r="BD276" i="26" s="1"/>
  <c r="BD277" i="26" s="1"/>
  <c r="BD278" i="26" s="1"/>
  <c r="BD279" i="26" s="1"/>
  <c r="BD280" i="26" s="1"/>
  <c r="BD281" i="26" s="1"/>
  <c r="BD282" i="26" s="1"/>
  <c r="BD283" i="26" s="1"/>
  <c r="BD284" i="26" s="1"/>
  <c r="BD285" i="26" s="1"/>
  <c r="BD286" i="26" s="1"/>
  <c r="BD287" i="26" s="1"/>
  <c r="BD288" i="26" s="1"/>
  <c r="BD289" i="26" s="1"/>
  <c r="BD290" i="26" s="1"/>
  <c r="BD291" i="26" s="1"/>
  <c r="BD292" i="26" s="1"/>
  <c r="BD293" i="26" s="1"/>
  <c r="BD294" i="26" s="1"/>
  <c r="BD295" i="26" s="1"/>
  <c r="BD296" i="26" s="1"/>
  <c r="BD297" i="26" s="1"/>
  <c r="BD298" i="26" s="1"/>
  <c r="BD299" i="26" s="1"/>
  <c r="BD300" i="26" s="1"/>
  <c r="BD301" i="26" s="1"/>
  <c r="BD302" i="26" s="1"/>
  <c r="BD303" i="26" s="1"/>
  <c r="BD304" i="26" s="1"/>
  <c r="BD305" i="26" s="1"/>
  <c r="BD306" i="26" s="1"/>
  <c r="BD307" i="26" s="1"/>
  <c r="BD308" i="26" s="1"/>
  <c r="BD309" i="26" s="1"/>
  <c r="BD310" i="26" s="1"/>
  <c r="BD311" i="26" s="1"/>
  <c r="BD312" i="26" s="1"/>
  <c r="BD313" i="26" s="1"/>
  <c r="BD314" i="26" s="1"/>
  <c r="BD315" i="26" s="1"/>
  <c r="BD316" i="26" s="1"/>
  <c r="BD317" i="26" s="1"/>
  <c r="BD318" i="26" s="1"/>
  <c r="BD319" i="26" s="1"/>
  <c r="BD320" i="26" s="1"/>
  <c r="BD321" i="26" s="1"/>
  <c r="BD322" i="26" s="1"/>
  <c r="BD323" i="26" s="1"/>
  <c r="BD324" i="26" s="1"/>
  <c r="BD325" i="26" s="1"/>
  <c r="BD326" i="26" s="1"/>
  <c r="BD327" i="26" s="1"/>
  <c r="BD328" i="26" s="1"/>
  <c r="BD329" i="26" s="1"/>
  <c r="BD330" i="26" s="1"/>
  <c r="BD331" i="26" s="1"/>
  <c r="BD332" i="26" s="1"/>
  <c r="BD333" i="26" s="1"/>
  <c r="BD334" i="26" s="1"/>
  <c r="BD335" i="26" s="1"/>
  <c r="BD336" i="26" s="1"/>
  <c r="BD337" i="26" s="1"/>
  <c r="BD338" i="26" s="1"/>
  <c r="BD339" i="26" s="1"/>
  <c r="BD340" i="26" s="1"/>
  <c r="BD341" i="26" s="1"/>
  <c r="BD342" i="26" s="1"/>
  <c r="BD343" i="26" s="1"/>
  <c r="BD344" i="26" s="1"/>
  <c r="BD345" i="26" s="1"/>
  <c r="BD346" i="26" s="1"/>
  <c r="BD347" i="26" s="1"/>
  <c r="BD348" i="26" s="1"/>
  <c r="BD349" i="26" s="1"/>
  <c r="BD350" i="26" s="1"/>
  <c r="BD351" i="26" s="1"/>
  <c r="BD352" i="26" s="1"/>
  <c r="BD353" i="26" s="1"/>
  <c r="BD354" i="26" s="1"/>
  <c r="BD355" i="26" s="1"/>
  <c r="BD356" i="26" s="1"/>
  <c r="BD357" i="26" s="1"/>
  <c r="BD358" i="26" s="1"/>
  <c r="BD359" i="26" s="1"/>
  <c r="BD360" i="26" s="1"/>
  <c r="BD361" i="26" s="1"/>
  <c r="BD362" i="26" s="1"/>
  <c r="BD363" i="26" s="1"/>
  <c r="BD364" i="26" s="1"/>
  <c r="BD365" i="26" s="1"/>
  <c r="BD366" i="26" s="1"/>
  <c r="BD367" i="26" s="1"/>
  <c r="BD368" i="26" s="1"/>
  <c r="BD369" i="26" s="1"/>
  <c r="BD370" i="26" s="1"/>
  <c r="BD371" i="26" s="1"/>
  <c r="BD372" i="26" s="1"/>
  <c r="BD373" i="26" s="1"/>
  <c r="BD374" i="26" s="1"/>
  <c r="BD375" i="26" s="1"/>
  <c r="BD376" i="26" s="1"/>
  <c r="BD377" i="26" s="1"/>
  <c r="BD378" i="26" s="1"/>
  <c r="BD379" i="26" s="1"/>
  <c r="BD380" i="26" s="1"/>
  <c r="BD381" i="26" s="1"/>
  <c r="BD382" i="26" s="1"/>
  <c r="BD383" i="26" s="1"/>
  <c r="BD384" i="26" s="1"/>
  <c r="BD385" i="26" s="1"/>
  <c r="BD386" i="26" s="1"/>
  <c r="BD387" i="26" s="1"/>
  <c r="BD388" i="26" s="1"/>
  <c r="BD389" i="26" s="1"/>
  <c r="BD390" i="26" s="1"/>
  <c r="BD391" i="26" s="1"/>
  <c r="BD392" i="26" s="1"/>
  <c r="BD393" i="26" s="1"/>
  <c r="BD394" i="26" s="1"/>
  <c r="BD395" i="26" s="1"/>
  <c r="BD396" i="26" s="1"/>
  <c r="BD397" i="26" s="1"/>
  <c r="E4" i="26" s="1"/>
  <c r="C17" i="1"/>
  <c r="C4" i="1" s="1"/>
</calcChain>
</file>

<file path=xl/sharedStrings.xml><?xml version="1.0" encoding="utf-8"?>
<sst xmlns="http://schemas.openxmlformats.org/spreadsheetml/2006/main" count="3857" uniqueCount="289">
  <si>
    <t>Oui</t>
  </si>
  <si>
    <t>Non</t>
  </si>
  <si>
    <t>Question fermée</t>
  </si>
  <si>
    <t>Risque incendie</t>
  </si>
  <si>
    <t>Non concerné</t>
  </si>
  <si>
    <t>Négligeable</t>
  </si>
  <si>
    <t>Très faible ou faible</t>
  </si>
  <si>
    <t>Moyen</t>
  </si>
  <si>
    <t>Fort ou très fort</t>
  </si>
  <si>
    <t>Classement non clair par commune</t>
  </si>
  <si>
    <t>Critère litière</t>
  </si>
  <si>
    <t>Avec perturbation sol</t>
  </si>
  <si>
    <t>Suite incendie</t>
  </si>
  <si>
    <t>Avec nettoyage partiel sol</t>
  </si>
  <si>
    <t>Sans perturbation sol</t>
  </si>
  <si>
    <t>Type forêt</t>
  </si>
  <si>
    <t>Forêts tempérées</t>
  </si>
  <si>
    <t>Forêts tropicales</t>
  </si>
  <si>
    <t>Forêts boréales</t>
  </si>
  <si>
    <t>Toutes les forêts</t>
  </si>
  <si>
    <t>Essence</t>
  </si>
  <si>
    <t>Classe Fertilité</t>
  </si>
  <si>
    <t>Nom Projet</t>
  </si>
  <si>
    <t>Type</t>
  </si>
  <si>
    <t>Surface
[ha]</t>
  </si>
  <si>
    <t>VAN Référence</t>
  </si>
  <si>
    <t>VAN Reboisement</t>
  </si>
  <si>
    <t>Delta VAN</t>
  </si>
  <si>
    <t>VAN
[€]</t>
  </si>
  <si>
    <t>VAN Projet</t>
  </si>
  <si>
    <t>t</t>
  </si>
  <si>
    <t>Durée de révolution</t>
  </si>
  <si>
    <t>r</t>
  </si>
  <si>
    <t>Taux d'actualisation</t>
  </si>
  <si>
    <t>Rt</t>
  </si>
  <si>
    <t>Ct</t>
  </si>
  <si>
    <t>R0</t>
  </si>
  <si>
    <t>Calcul des VAN</t>
  </si>
  <si>
    <t>Recettes nettes année 0</t>
  </si>
  <si>
    <t>VAN surfacique
[€/ha]</t>
  </si>
  <si>
    <t xml:space="preserve">Commentaire R0 : </t>
  </si>
  <si>
    <t>VAN justifiée avec devis</t>
  </si>
  <si>
    <t>Classe non justifiée</t>
  </si>
  <si>
    <t>Classe justifiée</t>
  </si>
  <si>
    <t>Analyse légale et aide publique</t>
  </si>
  <si>
    <t>Montant des aides publiques</t>
  </si>
  <si>
    <t>Résultat</t>
  </si>
  <si>
    <t>Analyse additionnalité</t>
  </si>
  <si>
    <t>Recettes coupe rase finale</t>
  </si>
  <si>
    <t>Dépenses coupe rase finale</t>
  </si>
  <si>
    <t>/ha</t>
  </si>
  <si>
    <t>Commentaire :</t>
  </si>
  <si>
    <t>Projet de reboisement éligible à aucune aide publique disponible</t>
  </si>
  <si>
    <t>soit</t>
  </si>
  <si>
    <t>essence</t>
  </si>
  <si>
    <t>zone_geo</t>
  </si>
  <si>
    <t>type_iti</t>
  </si>
  <si>
    <t>fertilite</t>
  </si>
  <si>
    <t>age</t>
  </si>
  <si>
    <t>av_ap</t>
  </si>
  <si>
    <t>CHS</t>
  </si>
  <si>
    <t>Classique</t>
  </si>
  <si>
    <t>F2</t>
  </si>
  <si>
    <t>ap</t>
  </si>
  <si>
    <t>taux d'actualisation</t>
  </si>
  <si>
    <t>CH_CONT</t>
  </si>
  <si>
    <t>Dynamique</t>
  </si>
  <si>
    <t>Multiple</t>
  </si>
  <si>
    <t>N/A</t>
  </si>
  <si>
    <t>Surface totale projet</t>
  </si>
  <si>
    <t>Volume éclaircie (m3/ha)</t>
  </si>
  <si>
    <t>Surface Essence (ha)</t>
  </si>
  <si>
    <t>VUM_ecl (m3)</t>
  </si>
  <si>
    <t>N_ecl (nb/ha)</t>
  </si>
  <si>
    <t>travaux réalisés</t>
  </si>
  <si>
    <t>coûts (EUR)</t>
  </si>
  <si>
    <t>recettes (EUR)</t>
  </si>
  <si>
    <t>Volume total récolté (m3)</t>
  </si>
  <si>
    <t>Feuillus générique</t>
  </si>
  <si>
    <t>Frêne-BT44</t>
  </si>
  <si>
    <t>Eclaircie</t>
  </si>
  <si>
    <t>Prix de vente du bois (EUR/m3)</t>
  </si>
  <si>
    <t>Surface (ha)</t>
  </si>
  <si>
    <t xml:space="preserve">Volume récolté </t>
  </si>
  <si>
    <t>m3</t>
  </si>
  <si>
    <t xml:space="preserve">Prix de vente </t>
  </si>
  <si>
    <t>€ / m3</t>
  </si>
  <si>
    <t xml:space="preserve">Projet </t>
  </si>
  <si>
    <t>PL</t>
  </si>
  <si>
    <t>P_CNO</t>
  </si>
  <si>
    <t>VAN (EUR)</t>
  </si>
  <si>
    <t>Préparation sol - Fourniture Plants Mise en place des plants - Protection Gibier</t>
  </si>
  <si>
    <t>Dégagements et entretiens cloisonnements</t>
  </si>
  <si>
    <t>Coût du projet terrain</t>
  </si>
  <si>
    <t>Travaux englobant les plantations, la protection gibier et les entretiens sur 5 ans</t>
  </si>
  <si>
    <t>global</t>
  </si>
  <si>
    <t>Ho</t>
  </si>
  <si>
    <t>DOU</t>
  </si>
  <si>
    <t>National</t>
  </si>
  <si>
    <t>Entree 17-18m, densité haute</t>
  </si>
  <si>
    <t>F1</t>
  </si>
  <si>
    <t>50-55</t>
  </si>
  <si>
    <t>plantation</t>
  </si>
  <si>
    <t>Virtuel</t>
  </si>
  <si>
    <t>FCBA_projet_ICIF</t>
  </si>
  <si>
    <t/>
  </si>
  <si>
    <t>PSY</t>
  </si>
  <si>
    <t>Eclaircie précoce</t>
  </si>
  <si>
    <t>45-50</t>
  </si>
  <si>
    <t>rege_nat</t>
  </si>
  <si>
    <t>FD_Orleans_p912</t>
  </si>
  <si>
    <t>BDD_Sylvie_DT_COA</t>
  </si>
  <si>
    <t>cl_diametre</t>
  </si>
  <si>
    <t>Entree 19-20m</t>
  </si>
  <si>
    <t>F3</t>
  </si>
  <si>
    <t>Eclaircie tardive</t>
  </si>
  <si>
    <t>Ecouves_p10</t>
  </si>
  <si>
    <t>initialisation_laricio</t>
  </si>
  <si>
    <t>EPC</t>
  </si>
  <si>
    <t>ARC_JURA</t>
  </si>
  <si>
    <t>Entree 16-17 m</t>
  </si>
  <si>
    <t>Fbonne</t>
  </si>
  <si>
    <t>60-65</t>
  </si>
  <si>
    <t>Archives T.Sardin</t>
  </si>
  <si>
    <t>PM</t>
  </si>
  <si>
    <t>Initialisateur_Salem_modifie</t>
  </si>
  <si>
    <t>HET</t>
  </si>
  <si>
    <t>HET_PYR</t>
  </si>
  <si>
    <t>initialisateur_Salem</t>
  </si>
  <si>
    <t>SAP</t>
  </si>
  <si>
    <t>Cas général</t>
  </si>
  <si>
    <t>PNA</t>
  </si>
  <si>
    <t>GSM_AS</t>
  </si>
  <si>
    <t>PO1_d4</t>
  </si>
  <si>
    <t>Inconnu</t>
  </si>
  <si>
    <t>Archives P.Dreyfus</t>
  </si>
  <si>
    <t>PO2_d4</t>
  </si>
  <si>
    <t>PS1_d3</t>
  </si>
  <si>
    <t>PS2_d2</t>
  </si>
  <si>
    <t>40-45</t>
  </si>
  <si>
    <t>SP2_4</t>
  </si>
  <si>
    <t>SP1_d5</t>
  </si>
  <si>
    <t>70-75</t>
  </si>
  <si>
    <t>initialisation_Salem</t>
  </si>
  <si>
    <t>75-80</t>
  </si>
  <si>
    <t>CHP</t>
  </si>
  <si>
    <t>PA</t>
  </si>
  <si>
    <t>PIN_ALEP</t>
  </si>
  <si>
    <t>35-40</t>
  </si>
  <si>
    <t>Archives M.Simeoni</t>
  </si>
  <si>
    <t>CH_ATL</t>
  </si>
  <si>
    <t>80-85</t>
  </si>
  <si>
    <t>FD</t>
  </si>
  <si>
    <t>ESS1</t>
  </si>
  <si>
    <t>DT</t>
  </si>
  <si>
    <t>u</t>
  </si>
  <si>
    <t>l</t>
  </si>
  <si>
    <t>a</t>
  </si>
  <si>
    <t>b</t>
  </si>
  <si>
    <t>CHX</t>
  </si>
  <si>
    <t>NATIONAL</t>
  </si>
  <si>
    <t>F.D</t>
  </si>
  <si>
    <t>FRC</t>
  </si>
  <si>
    <t>P.M</t>
  </si>
  <si>
    <t>P.N</t>
  </si>
  <si>
    <t>P.S</t>
  </si>
  <si>
    <t>PEU</t>
  </si>
  <si>
    <t>RXB</t>
  </si>
  <si>
    <t>RXR</t>
  </si>
  <si>
    <t>S.P</t>
  </si>
  <si>
    <t>XFU</t>
  </si>
  <si>
    <t>VUM</t>
  </si>
  <si>
    <t>Prix</t>
  </si>
  <si>
    <t>Chêne sessile_F1_Classique_Guide chênaie atlantique_</t>
  </si>
  <si>
    <t>Chêne sessile_F1_Dynamique_Guide chênaie continentale_</t>
  </si>
  <si>
    <t>Chêne sessile_F2_Classique_Guide chênaie atlantique_</t>
  </si>
  <si>
    <t>Chêne sessile_F2_Dynamique_Guide chênaie continentale_</t>
  </si>
  <si>
    <t>Chêne sessile_F3_Classique_Guide chênaie atlantique - Mémento Sylvicole Coupes_</t>
  </si>
  <si>
    <t>Chene_pedoncule_F1_Dynamique_Guide chênaie continentale_</t>
  </si>
  <si>
    <t>Chene_pedoncule_F2_Dynamique_Guide chênaie continentale_</t>
  </si>
  <si>
    <t>Douglas_F1_Entree 17-18m, densité haute_National_</t>
  </si>
  <si>
    <t>Douglas_F2_Entree 17-18m, densité haute_National_</t>
  </si>
  <si>
    <t>Douglas_F3_Entree 19-20m_National_</t>
  </si>
  <si>
    <t>Epicéa_FBonne_Entree 16-17 m_GS Arc Jurassien_</t>
  </si>
  <si>
    <t>Epicéa_FMoyenne_Entree 16-17 m_GS Arc Jurassien_</t>
  </si>
  <si>
    <t>Hêtre commun_F1_Entree 19-20m_GS Hêtraies et hêtraies sapinières des Pyrénées_</t>
  </si>
  <si>
    <t>Hêtre commun_F2_Entree 19-20m_GS Hêtraies et hêtraies sapinières des Pyrénées_</t>
  </si>
  <si>
    <t>Pin d'Alep_F1_Classique_ONF 1993_</t>
  </si>
  <si>
    <t>Pin d'Alep_F1_Classique_Pin d'Alep_</t>
  </si>
  <si>
    <t>Pin d'Alep_F1_Dynamique_Pin d'Alep_</t>
  </si>
  <si>
    <t>Pin d'Alep_F2_Classique_Pin d'Alep_</t>
  </si>
  <si>
    <t>Pin Laricio_F1_Classique_GS Pineraies des plaines du Centre et du Nord Ouest_</t>
  </si>
  <si>
    <t>Pin Laricio_F2_Classique_GS Pineraies des plaines du Centre et du Nord Ouest_</t>
  </si>
  <si>
    <t>Pin Maritime_F1_Classique_GS Pineraies des plaines du Centre et du Nord Ouest_</t>
  </si>
  <si>
    <t>Pin Maritime_F2_Classique_GS Pineraies des plaines du Centre et du Nord Ouest_</t>
  </si>
  <si>
    <t>Pin Maritime_F3_Classique_Forêts littorales Atlantiques dunaires_</t>
  </si>
  <si>
    <t>Pin Noir d'Autriche_F1_PO1_d4_GSM Alpes du Sud_</t>
  </si>
  <si>
    <t>Pin Noir d'Autriche_F2_PO2_d4_GSM Alpes du Sud_</t>
  </si>
  <si>
    <t>Pin sylvestre_F1_Eclaircie tardive_GS Pineraies des plaines du Centre et du Nord Ouest_</t>
  </si>
  <si>
    <t>Pin sylvestre_F2_Eclaircie précoce_GS Pineraies des plaines du Centre et du Nord Ouest_</t>
  </si>
  <si>
    <t>Pin sylvestre_F2_Eclaircie tardive_GS Pineraies des plaines du Centre et du Nord Ouest_</t>
  </si>
  <si>
    <t>Sapin pectiné_F1_Cas général_GS Arc Jurassien_</t>
  </si>
  <si>
    <t>Sapin pectiné_F1_SP1_d5_GSM Alpes du Sud_</t>
  </si>
  <si>
    <t>Sapin pectiné_F2_Cas général_GS Arc Jurassien_</t>
  </si>
  <si>
    <t>Sapin pectiné_F2_SP2_4_GSM Alpes du Sud_</t>
  </si>
  <si>
    <t>Sapin pectiné_F3_Cas général_GS Arc Jurassien_</t>
  </si>
  <si>
    <t>Essence_fertilité_Itinéraire technique_Guide</t>
  </si>
  <si>
    <t>CED</t>
  </si>
  <si>
    <t>INRA</t>
  </si>
  <si>
    <t>Cèdre de l'Atlas</t>
  </si>
  <si>
    <t>Chêne sessile</t>
  </si>
  <si>
    <t>Chene_pedoncule</t>
  </si>
  <si>
    <t>Douglas</t>
  </si>
  <si>
    <t>Epicéa</t>
  </si>
  <si>
    <t>Hêtre commun</t>
  </si>
  <si>
    <t>ONF 1993</t>
  </si>
  <si>
    <t>Pin d'Alep</t>
  </si>
  <si>
    <t>Pin Laricio</t>
  </si>
  <si>
    <t>Pin Maritime</t>
  </si>
  <si>
    <t>F_Littorales_Atl_Dunaires</t>
  </si>
  <si>
    <t>Pin Noir d'Autriche</t>
  </si>
  <si>
    <t>Pin sylvestre</t>
  </si>
  <si>
    <t>Sapin pectiné</t>
  </si>
  <si>
    <t>Essence nom complet</t>
  </si>
  <si>
    <t>Concat</t>
  </si>
  <si>
    <t>Guide</t>
  </si>
  <si>
    <t>Fertilité</t>
  </si>
  <si>
    <t>Itinéraire</t>
  </si>
  <si>
    <t>Guide Sylvicole</t>
  </si>
  <si>
    <t>Guide chênaie atlantique</t>
  </si>
  <si>
    <t>Guide chênaie continentale</t>
  </si>
  <si>
    <t>Guide chênaie atlantique - Mémento Sylvicole Coupes</t>
  </si>
  <si>
    <t>FBonne</t>
  </si>
  <si>
    <t>GS Arc Jurassien</t>
  </si>
  <si>
    <t>FMoyenne</t>
  </si>
  <si>
    <t>GS Hêtraies et hêtraies sapinières des Pyrénées</t>
  </si>
  <si>
    <t>GS Pineraies des plaines du Centre et du Nord Ouest</t>
  </si>
  <si>
    <t>Forêts littorales Atlantiques dunaires</t>
  </si>
  <si>
    <t>GSM Alpes du Sud</t>
  </si>
  <si>
    <t>Guide complet</t>
  </si>
  <si>
    <t>Feuillus générique_F2_Frêne-BT44_N/A</t>
  </si>
  <si>
    <t>Surface totale de projet (ha)</t>
  </si>
  <si>
    <t>Pin sylvestre_F1_PS1_d3_GSM Alpes du Sud_</t>
  </si>
  <si>
    <t>Pin sylvestre_F2_PS2_d2_GSM Alpes du Sud_</t>
  </si>
  <si>
    <t>EUR</t>
  </si>
  <si>
    <t>EXEMPLE - Dégagement Année 2 + Regarnis</t>
  </si>
  <si>
    <t>MEL</t>
  </si>
  <si>
    <t>ME2_d6</t>
  </si>
  <si>
    <t>Mélèze d'Europe_8_Equiv_F1_GSM_AS_Hamilton and Christie</t>
  </si>
  <si>
    <t>Mélèze d'Europe_4_Equiv_F3_GSM_AS_Hamilton and Christie</t>
  </si>
  <si>
    <t>Mélèze d'Europe_6_Equiv_F2_GSM_AS_Hamilton and Christie</t>
  </si>
  <si>
    <t>ME3_d4</t>
  </si>
  <si>
    <t>ME1_d8</t>
  </si>
  <si>
    <t>Mélèze d'Europe</t>
  </si>
  <si>
    <t>Hamilton et Christie</t>
  </si>
  <si>
    <t xml:space="preserve">Yield class 8 </t>
  </si>
  <si>
    <t>Yield class 6</t>
  </si>
  <si>
    <t>Yield class 4</t>
  </si>
  <si>
    <t>densité_1100</t>
  </si>
  <si>
    <t>densité_1600</t>
  </si>
  <si>
    <t>F4</t>
  </si>
  <si>
    <t>Cedre de l'Atlas_F2_densité_1100_Sylviculture du cèdre</t>
  </si>
  <si>
    <t>Cedre de l'Atlas_F2_densité_1600_Sylviculture du cèdre</t>
  </si>
  <si>
    <t>Cedre de l'Atlas_F3_densité_1600_Sylviculture du cèdre</t>
  </si>
  <si>
    <t>Cedre de l'Atlas_F3_densité_1100_Sylviculture du cèdre</t>
  </si>
  <si>
    <t>Cedre de l'Atlas_F4_densité_1600_Sylviculture du cèdre</t>
  </si>
  <si>
    <t>Cedre de l'Atlas_F4_densité_1100_Sylviculture du cèdre</t>
  </si>
  <si>
    <t>Feuillus générique_F3_Frêne-BT44_N/A</t>
  </si>
  <si>
    <t>SEQ</t>
  </si>
  <si>
    <t>Guide britannique</t>
  </si>
  <si>
    <t>FU</t>
  </si>
  <si>
    <t>Sequoia sempervirens</t>
  </si>
  <si>
    <t>Hamilton and Christie</t>
  </si>
  <si>
    <t>Sequoia sempervirens_FU_Guide britannique_Hamilton and Christie_</t>
  </si>
  <si>
    <t>Peuplier (KOSTER)</t>
  </si>
  <si>
    <t>CNPF</t>
  </si>
  <si>
    <t>PEU (KOSTER)</t>
  </si>
  <si>
    <t>classique</t>
  </si>
  <si>
    <t>station riche et fraîche</t>
  </si>
  <si>
    <t>Peuplier (KOSTER)_station riche et fraîche_classique_CNPF_</t>
  </si>
  <si>
    <t>Coupe finale</t>
  </si>
  <si>
    <t>-</t>
  </si>
  <si>
    <t>Châtaignier_F2_Billes_Sylviculture du Châtaignier CNPF</t>
  </si>
  <si>
    <t>CHA</t>
  </si>
  <si>
    <t>Châtaignier</t>
  </si>
  <si>
    <t>Sylviculture du Châtaignier CNPF</t>
  </si>
  <si>
    <t>Petites grumes / grumes</t>
  </si>
  <si>
    <t>Ouverture des cloisonnements, mise en peinture des arbres objectifs, nettoiement, élagage</t>
  </si>
  <si>
    <t>Conversion d'un tailli  de châtaignier en futaie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</si>
</sst>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.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/>
    <xf numFmtId="10" fontId="0" fillId="0" borderId="0" xfId="0" applyNumberFormat="1"/>
    <xf numFmtId="42" fontId="0" fillId="0" borderId="1" xfId="0" applyNumberFormat="1" applyBorder="1"/>
    <xf numFmtId="0" fontId="2" fillId="5" borderId="4" xfId="0" applyFont="1" applyFill="1" applyBorder="1"/>
    <xf numFmtId="42" fontId="0" fillId="5" borderId="2" xfId="0" applyNumberFormat="1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2" fontId="0" fillId="6" borderId="1" xfId="0" applyNumberFormat="1" applyFill="1" applyBorder="1"/>
    <xf numFmtId="0" fontId="5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8" borderId="7" xfId="0" applyFill="1" applyBorder="1" applyAlignment="1">
      <alignment horizontal="center"/>
    </xf>
    <xf numFmtId="5" fontId="0" fillId="5" borderId="2" xfId="1" applyNumberFormat="1" applyFont="1" applyFill="1" applyBorder="1"/>
    <xf numFmtId="0" fontId="3" fillId="0" borderId="0" xfId="0" applyFont="1" applyAlignment="1">
      <alignment horizontal="right"/>
    </xf>
    <xf numFmtId="5" fontId="0" fillId="8" borderId="2" xfId="1" applyNumberFormat="1" applyFont="1" applyFill="1" applyBorder="1"/>
    <xf numFmtId="0" fontId="0" fillId="6" borderId="1" xfId="0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0" borderId="0" xfId="0" applyFont="1"/>
    <xf numFmtId="164" fontId="4" fillId="0" borderId="8" xfId="0" applyNumberFormat="1" applyFont="1" applyBorder="1"/>
    <xf numFmtId="0" fontId="4" fillId="0" borderId="9" xfId="0" applyFont="1" applyBorder="1"/>
    <xf numFmtId="0" fontId="4" fillId="0" borderId="0" xfId="0" applyFont="1" applyAlignment="1">
      <alignment horizontal="right"/>
    </xf>
    <xf numFmtId="164" fontId="0" fillId="6" borderId="1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5" borderId="1" xfId="0" applyFill="1" applyBorder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5" fontId="0" fillId="0" borderId="0" xfId="0" applyNumberFormat="1"/>
    <xf numFmtId="42" fontId="0" fillId="0" borderId="0" xfId="0" applyNumberFormat="1"/>
    <xf numFmtId="42" fontId="0" fillId="5" borderId="2" xfId="1" applyNumberFormat="1" applyFont="1" applyFill="1" applyBorder="1"/>
    <xf numFmtId="4" fontId="0" fillId="6" borderId="1" xfId="0" applyNumberFormat="1" applyFill="1" applyBorder="1"/>
    <xf numFmtId="0" fontId="0" fillId="12" borderId="0" xfId="0" applyFill="1"/>
    <xf numFmtId="165" fontId="0" fillId="9" borderId="1" xfId="0" applyNumberFormat="1" applyFill="1" applyBorder="1" applyAlignment="1">
      <alignment horizontal="left" vertical="center"/>
    </xf>
    <xf numFmtId="165" fontId="0" fillId="10" borderId="1" xfId="0" applyNumberFormat="1" applyFill="1" applyBorder="1" applyAlignment="1">
      <alignment horizontal="left" vertical="center"/>
    </xf>
    <xf numFmtId="165" fontId="0" fillId="5" borderId="1" xfId="0" applyNumberFormat="1" applyFill="1" applyBorder="1" applyAlignment="1">
      <alignment horizontal="left" vertical="center"/>
    </xf>
    <xf numFmtId="4" fontId="0" fillId="0" borderId="0" xfId="0" applyNumberFormat="1"/>
    <xf numFmtId="165" fontId="0" fillId="13" borderId="1" xfId="0" applyNumberFormat="1" applyFill="1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/>
    <xf numFmtId="0" fontId="0" fillId="13" borderId="1" xfId="0" applyFill="1" applyBorder="1"/>
    <xf numFmtId="0" fontId="9" fillId="13" borderId="1" xfId="0" applyFont="1" applyFill="1" applyBorder="1"/>
    <xf numFmtId="0" fontId="9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0" fillId="11" borderId="1" xfId="0" applyFill="1" applyBorder="1"/>
    <xf numFmtId="165" fontId="0" fillId="11" borderId="1" xfId="0" applyNumberFormat="1" applyFill="1" applyBorder="1"/>
    <xf numFmtId="166" fontId="0" fillId="13" borderId="1" xfId="2" applyNumberFormat="1" applyFont="1" applyFill="1" applyBorder="1" applyAlignment="1">
      <alignment horizontal="left" vertical="center"/>
    </xf>
    <xf numFmtId="164" fontId="0" fillId="11" borderId="1" xfId="0" applyNumberFormat="1" applyFill="1" applyBorder="1" applyAlignment="1">
      <alignment horizontal="center"/>
    </xf>
    <xf numFmtId="42" fontId="2" fillId="11" borderId="1" xfId="0" applyNumberFormat="1" applyFont="1" applyFill="1" applyBorder="1" applyAlignment="1">
      <alignment horizontal="center"/>
    </xf>
    <xf numFmtId="0" fontId="0" fillId="14" borderId="1" xfId="0" applyFill="1" applyBorder="1"/>
    <xf numFmtId="165" fontId="0" fillId="14" borderId="1" xfId="0" applyNumberFormat="1" applyFill="1" applyBorder="1" applyAlignment="1">
      <alignment horizontal="left" vertical="center"/>
    </xf>
    <xf numFmtId="0" fontId="0" fillId="14" borderId="1" xfId="0" applyFill="1" applyBorder="1" applyAlignment="1">
      <alignment horizontal="center" vertical="center"/>
    </xf>
    <xf numFmtId="166" fontId="0" fillId="14" borderId="1" xfId="2" applyNumberFormat="1" applyFont="1" applyFill="1" applyBorder="1" applyAlignment="1">
      <alignment horizontal="left" vertical="center"/>
    </xf>
    <xf numFmtId="165" fontId="0" fillId="9" borderId="0" xfId="0" applyNumberFormat="1" applyFill="1" applyAlignment="1">
      <alignment horizontal="left" vertical="center"/>
    </xf>
    <xf numFmtId="165" fontId="0" fillId="10" borderId="0" xfId="0" applyNumberFormat="1" applyFill="1" applyAlignment="1">
      <alignment horizontal="left" vertical="center"/>
    </xf>
    <xf numFmtId="165" fontId="0" fillId="9" borderId="9" xfId="0" applyNumberFormat="1" applyFill="1" applyBorder="1" applyAlignment="1">
      <alignment horizontal="left" vertical="center"/>
    </xf>
    <xf numFmtId="165" fontId="0" fillId="9" borderId="13" xfId="0" applyNumberFormat="1" applyFill="1" applyBorder="1" applyAlignment="1">
      <alignment horizontal="left" vertical="center"/>
    </xf>
    <xf numFmtId="165" fontId="0" fillId="10" borderId="13" xfId="0" applyNumberFormat="1" applyFill="1" applyBorder="1" applyAlignment="1">
      <alignment horizontal="left" vertical="center"/>
    </xf>
    <xf numFmtId="0" fontId="0" fillId="0" borderId="9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4" fontId="0" fillId="10" borderId="1" xfId="0" applyNumberForma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7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colors>
    <mruColors>
      <color rgb="FFEEE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SPADD-cours\0-Mission%20MSPAPDD\ONF\36_CARBONE\4-Projets%20carbone\DT%20AURA\69%20CD69%20Pyramide%20V%20Genin\Calcul%20carbone%20VAN%20modele%20DT%20COA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N-MODELE"/>
      <sheetName val="REA-MODELE-agencePA"/>
      <sheetName val="REA-PIN-NOIR-Fert2"/>
    </sheetNames>
    <sheetDataSet>
      <sheetData sheetId="0" refreshError="1"/>
      <sheetData sheetId="1">
        <row r="3">
          <cell r="C3">
            <v>13</v>
          </cell>
        </row>
        <row r="31">
          <cell r="C31">
            <v>3</v>
          </cell>
        </row>
      </sheetData>
      <sheetData sheetId="2">
        <row r="45">
          <cell r="B45">
            <v>1.52</v>
          </cell>
        </row>
        <row r="46">
          <cell r="B46">
            <v>0.77</v>
          </cell>
        </row>
        <row r="47">
          <cell r="B47">
            <v>0</v>
          </cell>
        </row>
        <row r="48">
          <cell r="B48">
            <v>0.25</v>
          </cell>
        </row>
        <row r="58">
          <cell r="C58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J8"/>
  <sheetViews>
    <sheetView workbookViewId="0">
      <selection activeCell="J20" sqref="J20"/>
    </sheetView>
  </sheetViews>
  <sheetFormatPr baseColWidth="10" defaultRowHeight="15" x14ac:dyDescent="0.25"/>
  <cols>
    <col min="2" max="2" width="20.7109375" customWidth="1"/>
    <col min="4" max="4" width="19.5703125" customWidth="1"/>
    <col min="6" max="6" width="20.7109375" customWidth="1"/>
    <col min="8" max="8" width="22.42578125" customWidth="1"/>
    <col min="10" max="10" width="25.28515625" customWidth="1"/>
  </cols>
  <sheetData>
    <row r="2" spans="2:10" x14ac:dyDescent="0.25">
      <c r="B2" s="2" t="s">
        <v>2</v>
      </c>
      <c r="D2" s="2" t="s">
        <v>3</v>
      </c>
      <c r="F2" s="2" t="s">
        <v>15</v>
      </c>
      <c r="H2" s="2" t="s">
        <v>21</v>
      </c>
      <c r="J2" s="2" t="s">
        <v>10</v>
      </c>
    </row>
    <row r="3" spans="2:10" x14ac:dyDescent="0.25">
      <c r="B3" s="1" t="s">
        <v>0</v>
      </c>
      <c r="D3" s="1" t="s">
        <v>4</v>
      </c>
      <c r="F3" s="1" t="s">
        <v>16</v>
      </c>
      <c r="H3" s="1" t="s">
        <v>43</v>
      </c>
      <c r="J3" s="1" t="s">
        <v>14</v>
      </c>
    </row>
    <row r="4" spans="2:10" x14ac:dyDescent="0.25">
      <c r="B4" s="1" t="s">
        <v>1</v>
      </c>
      <c r="D4" s="1" t="s">
        <v>5</v>
      </c>
      <c r="F4" s="1" t="s">
        <v>17</v>
      </c>
      <c r="H4" s="1" t="s">
        <v>42</v>
      </c>
      <c r="J4" s="1" t="s">
        <v>11</v>
      </c>
    </row>
    <row r="5" spans="2:10" x14ac:dyDescent="0.25">
      <c r="D5" s="1" t="s">
        <v>6</v>
      </c>
      <c r="F5" s="1" t="s">
        <v>18</v>
      </c>
      <c r="J5" s="1" t="s">
        <v>13</v>
      </c>
    </row>
    <row r="6" spans="2:10" x14ac:dyDescent="0.25">
      <c r="D6" s="1" t="s">
        <v>7</v>
      </c>
      <c r="F6" s="1" t="s">
        <v>19</v>
      </c>
      <c r="J6" s="1" t="s">
        <v>12</v>
      </c>
    </row>
    <row r="7" spans="2:10" x14ac:dyDescent="0.25">
      <c r="D7" s="1" t="s">
        <v>8</v>
      </c>
    </row>
    <row r="8" spans="2:10" x14ac:dyDescent="0.25">
      <c r="D8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F57B-E91D-42A6-8AF3-3249E519DBC7}">
  <sheetPr>
    <tabColor rgb="FF92D050"/>
  </sheetPr>
  <dimension ref="A2:B53"/>
  <sheetViews>
    <sheetView showGridLines="0" workbookViewId="0">
      <selection activeCell="H46" sqref="H46"/>
    </sheetView>
  </sheetViews>
  <sheetFormatPr baseColWidth="10" defaultColWidth="10.85546875" defaultRowHeight="15" x14ac:dyDescent="0.25"/>
  <cols>
    <col min="1" max="1" width="82.5703125" customWidth="1"/>
  </cols>
  <sheetData>
    <row r="2" spans="1:2" x14ac:dyDescent="0.25">
      <c r="A2" s="51" t="s">
        <v>241</v>
      </c>
      <c r="B2" s="52">
        <f>SUM(B5:B53)</f>
        <v>4.01</v>
      </c>
    </row>
    <row r="4" spans="1:2" x14ac:dyDescent="0.25">
      <c r="A4" s="51" t="s">
        <v>206</v>
      </c>
      <c r="B4" s="52" t="s">
        <v>82</v>
      </c>
    </row>
    <row r="5" spans="1:2" x14ac:dyDescent="0.25">
      <c r="A5" s="56" t="s">
        <v>240</v>
      </c>
      <c r="B5" s="56">
        <v>0</v>
      </c>
    </row>
    <row r="6" spans="1:2" x14ac:dyDescent="0.25">
      <c r="A6" s="56" t="s">
        <v>267</v>
      </c>
      <c r="B6" s="56">
        <v>0</v>
      </c>
    </row>
    <row r="7" spans="1:2" x14ac:dyDescent="0.25">
      <c r="A7" s="1" t="s">
        <v>262</v>
      </c>
      <c r="B7" s="50">
        <v>0</v>
      </c>
    </row>
    <row r="8" spans="1:2" x14ac:dyDescent="0.25">
      <c r="A8" s="1" t="s">
        <v>261</v>
      </c>
      <c r="B8" s="50">
        <v>0</v>
      </c>
    </row>
    <row r="9" spans="1:2" x14ac:dyDescent="0.25">
      <c r="A9" s="1" t="s">
        <v>263</v>
      </c>
      <c r="B9" s="50">
        <v>0</v>
      </c>
    </row>
    <row r="10" spans="1:2" x14ac:dyDescent="0.25">
      <c r="A10" s="1" t="s">
        <v>264</v>
      </c>
      <c r="B10" s="50">
        <v>0</v>
      </c>
    </row>
    <row r="11" spans="1:2" x14ac:dyDescent="0.25">
      <c r="A11" s="1" t="s">
        <v>265</v>
      </c>
      <c r="B11" s="50">
        <v>0</v>
      </c>
    </row>
    <row r="12" spans="1:2" x14ac:dyDescent="0.25">
      <c r="A12" s="1" t="s">
        <v>266</v>
      </c>
      <c r="B12" s="50">
        <v>0</v>
      </c>
    </row>
    <row r="13" spans="1:2" x14ac:dyDescent="0.25">
      <c r="A13" s="1" t="s">
        <v>173</v>
      </c>
      <c r="B13" s="50">
        <v>0</v>
      </c>
    </row>
    <row r="14" spans="1:2" x14ac:dyDescent="0.25">
      <c r="A14" s="1" t="s">
        <v>174</v>
      </c>
      <c r="B14" s="50">
        <v>0</v>
      </c>
    </row>
    <row r="15" spans="1:2" x14ac:dyDescent="0.25">
      <c r="A15" s="1" t="s">
        <v>175</v>
      </c>
      <c r="B15" s="50">
        <v>0</v>
      </c>
    </row>
    <row r="16" spans="1:2" x14ac:dyDescent="0.25">
      <c r="A16" s="1" t="s">
        <v>176</v>
      </c>
      <c r="B16" s="50">
        <v>0</v>
      </c>
    </row>
    <row r="17" spans="1:2" x14ac:dyDescent="0.25">
      <c r="A17" s="1" t="s">
        <v>177</v>
      </c>
      <c r="B17" s="50">
        <v>0</v>
      </c>
    </row>
    <row r="18" spans="1:2" x14ac:dyDescent="0.25">
      <c r="A18" s="1" t="s">
        <v>178</v>
      </c>
      <c r="B18" s="50">
        <v>0</v>
      </c>
    </row>
    <row r="19" spans="1:2" x14ac:dyDescent="0.25">
      <c r="A19" s="1" t="s">
        <v>179</v>
      </c>
      <c r="B19" s="50">
        <v>0</v>
      </c>
    </row>
    <row r="20" spans="1:2" x14ac:dyDescent="0.25">
      <c r="A20" s="1" t="s">
        <v>180</v>
      </c>
      <c r="B20" s="50">
        <v>0</v>
      </c>
    </row>
    <row r="21" spans="1:2" x14ac:dyDescent="0.25">
      <c r="A21" s="1" t="s">
        <v>181</v>
      </c>
      <c r="B21" s="50">
        <v>0</v>
      </c>
    </row>
    <row r="22" spans="1:2" x14ac:dyDescent="0.25">
      <c r="A22" s="1" t="s">
        <v>182</v>
      </c>
      <c r="B22" s="50">
        <v>0</v>
      </c>
    </row>
    <row r="23" spans="1:2" x14ac:dyDescent="0.25">
      <c r="A23" s="1" t="s">
        <v>183</v>
      </c>
      <c r="B23" s="50">
        <v>0</v>
      </c>
    </row>
    <row r="24" spans="1:2" x14ac:dyDescent="0.25">
      <c r="A24" s="1" t="s">
        <v>184</v>
      </c>
      <c r="B24" s="50">
        <v>0</v>
      </c>
    </row>
    <row r="25" spans="1:2" x14ac:dyDescent="0.25">
      <c r="A25" s="1" t="s">
        <v>185</v>
      </c>
      <c r="B25" s="50">
        <v>0</v>
      </c>
    </row>
    <row r="26" spans="1:2" x14ac:dyDescent="0.25">
      <c r="A26" s="1" t="s">
        <v>186</v>
      </c>
      <c r="B26" s="50">
        <v>0</v>
      </c>
    </row>
    <row r="27" spans="1:2" x14ac:dyDescent="0.25">
      <c r="A27" s="1" t="s">
        <v>187</v>
      </c>
      <c r="B27" s="50">
        <v>0</v>
      </c>
    </row>
    <row r="28" spans="1:2" x14ac:dyDescent="0.25">
      <c r="A28" s="1" t="s">
        <v>188</v>
      </c>
      <c r="B28" s="50">
        <v>0</v>
      </c>
    </row>
    <row r="29" spans="1:2" x14ac:dyDescent="0.25">
      <c r="A29" s="1" t="s">
        <v>189</v>
      </c>
      <c r="B29" s="50">
        <v>0</v>
      </c>
    </row>
    <row r="30" spans="1:2" x14ac:dyDescent="0.25">
      <c r="A30" s="1" t="s">
        <v>190</v>
      </c>
      <c r="B30" s="50">
        <v>0</v>
      </c>
    </row>
    <row r="31" spans="1:2" x14ac:dyDescent="0.25">
      <c r="A31" s="1" t="s">
        <v>191</v>
      </c>
      <c r="B31" s="50">
        <v>0</v>
      </c>
    </row>
    <row r="32" spans="1:2" x14ac:dyDescent="0.25">
      <c r="A32" s="1" t="s">
        <v>192</v>
      </c>
      <c r="B32" s="50">
        <v>0</v>
      </c>
    </row>
    <row r="33" spans="1:2" x14ac:dyDescent="0.25">
      <c r="A33" s="1" t="s">
        <v>193</v>
      </c>
      <c r="B33" s="50">
        <v>0</v>
      </c>
    </row>
    <row r="34" spans="1:2" x14ac:dyDescent="0.25">
      <c r="A34" s="1" t="s">
        <v>194</v>
      </c>
      <c r="B34" s="50">
        <v>0</v>
      </c>
    </row>
    <row r="35" spans="1:2" x14ac:dyDescent="0.25">
      <c r="A35" s="1" t="s">
        <v>195</v>
      </c>
      <c r="B35" s="50">
        <v>0</v>
      </c>
    </row>
    <row r="36" spans="1:2" x14ac:dyDescent="0.25">
      <c r="A36" s="1" t="s">
        <v>196</v>
      </c>
      <c r="B36" s="50">
        <v>0</v>
      </c>
    </row>
    <row r="37" spans="1:2" x14ac:dyDescent="0.25">
      <c r="A37" s="1" t="s">
        <v>197</v>
      </c>
      <c r="B37" s="50">
        <v>0</v>
      </c>
    </row>
    <row r="38" spans="1:2" x14ac:dyDescent="0.25">
      <c r="A38" s="1" t="s">
        <v>198</v>
      </c>
      <c r="B38" s="50">
        <v>0</v>
      </c>
    </row>
    <row r="39" spans="1:2" x14ac:dyDescent="0.25">
      <c r="A39" s="1" t="s">
        <v>242</v>
      </c>
      <c r="B39" s="50">
        <v>0</v>
      </c>
    </row>
    <row r="40" spans="1:2" x14ac:dyDescent="0.25">
      <c r="A40" s="1" t="s">
        <v>199</v>
      </c>
      <c r="B40" s="50">
        <v>0</v>
      </c>
    </row>
    <row r="41" spans="1:2" x14ac:dyDescent="0.25">
      <c r="A41" s="1" t="s">
        <v>200</v>
      </c>
      <c r="B41" s="50">
        <v>0</v>
      </c>
    </row>
    <row r="42" spans="1:2" x14ac:dyDescent="0.25">
      <c r="A42" s="1" t="s">
        <v>243</v>
      </c>
      <c r="B42" s="50">
        <v>0</v>
      </c>
    </row>
    <row r="43" spans="1:2" x14ac:dyDescent="0.25">
      <c r="A43" s="1" t="s">
        <v>201</v>
      </c>
      <c r="B43" s="50">
        <v>0</v>
      </c>
    </row>
    <row r="44" spans="1:2" x14ac:dyDescent="0.25">
      <c r="A44" s="1" t="s">
        <v>202</v>
      </c>
      <c r="B44" s="50">
        <v>0</v>
      </c>
    </row>
    <row r="45" spans="1:2" x14ac:dyDescent="0.25">
      <c r="A45" s="1" t="s">
        <v>203</v>
      </c>
      <c r="B45" s="50">
        <v>0</v>
      </c>
    </row>
    <row r="46" spans="1:2" x14ac:dyDescent="0.25">
      <c r="A46" s="1" t="s">
        <v>204</v>
      </c>
      <c r="B46" s="50">
        <v>0</v>
      </c>
    </row>
    <row r="47" spans="1:2" x14ac:dyDescent="0.25">
      <c r="A47" s="1" t="s">
        <v>205</v>
      </c>
      <c r="B47" s="50">
        <v>0</v>
      </c>
    </row>
    <row r="48" spans="1:2" x14ac:dyDescent="0.25">
      <c r="A48" s="1" t="s">
        <v>249</v>
      </c>
      <c r="B48" s="50">
        <v>0</v>
      </c>
    </row>
    <row r="49" spans="1:2" x14ac:dyDescent="0.25">
      <c r="A49" s="1" t="s">
        <v>250</v>
      </c>
      <c r="B49" s="50">
        <v>0</v>
      </c>
    </row>
    <row r="50" spans="1:2" x14ac:dyDescent="0.25">
      <c r="A50" s="1" t="s">
        <v>248</v>
      </c>
      <c r="B50" s="50">
        <v>0</v>
      </c>
    </row>
    <row r="51" spans="1:2" x14ac:dyDescent="0.25">
      <c r="A51" s="1" t="s">
        <v>273</v>
      </c>
      <c r="B51" s="50">
        <v>0</v>
      </c>
    </row>
    <row r="52" spans="1:2" x14ac:dyDescent="0.25">
      <c r="A52" s="1" t="s">
        <v>279</v>
      </c>
      <c r="B52" s="50">
        <v>0</v>
      </c>
    </row>
    <row r="53" spans="1:2" x14ac:dyDescent="0.25">
      <c r="A53" s="71" t="s">
        <v>282</v>
      </c>
      <c r="B53" s="50">
        <v>4.01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9EB1-F1FD-4C5F-8798-E289F02F93B4}">
  <sheetPr>
    <tabColor rgb="FF92D050"/>
  </sheetPr>
  <dimension ref="A1:BD400"/>
  <sheetViews>
    <sheetView showGridLines="0" topLeftCell="D1" zoomScale="80" zoomScaleNormal="80" workbookViewId="0">
      <selection activeCell="C28" sqref="C1:C1048576"/>
    </sheetView>
  </sheetViews>
  <sheetFormatPr baseColWidth="10" defaultColWidth="10.85546875" defaultRowHeight="14.45" customHeight="1" x14ac:dyDescent="0.25"/>
  <cols>
    <col min="1" max="1" width="25.28515625" hidden="1" customWidth="1"/>
    <col min="2" max="2" width="53.7109375" hidden="1" customWidth="1"/>
    <col min="3" max="3" width="89.85546875" hidden="1" customWidth="1"/>
    <col min="4" max="4" width="37" customWidth="1"/>
    <col min="5" max="5" width="16" bestFit="1" customWidth="1"/>
    <col min="6" max="6" width="26.140625" bestFit="1" customWidth="1"/>
    <col min="7" max="7" width="11.85546875" bestFit="1" customWidth="1"/>
    <col min="8" max="8" width="4.7109375" hidden="1" customWidth="1"/>
    <col min="9" max="9" width="5.85546875" hidden="1" customWidth="1"/>
    <col min="10" max="10" width="7.28515625" hidden="1" customWidth="1"/>
    <col min="11" max="11" width="9.7109375" hidden="1" customWidth="1"/>
    <col min="12" max="12" width="16" hidden="1" customWidth="1"/>
    <col min="13" max="13" width="25.42578125" hidden="1" customWidth="1"/>
    <col min="14" max="14" width="7.28515625" hidden="1" customWidth="1"/>
    <col min="15" max="15" width="11.140625" hidden="1" customWidth="1"/>
    <col min="16" max="17" width="4.7109375" hidden="1" customWidth="1"/>
    <col min="18" max="18" width="7.28515625" hidden="1" customWidth="1"/>
    <col min="19" max="19" width="4.7109375" hidden="1" customWidth="1"/>
    <col min="20" max="22" width="7.28515625" hidden="1" customWidth="1"/>
    <col min="23" max="24" width="5.7109375" hidden="1" customWidth="1"/>
    <col min="25" max="25" width="4.7109375" hidden="1" customWidth="1"/>
    <col min="26" max="26" width="8.7109375" style="7" bestFit="1" customWidth="1"/>
    <col min="27" max="27" width="10.7109375" bestFit="1" customWidth="1"/>
    <col min="28" max="28" width="4.7109375" hidden="1" customWidth="1"/>
    <col min="29" max="29" width="7.28515625" hidden="1" customWidth="1"/>
    <col min="30" max="32" width="4.7109375" hidden="1" customWidth="1"/>
    <col min="33" max="36" width="5.7109375" hidden="1" customWidth="1"/>
    <col min="37" max="38" width="3.5703125" hidden="1" customWidth="1"/>
    <col min="39" max="39" width="7.28515625" hidden="1" customWidth="1"/>
    <col min="40" max="41" width="4.7109375" hidden="1" customWidth="1"/>
    <col min="42" max="42" width="11.5703125" customWidth="1"/>
    <col min="43" max="44" width="4.7109375" hidden="1" customWidth="1"/>
    <col min="45" max="45" width="5.7109375" hidden="1" customWidth="1"/>
    <col min="46" max="46" width="3.5703125" hidden="1" customWidth="1"/>
    <col min="47" max="47" width="11.28515625" customWidth="1"/>
    <col min="48" max="48" width="13.28515625" customWidth="1"/>
    <col min="49" max="49" width="10.28515625" customWidth="1"/>
    <col min="50" max="51" width="13.7109375" customWidth="1"/>
    <col min="52" max="52" width="67.28515625" customWidth="1"/>
    <col min="53" max="53" width="15.5703125" bestFit="1" customWidth="1"/>
    <col min="54" max="54" width="13.28515625" bestFit="1" customWidth="1"/>
    <col min="55" max="55" width="22.28515625" bestFit="1" customWidth="1"/>
    <col min="56" max="56" width="14.5703125" bestFit="1" customWidth="1"/>
  </cols>
  <sheetData>
    <row r="1" spans="1:56" ht="15" x14ac:dyDescent="0.25"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56" ht="15" x14ac:dyDescent="0.25"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56" ht="15" x14ac:dyDescent="0.25"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56" ht="15" x14ac:dyDescent="0.25">
      <c r="D4" s="57" t="s">
        <v>29</v>
      </c>
      <c r="E4" s="58">
        <f>+BD397</f>
        <v>-3503.0716309776817</v>
      </c>
      <c r="F4" s="57" t="s">
        <v>244</v>
      </c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56" ht="15" x14ac:dyDescent="0.25"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56" ht="15" x14ac:dyDescent="0.25"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56" ht="15" x14ac:dyDescent="0.25"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56" ht="15" x14ac:dyDescent="0.25"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56" ht="15" x14ac:dyDescent="0.25"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56" ht="15" x14ac:dyDescent="0.25">
      <c r="Z10"/>
    </row>
    <row r="11" spans="1:56" ht="14.45" customHeight="1" x14ac:dyDescent="0.25">
      <c r="A11" t="s">
        <v>223</v>
      </c>
      <c r="B11" t="s">
        <v>239</v>
      </c>
      <c r="C11" t="s">
        <v>224</v>
      </c>
      <c r="D11" s="32" t="s">
        <v>54</v>
      </c>
      <c r="E11" s="32" t="s">
        <v>55</v>
      </c>
      <c r="F11" s="32" t="s">
        <v>56</v>
      </c>
      <c r="G11" s="32" t="s">
        <v>57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 t="s">
        <v>58</v>
      </c>
      <c r="AA11" s="32" t="s">
        <v>59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3" t="s">
        <v>73</v>
      </c>
      <c r="AQ11" s="33"/>
      <c r="AR11" s="33"/>
      <c r="AS11" s="33"/>
      <c r="AT11" s="33"/>
      <c r="AU11" s="33" t="s">
        <v>72</v>
      </c>
      <c r="AV11" s="33" t="s">
        <v>70</v>
      </c>
      <c r="AW11" s="34" t="s">
        <v>71</v>
      </c>
      <c r="AX11" s="34" t="s">
        <v>77</v>
      </c>
      <c r="AY11" s="34" t="s">
        <v>81</v>
      </c>
      <c r="AZ11" s="62" t="s">
        <v>74</v>
      </c>
      <c r="BA11" s="62" t="s">
        <v>76</v>
      </c>
      <c r="BB11" s="35" t="s">
        <v>75</v>
      </c>
      <c r="BC11" s="64" t="s">
        <v>64</v>
      </c>
      <c r="BD11" s="64" t="s">
        <v>90</v>
      </c>
    </row>
    <row r="12" spans="1:56" ht="14.45" customHeight="1" x14ac:dyDescent="0.25">
      <c r="A12" t="e">
        <f>+VLOOKUP(D12,Acronyme!$A$1:$C$34,3,FALSE)</f>
        <v>#N/A</v>
      </c>
      <c r="B12" t="e">
        <f>+VLOOKUP(E12,Acronyme!$E$2:$I$35,5,FALSE)</f>
        <v>#N/A</v>
      </c>
      <c r="C12" t="e">
        <f>+_xlfn.CONCAT(A12,"_",#REF!,"_",F12,"_",B12)</f>
        <v>#REF!</v>
      </c>
      <c r="D12" s="47" t="s">
        <v>69</v>
      </c>
      <c r="E12" s="47" t="s">
        <v>67</v>
      </c>
      <c r="F12" s="47" t="s">
        <v>68</v>
      </c>
      <c r="G12" s="47" t="s">
        <v>68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8">
        <v>0</v>
      </c>
      <c r="AA12" s="47" t="s">
        <v>68</v>
      </c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>
        <v>0</v>
      </c>
      <c r="AQ12" s="47"/>
      <c r="AR12" s="47"/>
      <c r="AS12" s="47"/>
      <c r="AT12" s="47"/>
      <c r="AU12" s="47">
        <v>0</v>
      </c>
      <c r="AV12" s="47">
        <v>0</v>
      </c>
      <c r="AW12" s="47">
        <f>+'Etape 1 - surface'!$B$2</f>
        <v>4.01</v>
      </c>
      <c r="AX12" s="47">
        <f>+AW12*AV12</f>
        <v>0</v>
      </c>
      <c r="AY12" s="47"/>
      <c r="AZ12" s="47" t="s">
        <v>91</v>
      </c>
      <c r="BA12" s="47"/>
      <c r="BB12" s="45" t="s">
        <v>281</v>
      </c>
      <c r="BC12" s="59">
        <v>4.4999999999999998E-2</v>
      </c>
      <c r="BD12" s="47">
        <v>0</v>
      </c>
    </row>
    <row r="13" spans="1:56" ht="14.45" customHeight="1" x14ac:dyDescent="0.25">
      <c r="D13" s="47" t="s">
        <v>69</v>
      </c>
      <c r="E13" s="47" t="s">
        <v>67</v>
      </c>
      <c r="F13" s="47" t="s">
        <v>68</v>
      </c>
      <c r="G13" s="47" t="s">
        <v>68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8">
        <v>1</v>
      </c>
      <c r="AA13" s="47" t="s">
        <v>68</v>
      </c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>
        <v>0</v>
      </c>
      <c r="AQ13" s="47"/>
      <c r="AR13" s="47"/>
      <c r="AS13" s="47"/>
      <c r="AT13" s="47"/>
      <c r="AU13" s="47">
        <v>0</v>
      </c>
      <c r="AV13" s="47">
        <v>0</v>
      </c>
      <c r="AW13" s="47">
        <f>+'Etape 1 - surface'!$B$2</f>
        <v>4.01</v>
      </c>
      <c r="AX13" s="47">
        <f>+AW13*AV13</f>
        <v>0</v>
      </c>
      <c r="AY13" s="47"/>
      <c r="AZ13" s="47"/>
      <c r="BA13" s="47"/>
      <c r="BB13" s="45"/>
      <c r="BC13" s="59">
        <v>4.4999999999999998E-2</v>
      </c>
      <c r="BD13" s="47">
        <f>+(+BA13+BB13)/(1+BC13)^Z13+BD12</f>
        <v>0</v>
      </c>
    </row>
    <row r="14" spans="1:56" ht="14.45" customHeight="1" x14ac:dyDescent="0.25">
      <c r="D14" s="47" t="s">
        <v>69</v>
      </c>
      <c r="E14" s="47" t="s">
        <v>67</v>
      </c>
      <c r="F14" s="47" t="s">
        <v>68</v>
      </c>
      <c r="G14" s="47" t="s">
        <v>68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>
        <v>2</v>
      </c>
      <c r="AA14" s="47" t="s">
        <v>68</v>
      </c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>
        <v>0</v>
      </c>
      <c r="AQ14" s="47"/>
      <c r="AR14" s="47"/>
      <c r="AS14" s="47"/>
      <c r="AT14" s="47"/>
      <c r="AU14" s="47">
        <v>0</v>
      </c>
      <c r="AV14" s="47">
        <v>0</v>
      </c>
      <c r="AW14" s="47">
        <f>+'Etape 1 - surface'!$B$2</f>
        <v>4.01</v>
      </c>
      <c r="AX14" s="47">
        <f>+AW14*AV14</f>
        <v>0</v>
      </c>
      <c r="AY14" s="47"/>
      <c r="AZ14" s="47" t="s">
        <v>245</v>
      </c>
      <c r="BA14" s="47"/>
      <c r="BB14" s="45"/>
      <c r="BC14" s="59">
        <v>4.4999999999999998E-2</v>
      </c>
      <c r="BD14" s="47">
        <f>+(+BA14+BB14)/(1+BC14)^Z14+BD13</f>
        <v>0</v>
      </c>
    </row>
    <row r="15" spans="1:56" ht="14.45" customHeight="1" x14ac:dyDescent="0.25">
      <c r="A15" t="e">
        <f>+VLOOKUP(D15,Acronyme!$A$1:$C$34,3,FALSE)</f>
        <v>#N/A</v>
      </c>
      <c r="B15" t="e">
        <f>+VLOOKUP(E15,Acronyme!$E$2:$I$35,5,FALSE)</f>
        <v>#N/A</v>
      </c>
      <c r="C15" t="e">
        <f>+_xlfn.CONCAT(A15,"_",G15,"_",F15,"_",B15)</f>
        <v>#N/A</v>
      </c>
      <c r="D15" s="47" t="s">
        <v>69</v>
      </c>
      <c r="E15" s="47" t="s">
        <v>67</v>
      </c>
      <c r="F15" s="47" t="s">
        <v>68</v>
      </c>
      <c r="G15" s="47" t="s">
        <v>68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8">
        <v>3</v>
      </c>
      <c r="AA15" s="47" t="s">
        <v>68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>
        <v>0</v>
      </c>
      <c r="AQ15" s="47"/>
      <c r="AR15" s="47"/>
      <c r="AS15" s="47"/>
      <c r="AT15" s="47"/>
      <c r="AU15" s="47">
        <v>0</v>
      </c>
      <c r="AV15" s="47">
        <v>0</v>
      </c>
      <c r="AW15" s="47">
        <f>+'Etape 1 - surface'!$B$2</f>
        <v>4.01</v>
      </c>
      <c r="AX15" s="47">
        <f>+AW15*AV15</f>
        <v>0</v>
      </c>
      <c r="AY15" s="47"/>
      <c r="AZ15" s="47"/>
      <c r="BA15" s="47"/>
      <c r="BB15" s="45"/>
      <c r="BC15" s="59">
        <v>4.4999999999999998E-2</v>
      </c>
      <c r="BD15" s="47">
        <f>+(+BA15+BB15)/(1+BC15)^Z15+BD14</f>
        <v>0</v>
      </c>
    </row>
    <row r="16" spans="1:56" ht="14.45" customHeight="1" x14ac:dyDescent="0.25">
      <c r="A16" t="e">
        <f>+VLOOKUP(D16,Acronyme!$A$1:$C$34,3,FALSE)</f>
        <v>#N/A</v>
      </c>
      <c r="B16" t="e">
        <f>+VLOOKUP(E16,Acronyme!$E$2:$I$35,5,FALSE)</f>
        <v>#N/A</v>
      </c>
      <c r="C16" t="e">
        <f>+_xlfn.CONCAT(A16,"_",G16,"_",F16,"_",B16)</f>
        <v>#N/A</v>
      </c>
      <c r="D16" s="47" t="s">
        <v>69</v>
      </c>
      <c r="E16" s="47" t="s">
        <v>67</v>
      </c>
      <c r="F16" s="47" t="s">
        <v>68</v>
      </c>
      <c r="G16" s="47" t="s">
        <v>68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>
        <v>4</v>
      </c>
      <c r="AA16" s="47" t="s">
        <v>68</v>
      </c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>
        <v>0</v>
      </c>
      <c r="AQ16" s="47"/>
      <c r="AR16" s="47"/>
      <c r="AS16" s="47"/>
      <c r="AT16" s="47"/>
      <c r="AU16" s="47">
        <v>0</v>
      </c>
      <c r="AV16" s="47">
        <v>0</v>
      </c>
      <c r="AW16" s="47">
        <f>+'Etape 1 - surface'!$B$2</f>
        <v>4.01</v>
      </c>
      <c r="AX16" s="47">
        <v>0</v>
      </c>
      <c r="AY16" s="47"/>
      <c r="AZ16" s="47" t="s">
        <v>92</v>
      </c>
      <c r="BA16" s="47"/>
      <c r="BB16" s="45"/>
      <c r="BC16" s="59">
        <v>4.4999999999999998E-2</v>
      </c>
      <c r="BD16" s="47">
        <f>+(+BA16+BB16)/(1+BC16)^Z16+BD15</f>
        <v>0</v>
      </c>
    </row>
    <row r="17" spans="1:56" ht="14.45" customHeight="1" x14ac:dyDescent="0.25">
      <c r="A17" t="s">
        <v>284</v>
      </c>
      <c r="B17" t="s">
        <v>285</v>
      </c>
      <c r="C17" t="s">
        <v>282</v>
      </c>
      <c r="D17" s="43" t="s">
        <v>283</v>
      </c>
      <c r="E17" s="43" t="s">
        <v>68</v>
      </c>
      <c r="F17" s="43" t="s">
        <v>286</v>
      </c>
      <c r="G17" s="43" t="s">
        <v>62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32">
        <v>10</v>
      </c>
      <c r="AA17" s="43" t="s">
        <v>152</v>
      </c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4">
        <v>3440</v>
      </c>
      <c r="AQ17" s="44"/>
      <c r="AR17" s="44"/>
      <c r="AS17" s="44"/>
      <c r="AT17" s="44"/>
      <c r="AU17" s="44">
        <v>0.2</v>
      </c>
      <c r="AV17" s="44">
        <v>71</v>
      </c>
      <c r="AW17" s="74">
        <f>+VLOOKUP(C17,'Etape 1 - surface'!$A$5:$B$58,2,FALSE)</f>
        <v>4.01</v>
      </c>
      <c r="AX17" s="44">
        <f t="shared" ref="AX17:AX83" si="0">+AW17*AV17</f>
        <v>284.70999999999998</v>
      </c>
      <c r="AY17" s="45">
        <v>0</v>
      </c>
      <c r="AZ17" s="63"/>
      <c r="BA17" s="63">
        <f t="shared" ref="BA17:BA83" si="1">+AX17*AY17</f>
        <v>0</v>
      </c>
      <c r="BB17" s="45">
        <v>0</v>
      </c>
      <c r="BC17" s="65">
        <v>4.4999999999999998E-2</v>
      </c>
      <c r="BD17" s="63">
        <f>+(+BA17+BB17)/(1+BC17)^Z17+BD16</f>
        <v>0</v>
      </c>
    </row>
    <row r="18" spans="1:56" ht="14.45" customHeight="1" x14ac:dyDescent="0.25">
      <c r="A18" t="e">
        <f>+VLOOKUP(D18,Acronyme!$A$1:$C$34,3,FALSE)</f>
        <v>#N/A</v>
      </c>
      <c r="B18" t="e">
        <f>+VLOOKUP(E18,Acronyme!$E$2:$I$35,5,FALSE)</f>
        <v>#N/A</v>
      </c>
      <c r="C18" t="s">
        <v>240</v>
      </c>
      <c r="D18" s="43" t="s">
        <v>78</v>
      </c>
      <c r="E18" s="43" t="s">
        <v>68</v>
      </c>
      <c r="F18" s="43" t="s">
        <v>79</v>
      </c>
      <c r="G18" s="43" t="s">
        <v>62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32">
        <v>12</v>
      </c>
      <c r="AA18" s="43" t="s">
        <v>152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4">
        <v>300</v>
      </c>
      <c r="AQ18" s="44"/>
      <c r="AR18" s="44"/>
      <c r="AS18" s="44"/>
      <c r="AT18" s="44"/>
      <c r="AU18" s="44">
        <v>0.1</v>
      </c>
      <c r="AV18" s="44">
        <f>+AU18*AP18</f>
        <v>30</v>
      </c>
      <c r="AW18" s="44">
        <f>+VLOOKUP(C18,'Etape 1 - surface'!$A$5:$B$58,2,FALSE)</f>
        <v>0</v>
      </c>
      <c r="AX18" s="44">
        <f t="shared" si="0"/>
        <v>0</v>
      </c>
      <c r="AY18" s="44">
        <v>3.5</v>
      </c>
      <c r="AZ18" s="63"/>
      <c r="BA18" s="63">
        <f t="shared" si="1"/>
        <v>0</v>
      </c>
      <c r="BB18" s="45"/>
      <c r="BC18" s="65">
        <v>4.4999999999999998E-2</v>
      </c>
      <c r="BD18" s="63">
        <f t="shared" ref="BD18:BD81" si="2">+(+BA18+BB18)/(1+BC18)^Z18+BD17</f>
        <v>0</v>
      </c>
    </row>
    <row r="19" spans="1:56" ht="14.45" customHeight="1" x14ac:dyDescent="0.25">
      <c r="C19" t="s">
        <v>267</v>
      </c>
      <c r="D19" s="43" t="s">
        <v>78</v>
      </c>
      <c r="E19" s="43" t="s">
        <v>68</v>
      </c>
      <c r="F19" s="43" t="s">
        <v>79</v>
      </c>
      <c r="G19" s="43" t="s">
        <v>114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2">
        <v>12</v>
      </c>
      <c r="AA19" s="43" t="s">
        <v>152</v>
      </c>
      <c r="AB19" s="44">
        <v>300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4">
        <v>300</v>
      </c>
      <c r="AQ19" s="1"/>
      <c r="AR19" s="1"/>
      <c r="AS19" s="1"/>
      <c r="AT19" s="1"/>
      <c r="AU19" s="44">
        <v>0.1</v>
      </c>
      <c r="AV19" s="44">
        <v>28.8</v>
      </c>
      <c r="AW19" s="44">
        <f>+VLOOKUP(C19,'Etape 1 - surface'!$A$5:$B$58,2,FALSE)</f>
        <v>0</v>
      </c>
      <c r="AX19" s="44">
        <f>+AW19*AV19</f>
        <v>0</v>
      </c>
      <c r="AY19" s="44">
        <v>30</v>
      </c>
      <c r="AZ19" s="63"/>
      <c r="BA19" s="63">
        <f>+AX19*AY19</f>
        <v>0</v>
      </c>
      <c r="BB19" s="45"/>
      <c r="BC19" s="65">
        <v>4.4999999999999998E-2</v>
      </c>
      <c r="BD19" s="63">
        <f t="shared" si="2"/>
        <v>0</v>
      </c>
    </row>
    <row r="20" spans="1:56" ht="14.45" customHeight="1" x14ac:dyDescent="0.25">
      <c r="A20" t="str">
        <f>+VLOOKUP(D20,Acronyme!$A$1:$C$50,3,FALSE)</f>
        <v>Pin Maritime</v>
      </c>
      <c r="B20" t="str">
        <f>+VLOOKUP(E20,Acronyme!$E$2:$I$50,5,FALSE)</f>
        <v>GS Pineraies des plaines du Centre et du Nord Ouest</v>
      </c>
      <c r="C20" t="str">
        <f>+_xlfn.CONCAT(A20,"_",G20,"_",F20,"_",B20,"_")</f>
        <v>Pin Maritime_F1_Classique_GS Pineraies des plaines du Centre et du Nord Ouest_</v>
      </c>
      <c r="D20" s="43" t="s">
        <v>124</v>
      </c>
      <c r="E20" s="43" t="s">
        <v>89</v>
      </c>
      <c r="F20" s="43" t="s">
        <v>61</v>
      </c>
      <c r="G20" s="43" t="s">
        <v>100</v>
      </c>
      <c r="H20" s="43">
        <v>27.5</v>
      </c>
      <c r="I20" s="43">
        <v>55</v>
      </c>
      <c r="J20" s="43">
        <v>1250</v>
      </c>
      <c r="K20" s="43" t="s">
        <v>102</v>
      </c>
      <c r="L20" s="43" t="s">
        <v>103</v>
      </c>
      <c r="M20" s="43" t="s">
        <v>125</v>
      </c>
      <c r="N20" s="43"/>
      <c r="O20" s="43"/>
      <c r="P20" s="43">
        <v>14</v>
      </c>
      <c r="Q20" s="43">
        <v>11</v>
      </c>
      <c r="R20" s="43">
        <v>1251</v>
      </c>
      <c r="S20" s="43">
        <v>25.56</v>
      </c>
      <c r="T20" s="43">
        <v>13</v>
      </c>
      <c r="U20" s="43">
        <v>239</v>
      </c>
      <c r="V20" s="43">
        <v>629</v>
      </c>
      <c r="W20" s="43">
        <v>324</v>
      </c>
      <c r="X20" s="43">
        <v>46</v>
      </c>
      <c r="Y20" s="43">
        <v>0</v>
      </c>
      <c r="Z20" s="32">
        <v>14</v>
      </c>
      <c r="AA20" s="43" t="s">
        <v>63</v>
      </c>
      <c r="AB20" s="43">
        <v>10.8</v>
      </c>
      <c r="AC20" s="43">
        <v>875</v>
      </c>
      <c r="AD20" s="43">
        <v>17.68</v>
      </c>
      <c r="AE20" s="43">
        <v>16.04</v>
      </c>
      <c r="AF20" s="43">
        <v>21.84</v>
      </c>
      <c r="AG20" s="43">
        <v>84.1456048499426</v>
      </c>
      <c r="AH20" s="43">
        <v>85.007606961068106</v>
      </c>
      <c r="AI20" s="43">
        <v>112.902738379971</v>
      </c>
      <c r="AJ20" s="43">
        <v>25.564238979688898</v>
      </c>
      <c r="AK20" s="43">
        <v>1.82601706997778</v>
      </c>
      <c r="AL20" s="43">
        <v>2.4809688749586001</v>
      </c>
      <c r="AM20" s="43">
        <v>164.228010452002</v>
      </c>
      <c r="AN20" s="43">
        <v>11.730572175142999</v>
      </c>
      <c r="AO20" s="43">
        <v>23.947510234301799</v>
      </c>
      <c r="AP20" s="44">
        <v>376</v>
      </c>
      <c r="AQ20" s="44">
        <v>7.879999999999999</v>
      </c>
      <c r="AR20" s="44">
        <v>16.33519208129475</v>
      </c>
      <c r="AS20" s="44">
        <v>38.090004550035403</v>
      </c>
      <c r="AT20" s="44">
        <v>1.03</v>
      </c>
      <c r="AU20" s="44">
        <v>0.10130320359051968</v>
      </c>
      <c r="AV20" s="44">
        <f>+AU20*AP20</f>
        <v>38.090004550035403</v>
      </c>
      <c r="AW20" s="44">
        <f>+VLOOKUP(C20,'Etape 1 - surface'!$A$5:$B$58,2,FALSE)</f>
        <v>0</v>
      </c>
      <c r="AX20" s="44">
        <f>+AW20*AV20</f>
        <v>0</v>
      </c>
      <c r="AY20" s="44">
        <v>5</v>
      </c>
      <c r="AZ20" s="63"/>
      <c r="BA20" s="63">
        <f t="shared" si="1"/>
        <v>0</v>
      </c>
      <c r="BB20" s="45"/>
      <c r="BC20" s="65">
        <v>4.4999999999999998E-2</v>
      </c>
      <c r="BD20" s="63">
        <f t="shared" si="2"/>
        <v>0</v>
      </c>
    </row>
    <row r="21" spans="1:56" ht="14.45" customHeight="1" x14ac:dyDescent="0.25">
      <c r="A21" t="s">
        <v>284</v>
      </c>
      <c r="B21" t="s">
        <v>285</v>
      </c>
      <c r="C21" t="s">
        <v>282</v>
      </c>
      <c r="D21" s="43" t="s">
        <v>283</v>
      </c>
      <c r="E21" s="43" t="s">
        <v>68</v>
      </c>
      <c r="F21" s="43" t="s">
        <v>286</v>
      </c>
      <c r="G21" s="43" t="s">
        <v>62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32">
        <v>16</v>
      </c>
      <c r="AA21" s="43" t="s">
        <v>152</v>
      </c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4">
        <v>300</v>
      </c>
      <c r="AQ21" s="44"/>
      <c r="AR21" s="44"/>
      <c r="AS21" s="44"/>
      <c r="AT21" s="44"/>
      <c r="AU21" s="44"/>
      <c r="AV21" s="44">
        <v>107.86</v>
      </c>
      <c r="AW21" s="74">
        <f>+VLOOKUP(C21,'Etape 1 - surface'!$A$5:$B$58,2,FALSE)</f>
        <v>4.01</v>
      </c>
      <c r="AX21" s="44">
        <f>+AW21*AV21</f>
        <v>432.51859999999999</v>
      </c>
      <c r="AY21" s="45">
        <v>0</v>
      </c>
      <c r="AZ21" s="63" t="s">
        <v>287</v>
      </c>
      <c r="BA21" s="63">
        <f>+AX21*AY21</f>
        <v>0</v>
      </c>
      <c r="BB21" s="45">
        <v>-12477</v>
      </c>
      <c r="BC21" s="65">
        <v>4.4999999999999998E-2</v>
      </c>
      <c r="BD21" s="63">
        <f t="shared" si="2"/>
        <v>-6169.4937404534348</v>
      </c>
    </row>
    <row r="22" spans="1:56" ht="14.45" customHeight="1" x14ac:dyDescent="0.25">
      <c r="A22" t="e">
        <f>+VLOOKUP(D22,Acronyme!$A$1:$C$34,3,FALSE)</f>
        <v>#N/A</v>
      </c>
      <c r="B22" t="e">
        <f>+VLOOKUP(E22,Acronyme!$E$2:$I$35,5,FALSE)</f>
        <v>#N/A</v>
      </c>
      <c r="C22" t="s">
        <v>240</v>
      </c>
      <c r="D22" s="43" t="s">
        <v>78</v>
      </c>
      <c r="E22" s="43" t="s">
        <v>68</v>
      </c>
      <c r="F22" s="43" t="s">
        <v>79</v>
      </c>
      <c r="G22" s="43" t="s">
        <v>62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32">
        <v>16</v>
      </c>
      <c r="AA22" s="43" t="s">
        <v>152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4">
        <v>200</v>
      </c>
      <c r="AQ22" s="44"/>
      <c r="AR22" s="44"/>
      <c r="AS22" s="44"/>
      <c r="AT22" s="44"/>
      <c r="AU22" s="44">
        <v>0.25</v>
      </c>
      <c r="AV22" s="44">
        <f>+AU22*AP22</f>
        <v>50</v>
      </c>
      <c r="AW22" s="44">
        <f>+VLOOKUP(C22,'Etape 1 - surface'!$A$5:$B$58,2,FALSE)</f>
        <v>0</v>
      </c>
      <c r="AX22" s="44">
        <f t="shared" si="0"/>
        <v>0</v>
      </c>
      <c r="AY22" s="44">
        <v>3.5</v>
      </c>
      <c r="AZ22" s="63"/>
      <c r="BA22" s="63">
        <f>+AX22*AY22</f>
        <v>0</v>
      </c>
      <c r="BB22" s="45"/>
      <c r="BC22" s="65">
        <v>4.4999999999999998E-2</v>
      </c>
      <c r="BD22" s="63">
        <f t="shared" si="2"/>
        <v>-6169.4937404534348</v>
      </c>
    </row>
    <row r="23" spans="1:56" ht="15" x14ac:dyDescent="0.25">
      <c r="C23" t="s">
        <v>267</v>
      </c>
      <c r="D23" s="43" t="s">
        <v>78</v>
      </c>
      <c r="E23" s="43" t="s">
        <v>68</v>
      </c>
      <c r="F23" s="43" t="s">
        <v>79</v>
      </c>
      <c r="G23" s="43" t="s">
        <v>114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2">
        <v>16</v>
      </c>
      <c r="AA23" s="43" t="s">
        <v>152</v>
      </c>
      <c r="AB23" s="44">
        <v>200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44">
        <v>200</v>
      </c>
      <c r="AQ23" s="1"/>
      <c r="AR23" s="1"/>
      <c r="AS23" s="1"/>
      <c r="AT23" s="1"/>
      <c r="AU23" s="44">
        <v>0.2</v>
      </c>
      <c r="AV23" s="44">
        <v>40</v>
      </c>
      <c r="AW23" s="44">
        <f>+VLOOKUP(C23,'Etape 1 - surface'!$A$5:$B$58,2,FALSE)</f>
        <v>0</v>
      </c>
      <c r="AX23" s="44">
        <f t="shared" si="0"/>
        <v>0</v>
      </c>
      <c r="AY23" s="44">
        <v>30</v>
      </c>
      <c r="AZ23" s="63"/>
      <c r="BA23" s="63">
        <f t="shared" si="1"/>
        <v>0</v>
      </c>
      <c r="BB23" s="45"/>
      <c r="BC23" s="65">
        <v>4.4999999999999998E-2</v>
      </c>
      <c r="BD23" s="63">
        <f t="shared" si="2"/>
        <v>-6169.4937404534348</v>
      </c>
    </row>
    <row r="24" spans="1:56" ht="15" x14ac:dyDescent="0.25">
      <c r="A24" t="str">
        <f>+VLOOKUP(D24,Acronyme!$A$1:$C$50,3,FALSE)</f>
        <v>Pin Maritime</v>
      </c>
      <c r="B24" t="str">
        <f>+VLOOKUP(E24,Acronyme!$E$2:$I$50,5,FALSE)</f>
        <v>GS Pineraies des plaines du Centre et du Nord Ouest</v>
      </c>
      <c r="C24" t="str">
        <f>+_xlfn.CONCAT(A24,"_",G24,"_",F24,"_",B24,"_")</f>
        <v>Pin Maritime_F2_Classique_GS Pineraies des plaines du Centre et du Nord Ouest_</v>
      </c>
      <c r="D24" s="43" t="s">
        <v>124</v>
      </c>
      <c r="E24" s="43" t="s">
        <v>89</v>
      </c>
      <c r="F24" s="43" t="s">
        <v>61</v>
      </c>
      <c r="G24" s="43" t="s">
        <v>62</v>
      </c>
      <c r="H24" s="43">
        <v>23</v>
      </c>
      <c r="I24" s="43">
        <v>50</v>
      </c>
      <c r="J24" s="43">
        <v>1250</v>
      </c>
      <c r="K24" s="43" t="s">
        <v>102</v>
      </c>
      <c r="L24" s="43" t="s">
        <v>103</v>
      </c>
      <c r="M24" s="43" t="s">
        <v>125</v>
      </c>
      <c r="N24" s="43"/>
      <c r="O24" s="43"/>
      <c r="P24" s="43">
        <v>17</v>
      </c>
      <c r="Q24" s="43">
        <v>11</v>
      </c>
      <c r="R24" s="43">
        <v>1251</v>
      </c>
      <c r="S24" s="43">
        <v>25.56</v>
      </c>
      <c r="T24" s="43">
        <v>13</v>
      </c>
      <c r="U24" s="43">
        <v>239</v>
      </c>
      <c r="V24" s="43">
        <v>629</v>
      </c>
      <c r="W24" s="43">
        <v>324</v>
      </c>
      <c r="X24" s="43">
        <v>46</v>
      </c>
      <c r="Y24" s="43">
        <v>0</v>
      </c>
      <c r="Z24" s="32">
        <v>17</v>
      </c>
      <c r="AA24" s="43" t="s">
        <v>63</v>
      </c>
      <c r="AB24" s="43">
        <v>10.89</v>
      </c>
      <c r="AC24" s="43">
        <v>828.8</v>
      </c>
      <c r="AD24" s="43">
        <v>17.03</v>
      </c>
      <c r="AE24" s="43">
        <v>16.170000000000002</v>
      </c>
      <c r="AF24" s="43">
        <v>22.23</v>
      </c>
      <c r="AG24" s="43">
        <v>81.506101893355094</v>
      </c>
      <c r="AH24" s="43">
        <v>82.393859791198906</v>
      </c>
      <c r="AI24" s="43">
        <v>109.515828974298</v>
      </c>
      <c r="AJ24" s="43">
        <v>25.564238979688898</v>
      </c>
      <c r="AK24" s="43">
        <v>1.50377876351111</v>
      </c>
      <c r="AL24" s="43">
        <v>2.0735289564187598</v>
      </c>
      <c r="AM24" s="43">
        <v>164.228010452002</v>
      </c>
      <c r="AN24" s="43">
        <v>9.6604712030589397</v>
      </c>
      <c r="AO24" s="43">
        <v>19.4058354200784</v>
      </c>
      <c r="AP24" s="44">
        <v>422.20000000000005</v>
      </c>
      <c r="AQ24" s="44">
        <v>8.5299999999999976</v>
      </c>
      <c r="AR24" s="44">
        <v>16.038747873918343</v>
      </c>
      <c r="AS24" s="44">
        <v>40.729507506622909</v>
      </c>
      <c r="AT24" s="44">
        <v>0.99</v>
      </c>
      <c r="AU24" s="44">
        <v>9.6469700394653968E-2</v>
      </c>
      <c r="AV24" s="44">
        <f>+AU24*AP24</f>
        <v>40.729507506622909</v>
      </c>
      <c r="AW24" s="44">
        <f>+VLOOKUP(C24,'Etape 1 - surface'!$A$5:$B$58,2,FALSE)</f>
        <v>0</v>
      </c>
      <c r="AX24" s="44">
        <f t="shared" si="0"/>
        <v>0</v>
      </c>
      <c r="AY24" s="44">
        <v>5</v>
      </c>
      <c r="AZ24" s="63"/>
      <c r="BA24" s="63">
        <f t="shared" si="1"/>
        <v>0</v>
      </c>
      <c r="BB24" s="45"/>
      <c r="BC24" s="65">
        <v>4.4999999999999998E-2</v>
      </c>
      <c r="BD24" s="63">
        <f t="shared" si="2"/>
        <v>-6169.4937404534348</v>
      </c>
    </row>
    <row r="25" spans="1:56" ht="15" x14ac:dyDescent="0.25">
      <c r="A25" t="str">
        <f>+VLOOKUP(D25,Acronyme!$A$1:$C$50,3,FALSE)</f>
        <v>Douglas</v>
      </c>
      <c r="B25" t="str">
        <f>+VLOOKUP(E25,Acronyme!$E$2:$I$50,5,FALSE)</f>
        <v>National</v>
      </c>
      <c r="C25" t="str">
        <f>+_xlfn.CONCAT(A25,"_",G25,"_",F25,"_",B25,"_")</f>
        <v>Douglas_F1_Entree 17-18m, densité haute_National_</v>
      </c>
      <c r="D25" s="43" t="s">
        <v>97</v>
      </c>
      <c r="E25" s="43" t="s">
        <v>98</v>
      </c>
      <c r="F25" s="43" t="s">
        <v>99</v>
      </c>
      <c r="G25" s="43" t="s">
        <v>100</v>
      </c>
      <c r="H25" s="43">
        <v>40</v>
      </c>
      <c r="I25" s="43" t="s">
        <v>101</v>
      </c>
      <c r="J25" s="43">
        <v>1666</v>
      </c>
      <c r="K25" s="43" t="s">
        <v>102</v>
      </c>
      <c r="L25" s="43" t="s">
        <v>103</v>
      </c>
      <c r="M25" s="43" t="s">
        <v>104</v>
      </c>
      <c r="N25" s="43"/>
      <c r="O25" s="43"/>
      <c r="P25" s="43">
        <v>17</v>
      </c>
      <c r="Q25" s="43">
        <v>15.63</v>
      </c>
      <c r="R25" s="43">
        <v>1600</v>
      </c>
      <c r="S25" s="43">
        <v>27.89</v>
      </c>
      <c r="T25" s="43">
        <v>30</v>
      </c>
      <c r="U25" s="43">
        <v>428</v>
      </c>
      <c r="V25" s="43">
        <v>863</v>
      </c>
      <c r="W25" s="43">
        <v>267</v>
      </c>
      <c r="X25" s="43">
        <v>12</v>
      </c>
      <c r="Y25" s="43">
        <v>0</v>
      </c>
      <c r="Z25" s="32">
        <v>18</v>
      </c>
      <c r="AA25" s="43" t="s">
        <v>63</v>
      </c>
      <c r="AB25" s="43">
        <v>16.53</v>
      </c>
      <c r="AC25" s="43">
        <v>730</v>
      </c>
      <c r="AD25" s="43">
        <v>18.75</v>
      </c>
      <c r="AE25" s="43">
        <v>18.079999999999998</v>
      </c>
      <c r="AF25" s="43">
        <v>23.26</v>
      </c>
      <c r="AG25" s="43">
        <v>127.003378035956</v>
      </c>
      <c r="AH25" s="43">
        <v>127.0801743</v>
      </c>
      <c r="AI25" s="43">
        <v>147.685614217264</v>
      </c>
      <c r="AJ25" s="43">
        <v>30.659202081348901</v>
      </c>
      <c r="AK25" s="43">
        <v>1.70328900451938</v>
      </c>
      <c r="AL25" s="43">
        <v>2.1861340322876801</v>
      </c>
      <c r="AM25" s="43">
        <v>237.76018148255599</v>
      </c>
      <c r="AN25" s="43">
        <v>13.208898971253101</v>
      </c>
      <c r="AO25" s="43">
        <v>23.472711836958599</v>
      </c>
      <c r="AP25" s="44">
        <v>869</v>
      </c>
      <c r="AQ25" s="44">
        <v>11.91</v>
      </c>
      <c r="AR25" s="44">
        <v>13.209946290098735</v>
      </c>
      <c r="AS25" s="44">
        <v>69.270071527127996</v>
      </c>
      <c r="AT25" s="44">
        <v>0.71</v>
      </c>
      <c r="AU25" s="44">
        <v>7.9712395313150747E-2</v>
      </c>
      <c r="AV25" s="44">
        <f>+AU25*AP25</f>
        <v>69.270071527127996</v>
      </c>
      <c r="AW25" s="44">
        <f>+VLOOKUP(C25,'Etape 1 - surface'!$A$5:$B$58,2,FALSE)</f>
        <v>0</v>
      </c>
      <c r="AX25" s="44">
        <f t="shared" si="0"/>
        <v>0</v>
      </c>
      <c r="AY25" s="44">
        <v>5</v>
      </c>
      <c r="AZ25" s="63"/>
      <c r="BA25" s="63">
        <f t="shared" si="1"/>
        <v>0</v>
      </c>
      <c r="BB25" s="45"/>
      <c r="BC25" s="65">
        <v>4.4999999999999998E-2</v>
      </c>
      <c r="BD25" s="63">
        <f t="shared" si="2"/>
        <v>-6169.4937404534348</v>
      </c>
    </row>
    <row r="26" spans="1:56" ht="14.45" customHeight="1" x14ac:dyDescent="0.25">
      <c r="A26" t="str">
        <f>+VLOOKUP(D26,Acronyme!$A$1:$C$50,3,FALSE)</f>
        <v>Pin Maritime</v>
      </c>
      <c r="B26" t="str">
        <f>+VLOOKUP(E26,Acronyme!$E$2:$I$50,5,FALSE)</f>
        <v>GS Pineraies des plaines du Centre et du Nord Ouest</v>
      </c>
      <c r="C26" t="str">
        <f>+_xlfn.CONCAT(A26,"_",G26,"_",F26,"_",B26,"_")</f>
        <v>Pin Maritime_F1_Classique_GS Pineraies des plaines du Centre et du Nord Ouest_</v>
      </c>
      <c r="D26" s="43" t="s">
        <v>124</v>
      </c>
      <c r="E26" s="43" t="s">
        <v>89</v>
      </c>
      <c r="F26" s="43" t="s">
        <v>61</v>
      </c>
      <c r="G26" s="43" t="s">
        <v>100</v>
      </c>
      <c r="H26" s="43">
        <v>27.5</v>
      </c>
      <c r="I26" s="43">
        <v>55</v>
      </c>
      <c r="J26" s="43">
        <v>1250</v>
      </c>
      <c r="K26" s="43" t="s">
        <v>102</v>
      </c>
      <c r="L26" s="43" t="s">
        <v>103</v>
      </c>
      <c r="M26" s="43" t="s">
        <v>125</v>
      </c>
      <c r="N26" s="43"/>
      <c r="O26" s="43"/>
      <c r="P26" s="43">
        <v>14</v>
      </c>
      <c r="Q26" s="43">
        <v>11</v>
      </c>
      <c r="R26" s="43">
        <v>1251</v>
      </c>
      <c r="S26" s="43">
        <v>25.56</v>
      </c>
      <c r="T26" s="43">
        <v>13</v>
      </c>
      <c r="U26" s="43">
        <v>239</v>
      </c>
      <c r="V26" s="43">
        <v>629</v>
      </c>
      <c r="W26" s="43">
        <v>324</v>
      </c>
      <c r="X26" s="43">
        <v>46</v>
      </c>
      <c r="Y26" s="43">
        <v>0</v>
      </c>
      <c r="Z26" s="32">
        <v>19</v>
      </c>
      <c r="AA26" s="43" t="s">
        <v>63</v>
      </c>
      <c r="AB26" s="43">
        <v>14.81</v>
      </c>
      <c r="AC26" s="43">
        <v>604</v>
      </c>
      <c r="AD26" s="43">
        <v>23.03</v>
      </c>
      <c r="AE26" s="43">
        <v>22.03</v>
      </c>
      <c r="AF26" s="43">
        <v>28.73</v>
      </c>
      <c r="AG26" s="43">
        <v>153.04372419438201</v>
      </c>
      <c r="AH26" s="43">
        <v>154.079691477072</v>
      </c>
      <c r="AI26" s="43">
        <v>181.10458117268101</v>
      </c>
      <c r="AJ26" s="43">
        <v>37.969083354481903</v>
      </c>
      <c r="AK26" s="43">
        <v>1.99837280813063</v>
      </c>
      <c r="AL26" s="43">
        <v>2.0242271354005501</v>
      </c>
      <c r="AM26" s="43">
        <v>283.96556162351101</v>
      </c>
      <c r="AN26" s="43">
        <v>14.945555874921601</v>
      </c>
      <c r="AO26" s="43">
        <v>23.620191387884098</v>
      </c>
      <c r="AP26" s="44">
        <v>271</v>
      </c>
      <c r="AQ26" s="44">
        <v>7.0499999999999972</v>
      </c>
      <c r="AR26" s="44">
        <v>18.199731142719266</v>
      </c>
      <c r="AS26" s="44">
        <v>43.712631514377989</v>
      </c>
      <c r="AT26" s="44">
        <v>0.76</v>
      </c>
      <c r="AU26" s="44">
        <v>0.16130122330028779</v>
      </c>
      <c r="AV26" s="44">
        <f>+AU26*AP26</f>
        <v>43.712631514377989</v>
      </c>
      <c r="AW26" s="44">
        <f>+VLOOKUP(C26,'Etape 1 - surface'!$A$5:$B$58,2,FALSE)</f>
        <v>0</v>
      </c>
      <c r="AX26" s="44">
        <f t="shared" si="0"/>
        <v>0</v>
      </c>
      <c r="AY26" s="44">
        <v>5</v>
      </c>
      <c r="AZ26" s="63"/>
      <c r="BA26" s="63">
        <f t="shared" si="1"/>
        <v>0</v>
      </c>
      <c r="BB26" s="45"/>
      <c r="BC26" s="65">
        <v>4.4999999999999998E-2</v>
      </c>
      <c r="BD26" s="63">
        <f t="shared" si="2"/>
        <v>-6169.4937404534348</v>
      </c>
    </row>
    <row r="27" spans="1:56" ht="14.45" customHeight="1" x14ac:dyDescent="0.25">
      <c r="A27" t="str">
        <f>+VLOOKUP(D27,Acronyme!$A$1:$C$50,3,FALSE)</f>
        <v>Pin Laricio</v>
      </c>
      <c r="B27" t="str">
        <f>+VLOOKUP(E27,Acronyme!$E$2:$I$50,5,FALSE)</f>
        <v>GS Pineraies des plaines du Centre et du Nord Ouest</v>
      </c>
      <c r="C27" t="str">
        <f>+_xlfn.CONCAT(A27,"_",G27,"_",F27,"_",B27,"_")</f>
        <v>Pin Laricio_F1_Classique_GS Pineraies des plaines du Centre et du Nord Ouest_</v>
      </c>
      <c r="D27" s="43" t="s">
        <v>88</v>
      </c>
      <c r="E27" s="43" t="s">
        <v>89</v>
      </c>
      <c r="F27" s="43" t="s">
        <v>61</v>
      </c>
      <c r="G27" s="43" t="s">
        <v>100</v>
      </c>
      <c r="H27" s="43">
        <v>26</v>
      </c>
      <c r="I27" s="43" t="s">
        <v>101</v>
      </c>
      <c r="J27" s="43">
        <v>1600</v>
      </c>
      <c r="K27" s="43" t="s">
        <v>102</v>
      </c>
      <c r="L27" s="43" t="s">
        <v>103</v>
      </c>
      <c r="M27" s="43" t="s">
        <v>117</v>
      </c>
      <c r="N27" s="43"/>
      <c r="O27" s="43"/>
      <c r="P27" s="43">
        <v>15</v>
      </c>
      <c r="Q27" s="43">
        <v>8.23</v>
      </c>
      <c r="R27" s="43">
        <v>1600</v>
      </c>
      <c r="S27" s="43">
        <v>14.07</v>
      </c>
      <c r="T27" s="43">
        <v>109</v>
      </c>
      <c r="U27" s="43">
        <v>1278</v>
      </c>
      <c r="V27" s="43">
        <v>213</v>
      </c>
      <c r="W27" s="43">
        <v>0</v>
      </c>
      <c r="X27" s="43">
        <v>0</v>
      </c>
      <c r="Y27" s="43">
        <v>0</v>
      </c>
      <c r="Z27" s="32">
        <v>19</v>
      </c>
      <c r="AA27" s="43" t="s">
        <v>63</v>
      </c>
      <c r="AB27" s="43">
        <v>11.3</v>
      </c>
      <c r="AC27" s="43">
        <v>1000.2</v>
      </c>
      <c r="AD27" s="43">
        <v>16.05</v>
      </c>
      <c r="AE27" s="43">
        <v>14.29</v>
      </c>
      <c r="AF27" s="43">
        <v>17.920000000000002</v>
      </c>
      <c r="AG27" s="43">
        <v>81.519581123689093</v>
      </c>
      <c r="AH27" s="43">
        <v>81.747656675597597</v>
      </c>
      <c r="AI27" s="43">
        <v>105.877112071748</v>
      </c>
      <c r="AJ27" s="43">
        <v>25.219474130227098</v>
      </c>
      <c r="AK27" s="43">
        <v>1.32734074369616</v>
      </c>
      <c r="AL27" s="43">
        <v>2.0237384463613899</v>
      </c>
      <c r="AM27" s="43">
        <v>166.38069043734399</v>
      </c>
      <c r="AN27" s="43">
        <v>8.7568784440707308</v>
      </c>
      <c r="AO27" s="43">
        <v>20.410214595247801</v>
      </c>
      <c r="AP27" s="44">
        <v>594.20000000000005</v>
      </c>
      <c r="AQ27" s="44">
        <v>9.1699999999999982</v>
      </c>
      <c r="AR27" s="44">
        <v>14.017591621869519</v>
      </c>
      <c r="AS27" s="44">
        <v>46.299147704699905</v>
      </c>
      <c r="AT27" s="44">
        <v>0.97617620769689639</v>
      </c>
      <c r="AU27" s="44">
        <v>7.7918457934533655E-2</v>
      </c>
      <c r="AV27" s="44">
        <f>+AU27*AP27</f>
        <v>46.299147704699898</v>
      </c>
      <c r="AW27" s="44">
        <f>+VLOOKUP(C27,'Etape 1 - surface'!$A$5:$B$58,2,FALSE)</f>
        <v>0</v>
      </c>
      <c r="AX27" s="44">
        <f t="shared" si="0"/>
        <v>0</v>
      </c>
      <c r="AY27" s="44">
        <v>5</v>
      </c>
      <c r="AZ27" s="63"/>
      <c r="BA27" s="63">
        <f t="shared" si="1"/>
        <v>0</v>
      </c>
      <c r="BB27" s="45"/>
      <c r="BC27" s="65">
        <v>4.4999999999999998E-2</v>
      </c>
      <c r="BD27" s="63">
        <f t="shared" si="2"/>
        <v>-6169.4937404534348</v>
      </c>
    </row>
    <row r="28" spans="1:56" ht="14.45" customHeight="1" x14ac:dyDescent="0.25">
      <c r="A28" t="e">
        <f>+VLOOKUP(D28,Acronyme!$A$1:$C$34,3,FALSE)</f>
        <v>#N/A</v>
      </c>
      <c r="B28" t="e">
        <f>+VLOOKUP(E28,Acronyme!$E$2:$I$35,5,FALSE)</f>
        <v>#N/A</v>
      </c>
      <c r="C28" t="s">
        <v>240</v>
      </c>
      <c r="D28" s="43" t="s">
        <v>78</v>
      </c>
      <c r="E28" s="43" t="s">
        <v>68</v>
      </c>
      <c r="F28" s="43" t="s">
        <v>79</v>
      </c>
      <c r="G28" s="43" t="s">
        <v>62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32">
        <v>20</v>
      </c>
      <c r="AA28" s="43" t="s">
        <v>152</v>
      </c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>
        <v>200</v>
      </c>
      <c r="AQ28" s="44"/>
      <c r="AR28" s="44"/>
      <c r="AS28" s="44"/>
      <c r="AT28" s="44"/>
      <c r="AU28" s="44">
        <v>0.44</v>
      </c>
      <c r="AV28" s="44">
        <f>+AU28*AP28</f>
        <v>88</v>
      </c>
      <c r="AW28" s="44">
        <f>+VLOOKUP(C28,'Etape 1 - surface'!$A$5:$B$58,2,FALSE)</f>
        <v>0</v>
      </c>
      <c r="AX28" s="44">
        <f t="shared" si="0"/>
        <v>0</v>
      </c>
      <c r="AY28" s="44">
        <v>3.5</v>
      </c>
      <c r="AZ28" s="63"/>
      <c r="BA28" s="63">
        <f t="shared" si="1"/>
        <v>0</v>
      </c>
      <c r="BB28" s="45"/>
      <c r="BC28" s="65">
        <v>4.4999999999999998E-2</v>
      </c>
      <c r="BD28" s="63">
        <f t="shared" si="2"/>
        <v>-6169.4937404534348</v>
      </c>
    </row>
    <row r="29" spans="1:56" ht="15" x14ac:dyDescent="0.25">
      <c r="C29" t="s">
        <v>267</v>
      </c>
      <c r="D29" s="43" t="s">
        <v>78</v>
      </c>
      <c r="E29" s="43" t="s">
        <v>68</v>
      </c>
      <c r="F29" s="43" t="s">
        <v>79</v>
      </c>
      <c r="G29" s="43" t="s">
        <v>114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2">
        <v>20</v>
      </c>
      <c r="AA29" s="43" t="s">
        <v>152</v>
      </c>
      <c r="AB29" s="44">
        <v>200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44">
        <v>200</v>
      </c>
      <c r="AQ29" s="1"/>
      <c r="AR29" s="1"/>
      <c r="AS29" s="1"/>
      <c r="AT29" s="1"/>
      <c r="AU29" s="44">
        <v>0.4</v>
      </c>
      <c r="AV29" s="44">
        <v>70.400000000000006</v>
      </c>
      <c r="AW29" s="44">
        <f>+VLOOKUP(C29,'Etape 1 - surface'!$A$5:$B$58,2,FALSE)</f>
        <v>0</v>
      </c>
      <c r="AX29" s="44">
        <f t="shared" si="0"/>
        <v>0</v>
      </c>
      <c r="AY29" s="44">
        <v>30</v>
      </c>
      <c r="AZ29" s="63"/>
      <c r="BA29" s="63">
        <f t="shared" si="1"/>
        <v>0</v>
      </c>
      <c r="BB29" s="45"/>
      <c r="BC29" s="65">
        <v>4.4999999999999998E-2</v>
      </c>
      <c r="BD29" s="63">
        <f t="shared" si="2"/>
        <v>-6169.4937404534348</v>
      </c>
    </row>
    <row r="30" spans="1:56" ht="14.45" customHeight="1" x14ac:dyDescent="0.25">
      <c r="A30" t="s">
        <v>271</v>
      </c>
      <c r="B30" t="s">
        <v>272</v>
      </c>
      <c r="C30" t="str">
        <f t="shared" ref="C30:C38" si="3">+_xlfn.CONCAT(A30,"_",G30,"_",F30,"_",B30,"_")</f>
        <v>Sequoia sempervirens_FU_Guide britannique_Hamilton and Christie_</v>
      </c>
      <c r="D30" s="43" t="s">
        <v>268</v>
      </c>
      <c r="E30" s="43" t="s">
        <v>68</v>
      </c>
      <c r="F30" s="43" t="s">
        <v>269</v>
      </c>
      <c r="G30" s="43" t="s">
        <v>270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2">
        <v>20</v>
      </c>
      <c r="AA30" s="43" t="s">
        <v>63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44">
        <v>1245</v>
      </c>
      <c r="AQ30" s="1"/>
      <c r="AR30" s="1"/>
      <c r="AS30" s="1"/>
      <c r="AT30" s="1"/>
      <c r="AU30" s="44">
        <f>AV30/AP30</f>
        <v>9.4779116465863456E-2</v>
      </c>
      <c r="AV30" s="44">
        <v>118</v>
      </c>
      <c r="AW30" s="44">
        <f>+VLOOKUP(C30,'Etape 1 - surface'!$A$5:$B$58,2,FALSE)</f>
        <v>0</v>
      </c>
      <c r="AX30" s="44">
        <f t="shared" si="0"/>
        <v>0</v>
      </c>
      <c r="AY30" s="44">
        <v>10</v>
      </c>
      <c r="AZ30" s="63"/>
      <c r="BA30" s="63">
        <f t="shared" si="1"/>
        <v>0</v>
      </c>
      <c r="BB30" s="45"/>
      <c r="BC30" s="65">
        <v>4.4999999999999998E-2</v>
      </c>
      <c r="BD30" s="63">
        <f t="shared" si="2"/>
        <v>-6169.4937404534348</v>
      </c>
    </row>
    <row r="31" spans="1:56" ht="15" x14ac:dyDescent="0.25">
      <c r="A31" t="str">
        <f>+VLOOKUP(D31,Acronyme!$A$1:$C$50,3,FALSE)</f>
        <v>Douglas</v>
      </c>
      <c r="B31" t="str">
        <f>+VLOOKUP(E31,Acronyme!$E$2:$I$50,5,FALSE)</f>
        <v>National</v>
      </c>
      <c r="C31" t="str">
        <f t="shared" si="3"/>
        <v>Douglas_F2_Entree 17-18m, densité haute_National_</v>
      </c>
      <c r="D31" s="43" t="s">
        <v>97</v>
      </c>
      <c r="E31" s="43" t="s">
        <v>98</v>
      </c>
      <c r="F31" s="43" t="s">
        <v>99</v>
      </c>
      <c r="G31" s="43" t="s">
        <v>62</v>
      </c>
      <c r="H31" s="43">
        <v>33</v>
      </c>
      <c r="I31" s="43" t="s">
        <v>101</v>
      </c>
      <c r="J31" s="43">
        <v>1666</v>
      </c>
      <c r="K31" s="43" t="s">
        <v>102</v>
      </c>
      <c r="L31" s="43" t="s">
        <v>103</v>
      </c>
      <c r="M31" s="43" t="s">
        <v>104</v>
      </c>
      <c r="N31" s="43"/>
      <c r="O31" s="43" t="s">
        <v>112</v>
      </c>
      <c r="P31" s="43">
        <v>19</v>
      </c>
      <c r="Q31" s="43">
        <v>15.33</v>
      </c>
      <c r="R31" s="43">
        <v>1600</v>
      </c>
      <c r="S31" s="43">
        <v>14.8</v>
      </c>
      <c r="T31" s="43">
        <v>30</v>
      </c>
      <c r="U31" s="43">
        <v>428</v>
      </c>
      <c r="V31" s="43">
        <v>890</v>
      </c>
      <c r="W31" s="43">
        <v>240</v>
      </c>
      <c r="X31" s="43">
        <v>12</v>
      </c>
      <c r="Y31" s="43">
        <v>0</v>
      </c>
      <c r="Z31" s="32">
        <v>21</v>
      </c>
      <c r="AA31" s="43" t="s">
        <v>63</v>
      </c>
      <c r="AB31" s="43">
        <v>16.7862689458827</v>
      </c>
      <c r="AC31" s="43">
        <v>850</v>
      </c>
      <c r="AD31" s="43">
        <v>20.412933803959099</v>
      </c>
      <c r="AE31" s="43">
        <v>17.4863155044374</v>
      </c>
      <c r="AF31" s="43">
        <v>23.6533177471795</v>
      </c>
      <c r="AG31" s="43">
        <v>132.35448340722499</v>
      </c>
      <c r="AH31" s="43">
        <v>132.45108507601401</v>
      </c>
      <c r="AI31" s="43">
        <v>154.563813922657</v>
      </c>
      <c r="AJ31" s="43">
        <v>31.2477761384032</v>
      </c>
      <c r="AK31" s="43">
        <v>1.4879893399239601</v>
      </c>
      <c r="AL31" s="43">
        <v>1.8141994529599901</v>
      </c>
      <c r="AM31" s="43">
        <v>234.07722257228201</v>
      </c>
      <c r="AN31" s="43">
        <v>11.1465344082039</v>
      </c>
      <c r="AO31" s="43">
        <v>21.693133606812999</v>
      </c>
      <c r="AP31" s="44">
        <v>750</v>
      </c>
      <c r="AQ31" s="44">
        <v>10.834842334527799</v>
      </c>
      <c r="AR31" s="44">
        <v>13.562374286380903</v>
      </c>
      <c r="AS31" s="44">
        <v>63.244705800305013</v>
      </c>
      <c r="AT31" s="44">
        <v>0.73971121052642441</v>
      </c>
      <c r="AU31" s="44">
        <v>8.4326274400406687E-2</v>
      </c>
      <c r="AV31" s="44">
        <f t="shared" ref="AV31:AV42" si="4">+AU31*AP31</f>
        <v>63.244705800305013</v>
      </c>
      <c r="AW31" s="44">
        <f>+VLOOKUP(C31,'Etape 1 - surface'!$A$5:$B$58,2,FALSE)</f>
        <v>0</v>
      </c>
      <c r="AX31" s="44">
        <f t="shared" si="0"/>
        <v>0</v>
      </c>
      <c r="AY31" s="44">
        <v>5</v>
      </c>
      <c r="AZ31" s="63"/>
      <c r="BA31" s="63">
        <f t="shared" si="1"/>
        <v>0</v>
      </c>
      <c r="BB31" s="45"/>
      <c r="BC31" s="65">
        <v>4.4999999999999998E-2</v>
      </c>
      <c r="BD31" s="63">
        <f t="shared" si="2"/>
        <v>-6169.4937404534348</v>
      </c>
    </row>
    <row r="32" spans="1:56" ht="14.45" customHeight="1" x14ac:dyDescent="0.25">
      <c r="A32" t="str">
        <f>+VLOOKUP(D32,Acronyme!$A$1:$C$50,3,FALSE)</f>
        <v>Pin Laricio</v>
      </c>
      <c r="B32" t="str">
        <f>+VLOOKUP(E32,Acronyme!$E$2:$I$50,5,FALSE)</f>
        <v>GS Pineraies des plaines du Centre et du Nord Ouest</v>
      </c>
      <c r="C32" t="str">
        <f t="shared" si="3"/>
        <v>Pin Laricio_F2_Classique_GS Pineraies des plaines du Centre et du Nord Ouest_</v>
      </c>
      <c r="D32" s="43" t="s">
        <v>88</v>
      </c>
      <c r="E32" s="43" t="s">
        <v>89</v>
      </c>
      <c r="F32" s="43" t="s">
        <v>61</v>
      </c>
      <c r="G32" s="43" t="s">
        <v>62</v>
      </c>
      <c r="H32" s="43">
        <v>23.3</v>
      </c>
      <c r="I32" s="43" t="s">
        <v>101</v>
      </c>
      <c r="J32" s="43">
        <v>1666</v>
      </c>
      <c r="K32" s="43" t="s">
        <v>102</v>
      </c>
      <c r="L32" s="43" t="s">
        <v>103</v>
      </c>
      <c r="M32" s="43" t="s">
        <v>117</v>
      </c>
      <c r="N32" s="43"/>
      <c r="O32" s="43"/>
      <c r="P32" s="43">
        <v>22</v>
      </c>
      <c r="Q32" s="43">
        <v>11.13</v>
      </c>
      <c r="R32" s="43">
        <v>1444</v>
      </c>
      <c r="S32" s="43">
        <v>25.27</v>
      </c>
      <c r="T32" s="43">
        <v>1</v>
      </c>
      <c r="U32" s="43">
        <v>272</v>
      </c>
      <c r="V32" s="43">
        <v>985</v>
      </c>
      <c r="W32" s="43">
        <v>187</v>
      </c>
      <c r="X32" s="43">
        <v>0</v>
      </c>
      <c r="Y32" s="43">
        <v>0</v>
      </c>
      <c r="Z32" s="32">
        <v>22</v>
      </c>
      <c r="AA32" s="43" t="s">
        <v>63</v>
      </c>
      <c r="AB32" s="43">
        <v>11.13</v>
      </c>
      <c r="AC32" s="43">
        <v>950.6</v>
      </c>
      <c r="AD32" s="43">
        <v>14.95</v>
      </c>
      <c r="AE32" s="43">
        <v>14.15</v>
      </c>
      <c r="AF32" s="43">
        <v>18.89</v>
      </c>
      <c r="AG32" s="43">
        <v>73.306854302398406</v>
      </c>
      <c r="AH32" s="43">
        <v>73.558837813470703</v>
      </c>
      <c r="AI32" s="43">
        <v>96.605455786733501</v>
      </c>
      <c r="AJ32" s="43">
        <v>25.2660615669237</v>
      </c>
      <c r="AK32" s="43">
        <v>1.1484573439510799</v>
      </c>
      <c r="AL32" s="43">
        <v>1.32357017155954</v>
      </c>
      <c r="AM32" s="43">
        <v>165.294958756076</v>
      </c>
      <c r="AN32" s="43">
        <v>7.5134072161852696</v>
      </c>
      <c r="AO32" s="43">
        <v>13.726069475385801</v>
      </c>
      <c r="AP32" s="44">
        <v>493.6</v>
      </c>
      <c r="AQ32" s="44">
        <v>10.32</v>
      </c>
      <c r="AR32" s="44">
        <v>16.315760905442293</v>
      </c>
      <c r="AS32" s="44">
        <v>54.147282143996591</v>
      </c>
      <c r="AT32" s="44">
        <v>1.1948825554086739</v>
      </c>
      <c r="AU32" s="44">
        <v>0.10969870774715679</v>
      </c>
      <c r="AV32" s="44">
        <f t="shared" si="4"/>
        <v>54.147282143996591</v>
      </c>
      <c r="AW32" s="44">
        <f>+VLOOKUP(C32,'Etape 1 - surface'!$A$5:$B$58,2,FALSE)</f>
        <v>0</v>
      </c>
      <c r="AX32" s="44">
        <f t="shared" si="0"/>
        <v>0</v>
      </c>
      <c r="AY32" s="44">
        <v>5</v>
      </c>
      <c r="AZ32" s="63"/>
      <c r="BA32" s="63">
        <f t="shared" si="1"/>
        <v>0</v>
      </c>
      <c r="BB32" s="45"/>
      <c r="BC32" s="65">
        <v>4.4999999999999998E-2</v>
      </c>
      <c r="BD32" s="63">
        <f t="shared" si="2"/>
        <v>-6169.4937404534348</v>
      </c>
    </row>
    <row r="33" spans="1:56" ht="15" x14ac:dyDescent="0.25">
      <c r="A33" t="str">
        <f>+VLOOKUP(D33,Acronyme!$A$1:$C$50,3,FALSE)</f>
        <v>Pin sylvestre</v>
      </c>
      <c r="B33" t="str">
        <f>+VLOOKUP(E33,Acronyme!$E$2:$I$50,5,FALSE)</f>
        <v>GS Pineraies des plaines du Centre et du Nord Ouest</v>
      </c>
      <c r="C33" t="str">
        <f t="shared" si="3"/>
        <v>Pin sylvestre_F1_Eclaircie tardive_GS Pineraies des plaines du Centre et du Nord Ouest_</v>
      </c>
      <c r="D33" s="43" t="s">
        <v>106</v>
      </c>
      <c r="E33" s="43" t="s">
        <v>89</v>
      </c>
      <c r="F33" s="43" t="s">
        <v>115</v>
      </c>
      <c r="G33" s="43" t="s">
        <v>100</v>
      </c>
      <c r="H33" s="43">
        <v>28</v>
      </c>
      <c r="I33" s="43">
        <v>45</v>
      </c>
      <c r="J33" s="43">
        <v>2500</v>
      </c>
      <c r="K33" s="43" t="s">
        <v>109</v>
      </c>
      <c r="L33" s="43" t="s">
        <v>116</v>
      </c>
      <c r="M33" s="43" t="s">
        <v>111</v>
      </c>
      <c r="N33" s="43">
        <v>1997</v>
      </c>
      <c r="O33" s="43" t="s">
        <v>96</v>
      </c>
      <c r="P33" s="43">
        <v>21</v>
      </c>
      <c r="Q33" s="43">
        <v>12.5</v>
      </c>
      <c r="R33" s="43">
        <v>2024</v>
      </c>
      <c r="S33" s="43">
        <v>28.8</v>
      </c>
      <c r="T33" s="43">
        <v>0</v>
      </c>
      <c r="U33" s="43">
        <v>1100</v>
      </c>
      <c r="V33" s="43">
        <v>712</v>
      </c>
      <c r="W33" s="43">
        <v>162</v>
      </c>
      <c r="X33" s="43">
        <v>50</v>
      </c>
      <c r="Y33" s="43">
        <v>0</v>
      </c>
      <c r="Z33" s="32">
        <v>23</v>
      </c>
      <c r="AA33" s="43" t="s">
        <v>63</v>
      </c>
      <c r="AB33" s="43">
        <v>14.4</v>
      </c>
      <c r="AC33" s="43">
        <v>1500</v>
      </c>
      <c r="AD33" s="43">
        <v>24.07</v>
      </c>
      <c r="AE33" s="43">
        <v>14.29</v>
      </c>
      <c r="AF33" s="43">
        <v>22.36</v>
      </c>
      <c r="AG33" s="43">
        <v>138.32335345802599</v>
      </c>
      <c r="AH33" s="43">
        <v>139.06621006250501</v>
      </c>
      <c r="AI33" s="43">
        <v>184.212889125624</v>
      </c>
      <c r="AJ33" s="43">
        <v>33.075988783210299</v>
      </c>
      <c r="AK33" s="43">
        <v>1.4380864688352299</v>
      </c>
      <c r="AL33" s="43">
        <v>1.39949441357528</v>
      </c>
      <c r="AM33" s="43">
        <v>255.19532489017101</v>
      </c>
      <c r="AN33" s="43">
        <v>11.095448908268301</v>
      </c>
      <c r="AO33" s="43">
        <v>18.194009838981501</v>
      </c>
      <c r="AP33" s="44">
        <v>524</v>
      </c>
      <c r="AQ33" s="44">
        <v>9.009999999999998</v>
      </c>
      <c r="AR33" s="44">
        <v>14.796255134106881</v>
      </c>
      <c r="AS33" s="44">
        <v>52.669923634565009</v>
      </c>
      <c r="AT33" s="44">
        <v>1.05</v>
      </c>
      <c r="AU33" s="44">
        <v>0.10051512144000956</v>
      </c>
      <c r="AV33" s="44">
        <f t="shared" si="4"/>
        <v>52.669923634565009</v>
      </c>
      <c r="AW33" s="44">
        <f>+VLOOKUP(C33,'Etape 1 - surface'!$A$5:$B$58,2,FALSE)</f>
        <v>0</v>
      </c>
      <c r="AX33" s="44">
        <f t="shared" si="0"/>
        <v>0</v>
      </c>
      <c r="AY33" s="44">
        <v>5</v>
      </c>
      <c r="AZ33" s="63"/>
      <c r="BA33" s="63">
        <f t="shared" si="1"/>
        <v>0</v>
      </c>
      <c r="BB33" s="45"/>
      <c r="BC33" s="65">
        <v>4.4999999999999998E-2</v>
      </c>
      <c r="BD33" s="63">
        <f t="shared" si="2"/>
        <v>-6169.4937404534348</v>
      </c>
    </row>
    <row r="34" spans="1:56" ht="15" x14ac:dyDescent="0.25">
      <c r="A34" t="str">
        <f>+VLOOKUP(D34,Acronyme!$A$1:$C$50,3,FALSE)</f>
        <v>Pin Maritime</v>
      </c>
      <c r="B34" t="str">
        <f>+VLOOKUP(E34,Acronyme!$E$2:$I$50,5,FALSE)</f>
        <v>GS Pineraies des plaines du Centre et du Nord Ouest</v>
      </c>
      <c r="C34" t="str">
        <f t="shared" si="3"/>
        <v>Pin Maritime_F2_Classique_GS Pineraies des plaines du Centre et du Nord Ouest_</v>
      </c>
      <c r="D34" s="43" t="s">
        <v>124</v>
      </c>
      <c r="E34" s="43" t="s">
        <v>89</v>
      </c>
      <c r="F34" s="43" t="s">
        <v>61</v>
      </c>
      <c r="G34" s="43" t="s">
        <v>62</v>
      </c>
      <c r="H34" s="43">
        <v>23</v>
      </c>
      <c r="I34" s="43">
        <v>50</v>
      </c>
      <c r="J34" s="43">
        <v>1250</v>
      </c>
      <c r="K34" s="43" t="s">
        <v>102</v>
      </c>
      <c r="L34" s="43" t="s">
        <v>103</v>
      </c>
      <c r="M34" s="43" t="s">
        <v>125</v>
      </c>
      <c r="N34" s="43"/>
      <c r="O34" s="43"/>
      <c r="P34" s="43">
        <v>17</v>
      </c>
      <c r="Q34" s="43">
        <v>11</v>
      </c>
      <c r="R34" s="43">
        <v>1251</v>
      </c>
      <c r="S34" s="43">
        <v>25.56</v>
      </c>
      <c r="T34" s="43">
        <v>13</v>
      </c>
      <c r="U34" s="43">
        <v>239</v>
      </c>
      <c r="V34" s="43">
        <v>629</v>
      </c>
      <c r="W34" s="43">
        <v>324</v>
      </c>
      <c r="X34" s="43">
        <v>46</v>
      </c>
      <c r="Y34" s="43">
        <v>0</v>
      </c>
      <c r="Z34" s="32">
        <v>23</v>
      </c>
      <c r="AA34" s="43" t="s">
        <v>63</v>
      </c>
      <c r="AB34" s="43">
        <v>13.89</v>
      </c>
      <c r="AC34" s="43">
        <v>586.6</v>
      </c>
      <c r="AD34" s="43">
        <v>20.55</v>
      </c>
      <c r="AE34" s="43">
        <v>21.12</v>
      </c>
      <c r="AF34" s="43">
        <v>26.68</v>
      </c>
      <c r="AG34" s="43">
        <v>129.64596831099399</v>
      </c>
      <c r="AH34" s="43">
        <v>130.55956324193801</v>
      </c>
      <c r="AI34" s="43">
        <v>155.62368295055799</v>
      </c>
      <c r="AJ34" s="43">
        <v>38.005412718201399</v>
      </c>
      <c r="AK34" s="43">
        <v>1.65240924861745</v>
      </c>
      <c r="AL34" s="43">
        <v>1.7512164110300501</v>
      </c>
      <c r="AM34" s="43">
        <v>280.66302297247199</v>
      </c>
      <c r="AN34" s="43">
        <v>12.202740129237901</v>
      </c>
      <c r="AO34" s="43">
        <v>19.580308767453101</v>
      </c>
      <c r="AP34" s="44">
        <v>242.19999999999993</v>
      </c>
      <c r="AQ34" s="44">
        <v>8.9199999999999982</v>
      </c>
      <c r="AR34" s="44">
        <v>21.654612523908082</v>
      </c>
      <c r="AS34" s="44">
        <v>57.267656017570005</v>
      </c>
      <c r="AT34" s="44">
        <v>1.04</v>
      </c>
      <c r="AU34" s="44">
        <v>0.23644779528311322</v>
      </c>
      <c r="AV34" s="44">
        <f t="shared" si="4"/>
        <v>57.267656017570005</v>
      </c>
      <c r="AW34" s="44">
        <f>+VLOOKUP(C34,'Etape 1 - surface'!$A$5:$B$58,2,FALSE)</f>
        <v>0</v>
      </c>
      <c r="AX34" s="44">
        <f t="shared" si="0"/>
        <v>0</v>
      </c>
      <c r="AY34" s="44">
        <v>5</v>
      </c>
      <c r="AZ34" s="63"/>
      <c r="BA34" s="63">
        <f t="shared" si="1"/>
        <v>0</v>
      </c>
      <c r="BB34" s="45"/>
      <c r="BC34" s="65">
        <v>4.4999999999999998E-2</v>
      </c>
      <c r="BD34" s="63">
        <f t="shared" si="2"/>
        <v>-6169.4937404534348</v>
      </c>
    </row>
    <row r="35" spans="1:56" ht="14.45" customHeight="1" x14ac:dyDescent="0.25">
      <c r="A35" t="str">
        <f>+VLOOKUP(D35,Acronyme!$A$1:$C$50,3,FALSE)</f>
        <v>Douglas</v>
      </c>
      <c r="B35" t="str">
        <f>+VLOOKUP(E35,Acronyme!$E$2:$I$50,5,FALSE)</f>
        <v>National</v>
      </c>
      <c r="C35" t="str">
        <f t="shared" si="3"/>
        <v>Douglas_F1_Entree 17-18m, densité haute_National_</v>
      </c>
      <c r="D35" s="43" t="s">
        <v>97</v>
      </c>
      <c r="E35" s="43" t="s">
        <v>98</v>
      </c>
      <c r="F35" s="43" t="s">
        <v>99</v>
      </c>
      <c r="G35" s="43" t="s">
        <v>100</v>
      </c>
      <c r="H35" s="43">
        <v>40</v>
      </c>
      <c r="I35" s="43" t="s">
        <v>101</v>
      </c>
      <c r="J35" s="43">
        <v>1666</v>
      </c>
      <c r="K35" s="43" t="s">
        <v>102</v>
      </c>
      <c r="L35" s="43" t="s">
        <v>103</v>
      </c>
      <c r="M35" s="43" t="s">
        <v>104</v>
      </c>
      <c r="N35" s="43"/>
      <c r="O35" s="43"/>
      <c r="P35" s="43">
        <v>17</v>
      </c>
      <c r="Q35" s="43">
        <v>15.63</v>
      </c>
      <c r="R35" s="43">
        <v>1600</v>
      </c>
      <c r="S35" s="43">
        <v>27.89</v>
      </c>
      <c r="T35" s="43">
        <v>30</v>
      </c>
      <c r="U35" s="43">
        <v>428</v>
      </c>
      <c r="V35" s="43">
        <v>863</v>
      </c>
      <c r="W35" s="43">
        <v>267</v>
      </c>
      <c r="X35" s="43">
        <v>12</v>
      </c>
      <c r="Y35" s="43">
        <v>0</v>
      </c>
      <c r="Z35" s="32">
        <v>24</v>
      </c>
      <c r="AA35" s="43" t="s">
        <v>63</v>
      </c>
      <c r="AB35" s="43">
        <v>21.71</v>
      </c>
      <c r="AC35" s="43">
        <v>550</v>
      </c>
      <c r="AD35" s="43">
        <v>26.04</v>
      </c>
      <c r="AE35" s="43">
        <v>24.55</v>
      </c>
      <c r="AF35" s="43">
        <v>29.71</v>
      </c>
      <c r="AG35" s="43">
        <v>198.72831994427099</v>
      </c>
      <c r="AH35" s="43">
        <v>200.24781540000001</v>
      </c>
      <c r="AI35" s="43">
        <v>253.37121358496501</v>
      </c>
      <c r="AJ35" s="43">
        <v>43.788549625669098</v>
      </c>
      <c r="AK35" s="43">
        <v>1.8245229010695501</v>
      </c>
      <c r="AL35" s="43">
        <v>1.95284420773876</v>
      </c>
      <c r="AM35" s="43">
        <v>398.90488747134901</v>
      </c>
      <c r="AN35" s="43">
        <v>16.621036977972899</v>
      </c>
      <c r="AO35" s="43">
        <v>27.361962261331701</v>
      </c>
      <c r="AP35" s="44">
        <v>180</v>
      </c>
      <c r="AQ35" s="44">
        <v>5.84</v>
      </c>
      <c r="AR35" s="44">
        <v>20.32475084069414</v>
      </c>
      <c r="AS35" s="44">
        <v>43.559007763499011</v>
      </c>
      <c r="AT35" s="44">
        <v>0.74</v>
      </c>
      <c r="AU35" s="44">
        <v>0.2419944875749945</v>
      </c>
      <c r="AV35" s="44">
        <f t="shared" si="4"/>
        <v>43.559007763499011</v>
      </c>
      <c r="AW35" s="44">
        <f>+VLOOKUP(C35,'Etape 1 - surface'!$A$5:$B$58,2,FALSE)</f>
        <v>0</v>
      </c>
      <c r="AX35" s="44">
        <f t="shared" si="0"/>
        <v>0</v>
      </c>
      <c r="AY35" s="44">
        <v>5</v>
      </c>
      <c r="AZ35" s="63"/>
      <c r="BA35" s="63">
        <f t="shared" si="1"/>
        <v>0</v>
      </c>
      <c r="BB35" s="45"/>
      <c r="BC35" s="65">
        <v>4.4999999999999998E-2</v>
      </c>
      <c r="BD35" s="63">
        <f t="shared" si="2"/>
        <v>-6169.4937404534348</v>
      </c>
    </row>
    <row r="36" spans="1:56" ht="15" x14ac:dyDescent="0.25">
      <c r="A36" t="str">
        <f>+VLOOKUP(D36,Acronyme!$A$1:$C$50,3,FALSE)</f>
        <v>Pin sylvestre</v>
      </c>
      <c r="B36" t="str">
        <f>+VLOOKUP(E36,Acronyme!$E$2:$I$50,5,FALSE)</f>
        <v>GS Pineraies des plaines du Centre et du Nord Ouest</v>
      </c>
      <c r="C36" t="str">
        <f t="shared" si="3"/>
        <v>Pin sylvestre_F2_Eclaircie précoce_GS Pineraies des plaines du Centre et du Nord Ouest_</v>
      </c>
      <c r="D36" s="43" t="s">
        <v>106</v>
      </c>
      <c r="E36" s="43" t="s">
        <v>89</v>
      </c>
      <c r="F36" s="43" t="s">
        <v>107</v>
      </c>
      <c r="G36" s="43" t="s">
        <v>62</v>
      </c>
      <c r="H36" s="43">
        <v>23</v>
      </c>
      <c r="I36" s="43" t="s">
        <v>108</v>
      </c>
      <c r="J36" s="43">
        <v>2500</v>
      </c>
      <c r="K36" s="43" t="s">
        <v>109</v>
      </c>
      <c r="L36" s="43" t="s">
        <v>110</v>
      </c>
      <c r="M36" s="43" t="s">
        <v>111</v>
      </c>
      <c r="N36" s="43">
        <v>2003</v>
      </c>
      <c r="O36" s="43"/>
      <c r="P36" s="43">
        <v>24</v>
      </c>
      <c r="Q36" s="43">
        <v>11.4</v>
      </c>
      <c r="R36" s="43">
        <v>2157</v>
      </c>
      <c r="S36" s="43">
        <v>40.299999999999997</v>
      </c>
      <c r="T36" s="43">
        <v>0</v>
      </c>
      <c r="U36" s="43">
        <v>600</v>
      </c>
      <c r="V36" s="43">
        <v>1043</v>
      </c>
      <c r="W36" s="43">
        <v>457</v>
      </c>
      <c r="X36" s="43">
        <v>57</v>
      </c>
      <c r="Y36" s="43">
        <v>0</v>
      </c>
      <c r="Z36" s="32">
        <v>24</v>
      </c>
      <c r="AA36" s="43" t="s">
        <v>63</v>
      </c>
      <c r="AB36" s="43">
        <v>11.4</v>
      </c>
      <c r="AC36" s="43">
        <v>950</v>
      </c>
      <c r="AD36" s="43">
        <v>15.93</v>
      </c>
      <c r="AE36" s="43">
        <v>14.61</v>
      </c>
      <c r="AF36" s="43">
        <v>20.94</v>
      </c>
      <c r="AG36" s="43">
        <v>77.235090105930098</v>
      </c>
      <c r="AH36" s="43">
        <v>78.065546830000002</v>
      </c>
      <c r="AI36" s="43">
        <v>109.063162865008</v>
      </c>
      <c r="AJ36" s="43">
        <v>40.736731375075699</v>
      </c>
      <c r="AK36" s="43">
        <v>1.6973638072948201</v>
      </c>
      <c r="AL36" s="43">
        <v>1.2635640690335599</v>
      </c>
      <c r="AM36" s="43">
        <v>282.80080195342998</v>
      </c>
      <c r="AN36" s="43">
        <v>11.783366748059599</v>
      </c>
      <c r="AO36" s="43">
        <v>11.835038824127601</v>
      </c>
      <c r="AP36" s="44">
        <v>1207</v>
      </c>
      <c r="AQ36" s="44">
        <v>24.7874144812499</v>
      </c>
      <c r="AR36" s="44">
        <v>16.170261331427657</v>
      </c>
      <c r="AS36" s="44">
        <v>123.8701526236009</v>
      </c>
      <c r="AT36" s="44">
        <v>1.0861657785084688</v>
      </c>
      <c r="AU36" s="44">
        <v>0.10262647276188973</v>
      </c>
      <c r="AV36" s="44">
        <f t="shared" si="4"/>
        <v>123.8701526236009</v>
      </c>
      <c r="AW36" s="44">
        <f>+VLOOKUP(C36,'Etape 1 - surface'!$A$5:$B$58,2,FALSE)</f>
        <v>0</v>
      </c>
      <c r="AX36" s="44">
        <f t="shared" si="0"/>
        <v>0</v>
      </c>
      <c r="AY36" s="44">
        <v>5</v>
      </c>
      <c r="AZ36" s="63"/>
      <c r="BA36" s="63">
        <f t="shared" si="1"/>
        <v>0</v>
      </c>
      <c r="BB36" s="45"/>
      <c r="BC36" s="65">
        <v>4.4999999999999998E-2</v>
      </c>
      <c r="BD36" s="63">
        <f t="shared" si="2"/>
        <v>-6169.4937404534348</v>
      </c>
    </row>
    <row r="37" spans="1:56" ht="15" x14ac:dyDescent="0.25">
      <c r="A37" t="str">
        <f>+VLOOKUP(D37,Acronyme!$A$1:$C$50,3,FALSE)</f>
        <v>Pin Maritime</v>
      </c>
      <c r="B37" t="str">
        <f>+VLOOKUP(E37,Acronyme!$E$2:$I$50,5,FALSE)</f>
        <v>GS Pineraies des plaines du Centre et du Nord Ouest</v>
      </c>
      <c r="C37" t="str">
        <f t="shared" si="3"/>
        <v>Pin Maritime_F1_Classique_GS Pineraies des plaines du Centre et du Nord Ouest_</v>
      </c>
      <c r="D37" s="43" t="s">
        <v>124</v>
      </c>
      <c r="E37" s="43" t="s">
        <v>89</v>
      </c>
      <c r="F37" s="43" t="s">
        <v>61</v>
      </c>
      <c r="G37" s="43" t="s">
        <v>100</v>
      </c>
      <c r="H37" s="43">
        <v>27.5</v>
      </c>
      <c r="I37" s="43">
        <v>55</v>
      </c>
      <c r="J37" s="43">
        <v>1250</v>
      </c>
      <c r="K37" s="43" t="s">
        <v>102</v>
      </c>
      <c r="L37" s="43" t="s">
        <v>103</v>
      </c>
      <c r="M37" s="43" t="s">
        <v>125</v>
      </c>
      <c r="N37" s="43"/>
      <c r="O37" s="43"/>
      <c r="P37" s="43">
        <v>14</v>
      </c>
      <c r="Q37" s="43">
        <v>11</v>
      </c>
      <c r="R37" s="43">
        <v>1251</v>
      </c>
      <c r="S37" s="43">
        <v>25.56</v>
      </c>
      <c r="T37" s="43">
        <v>13</v>
      </c>
      <c r="U37" s="43">
        <v>239</v>
      </c>
      <c r="V37" s="43">
        <v>629</v>
      </c>
      <c r="W37" s="43">
        <v>324</v>
      </c>
      <c r="X37" s="43">
        <v>46</v>
      </c>
      <c r="Y37" s="43">
        <v>0</v>
      </c>
      <c r="Z37" s="32">
        <v>24</v>
      </c>
      <c r="AA37" s="43" t="s">
        <v>63</v>
      </c>
      <c r="AB37" s="43">
        <v>17.940000000000001</v>
      </c>
      <c r="AC37" s="43">
        <v>452</v>
      </c>
      <c r="AD37" s="43">
        <v>26.99</v>
      </c>
      <c r="AE37" s="43">
        <v>27.57</v>
      </c>
      <c r="AF37" s="43">
        <v>34.46</v>
      </c>
      <c r="AG37" s="43">
        <v>217.158608540004</v>
      </c>
      <c r="AH37" s="43">
        <v>218.47455415885</v>
      </c>
      <c r="AI37" s="43">
        <v>246.46112557389901</v>
      </c>
      <c r="AJ37" s="43">
        <v>48.0902190314847</v>
      </c>
      <c r="AK37" s="43">
        <v>2.0037591263118602</v>
      </c>
      <c r="AL37" s="43">
        <v>1.7105165393560899</v>
      </c>
      <c r="AM37" s="43">
        <v>402.066518562932</v>
      </c>
      <c r="AN37" s="43">
        <v>16.752771606788802</v>
      </c>
      <c r="AO37" s="43">
        <v>23.1662452419421</v>
      </c>
      <c r="AP37" s="44">
        <v>152</v>
      </c>
      <c r="AQ37" s="44">
        <v>6.16</v>
      </c>
      <c r="AR37" s="44">
        <v>22.715569080607008</v>
      </c>
      <c r="AS37" s="44">
        <v>46.001138711186996</v>
      </c>
      <c r="AT37" s="44">
        <v>0.74</v>
      </c>
      <c r="AU37" s="44">
        <v>0.30263907046833549</v>
      </c>
      <c r="AV37" s="44">
        <f t="shared" si="4"/>
        <v>46.001138711186996</v>
      </c>
      <c r="AW37" s="44">
        <f>+VLOOKUP(C37,'Etape 1 - surface'!$A$5:$B$58,2,FALSE)</f>
        <v>0</v>
      </c>
      <c r="AX37" s="44">
        <f t="shared" si="0"/>
        <v>0</v>
      </c>
      <c r="AY37" s="44">
        <f>14.9665006012713+(52.588398731357-14.9665006012713)/(1+EXP(-(0.927907412957439*AU37+-0.605044532722853)))</f>
        <v>30.754409604176331</v>
      </c>
      <c r="AZ37" s="63"/>
      <c r="BA37" s="63">
        <f t="shared" si="1"/>
        <v>0</v>
      </c>
      <c r="BB37" s="45"/>
      <c r="BC37" s="65">
        <v>4.4999999999999998E-2</v>
      </c>
      <c r="BD37" s="63">
        <f t="shared" si="2"/>
        <v>-6169.4937404534348</v>
      </c>
    </row>
    <row r="38" spans="1:56" ht="14.45" customHeight="1" x14ac:dyDescent="0.25">
      <c r="A38" t="str">
        <f>+VLOOKUP(D38,Acronyme!$A$1:$C$50,3,FALSE)</f>
        <v>Pin Laricio</v>
      </c>
      <c r="B38" t="str">
        <f>+VLOOKUP(E38,Acronyme!$E$2:$I$50,5,FALSE)</f>
        <v>GS Pineraies des plaines du Centre et du Nord Ouest</v>
      </c>
      <c r="C38" t="str">
        <f t="shared" si="3"/>
        <v>Pin Laricio_F1_Classique_GS Pineraies des plaines du Centre et du Nord Ouest_</v>
      </c>
      <c r="D38" s="43" t="s">
        <v>88</v>
      </c>
      <c r="E38" s="43" t="s">
        <v>89</v>
      </c>
      <c r="F38" s="43" t="s">
        <v>61</v>
      </c>
      <c r="G38" s="43" t="s">
        <v>100</v>
      </c>
      <c r="H38" s="43">
        <v>26</v>
      </c>
      <c r="I38" s="43" t="s">
        <v>101</v>
      </c>
      <c r="J38" s="43">
        <v>1600</v>
      </c>
      <c r="K38" s="43" t="s">
        <v>102</v>
      </c>
      <c r="L38" s="43" t="s">
        <v>103</v>
      </c>
      <c r="M38" s="43" t="s">
        <v>117</v>
      </c>
      <c r="N38" s="43"/>
      <c r="O38" s="43"/>
      <c r="P38" s="43">
        <v>15</v>
      </c>
      <c r="Q38" s="43">
        <v>8.23</v>
      </c>
      <c r="R38" s="43">
        <v>1600</v>
      </c>
      <c r="S38" s="43">
        <v>14.07</v>
      </c>
      <c r="T38" s="43">
        <v>109</v>
      </c>
      <c r="U38" s="43">
        <v>1278</v>
      </c>
      <c r="V38" s="43">
        <v>213</v>
      </c>
      <c r="W38" s="43">
        <v>0</v>
      </c>
      <c r="X38" s="43">
        <v>0</v>
      </c>
      <c r="Y38" s="43">
        <v>0</v>
      </c>
      <c r="Z38" s="32">
        <v>24</v>
      </c>
      <c r="AA38" s="43" t="s">
        <v>63</v>
      </c>
      <c r="AB38" s="43">
        <v>14.79</v>
      </c>
      <c r="AC38" s="43">
        <v>700</v>
      </c>
      <c r="AD38" s="43">
        <v>19.46</v>
      </c>
      <c r="AE38" s="43">
        <v>18.809999999999999</v>
      </c>
      <c r="AF38" s="43">
        <v>22.26</v>
      </c>
      <c r="AG38" s="43">
        <v>135.083312632927</v>
      </c>
      <c r="AH38" s="43">
        <v>135.30856567463599</v>
      </c>
      <c r="AI38" s="43">
        <v>155.393691572482</v>
      </c>
      <c r="AJ38" s="43">
        <v>35.338166362034002</v>
      </c>
      <c r="AK38" s="43">
        <v>1.47242359841808</v>
      </c>
      <c r="AL38" s="43">
        <v>1.7283310357989199</v>
      </c>
      <c r="AM38" s="43">
        <v>268.43176341358298</v>
      </c>
      <c r="AN38" s="43">
        <v>11.1846568088993</v>
      </c>
      <c r="AO38" s="43">
        <v>20.825809516455902</v>
      </c>
      <c r="AP38" s="44">
        <v>295</v>
      </c>
      <c r="AQ38" s="44">
        <v>6.7100000000000009</v>
      </c>
      <c r="AR38" s="44">
        <v>17.017874297311131</v>
      </c>
      <c r="AS38" s="44">
        <v>44.836393214145005</v>
      </c>
      <c r="AT38" s="44">
        <v>0.86478558810081751</v>
      </c>
      <c r="AU38" s="44">
        <v>0.1519877736072712</v>
      </c>
      <c r="AV38" s="44">
        <f t="shared" si="4"/>
        <v>44.836393214145005</v>
      </c>
      <c r="AW38" s="44">
        <f>+VLOOKUP(C38,'Etape 1 - surface'!$A$5:$B$58,2,FALSE)</f>
        <v>0</v>
      </c>
      <c r="AX38" s="44">
        <f t="shared" si="0"/>
        <v>0</v>
      </c>
      <c r="AY38" s="44">
        <v>5</v>
      </c>
      <c r="AZ38" s="63"/>
      <c r="BA38" s="63">
        <f t="shared" si="1"/>
        <v>0</v>
      </c>
      <c r="BB38" s="45"/>
      <c r="BC38" s="65">
        <v>4.4999999999999998E-2</v>
      </c>
      <c r="BD38" s="63">
        <f t="shared" si="2"/>
        <v>-6169.4937404534348</v>
      </c>
    </row>
    <row r="39" spans="1:56" ht="14.45" customHeight="1" x14ac:dyDescent="0.25">
      <c r="A39" t="s">
        <v>284</v>
      </c>
      <c r="B39" t="s">
        <v>285</v>
      </c>
      <c r="C39" t="s">
        <v>282</v>
      </c>
      <c r="D39" s="43" t="s">
        <v>283</v>
      </c>
      <c r="E39" s="43" t="s">
        <v>68</v>
      </c>
      <c r="F39" s="43" t="s">
        <v>286</v>
      </c>
      <c r="G39" s="43" t="s">
        <v>62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32">
        <v>25</v>
      </c>
      <c r="AA39" s="43" t="s">
        <v>152</v>
      </c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4">
        <v>120</v>
      </c>
      <c r="AQ39" s="44"/>
      <c r="AR39" s="44"/>
      <c r="AS39" s="44"/>
      <c r="AT39" s="44"/>
      <c r="AU39" s="44"/>
      <c r="AV39" s="44">
        <v>46</v>
      </c>
      <c r="AW39" s="74">
        <f>+VLOOKUP(C39,'Etape 1 - surface'!$A$5:$B$58,2,FALSE)</f>
        <v>4.01</v>
      </c>
      <c r="AX39" s="44">
        <f>+AW39*AV39</f>
        <v>184.45999999999998</v>
      </c>
      <c r="AY39" s="45">
        <v>13.9</v>
      </c>
      <c r="AZ39" s="63" t="s">
        <v>80</v>
      </c>
      <c r="BA39" s="63">
        <f t="shared" si="1"/>
        <v>2563.9939999999997</v>
      </c>
      <c r="BB39" s="45">
        <v>0</v>
      </c>
      <c r="BC39" s="65">
        <v>4.4999999999999998E-2</v>
      </c>
      <c r="BD39" s="63">
        <f t="shared" si="2"/>
        <v>-5316.3744869547991</v>
      </c>
    </row>
    <row r="40" spans="1:56" ht="15" x14ac:dyDescent="0.25">
      <c r="A40" t="e">
        <f>+VLOOKUP(D40,Acronyme!$A$1:$C$34,3,FALSE)</f>
        <v>#N/A</v>
      </c>
      <c r="B40" t="e">
        <f>+VLOOKUP(E40,Acronyme!$E$2:$I$35,5,FALSE)</f>
        <v>#N/A</v>
      </c>
      <c r="C40" t="s">
        <v>240</v>
      </c>
      <c r="D40" s="43" t="s">
        <v>78</v>
      </c>
      <c r="E40" s="43" t="s">
        <v>68</v>
      </c>
      <c r="F40" s="43" t="s">
        <v>79</v>
      </c>
      <c r="G40" s="43" t="s">
        <v>62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32">
        <v>25</v>
      </c>
      <c r="AA40" s="43" t="s">
        <v>152</v>
      </c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4">
        <v>120</v>
      </c>
      <c r="AQ40" s="44"/>
      <c r="AR40" s="44"/>
      <c r="AS40" s="44"/>
      <c r="AT40" s="44"/>
      <c r="AU40" s="44">
        <v>0.71</v>
      </c>
      <c r="AV40" s="44">
        <f t="shared" si="4"/>
        <v>85.199999999999989</v>
      </c>
      <c r="AW40" s="44">
        <f>+VLOOKUP(C40,'Etape 1 - surface'!$A$5:$B$58,2,FALSE)</f>
        <v>0</v>
      </c>
      <c r="AX40" s="44">
        <f t="shared" si="0"/>
        <v>0</v>
      </c>
      <c r="AY40" s="44">
        <v>3.5</v>
      </c>
      <c r="AZ40" s="63"/>
      <c r="BA40" s="63">
        <f t="shared" si="1"/>
        <v>0</v>
      </c>
      <c r="BB40" s="45"/>
      <c r="BC40" s="65">
        <v>4.4999999999999998E-2</v>
      </c>
      <c r="BD40" s="63">
        <f t="shared" si="2"/>
        <v>-5316.3744869547991</v>
      </c>
    </row>
    <row r="41" spans="1:56" ht="14.45" customHeight="1" x14ac:dyDescent="0.25">
      <c r="A41" t="str">
        <f>+VLOOKUP(D41,Acronyme!$A$1:$C$50,3,FALSE)</f>
        <v>Epicéa</v>
      </c>
      <c r="B41" t="str">
        <f>+VLOOKUP(E41,Acronyme!$E$2:$I$50,5,FALSE)</f>
        <v>GS Arc Jurassien</v>
      </c>
      <c r="C41" t="str">
        <f>+_xlfn.CONCAT(A41,"_",G41,"_",F41,"_",B41,"_")</f>
        <v>Epicéa_Fbonne_Entree 16-17 m_GS Arc Jurassien_</v>
      </c>
      <c r="D41" s="43" t="s">
        <v>118</v>
      </c>
      <c r="E41" s="43" t="s">
        <v>119</v>
      </c>
      <c r="F41" s="43" t="s">
        <v>120</v>
      </c>
      <c r="G41" s="43" t="s">
        <v>121</v>
      </c>
      <c r="H41" s="43">
        <v>28.5</v>
      </c>
      <c r="I41" s="43" t="s">
        <v>122</v>
      </c>
      <c r="J41" s="43">
        <v>1666</v>
      </c>
      <c r="K41" s="43" t="s">
        <v>102</v>
      </c>
      <c r="L41" s="43" t="s">
        <v>103</v>
      </c>
      <c r="M41" s="43" t="s">
        <v>123</v>
      </c>
      <c r="N41" s="43"/>
      <c r="O41" s="43"/>
      <c r="P41" s="43">
        <v>25</v>
      </c>
      <c r="Q41" s="43">
        <v>16.53</v>
      </c>
      <c r="R41" s="43">
        <v>1255</v>
      </c>
      <c r="S41" s="43">
        <v>35.83</v>
      </c>
      <c r="T41" s="43">
        <v>3</v>
      </c>
      <c r="U41" s="43">
        <v>181</v>
      </c>
      <c r="V41" s="43">
        <v>304</v>
      </c>
      <c r="W41" s="43">
        <v>527</v>
      </c>
      <c r="X41" s="43">
        <v>194</v>
      </c>
      <c r="Y41" s="43">
        <v>46</v>
      </c>
      <c r="Z41" s="32">
        <v>25</v>
      </c>
      <c r="AA41" s="43" t="s">
        <v>63</v>
      </c>
      <c r="AB41" s="43">
        <v>16.525487650009101</v>
      </c>
      <c r="AC41" s="43">
        <v>875</v>
      </c>
      <c r="AD41" s="43">
        <v>26.349104742548299</v>
      </c>
      <c r="AE41" s="43">
        <v>19.580959301345001</v>
      </c>
      <c r="AF41" s="43">
        <v>26.268744410062599</v>
      </c>
      <c r="AG41" s="43">
        <v>184.675613537</v>
      </c>
      <c r="AH41" s="43">
        <v>185.55716126607999</v>
      </c>
      <c r="AI41" s="43">
        <v>234.87479466077201</v>
      </c>
      <c r="AJ41" s="43">
        <v>35.829900645015599</v>
      </c>
      <c r="AK41" s="43">
        <v>1.43319602580062</v>
      </c>
      <c r="AL41" s="43">
        <v>1.8370576472414899</v>
      </c>
      <c r="AM41" s="43">
        <v>319.13585873502501</v>
      </c>
      <c r="AN41" s="43">
        <v>12.765434349401</v>
      </c>
      <c r="AO41" s="43">
        <v>25.079268348667998</v>
      </c>
      <c r="AP41" s="44">
        <v>380</v>
      </c>
      <c r="AQ41" s="44">
        <v>9.4807959026699038</v>
      </c>
      <c r="AR41" s="44">
        <v>17.823199147859913</v>
      </c>
      <c r="AS41" s="44">
        <v>65.516645361325004</v>
      </c>
      <c r="AT41" s="44">
        <v>0.87389513724178602</v>
      </c>
      <c r="AU41" s="44">
        <v>0.17241222463506581</v>
      </c>
      <c r="AV41" s="44">
        <f t="shared" si="4"/>
        <v>65.516645361325004</v>
      </c>
      <c r="AW41" s="44">
        <f>+VLOOKUP(C41,'Etape 1 - surface'!$A$5:$B$58,2,FALSE)</f>
        <v>0</v>
      </c>
      <c r="AX41" s="44">
        <f t="shared" si="0"/>
        <v>0</v>
      </c>
      <c r="AY41" s="44">
        <v>5</v>
      </c>
      <c r="AZ41" s="63"/>
      <c r="BA41" s="63">
        <f t="shared" si="1"/>
        <v>0</v>
      </c>
      <c r="BB41" s="45"/>
      <c r="BC41" s="65">
        <v>4.4999999999999998E-2</v>
      </c>
      <c r="BD41" s="63">
        <f t="shared" si="2"/>
        <v>-5316.3744869547991</v>
      </c>
    </row>
    <row r="42" spans="1:56" ht="14.45" customHeight="1" x14ac:dyDescent="0.25">
      <c r="A42" t="str">
        <f>+VLOOKUP(D42,Acronyme!$A$1:$C$50,3,FALSE)</f>
        <v>Epicéa</v>
      </c>
      <c r="B42" t="str">
        <f>+VLOOKUP(E42,Acronyme!$E$2:$I$50,5,FALSE)</f>
        <v>GS Arc Jurassien</v>
      </c>
      <c r="C42" t="str">
        <f>+_xlfn.CONCAT(A42,"_",G42,"_",F42,"_",B42,"_")</f>
        <v>Epicéa_Fbonne_Entree 16-17 m_GS Arc Jurassien_</v>
      </c>
      <c r="D42" s="43" t="s">
        <v>118</v>
      </c>
      <c r="E42" s="43" t="s">
        <v>119</v>
      </c>
      <c r="F42" s="43" t="s">
        <v>120</v>
      </c>
      <c r="G42" s="43" t="s">
        <v>121</v>
      </c>
      <c r="H42" s="43">
        <v>28.5</v>
      </c>
      <c r="I42" s="43" t="s">
        <v>101</v>
      </c>
      <c r="J42" s="43">
        <v>1666</v>
      </c>
      <c r="K42" s="43" t="s">
        <v>102</v>
      </c>
      <c r="L42" s="43" t="s">
        <v>103</v>
      </c>
      <c r="M42" s="43" t="s">
        <v>123</v>
      </c>
      <c r="N42" s="43"/>
      <c r="O42" s="43"/>
      <c r="P42" s="43">
        <v>25</v>
      </c>
      <c r="Q42" s="43">
        <v>16.53</v>
      </c>
      <c r="R42" s="43">
        <v>1255</v>
      </c>
      <c r="S42" s="43">
        <v>35.83</v>
      </c>
      <c r="T42" s="43">
        <v>3</v>
      </c>
      <c r="U42" s="43">
        <v>181</v>
      </c>
      <c r="V42" s="43">
        <v>304</v>
      </c>
      <c r="W42" s="43">
        <v>527</v>
      </c>
      <c r="X42" s="43">
        <v>194</v>
      </c>
      <c r="Y42" s="43">
        <v>46</v>
      </c>
      <c r="Z42" s="32">
        <v>25</v>
      </c>
      <c r="AA42" s="43" t="s">
        <v>63</v>
      </c>
      <c r="AB42" s="43">
        <v>16.525487650009101</v>
      </c>
      <c r="AC42" s="43">
        <v>875</v>
      </c>
      <c r="AD42" s="43">
        <v>26.349104742548299</v>
      </c>
      <c r="AE42" s="43">
        <v>19.580959301345001</v>
      </c>
      <c r="AF42" s="43">
        <v>26.268744410062599</v>
      </c>
      <c r="AG42" s="43">
        <v>184.675613537</v>
      </c>
      <c r="AH42" s="43">
        <v>185.55716126607999</v>
      </c>
      <c r="AI42" s="43">
        <v>234.87479466077201</v>
      </c>
      <c r="AJ42" s="43">
        <v>35.829900645015599</v>
      </c>
      <c r="AK42" s="43">
        <v>1.43319602580062</v>
      </c>
      <c r="AL42" s="43">
        <v>1.8370576472414899</v>
      </c>
      <c r="AM42" s="43">
        <v>319.13585873502501</v>
      </c>
      <c r="AN42" s="43">
        <v>12.765434349401</v>
      </c>
      <c r="AO42" s="43">
        <v>25.079268348667998</v>
      </c>
      <c r="AP42" s="44">
        <v>380</v>
      </c>
      <c r="AQ42" s="44">
        <v>9.4807959026699038</v>
      </c>
      <c r="AR42" s="44">
        <v>17.823199147859913</v>
      </c>
      <c r="AS42" s="44">
        <v>65.516645361325004</v>
      </c>
      <c r="AT42" s="44">
        <v>0.87389513724178602</v>
      </c>
      <c r="AU42" s="44">
        <v>0.17241222463506581</v>
      </c>
      <c r="AV42" s="44">
        <f t="shared" si="4"/>
        <v>65.516645361325004</v>
      </c>
      <c r="AW42" s="44">
        <f>+VLOOKUP(C42,'Etape 1 - surface'!$A$5:$B$58,2,FALSE)</f>
        <v>0</v>
      </c>
      <c r="AX42" s="44">
        <f t="shared" si="0"/>
        <v>0</v>
      </c>
      <c r="AY42" s="44">
        <v>5</v>
      </c>
      <c r="AZ42" s="63"/>
      <c r="BA42" s="63">
        <f t="shared" si="1"/>
        <v>0</v>
      </c>
      <c r="BB42" s="45"/>
      <c r="BC42" s="65">
        <v>4.4999999999999998E-2</v>
      </c>
      <c r="BD42" s="63">
        <f t="shared" si="2"/>
        <v>-5316.3744869547991</v>
      </c>
    </row>
    <row r="43" spans="1:56" ht="15" x14ac:dyDescent="0.25">
      <c r="C43" t="s">
        <v>267</v>
      </c>
      <c r="D43" s="43" t="s">
        <v>78</v>
      </c>
      <c r="E43" s="43" t="s">
        <v>68</v>
      </c>
      <c r="F43" s="43" t="s">
        <v>79</v>
      </c>
      <c r="G43" s="43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2">
        <v>25</v>
      </c>
      <c r="AA43" s="43" t="s">
        <v>152</v>
      </c>
      <c r="AB43" s="44">
        <v>120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44">
        <v>120</v>
      </c>
      <c r="AQ43" s="1"/>
      <c r="AR43" s="1"/>
      <c r="AS43" s="1"/>
      <c r="AT43" s="1"/>
      <c r="AU43" s="44">
        <v>0.6</v>
      </c>
      <c r="AV43" s="44">
        <v>68.2</v>
      </c>
      <c r="AW43" s="44">
        <f>+VLOOKUP(C43,'Etape 1 - surface'!$A$5:$B$58,2,FALSE)</f>
        <v>0</v>
      </c>
      <c r="AX43" s="44">
        <f t="shared" si="0"/>
        <v>0</v>
      </c>
      <c r="AY43" s="44">
        <v>30</v>
      </c>
      <c r="AZ43" s="63"/>
      <c r="BA43" s="63">
        <f t="shared" si="1"/>
        <v>0</v>
      </c>
      <c r="BB43" s="45"/>
      <c r="BC43" s="65">
        <v>4.4999999999999998E-2</v>
      </c>
      <c r="BD43" s="63">
        <f t="shared" si="2"/>
        <v>-5316.3744869547991</v>
      </c>
    </row>
    <row r="44" spans="1:56" ht="14.45" customHeight="1" x14ac:dyDescent="0.25">
      <c r="A44" t="s">
        <v>274</v>
      </c>
      <c r="B44" t="s">
        <v>275</v>
      </c>
      <c r="C44" t="str">
        <f t="shared" ref="C44:C50" si="5">+_xlfn.CONCAT(A44,"_",G44,"_",F44,"_",B44,"_")</f>
        <v>Peuplier (KOSTER)_station riche et fraîche_classique_CNPF_</v>
      </c>
      <c r="D44" s="43" t="s">
        <v>276</v>
      </c>
      <c r="E44" s="43" t="s">
        <v>166</v>
      </c>
      <c r="F44" s="43" t="s">
        <v>277</v>
      </c>
      <c r="G44" s="43" t="s">
        <v>278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2">
        <v>25</v>
      </c>
      <c r="AA44" s="43" t="s">
        <v>63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44">
        <v>200</v>
      </c>
      <c r="AQ44" s="1"/>
      <c r="AR44" s="1"/>
      <c r="AS44" s="1"/>
      <c r="AT44" s="1"/>
      <c r="AU44" s="44">
        <v>2.1749999999999998</v>
      </c>
      <c r="AV44" s="44">
        <v>434.52</v>
      </c>
      <c r="AW44" s="44">
        <f>+VLOOKUP(C44,'Etape 1 - surface'!$A$5:$B$58,2,FALSE)</f>
        <v>0</v>
      </c>
      <c r="AX44" s="44">
        <f t="shared" si="0"/>
        <v>0</v>
      </c>
      <c r="AY44" s="44">
        <f>(128.603984)/(1+EXP(-(-0.61903414*AU44+-0.04213928)))</f>
        <v>25.674650345565716</v>
      </c>
      <c r="AZ44" s="63"/>
      <c r="BA44" s="63">
        <f t="shared" si="1"/>
        <v>0</v>
      </c>
      <c r="BB44" s="45"/>
      <c r="BC44" s="65">
        <v>4.4999999999999998E-2</v>
      </c>
      <c r="BD44" s="63">
        <f t="shared" si="2"/>
        <v>-5316.3744869547991</v>
      </c>
    </row>
    <row r="45" spans="1:56" ht="14.45" customHeight="1" x14ac:dyDescent="0.25">
      <c r="A45" t="str">
        <f>+VLOOKUP(D45,Acronyme!$A$1:$C$50,3,FALSE)</f>
        <v>Pin Laricio</v>
      </c>
      <c r="B45" t="str">
        <f>+VLOOKUP(E45,Acronyme!$E$2:$I$50,5,FALSE)</f>
        <v>GS Pineraies des plaines du Centre et du Nord Ouest</v>
      </c>
      <c r="C45" t="str">
        <f t="shared" si="5"/>
        <v>Pin Laricio_F2_Classique_GS Pineraies des plaines du Centre et du Nord Ouest_</v>
      </c>
      <c r="D45" s="43" t="s">
        <v>88</v>
      </c>
      <c r="E45" s="43" t="s">
        <v>89</v>
      </c>
      <c r="F45" s="43" t="s">
        <v>61</v>
      </c>
      <c r="G45" s="43" t="s">
        <v>62</v>
      </c>
      <c r="H45" s="43">
        <v>23.3</v>
      </c>
      <c r="I45" s="43" t="s">
        <v>101</v>
      </c>
      <c r="J45" s="43">
        <v>1666</v>
      </c>
      <c r="K45" s="43" t="s">
        <v>102</v>
      </c>
      <c r="L45" s="43" t="s">
        <v>103</v>
      </c>
      <c r="M45" s="43" t="s">
        <v>117</v>
      </c>
      <c r="N45" s="43"/>
      <c r="O45" s="43"/>
      <c r="P45" s="43">
        <v>22</v>
      </c>
      <c r="Q45" s="43">
        <v>11.13</v>
      </c>
      <c r="R45" s="43">
        <v>1444</v>
      </c>
      <c r="S45" s="43">
        <v>25.27</v>
      </c>
      <c r="T45" s="43">
        <v>1</v>
      </c>
      <c r="U45" s="43">
        <v>272</v>
      </c>
      <c r="V45" s="43">
        <v>985</v>
      </c>
      <c r="W45" s="43">
        <v>187</v>
      </c>
      <c r="X45" s="43">
        <v>0</v>
      </c>
      <c r="Y45" s="43">
        <v>0</v>
      </c>
      <c r="Z45" s="32">
        <v>27</v>
      </c>
      <c r="AA45" s="43" t="s">
        <v>63</v>
      </c>
      <c r="AB45" s="43">
        <v>14.05</v>
      </c>
      <c r="AC45" s="43">
        <v>680.4</v>
      </c>
      <c r="AD45" s="43">
        <v>17.04</v>
      </c>
      <c r="AE45" s="43">
        <v>17.86</v>
      </c>
      <c r="AF45" s="43">
        <v>21.44</v>
      </c>
      <c r="AG45" s="43">
        <v>111.52068288247</v>
      </c>
      <c r="AH45" s="43">
        <v>111.742699650714</v>
      </c>
      <c r="AI45" s="43">
        <v>130.88085635048699</v>
      </c>
      <c r="AJ45" s="43">
        <v>33.695192056038401</v>
      </c>
      <c r="AK45" s="43">
        <v>1.24797007614957</v>
      </c>
      <c r="AL45" s="43">
        <v>1.45386500792492</v>
      </c>
      <c r="AM45" s="43">
        <v>247.93814214629199</v>
      </c>
      <c r="AN45" s="43">
        <v>9.1828941535663695</v>
      </c>
      <c r="AO45" s="43">
        <v>16.151042658596399</v>
      </c>
      <c r="AP45" s="44">
        <v>267</v>
      </c>
      <c r="AQ45" s="44">
        <v>6.34</v>
      </c>
      <c r="AR45" s="44">
        <v>17.387776835515311</v>
      </c>
      <c r="AS45" s="44">
        <v>40.997439973947991</v>
      </c>
      <c r="AT45" s="44">
        <v>0.96285453455075853</v>
      </c>
      <c r="AU45" s="44">
        <v>0.15354846432190258</v>
      </c>
      <c r="AV45" s="44">
        <f t="shared" ref="AV45:AV57" si="6">+AU45*AP45</f>
        <v>40.997439973947991</v>
      </c>
      <c r="AW45" s="44">
        <f>+VLOOKUP(C45,'Etape 1 - surface'!$A$5:$B$58,2,FALSE)</f>
        <v>0</v>
      </c>
      <c r="AX45" s="44">
        <f t="shared" si="0"/>
        <v>0</v>
      </c>
      <c r="AY45" s="44">
        <v>5</v>
      </c>
      <c r="AZ45" s="63"/>
      <c r="BA45" s="63">
        <f t="shared" si="1"/>
        <v>0</v>
      </c>
      <c r="BB45" s="45"/>
      <c r="BC45" s="65">
        <v>4.4999999999999998E-2</v>
      </c>
      <c r="BD45" s="63">
        <f t="shared" si="2"/>
        <v>-5316.3744869547991</v>
      </c>
    </row>
    <row r="46" spans="1:56" ht="15" x14ac:dyDescent="0.25">
      <c r="A46" t="str">
        <f>+VLOOKUP(D46,Acronyme!$A$1:$C$50,3,FALSE)</f>
        <v>Pin d'Alep</v>
      </c>
      <c r="B46" t="str">
        <f>+VLOOKUP(E46,Acronyme!$E$2:$I$50,5,FALSE)</f>
        <v>Pin d'Alep</v>
      </c>
      <c r="C46" t="str">
        <f t="shared" si="5"/>
        <v>Pin d'Alep_F1_Dynamique_Pin d'Alep_</v>
      </c>
      <c r="D46" s="43" t="s">
        <v>146</v>
      </c>
      <c r="E46" s="43" t="s">
        <v>147</v>
      </c>
      <c r="F46" s="43" t="s">
        <v>66</v>
      </c>
      <c r="G46" s="43" t="s">
        <v>100</v>
      </c>
      <c r="H46" s="43">
        <v>15.5</v>
      </c>
      <c r="I46" s="43" t="s">
        <v>148</v>
      </c>
      <c r="J46" s="43">
        <v>1100</v>
      </c>
      <c r="K46" s="43" t="s">
        <v>109</v>
      </c>
      <c r="L46" s="43" t="s">
        <v>103</v>
      </c>
      <c r="M46" s="43" t="s">
        <v>149</v>
      </c>
      <c r="N46" s="43"/>
      <c r="O46" s="43"/>
      <c r="P46" s="43">
        <v>15</v>
      </c>
      <c r="Q46" s="43">
        <v>4.33</v>
      </c>
      <c r="R46" s="43">
        <v>1101</v>
      </c>
      <c r="S46" s="43">
        <v>4.92</v>
      </c>
      <c r="T46" s="43">
        <v>569</v>
      </c>
      <c r="U46" s="43">
        <v>532</v>
      </c>
      <c r="V46" s="43">
        <v>0</v>
      </c>
      <c r="W46" s="43">
        <v>0</v>
      </c>
      <c r="X46" s="43">
        <v>0</v>
      </c>
      <c r="Y46" s="43">
        <v>0</v>
      </c>
      <c r="Z46" s="32">
        <v>27</v>
      </c>
      <c r="AA46" s="43" t="s">
        <v>63</v>
      </c>
      <c r="AB46" s="43">
        <v>8.98</v>
      </c>
      <c r="AC46" s="43">
        <v>751</v>
      </c>
      <c r="AD46" s="43">
        <v>9.41</v>
      </c>
      <c r="AE46" s="43">
        <v>12.63</v>
      </c>
      <c r="AF46" s="43">
        <v>14.96</v>
      </c>
      <c r="AG46" s="43">
        <v>35.412682876370802</v>
      </c>
      <c r="AH46" s="43">
        <v>36.112829160637901</v>
      </c>
      <c r="AI46" s="43">
        <v>61.296865746125803</v>
      </c>
      <c r="AJ46" s="43">
        <v>13.7982651910598</v>
      </c>
      <c r="AK46" s="43">
        <v>0.51104685892813995</v>
      </c>
      <c r="AL46" s="43">
        <v>0.64369370507611201</v>
      </c>
      <c r="AM46" s="43">
        <v>89.953669534388595</v>
      </c>
      <c r="AN46" s="43">
        <v>3.3316173901625401</v>
      </c>
      <c r="AO46" s="43">
        <v>5.6314709769438904</v>
      </c>
      <c r="AP46" s="44">
        <v>349</v>
      </c>
      <c r="AQ46" s="44">
        <v>4.379999999999999</v>
      </c>
      <c r="AR46" s="44">
        <v>12.64094090602773</v>
      </c>
      <c r="AS46" s="44">
        <v>16.538099152769298</v>
      </c>
      <c r="AT46" s="44">
        <v>1</v>
      </c>
      <c r="AU46" s="44">
        <v>4.7387103589596843E-2</v>
      </c>
      <c r="AV46" s="44">
        <f t="shared" si="6"/>
        <v>16.538099152769298</v>
      </c>
      <c r="AW46" s="44">
        <f>+VLOOKUP(C46,'Etape 1 - surface'!$A$5:$B$58,2,FALSE)</f>
        <v>0</v>
      </c>
      <c r="AX46" s="44">
        <f t="shared" si="0"/>
        <v>0</v>
      </c>
      <c r="AY46" s="44">
        <f>10.0046474463505+(37.1112351801373-10.0046474463505)/(1+EXP(-(0.581180949782075*AU46+-0.955447614584994)))</f>
        <v>17.685285655864696</v>
      </c>
      <c r="AZ46" s="63"/>
      <c r="BA46" s="63">
        <f t="shared" si="1"/>
        <v>0</v>
      </c>
      <c r="BB46" s="45"/>
      <c r="BC46" s="65">
        <v>4.4999999999999998E-2</v>
      </c>
      <c r="BD46" s="63">
        <f t="shared" si="2"/>
        <v>-5316.3744869547991</v>
      </c>
    </row>
    <row r="47" spans="1:56" ht="14.45" customHeight="1" x14ac:dyDescent="0.25">
      <c r="A47" t="str">
        <f>+VLOOKUP(D47,Acronyme!$A$1:$C$50,3,FALSE)</f>
        <v>Douglas</v>
      </c>
      <c r="B47" t="str">
        <f>+VLOOKUP(E47,Acronyme!$E$2:$I$50,5,FALSE)</f>
        <v>National</v>
      </c>
      <c r="C47" t="str">
        <f t="shared" si="5"/>
        <v>Douglas_F2_Entree 17-18m, densité haute_National_</v>
      </c>
      <c r="D47" s="43" t="s">
        <v>97</v>
      </c>
      <c r="E47" s="43" t="s">
        <v>98</v>
      </c>
      <c r="F47" s="43" t="s">
        <v>99</v>
      </c>
      <c r="G47" s="43" t="s">
        <v>62</v>
      </c>
      <c r="H47" s="43">
        <v>33</v>
      </c>
      <c r="I47" s="43" t="s">
        <v>101</v>
      </c>
      <c r="J47" s="43">
        <v>1666</v>
      </c>
      <c r="K47" s="43" t="s">
        <v>102</v>
      </c>
      <c r="L47" s="43" t="s">
        <v>103</v>
      </c>
      <c r="M47" s="43" t="s">
        <v>104</v>
      </c>
      <c r="N47" s="43"/>
      <c r="O47" s="43" t="s">
        <v>112</v>
      </c>
      <c r="P47" s="43">
        <v>19</v>
      </c>
      <c r="Q47" s="43">
        <v>15.33</v>
      </c>
      <c r="R47" s="43">
        <v>1600</v>
      </c>
      <c r="S47" s="43">
        <v>14.8</v>
      </c>
      <c r="T47" s="43">
        <v>30</v>
      </c>
      <c r="U47" s="43">
        <v>428</v>
      </c>
      <c r="V47" s="43">
        <v>890</v>
      </c>
      <c r="W47" s="43">
        <v>240</v>
      </c>
      <c r="X47" s="43">
        <v>12</v>
      </c>
      <c r="Y47" s="43">
        <v>0</v>
      </c>
      <c r="Z47" s="32">
        <v>28</v>
      </c>
      <c r="AA47" s="43" t="s">
        <v>63</v>
      </c>
      <c r="AB47" s="43">
        <v>21.610432838484101</v>
      </c>
      <c r="AC47" s="43">
        <v>600</v>
      </c>
      <c r="AD47" s="43">
        <v>25.068500954402701</v>
      </c>
      <c r="AE47" s="43">
        <v>23.064477283757</v>
      </c>
      <c r="AF47" s="43">
        <v>29.927637713120301</v>
      </c>
      <c r="AG47" s="43">
        <v>193.76304128449999</v>
      </c>
      <c r="AH47" s="43">
        <v>194.48142921890101</v>
      </c>
      <c r="AI47" s="43">
        <v>232.43255633631799</v>
      </c>
      <c r="AJ47" s="43">
        <v>43.947172309123097</v>
      </c>
      <c r="AK47" s="43">
        <v>1.56954186818297</v>
      </c>
      <c r="AL47" s="43">
        <v>1.68502643395564</v>
      </c>
      <c r="AM47" s="43">
        <v>385.929157819973</v>
      </c>
      <c r="AN47" s="43">
        <v>13.7831842078562</v>
      </c>
      <c r="AO47" s="43">
        <v>23.529494895177798</v>
      </c>
      <c r="AP47" s="44">
        <v>250</v>
      </c>
      <c r="AQ47" s="44">
        <v>8.0438290201153961</v>
      </c>
      <c r="AR47" s="44">
        <v>20.24027786321049</v>
      </c>
      <c r="AS47" s="44">
        <v>59.956159554625998</v>
      </c>
      <c r="AT47" s="44">
        <v>0.82594666969792974</v>
      </c>
      <c r="AU47" s="44">
        <v>0.239824638218504</v>
      </c>
      <c r="AV47" s="44">
        <f t="shared" si="6"/>
        <v>59.956159554625998</v>
      </c>
      <c r="AW47" s="44">
        <f>+VLOOKUP(C47,'Etape 1 - surface'!$A$5:$B$58,2,FALSE)</f>
        <v>0</v>
      </c>
      <c r="AX47" s="44">
        <f t="shared" si="0"/>
        <v>0</v>
      </c>
      <c r="AY47" s="44">
        <v>5</v>
      </c>
      <c r="AZ47" s="63"/>
      <c r="BA47" s="63">
        <f t="shared" si="1"/>
        <v>0</v>
      </c>
      <c r="BB47" s="45"/>
      <c r="BC47" s="65">
        <v>4.4999999999999998E-2</v>
      </c>
      <c r="BD47" s="63">
        <f t="shared" si="2"/>
        <v>-5316.3744869547991</v>
      </c>
    </row>
    <row r="48" spans="1:56" ht="15" x14ac:dyDescent="0.25">
      <c r="A48" t="str">
        <f>+VLOOKUP(D48,Acronyme!$A$1:$C$50,3,FALSE)</f>
        <v>Pin sylvestre</v>
      </c>
      <c r="B48" t="str">
        <f>+VLOOKUP(E48,Acronyme!$E$2:$I$50,5,FALSE)</f>
        <v>GS Pineraies des plaines du Centre et du Nord Ouest</v>
      </c>
      <c r="C48" t="str">
        <f t="shared" si="5"/>
        <v>Pin sylvestre_F2_Eclaircie tardive_GS Pineraies des plaines du Centre et du Nord Ouest_</v>
      </c>
      <c r="D48" s="43" t="s">
        <v>106</v>
      </c>
      <c r="E48" s="43" t="s">
        <v>89</v>
      </c>
      <c r="F48" s="43" t="s">
        <v>115</v>
      </c>
      <c r="G48" s="43" t="s">
        <v>62</v>
      </c>
      <c r="H48" s="43">
        <v>23</v>
      </c>
      <c r="I48" s="43">
        <v>45</v>
      </c>
      <c r="J48" s="43">
        <v>2500</v>
      </c>
      <c r="K48" s="43" t="s">
        <v>109</v>
      </c>
      <c r="L48" s="43" t="s">
        <v>110</v>
      </c>
      <c r="M48" s="43" t="s">
        <v>111</v>
      </c>
      <c r="N48" s="43">
        <v>2003</v>
      </c>
      <c r="O48" s="43" t="s">
        <v>58</v>
      </c>
      <c r="P48" s="43">
        <v>28</v>
      </c>
      <c r="Q48" s="43">
        <v>13.5</v>
      </c>
      <c r="R48" s="43">
        <v>2157</v>
      </c>
      <c r="S48" s="43">
        <v>40.299999999999997</v>
      </c>
      <c r="T48" s="43">
        <v>0</v>
      </c>
      <c r="U48" s="43">
        <v>600</v>
      </c>
      <c r="V48" s="43">
        <v>1043</v>
      </c>
      <c r="W48" s="43">
        <v>457</v>
      </c>
      <c r="X48" s="43">
        <v>57</v>
      </c>
      <c r="Y48" s="43">
        <v>0</v>
      </c>
      <c r="Z48" s="32">
        <v>28</v>
      </c>
      <c r="AA48" s="43" t="s">
        <v>63</v>
      </c>
      <c r="AB48" s="43">
        <v>13.5</v>
      </c>
      <c r="AC48" s="43">
        <v>1400</v>
      </c>
      <c r="AD48" s="43">
        <v>23.89</v>
      </c>
      <c r="AE48" s="43">
        <v>14.74</v>
      </c>
      <c r="AF48" s="43">
        <v>20.58</v>
      </c>
      <c r="AG48" s="43">
        <v>133.30982973744801</v>
      </c>
      <c r="AH48" s="43">
        <v>134.061718452875</v>
      </c>
      <c r="AI48" s="43">
        <v>178.00858015338699</v>
      </c>
      <c r="AJ48" s="43">
        <v>40.736731375075699</v>
      </c>
      <c r="AK48" s="43">
        <v>1.45488326339556</v>
      </c>
      <c r="AL48" s="43">
        <v>1.23337821739321</v>
      </c>
      <c r="AM48" s="43">
        <v>309.06070927320297</v>
      </c>
      <c r="AN48" s="43">
        <v>11.037882474043</v>
      </c>
      <c r="AO48" s="43">
        <v>15.458104377201201</v>
      </c>
      <c r="AP48" s="44">
        <v>757</v>
      </c>
      <c r="AQ48" s="44">
        <v>16.850000000000001</v>
      </c>
      <c r="AR48" s="44">
        <v>16.834765535381674</v>
      </c>
      <c r="AS48" s="44">
        <v>98.200242156064974</v>
      </c>
      <c r="AT48" s="44">
        <v>1.18</v>
      </c>
      <c r="AU48" s="44">
        <v>0.12972290905688899</v>
      </c>
      <c r="AV48" s="44">
        <f t="shared" si="6"/>
        <v>98.200242156064959</v>
      </c>
      <c r="AW48" s="44">
        <f>+VLOOKUP(C48,'Etape 1 - surface'!$A$5:$B$58,2,FALSE)</f>
        <v>0</v>
      </c>
      <c r="AX48" s="44">
        <f t="shared" si="0"/>
        <v>0</v>
      </c>
      <c r="AY48" s="44">
        <v>5</v>
      </c>
      <c r="AZ48" s="63"/>
      <c r="BA48" s="63">
        <f t="shared" si="1"/>
        <v>0</v>
      </c>
      <c r="BB48" s="45"/>
      <c r="BC48" s="65">
        <v>4.4999999999999998E-2</v>
      </c>
      <c r="BD48" s="63">
        <f t="shared" si="2"/>
        <v>-5316.3744869547991</v>
      </c>
    </row>
    <row r="49" spans="1:56" ht="15" x14ac:dyDescent="0.25">
      <c r="A49" t="str">
        <f>+VLOOKUP(D49,Acronyme!$A$1:$C$50,3,FALSE)</f>
        <v>Pin sylvestre</v>
      </c>
      <c r="B49" t="str">
        <f>+VLOOKUP(E49,Acronyme!$E$2:$I$50,5,FALSE)</f>
        <v>GS Pineraies des plaines du Centre et du Nord Ouest</v>
      </c>
      <c r="C49" t="str">
        <f t="shared" si="5"/>
        <v>Pin sylvestre_F1_Eclaircie tardive_GS Pineraies des plaines du Centre et du Nord Ouest_</v>
      </c>
      <c r="D49" s="43" t="s">
        <v>106</v>
      </c>
      <c r="E49" s="43" t="s">
        <v>89</v>
      </c>
      <c r="F49" s="43" t="s">
        <v>115</v>
      </c>
      <c r="G49" s="43" t="s">
        <v>100</v>
      </c>
      <c r="H49" s="43">
        <v>28</v>
      </c>
      <c r="I49" s="43">
        <v>45</v>
      </c>
      <c r="J49" s="43">
        <v>2500</v>
      </c>
      <c r="K49" s="43" t="s">
        <v>109</v>
      </c>
      <c r="L49" s="43" t="s">
        <v>116</v>
      </c>
      <c r="M49" s="43" t="s">
        <v>111</v>
      </c>
      <c r="N49" s="43">
        <v>1997</v>
      </c>
      <c r="O49" s="43" t="s">
        <v>96</v>
      </c>
      <c r="P49" s="43">
        <v>21</v>
      </c>
      <c r="Q49" s="43">
        <v>12.5</v>
      </c>
      <c r="R49" s="43">
        <v>2024</v>
      </c>
      <c r="S49" s="43">
        <v>28.8</v>
      </c>
      <c r="T49" s="43">
        <v>0</v>
      </c>
      <c r="U49" s="43">
        <v>1100</v>
      </c>
      <c r="V49" s="43">
        <v>712</v>
      </c>
      <c r="W49" s="43">
        <v>162</v>
      </c>
      <c r="X49" s="43">
        <v>50</v>
      </c>
      <c r="Y49" s="43">
        <v>0</v>
      </c>
      <c r="Z49" s="32">
        <v>28</v>
      </c>
      <c r="AA49" s="43" t="s">
        <v>63</v>
      </c>
      <c r="AB49" s="43">
        <v>17.329999999999998</v>
      </c>
      <c r="AC49" s="43">
        <v>1050</v>
      </c>
      <c r="AD49" s="43">
        <v>23.95</v>
      </c>
      <c r="AE49" s="43">
        <v>17.04</v>
      </c>
      <c r="AF49" s="43">
        <v>22.91</v>
      </c>
      <c r="AG49" s="43">
        <v>170.74505423909099</v>
      </c>
      <c r="AH49" s="43">
        <v>171.49363449327399</v>
      </c>
      <c r="AI49" s="43">
        <v>212.09482608257201</v>
      </c>
      <c r="AJ49" s="43">
        <v>39.791974487046303</v>
      </c>
      <c r="AK49" s="43">
        <v>1.42114194596594</v>
      </c>
      <c r="AL49" s="43">
        <v>1.08318145293459</v>
      </c>
      <c r="AM49" s="43">
        <v>342.50130471387803</v>
      </c>
      <c r="AN49" s="43">
        <v>12.2321894540671</v>
      </c>
      <c r="AO49" s="43">
        <v>18.2044273173669</v>
      </c>
      <c r="AP49" s="44">
        <v>450</v>
      </c>
      <c r="AQ49" s="44">
        <v>6.8300000000000018</v>
      </c>
      <c r="AR49" s="44">
        <v>13.901419664145548</v>
      </c>
      <c r="AS49" s="44">
        <v>45.308630467653018</v>
      </c>
      <c r="AT49" s="44">
        <v>0.74</v>
      </c>
      <c r="AU49" s="44">
        <v>0.10068584548367338</v>
      </c>
      <c r="AV49" s="44">
        <f t="shared" si="6"/>
        <v>45.308630467653018</v>
      </c>
      <c r="AW49" s="44">
        <f>+VLOOKUP(C49,'Etape 1 - surface'!$A$5:$B$58,2,FALSE)</f>
        <v>0</v>
      </c>
      <c r="AX49" s="44">
        <f t="shared" si="0"/>
        <v>0</v>
      </c>
      <c r="AY49" s="44">
        <v>5</v>
      </c>
      <c r="AZ49" s="63"/>
      <c r="BA49" s="63">
        <f t="shared" si="1"/>
        <v>0</v>
      </c>
      <c r="BB49" s="45"/>
      <c r="BC49" s="65">
        <v>4.4999999999999998E-2</v>
      </c>
      <c r="BD49" s="63">
        <f t="shared" si="2"/>
        <v>-5316.3744869547991</v>
      </c>
    </row>
    <row r="50" spans="1:56" ht="15" x14ac:dyDescent="0.25">
      <c r="A50" t="str">
        <f>+VLOOKUP(D50,Acronyme!$A$1:$C$50,3,FALSE)</f>
        <v>Pin Maritime</v>
      </c>
      <c r="B50" t="str">
        <f>+VLOOKUP(E50,Acronyme!$E$2:$I$50,5,FALSE)</f>
        <v>GS Pineraies des plaines du Centre et du Nord Ouest</v>
      </c>
      <c r="C50" t="str">
        <f t="shared" si="5"/>
        <v>Pin Maritime_F2_Classique_GS Pineraies des plaines du Centre et du Nord Ouest_</v>
      </c>
      <c r="D50" s="43" t="s">
        <v>124</v>
      </c>
      <c r="E50" s="43" t="s">
        <v>89</v>
      </c>
      <c r="F50" s="43" t="s">
        <v>61</v>
      </c>
      <c r="G50" s="43" t="s">
        <v>62</v>
      </c>
      <c r="H50" s="43">
        <v>23</v>
      </c>
      <c r="I50" s="43">
        <v>50</v>
      </c>
      <c r="J50" s="43">
        <v>1250</v>
      </c>
      <c r="K50" s="43" t="s">
        <v>102</v>
      </c>
      <c r="L50" s="43" t="s">
        <v>103</v>
      </c>
      <c r="M50" s="43" t="s">
        <v>125</v>
      </c>
      <c r="N50" s="43"/>
      <c r="O50" s="43"/>
      <c r="P50" s="43">
        <v>17</v>
      </c>
      <c r="Q50" s="43">
        <v>11</v>
      </c>
      <c r="R50" s="43">
        <v>1251</v>
      </c>
      <c r="S50" s="43">
        <v>25.56</v>
      </c>
      <c r="T50" s="43">
        <v>13</v>
      </c>
      <c r="U50" s="43">
        <v>239</v>
      </c>
      <c r="V50" s="43">
        <v>629</v>
      </c>
      <c r="W50" s="43">
        <v>324</v>
      </c>
      <c r="X50" s="43">
        <v>46</v>
      </c>
      <c r="Y50" s="43">
        <v>0</v>
      </c>
      <c r="Z50" s="32">
        <v>29</v>
      </c>
      <c r="AA50" s="43" t="s">
        <v>63</v>
      </c>
      <c r="AB50" s="43">
        <v>17.03</v>
      </c>
      <c r="AC50" s="43">
        <v>445.6</v>
      </c>
      <c r="AD50" s="43">
        <v>24.02</v>
      </c>
      <c r="AE50" s="43">
        <v>26.2</v>
      </c>
      <c r="AF50" s="43">
        <v>31.74</v>
      </c>
      <c r="AG50" s="43">
        <v>185.97912304990101</v>
      </c>
      <c r="AH50" s="43">
        <v>186.99129570215601</v>
      </c>
      <c r="AI50" s="43">
        <v>211.23371610500399</v>
      </c>
      <c r="AJ50" s="43">
        <v>48.489043860164003</v>
      </c>
      <c r="AK50" s="43">
        <v>1.6720359951780699</v>
      </c>
      <c r="AL50" s="43">
        <v>1.47853970119038</v>
      </c>
      <c r="AM50" s="43">
        <v>398.22559318207698</v>
      </c>
      <c r="AN50" s="43">
        <v>13.731917006278501</v>
      </c>
      <c r="AO50" s="43">
        <v>18.4264715850755</v>
      </c>
      <c r="AP50" s="44">
        <v>141</v>
      </c>
      <c r="AQ50" s="44">
        <v>7.0100000000000016</v>
      </c>
      <c r="AR50" s="44">
        <v>25.159645174173633</v>
      </c>
      <c r="AS50" s="44">
        <v>53.420058906990988</v>
      </c>
      <c r="AT50" s="44">
        <v>0.94</v>
      </c>
      <c r="AU50" s="44">
        <v>0.37886566600702831</v>
      </c>
      <c r="AV50" s="44">
        <f t="shared" si="6"/>
        <v>53.420058906990995</v>
      </c>
      <c r="AW50" s="44">
        <f>+VLOOKUP(C50,'Etape 1 - surface'!$A$5:$B$58,2,FALSE)</f>
        <v>0</v>
      </c>
      <c r="AX50" s="44">
        <f t="shared" si="0"/>
        <v>0</v>
      </c>
      <c r="AY50" s="44">
        <f>14.9665006012713+(52.588398731357-14.9665006012713)/(1+EXP(-(0.927907412957439*AU50+-0.605044532722853)))</f>
        <v>31.40592018213956</v>
      </c>
      <c r="AZ50" s="63"/>
      <c r="BA50" s="63">
        <f t="shared" si="1"/>
        <v>0</v>
      </c>
      <c r="BB50" s="45"/>
      <c r="BC50" s="65">
        <v>4.4999999999999998E-2</v>
      </c>
      <c r="BD50" s="63">
        <f t="shared" si="2"/>
        <v>-5316.3744869547991</v>
      </c>
    </row>
    <row r="51" spans="1:56" ht="15" x14ac:dyDescent="0.25">
      <c r="A51" t="e">
        <f>+VLOOKUP(D51,Acronyme!$A$1:$C$34,3,FALSE)</f>
        <v>#N/A</v>
      </c>
      <c r="B51" t="e">
        <f>+VLOOKUP(E51,Acronyme!$E$2:$I$35,5,FALSE)</f>
        <v>#N/A</v>
      </c>
      <c r="C51" t="s">
        <v>240</v>
      </c>
      <c r="D51" s="43" t="s">
        <v>78</v>
      </c>
      <c r="E51" s="43" t="s">
        <v>68</v>
      </c>
      <c r="F51" s="43" t="s">
        <v>79</v>
      </c>
      <c r="G51" s="43" t="s">
        <v>62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32">
        <v>30</v>
      </c>
      <c r="AA51" s="43" t="s">
        <v>152</v>
      </c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>
        <v>80</v>
      </c>
      <c r="AQ51" s="44"/>
      <c r="AR51" s="44"/>
      <c r="AS51" s="44"/>
      <c r="AT51" s="44"/>
      <c r="AU51" s="44">
        <v>0.77</v>
      </c>
      <c r="AV51" s="44">
        <f t="shared" si="6"/>
        <v>61.6</v>
      </c>
      <c r="AW51" s="44">
        <f>+VLOOKUP(C51,'Etape 1 - surface'!$A$5:$B$58,2,FALSE)</f>
        <v>0</v>
      </c>
      <c r="AX51" s="44">
        <f t="shared" si="0"/>
        <v>0</v>
      </c>
      <c r="AY51" s="44">
        <v>3.5</v>
      </c>
      <c r="AZ51" s="63"/>
      <c r="BA51" s="63">
        <f t="shared" si="1"/>
        <v>0</v>
      </c>
      <c r="BB51" s="45"/>
      <c r="BC51" s="65">
        <v>4.4999999999999998E-2</v>
      </c>
      <c r="BD51" s="63">
        <f t="shared" si="2"/>
        <v>-5316.3744869547991</v>
      </c>
    </row>
    <row r="52" spans="1:56" ht="15" x14ac:dyDescent="0.25">
      <c r="A52" t="str">
        <f>+VLOOKUP(D52,Acronyme!$A$1:$C$50,3,FALSE)</f>
        <v>Douglas</v>
      </c>
      <c r="B52" t="str">
        <f>+VLOOKUP(E52,Acronyme!$E$2:$I$50,5,FALSE)</f>
        <v>National</v>
      </c>
      <c r="C52" t="str">
        <f t="shared" ref="C52:C57" si="7">+_xlfn.CONCAT(A52,"_",G52,"_",F52,"_",B52,"_")</f>
        <v>Douglas_F1_Entree 17-18m, densité haute_National_</v>
      </c>
      <c r="D52" s="43" t="s">
        <v>97</v>
      </c>
      <c r="E52" s="43" t="s">
        <v>98</v>
      </c>
      <c r="F52" s="43" t="s">
        <v>99</v>
      </c>
      <c r="G52" s="43" t="s">
        <v>100</v>
      </c>
      <c r="H52" s="43">
        <v>40</v>
      </c>
      <c r="I52" s="43" t="s">
        <v>101</v>
      </c>
      <c r="J52" s="43">
        <v>1666</v>
      </c>
      <c r="K52" s="43" t="s">
        <v>102</v>
      </c>
      <c r="L52" s="43" t="s">
        <v>103</v>
      </c>
      <c r="M52" s="43" t="s">
        <v>104</v>
      </c>
      <c r="N52" s="43"/>
      <c r="O52" s="43"/>
      <c r="P52" s="43">
        <v>17</v>
      </c>
      <c r="Q52" s="43">
        <v>15.63</v>
      </c>
      <c r="R52" s="43">
        <v>1600</v>
      </c>
      <c r="S52" s="43">
        <v>27.89</v>
      </c>
      <c r="T52" s="43">
        <v>30</v>
      </c>
      <c r="U52" s="43">
        <v>428</v>
      </c>
      <c r="V52" s="43">
        <v>863</v>
      </c>
      <c r="W52" s="43">
        <v>267</v>
      </c>
      <c r="X52" s="43">
        <v>12</v>
      </c>
      <c r="Y52" s="43">
        <v>0</v>
      </c>
      <c r="Z52" s="32">
        <v>30</v>
      </c>
      <c r="AA52" s="43" t="s">
        <v>63</v>
      </c>
      <c r="AB52" s="43">
        <v>26.53</v>
      </c>
      <c r="AC52" s="43">
        <v>423</v>
      </c>
      <c r="AD52" s="43">
        <v>30.07</v>
      </c>
      <c r="AE52" s="43">
        <v>30.08</v>
      </c>
      <c r="AF52" s="43">
        <v>35.24</v>
      </c>
      <c r="AG52" s="43">
        <v>273.80405901927401</v>
      </c>
      <c r="AH52" s="43">
        <v>276.49931329999998</v>
      </c>
      <c r="AI52" s="43">
        <v>346.0579200505</v>
      </c>
      <c r="AJ52" s="43">
        <v>55.279531931785897</v>
      </c>
      <c r="AK52" s="43">
        <v>1.84265106439286</v>
      </c>
      <c r="AL52" s="43">
        <v>1.67018522067843</v>
      </c>
      <c r="AM52" s="43">
        <v>576.96437619827395</v>
      </c>
      <c r="AN52" s="43">
        <v>19.232145873275801</v>
      </c>
      <c r="AO52" s="43">
        <v>28.186955708496999</v>
      </c>
      <c r="AP52" s="44">
        <v>127</v>
      </c>
      <c r="AQ52" s="44">
        <v>7.4600000000000009</v>
      </c>
      <c r="AR52" s="44">
        <v>27.347813691026197</v>
      </c>
      <c r="AS52" s="44">
        <v>67.263827134162966</v>
      </c>
      <c r="AT52" s="44">
        <v>0.86</v>
      </c>
      <c r="AU52" s="44">
        <v>0.52963643412726746</v>
      </c>
      <c r="AV52" s="44">
        <f t="shared" si="6"/>
        <v>67.263827134162966</v>
      </c>
      <c r="AW52" s="44">
        <f>+VLOOKUP(C52,'Etape 1 - surface'!$A$5:$B$58,2,FALSE)</f>
        <v>0</v>
      </c>
      <c r="AX52" s="44">
        <f t="shared" si="0"/>
        <v>0</v>
      </c>
      <c r="AY52" s="44">
        <f>17.058316746383+(70.7042249024703-17.058316746383)/(1+EXP(-(0.378583234479568*AU52+-0.73675928557405)))</f>
        <v>36.856922169124175</v>
      </c>
      <c r="AZ52" s="63"/>
      <c r="BA52" s="63">
        <f t="shared" si="1"/>
        <v>0</v>
      </c>
      <c r="BB52" s="45"/>
      <c r="BC52" s="65">
        <v>4.4999999999999998E-2</v>
      </c>
      <c r="BD52" s="63">
        <f t="shared" si="2"/>
        <v>-5316.3744869547991</v>
      </c>
    </row>
    <row r="53" spans="1:56" ht="14.45" customHeight="1" x14ac:dyDescent="0.25">
      <c r="A53" t="str">
        <f>+VLOOKUP(D53,Acronyme!$A$1:$C$50,3,FALSE)</f>
        <v>Pin sylvestre</v>
      </c>
      <c r="B53" t="str">
        <f>+VLOOKUP(E53,Acronyme!$E$2:$I$50,5,FALSE)</f>
        <v>GS Pineraies des plaines du Centre et du Nord Ouest</v>
      </c>
      <c r="C53" t="str">
        <f t="shared" si="7"/>
        <v>Pin sylvestre_F2_Eclaircie précoce_GS Pineraies des plaines du Centre et du Nord Ouest_</v>
      </c>
      <c r="D53" s="43" t="s">
        <v>106</v>
      </c>
      <c r="E53" s="43" t="s">
        <v>89</v>
      </c>
      <c r="F53" s="43" t="s">
        <v>107</v>
      </c>
      <c r="G53" s="43" t="s">
        <v>62</v>
      </c>
      <c r="H53" s="43">
        <v>23</v>
      </c>
      <c r="I53" s="43" t="s">
        <v>108</v>
      </c>
      <c r="J53" s="43">
        <v>2500</v>
      </c>
      <c r="K53" s="43" t="s">
        <v>109</v>
      </c>
      <c r="L53" s="43" t="s">
        <v>110</v>
      </c>
      <c r="M53" s="43" t="s">
        <v>111</v>
      </c>
      <c r="N53" s="43">
        <v>2003</v>
      </c>
      <c r="O53" s="43"/>
      <c r="P53" s="43">
        <v>24</v>
      </c>
      <c r="Q53" s="43">
        <v>11.4</v>
      </c>
      <c r="R53" s="43">
        <v>2157</v>
      </c>
      <c r="S53" s="43">
        <v>40.299999999999997</v>
      </c>
      <c r="T53" s="43">
        <v>0</v>
      </c>
      <c r="U53" s="43">
        <v>600</v>
      </c>
      <c r="V53" s="43">
        <v>1043</v>
      </c>
      <c r="W53" s="43">
        <v>457</v>
      </c>
      <c r="X53" s="43">
        <v>57</v>
      </c>
      <c r="Y53" s="43">
        <v>0</v>
      </c>
      <c r="Z53" s="32">
        <v>30</v>
      </c>
      <c r="AA53" s="43" t="s">
        <v>63</v>
      </c>
      <c r="AB53" s="43">
        <v>14.02</v>
      </c>
      <c r="AC53" s="43">
        <v>700</v>
      </c>
      <c r="AD53" s="43">
        <v>17.87</v>
      </c>
      <c r="AE53" s="43">
        <v>18.03</v>
      </c>
      <c r="AF53" s="43">
        <v>24.3</v>
      </c>
      <c r="AG53" s="43">
        <v>107.49165634958599</v>
      </c>
      <c r="AH53" s="43">
        <v>108.6386988</v>
      </c>
      <c r="AI53" s="43">
        <v>141.034579499872</v>
      </c>
      <c r="AJ53" s="43">
        <v>48.125848371089901</v>
      </c>
      <c r="AK53" s="43">
        <v>1.604194945703</v>
      </c>
      <c r="AL53" s="43">
        <v>1.0145922072100699</v>
      </c>
      <c r="AM53" s="43">
        <v>357.50464363876102</v>
      </c>
      <c r="AN53" s="43">
        <v>11.916821454625399</v>
      </c>
      <c r="AO53" s="43">
        <v>11.611572265008499</v>
      </c>
      <c r="AP53" s="44">
        <v>250</v>
      </c>
      <c r="AQ53" s="44">
        <v>5.1167054537498977</v>
      </c>
      <c r="AR53" s="44">
        <v>16.142851944407401</v>
      </c>
      <c r="AS53" s="44">
        <v>32.115285765984012</v>
      </c>
      <c r="AT53" s="44">
        <v>0.84546168376112552</v>
      </c>
      <c r="AU53" s="44">
        <v>0.12846114306393605</v>
      </c>
      <c r="AV53" s="44">
        <f t="shared" si="6"/>
        <v>32.115285765984012</v>
      </c>
      <c r="AW53" s="44">
        <f>+VLOOKUP(C53,'Etape 1 - surface'!$A$5:$B$58,2,FALSE)</f>
        <v>0</v>
      </c>
      <c r="AX53" s="44">
        <f t="shared" si="0"/>
        <v>0</v>
      </c>
      <c r="AY53" s="44">
        <f>10.0046474463505+(37.1112351801373-10.0046474463505)/(1+EXP(-(0.581180949782075*AU53+-0.955447614584994)))</f>
        <v>17.947268537076599</v>
      </c>
      <c r="AZ53" s="63"/>
      <c r="BA53" s="63">
        <f t="shared" si="1"/>
        <v>0</v>
      </c>
      <c r="BB53" s="45"/>
      <c r="BC53" s="65">
        <v>4.4999999999999998E-2</v>
      </c>
      <c r="BD53" s="63">
        <f t="shared" si="2"/>
        <v>-5316.3744869547991</v>
      </c>
    </row>
    <row r="54" spans="1:56" ht="14.45" customHeight="1" x14ac:dyDescent="0.25">
      <c r="A54" t="str">
        <f>+VLOOKUP(D54,Acronyme!$A$1:$C$50,3,FALSE)</f>
        <v>Epicéa</v>
      </c>
      <c r="B54" t="str">
        <f>+VLOOKUP(E54,Acronyme!$E$2:$I$50,5,FALSE)</f>
        <v>GS Arc Jurassien</v>
      </c>
      <c r="C54" t="str">
        <f t="shared" si="7"/>
        <v>Epicéa_Fbonne_Entree 16-17 m_GS Arc Jurassien_</v>
      </c>
      <c r="D54" s="43" t="s">
        <v>118</v>
      </c>
      <c r="E54" s="43" t="s">
        <v>119</v>
      </c>
      <c r="F54" s="43" t="s">
        <v>120</v>
      </c>
      <c r="G54" s="43" t="s">
        <v>121</v>
      </c>
      <c r="H54" s="43">
        <v>28.5</v>
      </c>
      <c r="I54" s="43" t="s">
        <v>122</v>
      </c>
      <c r="J54" s="43">
        <v>1666</v>
      </c>
      <c r="K54" s="43" t="s">
        <v>102</v>
      </c>
      <c r="L54" s="43" t="s">
        <v>103</v>
      </c>
      <c r="M54" s="43" t="s">
        <v>123</v>
      </c>
      <c r="N54" s="43"/>
      <c r="O54" s="43"/>
      <c r="P54" s="43">
        <v>25</v>
      </c>
      <c r="Q54" s="43">
        <v>16.53</v>
      </c>
      <c r="R54" s="43">
        <v>1255</v>
      </c>
      <c r="S54" s="43">
        <v>35.83</v>
      </c>
      <c r="T54" s="43">
        <v>3</v>
      </c>
      <c r="U54" s="43">
        <v>181</v>
      </c>
      <c r="V54" s="43">
        <v>304</v>
      </c>
      <c r="W54" s="43">
        <v>527</v>
      </c>
      <c r="X54" s="43">
        <v>194</v>
      </c>
      <c r="Y54" s="43">
        <v>46</v>
      </c>
      <c r="Z54" s="32">
        <v>30</v>
      </c>
      <c r="AA54" s="43" t="s">
        <v>63</v>
      </c>
      <c r="AB54" s="43">
        <v>19.510646822631799</v>
      </c>
      <c r="AC54" s="43">
        <v>625</v>
      </c>
      <c r="AD54" s="43">
        <v>27.317932774447701</v>
      </c>
      <c r="AE54" s="43">
        <v>23.590598903408502</v>
      </c>
      <c r="AF54" s="43">
        <v>29.298476486228001</v>
      </c>
      <c r="AG54" s="43">
        <v>228.85177117748199</v>
      </c>
      <c r="AH54" s="43">
        <v>229.916748829943</v>
      </c>
      <c r="AI54" s="43">
        <v>277.43011976460798</v>
      </c>
      <c r="AJ54" s="43">
        <v>45.015188881222997</v>
      </c>
      <c r="AK54" s="43">
        <v>1.50050629604077</v>
      </c>
      <c r="AL54" s="43">
        <v>1.7149401751064199</v>
      </c>
      <c r="AM54" s="43">
        <v>444.53220047836498</v>
      </c>
      <c r="AN54" s="43">
        <v>14.8177400159455</v>
      </c>
      <c r="AO54" s="43">
        <v>25.6669062016637</v>
      </c>
      <c r="AP54" s="44">
        <v>250</v>
      </c>
      <c r="AQ54" s="44">
        <v>8.2164602036880972</v>
      </c>
      <c r="AR54" s="44">
        <v>20.456316431927245</v>
      </c>
      <c r="AS54" s="44">
        <v>67.793123357173982</v>
      </c>
      <c r="AT54" s="44">
        <v>0.80928948837265535</v>
      </c>
      <c r="AU54" s="44">
        <v>0.27117249342869593</v>
      </c>
      <c r="AV54" s="44">
        <f t="shared" si="6"/>
        <v>67.793123357173982</v>
      </c>
      <c r="AW54" s="44">
        <f>+VLOOKUP(C54,'Etape 1 - surface'!$A$5:$B$58,2,FALSE)</f>
        <v>0</v>
      </c>
      <c r="AX54" s="44">
        <f t="shared" si="0"/>
        <v>0</v>
      </c>
      <c r="AY54" s="44">
        <f>5.9476406705017+(63.9669421487603-5.9476406705017)/(1+EXP(-(0.302428574792357*AU54+-0.378232364909735)))</f>
        <v>30.691787334794157</v>
      </c>
      <c r="AZ54" s="63"/>
      <c r="BA54" s="63">
        <f t="shared" si="1"/>
        <v>0</v>
      </c>
      <c r="BB54" s="45"/>
      <c r="BC54" s="65">
        <v>4.4999999999999998E-2</v>
      </c>
      <c r="BD54" s="63">
        <f t="shared" si="2"/>
        <v>-5316.3744869547991</v>
      </c>
    </row>
    <row r="55" spans="1:56" ht="15" x14ac:dyDescent="0.25">
      <c r="A55" t="str">
        <f>+VLOOKUP(D55,Acronyme!$A$1:$C$50,3,FALSE)</f>
        <v>Epicéa</v>
      </c>
      <c r="B55" t="str">
        <f>+VLOOKUP(E55,Acronyme!$E$2:$I$50,5,FALSE)</f>
        <v>GS Arc Jurassien</v>
      </c>
      <c r="C55" t="str">
        <f t="shared" si="7"/>
        <v>Epicéa_Fbonne_Entree 16-17 m_GS Arc Jurassien_</v>
      </c>
      <c r="D55" s="43" t="s">
        <v>118</v>
      </c>
      <c r="E55" s="43" t="s">
        <v>119</v>
      </c>
      <c r="F55" s="43" t="s">
        <v>120</v>
      </c>
      <c r="G55" s="43" t="s">
        <v>121</v>
      </c>
      <c r="H55" s="43">
        <v>28.5</v>
      </c>
      <c r="I55" s="43" t="s">
        <v>101</v>
      </c>
      <c r="J55" s="43">
        <v>1666</v>
      </c>
      <c r="K55" s="43" t="s">
        <v>102</v>
      </c>
      <c r="L55" s="43" t="s">
        <v>103</v>
      </c>
      <c r="M55" s="43" t="s">
        <v>123</v>
      </c>
      <c r="N55" s="43"/>
      <c r="O55" s="43"/>
      <c r="P55" s="43">
        <v>25</v>
      </c>
      <c r="Q55" s="43">
        <v>16.53</v>
      </c>
      <c r="R55" s="43">
        <v>1255</v>
      </c>
      <c r="S55" s="43">
        <v>35.83</v>
      </c>
      <c r="T55" s="43">
        <v>3</v>
      </c>
      <c r="U55" s="43">
        <v>181</v>
      </c>
      <c r="V55" s="43">
        <v>304</v>
      </c>
      <c r="W55" s="43">
        <v>527</v>
      </c>
      <c r="X55" s="43">
        <v>194</v>
      </c>
      <c r="Y55" s="43">
        <v>46</v>
      </c>
      <c r="Z55" s="32">
        <v>30</v>
      </c>
      <c r="AA55" s="43" t="s">
        <v>63</v>
      </c>
      <c r="AB55" s="43">
        <v>19.510646822631799</v>
      </c>
      <c r="AC55" s="43">
        <v>625</v>
      </c>
      <c r="AD55" s="43">
        <v>27.317932774447701</v>
      </c>
      <c r="AE55" s="43">
        <v>23.590598903408502</v>
      </c>
      <c r="AF55" s="43">
        <v>29.298476486228001</v>
      </c>
      <c r="AG55" s="43">
        <v>228.85177117748199</v>
      </c>
      <c r="AH55" s="43">
        <v>229.916748829943</v>
      </c>
      <c r="AI55" s="43">
        <v>277.43011976460798</v>
      </c>
      <c r="AJ55" s="43">
        <v>45.015188881222997</v>
      </c>
      <c r="AK55" s="43">
        <v>1.50050629604077</v>
      </c>
      <c r="AL55" s="43">
        <v>1.7149401751064199</v>
      </c>
      <c r="AM55" s="43">
        <v>444.53220047836498</v>
      </c>
      <c r="AN55" s="43">
        <v>14.8177400159455</v>
      </c>
      <c r="AO55" s="43">
        <v>25.6669062016637</v>
      </c>
      <c r="AP55" s="44">
        <v>250</v>
      </c>
      <c r="AQ55" s="44">
        <v>8.2164602036880972</v>
      </c>
      <c r="AR55" s="44">
        <v>20.456316431927245</v>
      </c>
      <c r="AS55" s="44">
        <v>67.793123357173982</v>
      </c>
      <c r="AT55" s="44">
        <v>0.80928948837265535</v>
      </c>
      <c r="AU55" s="44">
        <v>0.27117249342869593</v>
      </c>
      <c r="AV55" s="44">
        <f t="shared" si="6"/>
        <v>67.793123357173982</v>
      </c>
      <c r="AW55" s="44">
        <f>+VLOOKUP(C55,'Etape 1 - surface'!$A$5:$B$58,2,FALSE)</f>
        <v>0</v>
      </c>
      <c r="AX55" s="44">
        <f t="shared" si="0"/>
        <v>0</v>
      </c>
      <c r="AY55" s="44">
        <f>5.9476406705017+(63.9669421487603-5.9476406705017)/(1+EXP(-(0.302428574792357*AU55+-0.378232364909735)))</f>
        <v>30.691787334794157</v>
      </c>
      <c r="AZ55" s="63"/>
      <c r="BA55" s="63">
        <f t="shared" si="1"/>
        <v>0</v>
      </c>
      <c r="BB55" s="45"/>
      <c r="BC55" s="65">
        <v>4.4999999999999998E-2</v>
      </c>
      <c r="BD55" s="63">
        <f t="shared" si="2"/>
        <v>-5316.3744869547991</v>
      </c>
    </row>
    <row r="56" spans="1:56" ht="15" x14ac:dyDescent="0.25">
      <c r="A56" t="str">
        <f>+VLOOKUP(D56,Acronyme!$A$1:$C$50,3,FALSE)</f>
        <v>Pin Maritime</v>
      </c>
      <c r="B56" t="str">
        <f>+VLOOKUP(E56,Acronyme!$E$2:$I$50,5,FALSE)</f>
        <v>GS Pineraies des plaines du Centre et du Nord Ouest</v>
      </c>
      <c r="C56" t="str">
        <f t="shared" si="7"/>
        <v>Pin Maritime_F1_Classique_GS Pineraies des plaines du Centre et du Nord Ouest_</v>
      </c>
      <c r="D56" s="43" t="s">
        <v>124</v>
      </c>
      <c r="E56" s="43" t="s">
        <v>89</v>
      </c>
      <c r="F56" s="43" t="s">
        <v>61</v>
      </c>
      <c r="G56" s="43" t="s">
        <v>100</v>
      </c>
      <c r="H56" s="43">
        <v>27.5</v>
      </c>
      <c r="I56" s="43">
        <v>55</v>
      </c>
      <c r="J56" s="43">
        <v>1250</v>
      </c>
      <c r="K56" s="43" t="s">
        <v>102</v>
      </c>
      <c r="L56" s="43" t="s">
        <v>103</v>
      </c>
      <c r="M56" s="43" t="s">
        <v>125</v>
      </c>
      <c r="N56" s="43"/>
      <c r="O56" s="43"/>
      <c r="P56" s="43">
        <v>14</v>
      </c>
      <c r="Q56" s="43">
        <v>11</v>
      </c>
      <c r="R56" s="43">
        <v>1251</v>
      </c>
      <c r="S56" s="43">
        <v>25.56</v>
      </c>
      <c r="T56" s="43">
        <v>13</v>
      </c>
      <c r="U56" s="43">
        <v>239</v>
      </c>
      <c r="V56" s="43">
        <v>629</v>
      </c>
      <c r="W56" s="43">
        <v>324</v>
      </c>
      <c r="X56" s="43">
        <v>46</v>
      </c>
      <c r="Y56" s="43">
        <v>0</v>
      </c>
      <c r="Z56" s="32">
        <v>30</v>
      </c>
      <c r="AA56" s="43" t="s">
        <v>63</v>
      </c>
      <c r="AB56" s="43">
        <v>20.83</v>
      </c>
      <c r="AC56" s="43">
        <v>366.8</v>
      </c>
      <c r="AD56" s="43">
        <v>30.04</v>
      </c>
      <c r="AE56" s="43">
        <v>32.29</v>
      </c>
      <c r="AF56" s="43">
        <v>38.880000000000003</v>
      </c>
      <c r="AG56" s="43">
        <v>279.847055854198</v>
      </c>
      <c r="AH56" s="43">
        <v>281.28771722070297</v>
      </c>
      <c r="AI56" s="43">
        <v>309.071705324231</v>
      </c>
      <c r="AJ56" s="43">
        <v>58.353318267621198</v>
      </c>
      <c r="AK56" s="43">
        <v>1.94511060892071</v>
      </c>
      <c r="AL56" s="43">
        <v>1.46203232893208</v>
      </c>
      <c r="AM56" s="43">
        <v>541.06399001458396</v>
      </c>
      <c r="AN56" s="43">
        <v>18.0354663338195</v>
      </c>
      <c r="AO56" s="43">
        <v>22.329883463777598</v>
      </c>
      <c r="AP56" s="44">
        <v>85.199999999999989</v>
      </c>
      <c r="AQ56" s="44">
        <v>7.2100000000000009</v>
      </c>
      <c r="AR56" s="44">
        <v>32.824860893369767</v>
      </c>
      <c r="AS56" s="44">
        <v>67.431493530138994</v>
      </c>
      <c r="AT56" s="44">
        <v>1.03</v>
      </c>
      <c r="AU56" s="44">
        <v>0.79144945457909632</v>
      </c>
      <c r="AV56" s="44">
        <f t="shared" si="6"/>
        <v>67.431493530138994</v>
      </c>
      <c r="AW56" s="44">
        <f>+VLOOKUP(C56,'Etape 1 - surface'!$A$5:$B$58,2,FALSE)</f>
        <v>0</v>
      </c>
      <c r="AX56" s="44">
        <f t="shared" si="0"/>
        <v>0</v>
      </c>
      <c r="AY56" s="44">
        <f>14.9665006012713+(52.588398731357-14.9665006012713)/(1+EXP(-(0.927907412957439*AU56+-0.605044532722853)))</f>
        <v>34.992328899083233</v>
      </c>
      <c r="AZ56" s="63"/>
      <c r="BA56" s="63">
        <f t="shared" si="1"/>
        <v>0</v>
      </c>
      <c r="BB56" s="45"/>
      <c r="BC56" s="65">
        <v>4.4999999999999998E-2</v>
      </c>
      <c r="BD56" s="63">
        <f t="shared" si="2"/>
        <v>-5316.3744869547991</v>
      </c>
    </row>
    <row r="57" spans="1:56" ht="14.45" customHeight="1" x14ac:dyDescent="0.25">
      <c r="A57" t="str">
        <f>+VLOOKUP(D57,Acronyme!$A$1:$C$50,3,FALSE)</f>
        <v>Pin Laricio</v>
      </c>
      <c r="B57" t="str">
        <f>+VLOOKUP(E57,Acronyme!$E$2:$I$50,5,FALSE)</f>
        <v>GS Pineraies des plaines du Centre et du Nord Ouest</v>
      </c>
      <c r="C57" t="str">
        <f t="shared" si="7"/>
        <v>Pin Laricio_F1_Classique_GS Pineraies des plaines du Centre et du Nord Ouest_</v>
      </c>
      <c r="D57" s="43" t="s">
        <v>88</v>
      </c>
      <c r="E57" s="43" t="s">
        <v>89</v>
      </c>
      <c r="F57" s="43" t="s">
        <v>61</v>
      </c>
      <c r="G57" s="43" t="s">
        <v>100</v>
      </c>
      <c r="H57" s="43">
        <v>26</v>
      </c>
      <c r="I57" s="43" t="s">
        <v>101</v>
      </c>
      <c r="J57" s="43">
        <v>1600</v>
      </c>
      <c r="K57" s="43" t="s">
        <v>102</v>
      </c>
      <c r="L57" s="43" t="s">
        <v>103</v>
      </c>
      <c r="M57" s="43" t="s">
        <v>117</v>
      </c>
      <c r="N57" s="43"/>
      <c r="O57" s="43"/>
      <c r="P57" s="43">
        <v>15</v>
      </c>
      <c r="Q57" s="43">
        <v>8.23</v>
      </c>
      <c r="R57" s="43">
        <v>1600</v>
      </c>
      <c r="S57" s="43">
        <v>14.07</v>
      </c>
      <c r="T57" s="43">
        <v>109</v>
      </c>
      <c r="U57" s="43">
        <v>1278</v>
      </c>
      <c r="V57" s="43">
        <v>213</v>
      </c>
      <c r="W57" s="43">
        <v>0</v>
      </c>
      <c r="X57" s="43">
        <v>0</v>
      </c>
      <c r="Y57" s="43">
        <v>0</v>
      </c>
      <c r="Z57" s="32">
        <v>30</v>
      </c>
      <c r="AA57" s="43" t="s">
        <v>63</v>
      </c>
      <c r="AB57" s="43">
        <v>18.350000000000001</v>
      </c>
      <c r="AC57" s="43">
        <v>490.2</v>
      </c>
      <c r="AD57" s="43">
        <v>22.02</v>
      </c>
      <c r="AE57" s="43">
        <v>23.91</v>
      </c>
      <c r="AF57" s="43">
        <v>27.34</v>
      </c>
      <c r="AG57" s="43">
        <v>190.31301116157999</v>
      </c>
      <c r="AH57" s="43">
        <v>190.6813663973</v>
      </c>
      <c r="AI57" s="43">
        <v>207.72443969540501</v>
      </c>
      <c r="AJ57" s="43">
        <v>45.708152576827601</v>
      </c>
      <c r="AK57" s="43">
        <v>1.52360508589425</v>
      </c>
      <c r="AL57" s="43">
        <v>1.38861529765069</v>
      </c>
      <c r="AM57" s="43">
        <v>393.38662051231898</v>
      </c>
      <c r="AN57" s="43">
        <v>13.112887350410601</v>
      </c>
      <c r="AO57" s="43">
        <v>18.313334921691101</v>
      </c>
      <c r="AP57" s="44">
        <v>206.00000000000006</v>
      </c>
      <c r="AQ57" s="44">
        <v>7.8099999999999987</v>
      </c>
      <c r="AR57" s="44">
        <v>21.970855413281946</v>
      </c>
      <c r="AS57" s="44">
        <v>65.991277494051019</v>
      </c>
      <c r="AT57" s="44">
        <v>0.88460268913195494</v>
      </c>
      <c r="AU57" s="44">
        <v>0.32034600725267476</v>
      </c>
      <c r="AV57" s="44">
        <f t="shared" si="6"/>
        <v>65.991277494051019</v>
      </c>
      <c r="AW57" s="44">
        <f>+VLOOKUP(C57,'Etape 1 - surface'!$A$5:$B$58,2,FALSE)</f>
        <v>0</v>
      </c>
      <c r="AX57" s="44">
        <f t="shared" si="0"/>
        <v>0</v>
      </c>
      <c r="AY57" s="44">
        <f>10.0046474463505+(37.1112351801373-10.0046474463505)/(1+EXP(-(0.581180949782075*AU57+-0.955447614584994)))</f>
        <v>18.587605286807005</v>
      </c>
      <c r="AZ57" s="63"/>
      <c r="BA57" s="63">
        <f t="shared" si="1"/>
        <v>0</v>
      </c>
      <c r="BB57" s="45"/>
      <c r="BC57" s="65">
        <v>4.4999999999999998E-2</v>
      </c>
      <c r="BD57" s="63">
        <f t="shared" si="2"/>
        <v>-5316.3744869547991</v>
      </c>
    </row>
    <row r="58" spans="1:56" ht="15" x14ac:dyDescent="0.25">
      <c r="C58" t="s">
        <v>250</v>
      </c>
      <c r="D58" s="43" t="s">
        <v>246</v>
      </c>
      <c r="E58" s="43" t="s">
        <v>238</v>
      </c>
      <c r="F58" s="43" t="s">
        <v>247</v>
      </c>
      <c r="G58" s="43" t="s">
        <v>62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32">
        <v>30</v>
      </c>
      <c r="AA58" s="43" t="s">
        <v>63</v>
      </c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4"/>
      <c r="AQ58" s="44"/>
      <c r="AR58" s="44"/>
      <c r="AS58" s="44"/>
      <c r="AT58" s="44"/>
      <c r="AU58" s="44">
        <v>0.08</v>
      </c>
      <c r="AV58" s="44">
        <v>36</v>
      </c>
      <c r="AW58" s="44">
        <f>+VLOOKUP(C58,'Etape 1 - surface'!$A$5:$B$58,2,FALSE)</f>
        <v>0</v>
      </c>
      <c r="AX58" s="44">
        <f t="shared" si="0"/>
        <v>0</v>
      </c>
      <c r="AY58" s="44">
        <f>(86.135208)/(1+EXP(-(0.50064483*AU58+-0.6204261)))</f>
        <v>30.909311254523193</v>
      </c>
      <c r="AZ58" s="63"/>
      <c r="BA58" s="63">
        <f t="shared" si="1"/>
        <v>0</v>
      </c>
      <c r="BB58" s="45"/>
      <c r="BC58" s="65">
        <v>4.4999999999999998E-2</v>
      </c>
      <c r="BD58" s="63">
        <f t="shared" si="2"/>
        <v>-5316.3744869547991</v>
      </c>
    </row>
    <row r="59" spans="1:56" ht="15" x14ac:dyDescent="0.25">
      <c r="C59" t="s">
        <v>248</v>
      </c>
      <c r="D59" s="43" t="s">
        <v>246</v>
      </c>
      <c r="E59" s="43" t="s">
        <v>238</v>
      </c>
      <c r="F59" s="43" t="s">
        <v>252</v>
      </c>
      <c r="G59" s="43" t="s">
        <v>100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32">
        <v>30</v>
      </c>
      <c r="AA59" s="43" t="s">
        <v>63</v>
      </c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  <c r="AQ59" s="44"/>
      <c r="AR59" s="44"/>
      <c r="AS59" s="44"/>
      <c r="AT59" s="44"/>
      <c r="AU59" s="44">
        <v>0.11</v>
      </c>
      <c r="AV59" s="44">
        <v>71</v>
      </c>
      <c r="AW59" s="44">
        <f>+VLOOKUP(C59,'Etape 1 - surface'!$A$5:$B$58,2,FALSE)</f>
        <v>0</v>
      </c>
      <c r="AX59" s="44">
        <f t="shared" si="0"/>
        <v>0</v>
      </c>
      <c r="AY59" s="44">
        <f>(86.135208)/(1+EXP(-(0.50064483*AU59+-0.6204261)))</f>
        <v>31.207585601356918</v>
      </c>
      <c r="AZ59" s="63"/>
      <c r="BA59" s="63">
        <f t="shared" si="1"/>
        <v>0</v>
      </c>
      <c r="BB59" s="45"/>
      <c r="BC59" s="65">
        <v>4.4999999999999998E-2</v>
      </c>
      <c r="BD59" s="63">
        <f t="shared" si="2"/>
        <v>-5316.3744869547991</v>
      </c>
    </row>
    <row r="60" spans="1:56" ht="14.45" customHeight="1" x14ac:dyDescent="0.25">
      <c r="C60" t="s">
        <v>267</v>
      </c>
      <c r="D60" s="43" t="s">
        <v>78</v>
      </c>
      <c r="E60" s="43" t="s">
        <v>68</v>
      </c>
      <c r="F60" s="43" t="s">
        <v>79</v>
      </c>
      <c r="G60" s="43" t="s">
        <v>114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2">
        <v>30</v>
      </c>
      <c r="AA60" s="43" t="s">
        <v>152</v>
      </c>
      <c r="AB60" s="44">
        <v>80</v>
      </c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44">
        <v>80</v>
      </c>
      <c r="AQ60" s="1"/>
      <c r="AR60" s="1"/>
      <c r="AS60" s="1"/>
      <c r="AT60" s="1"/>
      <c r="AU60" s="44">
        <v>0.6</v>
      </c>
      <c r="AV60" s="44">
        <v>49.3</v>
      </c>
      <c r="AW60" s="44">
        <f>+VLOOKUP(C60,'Etape 1 - surface'!$A$5:$B$58,2,FALSE)</f>
        <v>0</v>
      </c>
      <c r="AX60" s="44">
        <f t="shared" si="0"/>
        <v>0</v>
      </c>
      <c r="AY60" s="44">
        <v>30</v>
      </c>
      <c r="AZ60" s="63"/>
      <c r="BA60" s="63">
        <f t="shared" si="1"/>
        <v>0</v>
      </c>
      <c r="BB60" s="45"/>
      <c r="BC60" s="65">
        <v>4.4999999999999998E-2</v>
      </c>
      <c r="BD60" s="63">
        <f t="shared" si="2"/>
        <v>-5316.3744869547991</v>
      </c>
    </row>
    <row r="61" spans="1:56" ht="15" x14ac:dyDescent="0.25">
      <c r="A61" t="str">
        <f>+VLOOKUP(D61,Acronyme!$A$1:$C$50,3,FALSE)</f>
        <v>Chene_pedoncule</v>
      </c>
      <c r="B61" t="str">
        <f>+VLOOKUP(E61,Acronyme!$E$2:$I$50,5,FALSE)</f>
        <v>Guide chênaie continentale</v>
      </c>
      <c r="C61" t="str">
        <f t="shared" ref="C61:C69" si="8">+_xlfn.CONCAT(A61,"_",G61,"_",F61,"_",B61,"_")</f>
        <v>Chene_pedoncule_F1_Dynamique_Guide chênaie continentale_</v>
      </c>
      <c r="D61" s="43" t="s">
        <v>145</v>
      </c>
      <c r="E61" s="43" t="s">
        <v>65</v>
      </c>
      <c r="F61" s="43" t="s">
        <v>66</v>
      </c>
      <c r="G61" s="43" t="s">
        <v>100</v>
      </c>
      <c r="H61" s="43">
        <v>26</v>
      </c>
      <c r="I61" s="43" t="s">
        <v>144</v>
      </c>
      <c r="J61" s="43">
        <v>1600</v>
      </c>
      <c r="K61" s="43" t="s">
        <v>109</v>
      </c>
      <c r="L61" s="43" t="s">
        <v>103</v>
      </c>
      <c r="M61" s="43" t="s">
        <v>143</v>
      </c>
      <c r="N61" s="43"/>
      <c r="O61" s="43"/>
      <c r="P61" s="43">
        <v>31</v>
      </c>
      <c r="Q61" s="43">
        <v>16.22</v>
      </c>
      <c r="R61" s="43">
        <v>1446</v>
      </c>
      <c r="S61" s="43">
        <v>21.44</v>
      </c>
      <c r="T61" s="43">
        <v>65</v>
      </c>
      <c r="U61" s="43">
        <v>525</v>
      </c>
      <c r="V61" s="43">
        <v>696</v>
      </c>
      <c r="W61" s="43">
        <v>155</v>
      </c>
      <c r="X61" s="43">
        <v>5</v>
      </c>
      <c r="Y61" s="43">
        <v>0</v>
      </c>
      <c r="Z61" s="32">
        <v>31</v>
      </c>
      <c r="AA61" s="43" t="s">
        <v>63</v>
      </c>
      <c r="AB61" s="43">
        <v>16.22</v>
      </c>
      <c r="AC61" s="43">
        <v>558</v>
      </c>
      <c r="AD61" s="43">
        <v>10.83</v>
      </c>
      <c r="AE61" s="43">
        <v>15.72</v>
      </c>
      <c r="AF61" s="43">
        <v>19.95</v>
      </c>
      <c r="AG61" s="43">
        <v>77.940224919075106</v>
      </c>
      <c r="AH61" s="43">
        <v>83.090362537250499</v>
      </c>
      <c r="AI61" s="43">
        <v>104.608894393963</v>
      </c>
      <c r="AJ61" s="43">
        <v>21.436971631035298</v>
      </c>
      <c r="AK61" s="43">
        <v>0.69151521390436499</v>
      </c>
      <c r="AL61" s="43">
        <v>1.03068229810044</v>
      </c>
      <c r="AM61" s="43">
        <v>198.95212091253001</v>
      </c>
      <c r="AN61" s="43">
        <v>6.4178103520171099</v>
      </c>
      <c r="AO61" s="43">
        <v>13.383160568134601</v>
      </c>
      <c r="AP61" s="44">
        <v>888</v>
      </c>
      <c r="AQ61" s="44">
        <v>10.610000000000001</v>
      </c>
      <c r="AR61" s="44">
        <v>12.3340660101523</v>
      </c>
      <c r="AS61" s="44">
        <v>66.356435752486888</v>
      </c>
      <c r="AT61" s="44">
        <v>0.81</v>
      </c>
      <c r="AU61" s="44">
        <v>7.472571593748524E-2</v>
      </c>
      <c r="AV61" s="44">
        <f t="shared" ref="AV61:AV68" si="9">+AU61*AP61</f>
        <v>66.356435752486888</v>
      </c>
      <c r="AW61" s="44">
        <f>+VLOOKUP(C61,'Etape 1 - surface'!$A$5:$B$58,2,FALSE)</f>
        <v>0</v>
      </c>
      <c r="AX61" s="44">
        <f t="shared" si="0"/>
        <v>0</v>
      </c>
      <c r="AY61" s="44">
        <f>10.8374384236453+(405.147848531042-10.8374384236453)/(1+EXP(-(1.16387919746889*AU61+-2.8965970117006)))</f>
        <v>33.236735478935238</v>
      </c>
      <c r="AZ61" s="63"/>
      <c r="BA61" s="63">
        <f t="shared" si="1"/>
        <v>0</v>
      </c>
      <c r="BB61" s="45"/>
      <c r="BC61" s="65">
        <v>4.4999999999999998E-2</v>
      </c>
      <c r="BD61" s="63">
        <f t="shared" si="2"/>
        <v>-5316.3744869547991</v>
      </c>
    </row>
    <row r="62" spans="1:56" ht="15" x14ac:dyDescent="0.25">
      <c r="A62" t="str">
        <f>+VLOOKUP(D62,Acronyme!$A$1:$C$50,3,FALSE)</f>
        <v>Pin Laricio</v>
      </c>
      <c r="B62" t="str">
        <f>+VLOOKUP(E62,Acronyme!$E$2:$I$50,5,FALSE)</f>
        <v>GS Pineraies des plaines du Centre et du Nord Ouest</v>
      </c>
      <c r="C62" t="str">
        <f t="shared" si="8"/>
        <v>Pin Laricio_F2_Classique_GS Pineraies des plaines du Centre et du Nord Ouest_</v>
      </c>
      <c r="D62" s="43" t="s">
        <v>88</v>
      </c>
      <c r="E62" s="43" t="s">
        <v>89</v>
      </c>
      <c r="F62" s="43" t="s">
        <v>61</v>
      </c>
      <c r="G62" s="43" t="s">
        <v>62</v>
      </c>
      <c r="H62" s="43">
        <v>23.3</v>
      </c>
      <c r="I62" s="43" t="s">
        <v>101</v>
      </c>
      <c r="J62" s="43">
        <v>1666</v>
      </c>
      <c r="K62" s="43" t="s">
        <v>102</v>
      </c>
      <c r="L62" s="43" t="s">
        <v>103</v>
      </c>
      <c r="M62" s="43" t="s">
        <v>117</v>
      </c>
      <c r="N62" s="43"/>
      <c r="O62" s="43"/>
      <c r="P62" s="43">
        <v>22</v>
      </c>
      <c r="Q62" s="43">
        <v>11.13</v>
      </c>
      <c r="R62" s="43">
        <v>1444</v>
      </c>
      <c r="S62" s="43">
        <v>25.27</v>
      </c>
      <c r="T62" s="43">
        <v>1</v>
      </c>
      <c r="U62" s="43">
        <v>272</v>
      </c>
      <c r="V62" s="43">
        <v>985</v>
      </c>
      <c r="W62" s="43">
        <v>187</v>
      </c>
      <c r="X62" s="43">
        <v>0</v>
      </c>
      <c r="Y62" s="43">
        <v>0</v>
      </c>
      <c r="Z62" s="32">
        <v>33</v>
      </c>
      <c r="AA62" s="43" t="s">
        <v>63</v>
      </c>
      <c r="AB62" s="43">
        <v>17.079999999999998</v>
      </c>
      <c r="AC62" s="43">
        <v>490.2</v>
      </c>
      <c r="AD62" s="43">
        <v>20.04</v>
      </c>
      <c r="AE62" s="43">
        <v>22.81</v>
      </c>
      <c r="AF62" s="43">
        <v>25.89</v>
      </c>
      <c r="AG62" s="43">
        <v>163.62622005699399</v>
      </c>
      <c r="AH62" s="43">
        <v>163.84349846835801</v>
      </c>
      <c r="AI62" s="43">
        <v>179.25303038063799</v>
      </c>
      <c r="AJ62" s="43">
        <v>42.448791832523099</v>
      </c>
      <c r="AK62" s="43">
        <v>1.2863270252279699</v>
      </c>
      <c r="AL62" s="43">
        <v>1.2834397983720101</v>
      </c>
      <c r="AM62" s="43">
        <v>346.45277556616202</v>
      </c>
      <c r="AN62" s="43">
        <v>10.4985689565504</v>
      </c>
      <c r="AO62" s="43">
        <v>16.3330359368804</v>
      </c>
      <c r="AP62" s="44">
        <v>187.00000000000006</v>
      </c>
      <c r="AQ62" s="44">
        <v>5.7600000000000016</v>
      </c>
      <c r="AR62" s="44">
        <v>19.803661652555714</v>
      </c>
      <c r="AS62" s="44">
        <v>45.045930199695022</v>
      </c>
      <c r="AT62" s="44">
        <v>0.80882835199959768</v>
      </c>
      <c r="AU62" s="44">
        <v>0.2408873272710963</v>
      </c>
      <c r="AV62" s="44">
        <f t="shared" si="9"/>
        <v>45.045930199695022</v>
      </c>
      <c r="AW62" s="44">
        <f>+VLOOKUP(C62,'Etape 1 - surface'!$A$5:$B$58,2,FALSE)</f>
        <v>0</v>
      </c>
      <c r="AX62" s="44">
        <f t="shared" si="0"/>
        <v>0</v>
      </c>
      <c r="AY62" s="44">
        <f>10.0046474463505+(37.1112351801373-10.0046474463505)/(1+EXP(-(0.581180949782075*AU62+-0.955447614584994)))</f>
        <v>18.319069333754953</v>
      </c>
      <c r="AZ62" s="63"/>
      <c r="BA62" s="63">
        <f t="shared" si="1"/>
        <v>0</v>
      </c>
      <c r="BB62" s="45"/>
      <c r="BC62" s="65">
        <v>4.4999999999999998E-2</v>
      </c>
      <c r="BD62" s="63">
        <f t="shared" si="2"/>
        <v>-5316.3744869547991</v>
      </c>
    </row>
    <row r="63" spans="1:56" ht="15" x14ac:dyDescent="0.25">
      <c r="A63" t="str">
        <f>+VLOOKUP(D63,Acronyme!$A$1:$C$50,3,FALSE)</f>
        <v>Pin sylvestre</v>
      </c>
      <c r="B63" t="str">
        <f>+VLOOKUP(E63,Acronyme!$E$2:$I$50,5,FALSE)</f>
        <v>GS Pineraies des plaines du Centre et du Nord Ouest</v>
      </c>
      <c r="C63" t="str">
        <f t="shared" si="8"/>
        <v>Pin sylvestre_F2_Eclaircie tardive_GS Pineraies des plaines du Centre et du Nord Ouest_</v>
      </c>
      <c r="D63" s="43" t="s">
        <v>106</v>
      </c>
      <c r="E63" s="43" t="s">
        <v>89</v>
      </c>
      <c r="F63" s="43" t="s">
        <v>115</v>
      </c>
      <c r="G63" s="43" t="s">
        <v>62</v>
      </c>
      <c r="H63" s="43">
        <v>23</v>
      </c>
      <c r="I63" s="43">
        <v>45</v>
      </c>
      <c r="J63" s="43">
        <v>2500</v>
      </c>
      <c r="K63" s="43" t="s">
        <v>109</v>
      </c>
      <c r="L63" s="43" t="s">
        <v>110</v>
      </c>
      <c r="M63" s="43" t="s">
        <v>111</v>
      </c>
      <c r="N63" s="43">
        <v>2003</v>
      </c>
      <c r="O63" s="43" t="s">
        <v>58</v>
      </c>
      <c r="P63" s="43">
        <v>28</v>
      </c>
      <c r="Q63" s="43">
        <v>13.5</v>
      </c>
      <c r="R63" s="43">
        <v>2157</v>
      </c>
      <c r="S63" s="43">
        <v>40.299999999999997</v>
      </c>
      <c r="T63" s="43">
        <v>0</v>
      </c>
      <c r="U63" s="43">
        <v>600</v>
      </c>
      <c r="V63" s="43">
        <v>1043</v>
      </c>
      <c r="W63" s="43">
        <v>457</v>
      </c>
      <c r="X63" s="43">
        <v>57</v>
      </c>
      <c r="Y63" s="43">
        <v>0</v>
      </c>
      <c r="Z63" s="32">
        <v>34</v>
      </c>
      <c r="AA63" s="43" t="s">
        <v>63</v>
      </c>
      <c r="AB63" s="43">
        <v>16.02</v>
      </c>
      <c r="AC63" s="43">
        <v>950</v>
      </c>
      <c r="AD63" s="43">
        <v>23.14</v>
      </c>
      <c r="AE63" s="43">
        <v>17.61</v>
      </c>
      <c r="AF63" s="43">
        <v>23.18</v>
      </c>
      <c r="AG63" s="43">
        <v>157.94466319237401</v>
      </c>
      <c r="AH63" s="43">
        <v>158.90308489964701</v>
      </c>
      <c r="AI63" s="43">
        <v>198.65687087048701</v>
      </c>
      <c r="AJ63" s="43">
        <v>47.916717370485202</v>
      </c>
      <c r="AK63" s="43">
        <v>1.40931521677898</v>
      </c>
      <c r="AL63" s="43">
        <v>0.94698433219869604</v>
      </c>
      <c r="AM63" s="43">
        <v>395.163586967757</v>
      </c>
      <c r="AN63" s="43">
        <v>11.622458440228201</v>
      </c>
      <c r="AO63" s="43">
        <v>12.0786727448333</v>
      </c>
      <c r="AP63" s="44">
        <v>450</v>
      </c>
      <c r="AQ63" s="44">
        <v>7.9199999999999982</v>
      </c>
      <c r="AR63" s="44">
        <v>14.969641274038219</v>
      </c>
      <c r="AS63" s="44">
        <v>51.092373354161992</v>
      </c>
      <c r="AT63" s="44">
        <v>0.79</v>
      </c>
      <c r="AU63" s="44">
        <v>0.11353860745369332</v>
      </c>
      <c r="AV63" s="44">
        <f t="shared" si="9"/>
        <v>51.092373354161992</v>
      </c>
      <c r="AW63" s="44">
        <f>+VLOOKUP(C63,'Etape 1 - surface'!$A$5:$B$58,2,FALSE)</f>
        <v>0</v>
      </c>
      <c r="AX63" s="44">
        <f t="shared" si="0"/>
        <v>0</v>
      </c>
      <c r="AY63" s="44">
        <f>10.0046474463505+(37.1112351801373-10.0046474463505)/(1+EXP(-(0.581180949782075*AU63+-0.955447614584994)))</f>
        <v>17.898656170466055</v>
      </c>
      <c r="AZ63" s="63"/>
      <c r="BA63" s="63">
        <f t="shared" si="1"/>
        <v>0</v>
      </c>
      <c r="BB63" s="45"/>
      <c r="BC63" s="65">
        <v>4.4999999999999998E-2</v>
      </c>
      <c r="BD63" s="63">
        <f t="shared" si="2"/>
        <v>-5316.3744869547991</v>
      </c>
    </row>
    <row r="64" spans="1:56" ht="14.45" customHeight="1" x14ac:dyDescent="0.25">
      <c r="A64" t="str">
        <f>+VLOOKUP(D64,Acronyme!$A$1:$C$50,3,FALSE)</f>
        <v>Pin sylvestre</v>
      </c>
      <c r="B64" t="str">
        <f>+VLOOKUP(E64,Acronyme!$E$2:$I$50,5,FALSE)</f>
        <v>GS Pineraies des plaines du Centre et du Nord Ouest</v>
      </c>
      <c r="C64" t="str">
        <f t="shared" si="8"/>
        <v>Pin sylvestre_F1_Eclaircie tardive_GS Pineraies des plaines du Centre et du Nord Ouest_</v>
      </c>
      <c r="D64" s="43" t="s">
        <v>106</v>
      </c>
      <c r="E64" s="43" t="s">
        <v>89</v>
      </c>
      <c r="F64" s="43" t="s">
        <v>115</v>
      </c>
      <c r="G64" s="43" t="s">
        <v>100</v>
      </c>
      <c r="H64" s="43">
        <v>28</v>
      </c>
      <c r="I64" s="43">
        <v>45</v>
      </c>
      <c r="J64" s="43">
        <v>2500</v>
      </c>
      <c r="K64" s="43" t="s">
        <v>109</v>
      </c>
      <c r="L64" s="43" t="s">
        <v>116</v>
      </c>
      <c r="M64" s="43" t="s">
        <v>111</v>
      </c>
      <c r="N64" s="43">
        <v>1997</v>
      </c>
      <c r="O64" s="43" t="s">
        <v>96</v>
      </c>
      <c r="P64" s="43">
        <v>21</v>
      </c>
      <c r="Q64" s="43">
        <v>12.5</v>
      </c>
      <c r="R64" s="43">
        <v>2024</v>
      </c>
      <c r="S64" s="43">
        <v>28.8</v>
      </c>
      <c r="T64" s="43">
        <v>0</v>
      </c>
      <c r="U64" s="43">
        <v>1100</v>
      </c>
      <c r="V64" s="43">
        <v>712</v>
      </c>
      <c r="W64" s="43">
        <v>162</v>
      </c>
      <c r="X64" s="43">
        <v>50</v>
      </c>
      <c r="Y64" s="43">
        <v>0</v>
      </c>
      <c r="Z64" s="32">
        <v>34</v>
      </c>
      <c r="AA64" s="43" t="s">
        <v>63</v>
      </c>
      <c r="AB64" s="43">
        <v>20.55</v>
      </c>
      <c r="AC64" s="43">
        <v>770</v>
      </c>
      <c r="AD64" s="43">
        <v>24.95</v>
      </c>
      <c r="AE64" s="43">
        <v>20.309999999999999</v>
      </c>
      <c r="AF64" s="43">
        <v>26.01</v>
      </c>
      <c r="AG64" s="43">
        <v>218.07968044114199</v>
      </c>
      <c r="AH64" s="43">
        <v>219.064921624102</v>
      </c>
      <c r="AI64" s="43">
        <v>258.49056139308698</v>
      </c>
      <c r="AJ64" s="43">
        <v>45.978890925962297</v>
      </c>
      <c r="AK64" s="43">
        <v>1.35232032135183</v>
      </c>
      <c r="AL64" s="43">
        <v>0.87383994991407798</v>
      </c>
      <c r="AM64" s="43">
        <v>438.82891530183502</v>
      </c>
      <c r="AN64" s="43">
        <v>12.9067328029951</v>
      </c>
      <c r="AO64" s="43">
        <v>13.8785320333693</v>
      </c>
      <c r="AP64" s="44">
        <v>280</v>
      </c>
      <c r="AQ64" s="44">
        <v>5.18</v>
      </c>
      <c r="AR64" s="44">
        <v>15.347615963921077</v>
      </c>
      <c r="AS64" s="44">
        <v>41.118733026754001</v>
      </c>
      <c r="AT64" s="44">
        <v>0.65</v>
      </c>
      <c r="AU64" s="44">
        <v>0.14685261795269286</v>
      </c>
      <c r="AV64" s="44">
        <f t="shared" si="9"/>
        <v>41.118733026754001</v>
      </c>
      <c r="AW64" s="44">
        <f>+VLOOKUP(C64,'Etape 1 - surface'!$A$5:$B$58,2,FALSE)</f>
        <v>0</v>
      </c>
      <c r="AX64" s="44">
        <f t="shared" si="0"/>
        <v>0</v>
      </c>
      <c r="AY64" s="44">
        <f>10.0046474463505+(37.1112351801373-10.0046474463505)/(1+EXP(-(0.581180949782075*AU64+-0.955447614584994)))</f>
        <v>18.007421924999829</v>
      </c>
      <c r="AZ64" s="63"/>
      <c r="BA64" s="63">
        <f t="shared" si="1"/>
        <v>0</v>
      </c>
      <c r="BB64" s="45"/>
      <c r="BC64" s="65">
        <v>4.4999999999999998E-2</v>
      </c>
      <c r="BD64" s="63">
        <f t="shared" si="2"/>
        <v>-5316.3744869547991</v>
      </c>
    </row>
    <row r="65" spans="1:56" ht="15" x14ac:dyDescent="0.25">
      <c r="A65" t="str">
        <f>+VLOOKUP(D65,Acronyme!$A$1:$C$50,3,FALSE)</f>
        <v>Chêne sessile</v>
      </c>
      <c r="B65" t="str">
        <f>+VLOOKUP(E65,Acronyme!$E$2:$I$50,5,FALSE)</f>
        <v>Guide chênaie atlantique</v>
      </c>
      <c r="C65" t="str">
        <f t="shared" si="8"/>
        <v>Chêne sessile_F1_Classique_Guide chênaie atlantique_</v>
      </c>
      <c r="D65" s="43" t="s">
        <v>60</v>
      </c>
      <c r="E65" s="43" t="s">
        <v>150</v>
      </c>
      <c r="F65" s="43" t="s">
        <v>61</v>
      </c>
      <c r="G65" s="43" t="s">
        <v>100</v>
      </c>
      <c r="H65" s="43">
        <v>21.5</v>
      </c>
      <c r="I65" s="43" t="s">
        <v>151</v>
      </c>
      <c r="J65" s="43">
        <v>1666</v>
      </c>
      <c r="K65" s="43" t="s">
        <v>109</v>
      </c>
      <c r="L65" s="43" t="s">
        <v>103</v>
      </c>
      <c r="M65" s="43" t="s">
        <v>143</v>
      </c>
      <c r="N65" s="43"/>
      <c r="O65" s="43"/>
      <c r="P65" s="43">
        <v>34</v>
      </c>
      <c r="Q65" s="43">
        <v>16.2</v>
      </c>
      <c r="R65" s="43">
        <v>1451</v>
      </c>
      <c r="S65" s="43">
        <v>23.57</v>
      </c>
      <c r="T65" s="43">
        <v>44</v>
      </c>
      <c r="U65" s="43">
        <v>444</v>
      </c>
      <c r="V65" s="43">
        <v>742</v>
      </c>
      <c r="W65" s="43">
        <v>211</v>
      </c>
      <c r="X65" s="43">
        <v>10</v>
      </c>
      <c r="Y65" s="43">
        <v>0</v>
      </c>
      <c r="Z65" s="32">
        <v>34</v>
      </c>
      <c r="AA65" s="43" t="s">
        <v>63</v>
      </c>
      <c r="AB65" s="43">
        <v>16.2</v>
      </c>
      <c r="AC65" s="43">
        <v>1002</v>
      </c>
      <c r="AD65" s="43">
        <v>18.16</v>
      </c>
      <c r="AE65" s="43">
        <v>15.19</v>
      </c>
      <c r="AF65" s="43">
        <v>20.6</v>
      </c>
      <c r="AG65" s="43">
        <v>130.61238606971901</v>
      </c>
      <c r="AH65" s="43">
        <v>137.85567960830301</v>
      </c>
      <c r="AI65" s="43">
        <v>173.55233635257201</v>
      </c>
      <c r="AJ65" s="43">
        <v>23.566186052005801</v>
      </c>
      <c r="AK65" s="43">
        <v>0.69312311917664104</v>
      </c>
      <c r="AL65" s="43">
        <v>1.0956679616456899</v>
      </c>
      <c r="AM65" s="43">
        <v>221.65077089252401</v>
      </c>
      <c r="AN65" s="43">
        <v>6.5191403203683604</v>
      </c>
      <c r="AO65" s="43">
        <v>14.486985520277999</v>
      </c>
      <c r="AP65" s="44">
        <v>449</v>
      </c>
      <c r="AQ65" s="44">
        <v>5.41</v>
      </c>
      <c r="AR65" s="44">
        <v>12.38598419133141</v>
      </c>
      <c r="AS65" s="44">
        <v>34.419671160505999</v>
      </c>
      <c r="AT65" s="44">
        <v>0.74</v>
      </c>
      <c r="AU65" s="44">
        <v>7.6658510379746095E-2</v>
      </c>
      <c r="AV65" s="44">
        <f t="shared" si="9"/>
        <v>34.419671160505999</v>
      </c>
      <c r="AW65" s="44">
        <f>+VLOOKUP(C65,'Etape 1 - surface'!$A$5:$B$58,2,FALSE)</f>
        <v>0</v>
      </c>
      <c r="AX65" s="44">
        <f t="shared" si="0"/>
        <v>0</v>
      </c>
      <c r="AY65" s="44">
        <f>10.8374384236453+(405.147848531042-10.8374384236453)/(1+EXP(-(1.16387919746889*AU65+-2.8965970117006)))</f>
        <v>33.284308627156413</v>
      </c>
      <c r="AZ65" s="63"/>
      <c r="BA65" s="63">
        <f t="shared" si="1"/>
        <v>0</v>
      </c>
      <c r="BB65" s="45"/>
      <c r="BC65" s="65">
        <v>4.4999999999999998E-2</v>
      </c>
      <c r="BD65" s="63">
        <f t="shared" si="2"/>
        <v>-5316.3744869547991</v>
      </c>
    </row>
    <row r="66" spans="1:56" ht="15" x14ac:dyDescent="0.25">
      <c r="A66" t="str">
        <f>+VLOOKUP(D66,Acronyme!$A$1:$C$50,3,FALSE)</f>
        <v>Douglas</v>
      </c>
      <c r="B66" t="str">
        <f>+VLOOKUP(E66,Acronyme!$E$2:$I$50,5,FALSE)</f>
        <v>National</v>
      </c>
      <c r="C66" t="str">
        <f t="shared" si="8"/>
        <v>Douglas_F2_Entree 17-18m, densité haute_National_</v>
      </c>
      <c r="D66" s="43" t="s">
        <v>97</v>
      </c>
      <c r="E66" s="43" t="s">
        <v>98</v>
      </c>
      <c r="F66" s="43" t="s">
        <v>99</v>
      </c>
      <c r="G66" s="43" t="s">
        <v>62</v>
      </c>
      <c r="H66" s="43">
        <v>33</v>
      </c>
      <c r="I66" s="43" t="s">
        <v>101</v>
      </c>
      <c r="J66" s="43">
        <v>1666</v>
      </c>
      <c r="K66" s="43" t="s">
        <v>102</v>
      </c>
      <c r="L66" s="43" t="s">
        <v>103</v>
      </c>
      <c r="M66" s="43" t="s">
        <v>104</v>
      </c>
      <c r="N66" s="43"/>
      <c r="O66" s="43" t="s">
        <v>112</v>
      </c>
      <c r="P66" s="43">
        <v>19</v>
      </c>
      <c r="Q66" s="43">
        <v>15.33</v>
      </c>
      <c r="R66" s="43">
        <v>1600</v>
      </c>
      <c r="S66" s="43">
        <v>14.8</v>
      </c>
      <c r="T66" s="43">
        <v>30</v>
      </c>
      <c r="U66" s="43">
        <v>428</v>
      </c>
      <c r="V66" s="43">
        <v>890</v>
      </c>
      <c r="W66" s="43">
        <v>240</v>
      </c>
      <c r="X66" s="43">
        <v>12</v>
      </c>
      <c r="Y66" s="43">
        <v>0</v>
      </c>
      <c r="Z66" s="32">
        <v>35</v>
      </c>
      <c r="AA66" s="43" t="s">
        <v>63</v>
      </c>
      <c r="AB66" s="43">
        <v>26.005653593717899</v>
      </c>
      <c r="AC66" s="43">
        <v>440</v>
      </c>
      <c r="AD66" s="43">
        <v>28.367186553908098</v>
      </c>
      <c r="AE66" s="43">
        <v>28.650806625688901</v>
      </c>
      <c r="AF66" s="43">
        <v>35.488115337851497</v>
      </c>
      <c r="AG66" s="43">
        <v>241.28330494320701</v>
      </c>
      <c r="AH66" s="43">
        <v>243.567758616086</v>
      </c>
      <c r="AI66" s="43">
        <v>305.48533770269302</v>
      </c>
      <c r="AJ66" s="43">
        <v>55.742357346812597</v>
      </c>
      <c r="AK66" s="43">
        <v>1.5926387813375</v>
      </c>
      <c r="AL66" s="43">
        <v>1.5131621704382501</v>
      </c>
      <c r="AM66" s="43">
        <v>550.63562208621795</v>
      </c>
      <c r="AN66" s="43">
        <v>15.732446345320501</v>
      </c>
      <c r="AO66" s="43">
        <v>23.698884562096701</v>
      </c>
      <c r="AP66" s="44">
        <v>160</v>
      </c>
      <c r="AQ66" s="44">
        <v>8.4964994384869001</v>
      </c>
      <c r="AR66" s="44">
        <v>26.002498770432652</v>
      </c>
      <c r="AS66" s="44">
        <v>72.000245010631971</v>
      </c>
      <c r="AT66" s="44">
        <v>0.86431598025489687</v>
      </c>
      <c r="AU66" s="44">
        <v>0.45000153131644982</v>
      </c>
      <c r="AV66" s="44">
        <f t="shared" si="9"/>
        <v>72.000245010631971</v>
      </c>
      <c r="AW66" s="44">
        <f>+VLOOKUP(C66,'Etape 1 - surface'!$A$5:$B$58,2,FALSE)</f>
        <v>0</v>
      </c>
      <c r="AX66" s="44">
        <f t="shared" si="0"/>
        <v>0</v>
      </c>
      <c r="AY66" s="44">
        <f>17.058316746383+(70.7042249024703-17.058316746383)/(1+EXP(-(0.378583234479568*AU66+-0.73675928557405)))</f>
        <v>36.481825608731477</v>
      </c>
      <c r="AZ66" s="63"/>
      <c r="BA66" s="63">
        <f t="shared" si="1"/>
        <v>0</v>
      </c>
      <c r="BB66" s="45"/>
      <c r="BC66" s="65">
        <v>4.4999999999999998E-2</v>
      </c>
      <c r="BD66" s="63">
        <f t="shared" si="2"/>
        <v>-5316.3744869547991</v>
      </c>
    </row>
    <row r="67" spans="1:56" ht="15" x14ac:dyDescent="0.25">
      <c r="A67" t="str">
        <f>+VLOOKUP(D67,Acronyme!$A$1:$C$50,3,FALSE)</f>
        <v>Douglas</v>
      </c>
      <c r="B67" t="str">
        <f>+VLOOKUP(E67,Acronyme!$E$2:$I$50,5,FALSE)</f>
        <v>National</v>
      </c>
      <c r="C67" t="str">
        <f t="shared" si="8"/>
        <v>Douglas_F3_Entree 19-20m_National_</v>
      </c>
      <c r="D67" s="43" t="s">
        <v>97</v>
      </c>
      <c r="E67" s="43" t="s">
        <v>98</v>
      </c>
      <c r="F67" s="43" t="s">
        <v>113</v>
      </c>
      <c r="G67" s="43" t="s">
        <v>114</v>
      </c>
      <c r="H67" s="43">
        <v>26</v>
      </c>
      <c r="I67" s="43" t="s">
        <v>101</v>
      </c>
      <c r="J67" s="43">
        <v>1666</v>
      </c>
      <c r="K67" s="43" t="s">
        <v>102</v>
      </c>
      <c r="L67" s="43" t="s">
        <v>103</v>
      </c>
      <c r="M67" s="43" t="s">
        <v>104</v>
      </c>
      <c r="N67" s="43"/>
      <c r="O67" s="43" t="s">
        <v>112</v>
      </c>
      <c r="P67" s="43">
        <v>25</v>
      </c>
      <c r="Q67" s="43">
        <v>14.76</v>
      </c>
      <c r="R67" s="43">
        <v>1600</v>
      </c>
      <c r="S67" s="43">
        <v>26.34</v>
      </c>
      <c r="T67" s="43">
        <v>40</v>
      </c>
      <c r="U67" s="43">
        <v>465</v>
      </c>
      <c r="V67" s="43">
        <v>873</v>
      </c>
      <c r="W67" s="43">
        <v>210</v>
      </c>
      <c r="X67" s="43">
        <v>12</v>
      </c>
      <c r="Y67" s="43">
        <v>0</v>
      </c>
      <c r="Z67" s="32">
        <v>35</v>
      </c>
      <c r="AA67" s="43" t="s">
        <v>63</v>
      </c>
      <c r="AB67" s="43">
        <v>20.009368127567299</v>
      </c>
      <c r="AC67" s="43">
        <v>680</v>
      </c>
      <c r="AD67" s="43">
        <v>24.281128019599599</v>
      </c>
      <c r="AE67" s="43">
        <v>21.3223482543175</v>
      </c>
      <c r="AF67" s="43">
        <v>27.103815890560099</v>
      </c>
      <c r="AG67" s="43">
        <v>183.26425605659199</v>
      </c>
      <c r="AH67" s="43">
        <v>183.54136560000001</v>
      </c>
      <c r="AI67" s="43">
        <v>211.128172664918</v>
      </c>
      <c r="AJ67" s="43">
        <v>38.396870606010097</v>
      </c>
      <c r="AK67" s="43">
        <v>1.097053445886</v>
      </c>
      <c r="AL67" s="43">
        <v>1.022089070092</v>
      </c>
      <c r="AM67" s="43">
        <v>328.85297568419202</v>
      </c>
      <c r="AN67" s="43">
        <v>9.3957993052626207</v>
      </c>
      <c r="AO67" s="43">
        <v>14.158964042750799</v>
      </c>
      <c r="AP67" s="44">
        <v>920</v>
      </c>
      <c r="AQ67" s="44">
        <v>14.115742586563201</v>
      </c>
      <c r="AR67" s="44">
        <v>13.976969280443516</v>
      </c>
      <c r="AS67" s="44">
        <v>85.672854950043984</v>
      </c>
      <c r="AT67" s="44">
        <v>0.63935203974432886</v>
      </c>
      <c r="AU67" s="44">
        <v>9.3122668423960858E-2</v>
      </c>
      <c r="AV67" s="44">
        <f t="shared" si="9"/>
        <v>85.672854950043984</v>
      </c>
      <c r="AW67" s="44">
        <f>+VLOOKUP(C67,'Etape 1 - surface'!$A$5:$B$58,2,FALSE)</f>
        <v>0</v>
      </c>
      <c r="AX67" s="44">
        <f t="shared" si="0"/>
        <v>0</v>
      </c>
      <c r="AY67" s="44">
        <f>17.058316746383+(70.7042249024703-17.058316746383)/(1+EXP(-(0.378583234479568*AU67+-0.73675928557405)))</f>
        <v>34.840793827348293</v>
      </c>
      <c r="AZ67" s="63"/>
      <c r="BA67" s="63">
        <f t="shared" si="1"/>
        <v>0</v>
      </c>
      <c r="BB67" s="45"/>
      <c r="BC67" s="65">
        <v>4.4999999999999998E-2</v>
      </c>
      <c r="BD67" s="63">
        <f t="shared" si="2"/>
        <v>-5316.3744869547991</v>
      </c>
    </row>
    <row r="68" spans="1:56" ht="14.45" customHeight="1" x14ac:dyDescent="0.25">
      <c r="A68" t="str">
        <f>+VLOOKUP(D68,Acronyme!$A$1:$C$50,3,FALSE)</f>
        <v>Chêne sessile</v>
      </c>
      <c r="B68" t="str">
        <f>+VLOOKUP(E68,Acronyme!$E$2:$I$50,5,FALSE)</f>
        <v>Guide chênaie continentale</v>
      </c>
      <c r="C68" t="str">
        <f t="shared" si="8"/>
        <v>Chêne sessile_F1_Dynamique_Guide chênaie continentale_</v>
      </c>
      <c r="D68" s="43" t="s">
        <v>60</v>
      </c>
      <c r="E68" s="43" t="s">
        <v>65</v>
      </c>
      <c r="F68" s="43" t="s">
        <v>66</v>
      </c>
      <c r="G68" s="43" t="s">
        <v>100</v>
      </c>
      <c r="H68" s="43">
        <v>21.5</v>
      </c>
      <c r="I68" s="43" t="s">
        <v>144</v>
      </c>
      <c r="J68" s="43">
        <v>1666</v>
      </c>
      <c r="K68" s="43" t="s">
        <v>109</v>
      </c>
      <c r="L68" s="43" t="s">
        <v>103</v>
      </c>
      <c r="M68" s="43" t="s">
        <v>143</v>
      </c>
      <c r="N68" s="43"/>
      <c r="O68" s="43"/>
      <c r="P68" s="43">
        <v>35</v>
      </c>
      <c r="Q68" s="43">
        <v>16.59</v>
      </c>
      <c r="R68" s="43">
        <v>1453</v>
      </c>
      <c r="S68" s="43">
        <v>26.19</v>
      </c>
      <c r="T68" s="43">
        <v>41</v>
      </c>
      <c r="U68" s="43">
        <v>369</v>
      </c>
      <c r="V68" s="43">
        <v>713</v>
      </c>
      <c r="W68" s="43">
        <v>301</v>
      </c>
      <c r="X68" s="43">
        <v>28</v>
      </c>
      <c r="Y68" s="43">
        <v>0</v>
      </c>
      <c r="Z68" s="32">
        <v>35</v>
      </c>
      <c r="AA68" s="43" t="s">
        <v>63</v>
      </c>
      <c r="AB68" s="43">
        <v>16.59</v>
      </c>
      <c r="AC68" s="43">
        <v>700</v>
      </c>
      <c r="AD68" s="43">
        <v>16.3</v>
      </c>
      <c r="AE68" s="43">
        <v>17.22</v>
      </c>
      <c r="AF68" s="43">
        <v>21.98</v>
      </c>
      <c r="AG68" s="43">
        <v>124.71445303953401</v>
      </c>
      <c r="AH68" s="43">
        <v>133.32351918000899</v>
      </c>
      <c r="AI68" s="43">
        <v>162.849156658684</v>
      </c>
      <c r="AJ68" s="43">
        <v>26.186352864916</v>
      </c>
      <c r="AK68" s="43">
        <v>0.74818151042617198</v>
      </c>
      <c r="AL68" s="43">
        <v>1.0351827054985301</v>
      </c>
      <c r="AM68" s="43">
        <v>252.97820341959701</v>
      </c>
      <c r="AN68" s="43">
        <v>7.2279486691313402</v>
      </c>
      <c r="AO68" s="43">
        <v>14.1260895170215</v>
      </c>
      <c r="AP68" s="44">
        <v>753</v>
      </c>
      <c r="AQ68" s="44">
        <v>9.89</v>
      </c>
      <c r="AR68" s="44">
        <v>12.931702860679351</v>
      </c>
      <c r="AS68" s="44">
        <v>65.900382675090995</v>
      </c>
      <c r="AT68" s="44">
        <v>0.73</v>
      </c>
      <c r="AU68" s="44">
        <v>8.7517108466256308E-2</v>
      </c>
      <c r="AV68" s="44">
        <f t="shared" si="9"/>
        <v>65.900382675090995</v>
      </c>
      <c r="AW68" s="44">
        <f>+VLOOKUP(C68,'Etape 1 - surface'!$A$5:$B$58,2,FALSE)</f>
        <v>0</v>
      </c>
      <c r="AX68" s="44">
        <f t="shared" si="0"/>
        <v>0</v>
      </c>
      <c r="AY68" s="44">
        <f>10.8374384236453+(405.147848531042-10.8374384236453)/(1+EXP(-(1.16387919746889*AU68+-2.8965970117006)))</f>
        <v>33.553347920183391</v>
      </c>
      <c r="AZ68" s="63"/>
      <c r="BA68" s="63">
        <f t="shared" si="1"/>
        <v>0</v>
      </c>
      <c r="BB68" s="45"/>
      <c r="BC68" s="65">
        <v>4.4999999999999998E-2</v>
      </c>
      <c r="BD68" s="63">
        <f t="shared" si="2"/>
        <v>-5316.3744869547991</v>
      </c>
    </row>
    <row r="69" spans="1:56" ht="15" x14ac:dyDescent="0.25">
      <c r="A69" t="s">
        <v>271</v>
      </c>
      <c r="B69" t="s">
        <v>272</v>
      </c>
      <c r="C69" t="str">
        <f t="shared" si="8"/>
        <v>Sequoia sempervirens_FU_Guide britannique_Hamilton and Christie_</v>
      </c>
      <c r="D69" s="43" t="s">
        <v>268</v>
      </c>
      <c r="E69" s="43" t="s">
        <v>68</v>
      </c>
      <c r="F69" s="43" t="s">
        <v>269</v>
      </c>
      <c r="G69" s="43" t="s">
        <v>270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2">
        <v>35</v>
      </c>
      <c r="AA69" s="43" t="s">
        <v>63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44">
        <v>114</v>
      </c>
      <c r="AQ69" s="1"/>
      <c r="AR69" s="1"/>
      <c r="AS69" s="1"/>
      <c r="AT69" s="1"/>
      <c r="AU69" s="44">
        <f>AV69/AP69</f>
        <v>2.763157894736842</v>
      </c>
      <c r="AV69" s="44">
        <v>315</v>
      </c>
      <c r="AW69" s="44">
        <f>+VLOOKUP(C69,'Etape 1 - surface'!$A$5:$B$58,2,FALSE)</f>
        <v>0</v>
      </c>
      <c r="AX69" s="44">
        <f t="shared" si="0"/>
        <v>0</v>
      </c>
      <c r="AY69" s="44">
        <v>10</v>
      </c>
      <c r="AZ69" s="63"/>
      <c r="BA69" s="63">
        <f t="shared" si="1"/>
        <v>0</v>
      </c>
      <c r="BB69" s="45"/>
      <c r="BC69" s="65">
        <v>4.4999999999999998E-2</v>
      </c>
      <c r="BD69" s="63">
        <f t="shared" si="2"/>
        <v>-5316.3744869547991</v>
      </c>
    </row>
    <row r="70" spans="1:56" ht="14.45" customHeight="1" x14ac:dyDescent="0.25">
      <c r="A70" t="e">
        <f>+VLOOKUP(D70,Acronyme!$A$1:$C$34,3,FALSE)</f>
        <v>#N/A</v>
      </c>
      <c r="B70" t="e">
        <f>+VLOOKUP(E70,Acronyme!$E$2:$I$35,5,FALSE)</f>
        <v>#N/A</v>
      </c>
      <c r="C70" t="s">
        <v>240</v>
      </c>
      <c r="D70" s="43" t="s">
        <v>78</v>
      </c>
      <c r="E70" s="43" t="s">
        <v>68</v>
      </c>
      <c r="F70" s="43" t="s">
        <v>79</v>
      </c>
      <c r="G70" s="43" t="s">
        <v>62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32">
        <v>36</v>
      </c>
      <c r="AA70" s="43" t="s">
        <v>152</v>
      </c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4">
        <v>60</v>
      </c>
      <c r="AQ70" s="44"/>
      <c r="AR70" s="44"/>
      <c r="AS70" s="44"/>
      <c r="AT70" s="44"/>
      <c r="AU70" s="44">
        <v>1.1499999999999999</v>
      </c>
      <c r="AV70" s="44">
        <f t="shared" ref="AV70:AV75" si="10">+AU70*AP70</f>
        <v>69</v>
      </c>
      <c r="AW70" s="44">
        <f>+VLOOKUP(C70,'Etape 1 - surface'!$A$5:$B$58,2,FALSE)</f>
        <v>0</v>
      </c>
      <c r="AX70" s="44">
        <f t="shared" si="0"/>
        <v>0</v>
      </c>
      <c r="AY70" s="44">
        <v>5</v>
      </c>
      <c r="AZ70" s="63"/>
      <c r="BA70" s="63">
        <f t="shared" si="1"/>
        <v>0</v>
      </c>
      <c r="BB70" s="45"/>
      <c r="BC70" s="65">
        <v>4.4999999999999998E-2</v>
      </c>
      <c r="BD70" s="63">
        <f t="shared" si="2"/>
        <v>-5316.3744869547991</v>
      </c>
    </row>
    <row r="71" spans="1:56" ht="15" x14ac:dyDescent="0.25">
      <c r="A71" t="str">
        <f>+VLOOKUP(D71,Acronyme!$A$1:$C$50,3,FALSE)</f>
        <v>Douglas</v>
      </c>
      <c r="B71" t="str">
        <f>+VLOOKUP(E71,Acronyme!$E$2:$I$50,5,FALSE)</f>
        <v>National</v>
      </c>
      <c r="C71" t="str">
        <f>+_xlfn.CONCAT(A71,"_",G71,"_",F71,"_",B71,"_")</f>
        <v>Douglas_F1_Entree 17-18m, densité haute_National_</v>
      </c>
      <c r="D71" s="43" t="s">
        <v>97</v>
      </c>
      <c r="E71" s="43" t="s">
        <v>98</v>
      </c>
      <c r="F71" s="43" t="s">
        <v>99</v>
      </c>
      <c r="G71" s="43" t="s">
        <v>100</v>
      </c>
      <c r="H71" s="43">
        <v>40</v>
      </c>
      <c r="I71" s="43" t="s">
        <v>101</v>
      </c>
      <c r="J71" s="43">
        <v>1666</v>
      </c>
      <c r="K71" s="43" t="s">
        <v>102</v>
      </c>
      <c r="L71" s="43" t="s">
        <v>103</v>
      </c>
      <c r="M71" s="43" t="s">
        <v>104</v>
      </c>
      <c r="N71" s="43"/>
      <c r="O71" s="43"/>
      <c r="P71" s="43">
        <v>17</v>
      </c>
      <c r="Q71" s="43">
        <v>15.63</v>
      </c>
      <c r="R71" s="43">
        <v>1600</v>
      </c>
      <c r="S71" s="43">
        <v>27.89</v>
      </c>
      <c r="T71" s="43">
        <v>30</v>
      </c>
      <c r="U71" s="43">
        <v>428</v>
      </c>
      <c r="V71" s="43">
        <v>863</v>
      </c>
      <c r="W71" s="43">
        <v>267</v>
      </c>
      <c r="X71" s="43">
        <v>12</v>
      </c>
      <c r="Y71" s="43">
        <v>0</v>
      </c>
      <c r="Z71" s="32">
        <v>36</v>
      </c>
      <c r="AA71" s="43" t="s">
        <v>63</v>
      </c>
      <c r="AB71" s="43">
        <v>31.05</v>
      </c>
      <c r="AC71" s="43">
        <v>333</v>
      </c>
      <c r="AD71" s="43">
        <v>32.94</v>
      </c>
      <c r="AE71" s="43">
        <v>35.49</v>
      </c>
      <c r="AF71" s="43">
        <v>40.49</v>
      </c>
      <c r="AG71" s="43">
        <v>345.19453899430499</v>
      </c>
      <c r="AH71" s="43">
        <v>349.22831710000003</v>
      </c>
      <c r="AI71" s="43">
        <v>434.46638474759999</v>
      </c>
      <c r="AJ71" s="43">
        <v>65.055374082988493</v>
      </c>
      <c r="AK71" s="43">
        <v>1.8070937245274601</v>
      </c>
      <c r="AL71" s="43">
        <v>1.4446609890541899</v>
      </c>
      <c r="AM71" s="43">
        <v>755.46194151565601</v>
      </c>
      <c r="AN71" s="43">
        <v>20.9850539309904</v>
      </c>
      <c r="AO71" s="43">
        <v>28.071849241270801</v>
      </c>
      <c r="AP71" s="44">
        <v>90</v>
      </c>
      <c r="AQ71" s="44">
        <v>6.9000000000000057</v>
      </c>
      <c r="AR71" s="44">
        <v>31.243404386050702</v>
      </c>
      <c r="AS71" s="44">
        <v>71.342152191995012</v>
      </c>
      <c r="AT71" s="44">
        <v>0.81</v>
      </c>
      <c r="AU71" s="44">
        <v>0.79269057991105574</v>
      </c>
      <c r="AV71" s="44">
        <f t="shared" si="10"/>
        <v>71.342152191995012</v>
      </c>
      <c r="AW71" s="44">
        <f>+VLOOKUP(C71,'Etape 1 - surface'!$A$5:$B$58,2,FALSE)</f>
        <v>0</v>
      </c>
      <c r="AX71" s="44">
        <f t="shared" si="0"/>
        <v>0</v>
      </c>
      <c r="AY71" s="44">
        <f>(86.135208)/(1+EXP(-(0.50064483*AU71+-0.6204261)))</f>
        <v>38.273252435234646</v>
      </c>
      <c r="AZ71" s="63"/>
      <c r="BA71" s="63">
        <f t="shared" si="1"/>
        <v>0</v>
      </c>
      <c r="BB71" s="45"/>
      <c r="BC71" s="65">
        <v>4.4999999999999998E-2</v>
      </c>
      <c r="BD71" s="63">
        <f t="shared" si="2"/>
        <v>-5316.3744869547991</v>
      </c>
    </row>
    <row r="72" spans="1:56" ht="14.45" customHeight="1" x14ac:dyDescent="0.25">
      <c r="A72" t="str">
        <f>+VLOOKUP(D72,Acronyme!$A$1:$C$50,3,FALSE)</f>
        <v>Epicéa</v>
      </c>
      <c r="B72" t="str">
        <f>+VLOOKUP(E72,Acronyme!$E$2:$I$50,5,FALSE)</f>
        <v>GS Arc Jurassien</v>
      </c>
      <c r="C72" t="str">
        <f>+_xlfn.CONCAT(A72,"_",G72,"_",F72,"_",B72,"_")</f>
        <v>Epicéa_Fbonne_Entree 16-17 m_GS Arc Jurassien_</v>
      </c>
      <c r="D72" s="43" t="s">
        <v>118</v>
      </c>
      <c r="E72" s="43" t="s">
        <v>119</v>
      </c>
      <c r="F72" s="43" t="s">
        <v>120</v>
      </c>
      <c r="G72" s="43" t="s">
        <v>121</v>
      </c>
      <c r="H72" s="43">
        <v>28.5</v>
      </c>
      <c r="I72" s="43" t="s">
        <v>122</v>
      </c>
      <c r="J72" s="43">
        <v>1666</v>
      </c>
      <c r="K72" s="43" t="s">
        <v>102</v>
      </c>
      <c r="L72" s="43" t="s">
        <v>103</v>
      </c>
      <c r="M72" s="43" t="s">
        <v>123</v>
      </c>
      <c r="N72" s="43"/>
      <c r="O72" s="43"/>
      <c r="P72" s="43">
        <v>25</v>
      </c>
      <c r="Q72" s="43">
        <v>16.53</v>
      </c>
      <c r="R72" s="43">
        <v>1255</v>
      </c>
      <c r="S72" s="43">
        <v>35.83</v>
      </c>
      <c r="T72" s="43">
        <v>3</v>
      </c>
      <c r="U72" s="43">
        <v>181</v>
      </c>
      <c r="V72" s="43">
        <v>304</v>
      </c>
      <c r="W72" s="43">
        <v>527</v>
      </c>
      <c r="X72" s="43">
        <v>194</v>
      </c>
      <c r="Y72" s="43">
        <v>46</v>
      </c>
      <c r="Z72" s="32">
        <v>36</v>
      </c>
      <c r="AA72" s="43" t="s">
        <v>63</v>
      </c>
      <c r="AB72" s="43">
        <v>22.686495405848</v>
      </c>
      <c r="AC72" s="43">
        <v>456</v>
      </c>
      <c r="AD72" s="43">
        <v>28.142409315658199</v>
      </c>
      <c r="AE72" s="43">
        <v>28.031947792394099</v>
      </c>
      <c r="AF72" s="43">
        <v>34.163235289709</v>
      </c>
      <c r="AG72" s="43">
        <v>276.16147985023701</v>
      </c>
      <c r="AH72" s="43">
        <v>277.42692597802102</v>
      </c>
      <c r="AI72" s="43">
        <v>323.16707463089602</v>
      </c>
      <c r="AJ72" s="43">
        <v>55.304829931861498</v>
      </c>
      <c r="AK72" s="43">
        <v>1.53624527588504</v>
      </c>
      <c r="AL72" s="43">
        <v>1.5585827907555201</v>
      </c>
      <c r="AM72" s="43">
        <v>598.53363768834697</v>
      </c>
      <c r="AN72" s="43">
        <v>16.6259343802319</v>
      </c>
      <c r="AO72" s="43">
        <v>25.135609189657099</v>
      </c>
      <c r="AP72" s="44">
        <v>169</v>
      </c>
      <c r="AQ72" s="44">
        <v>9.4651645093574999</v>
      </c>
      <c r="AR72" s="44">
        <v>26.703967471929698</v>
      </c>
      <c r="AS72" s="44">
        <v>92.445073814382965</v>
      </c>
      <c r="AT72" s="44">
        <v>0.93077811348102668</v>
      </c>
      <c r="AU72" s="44">
        <v>0.54701227109102346</v>
      </c>
      <c r="AV72" s="44">
        <f t="shared" si="10"/>
        <v>92.445073814382965</v>
      </c>
      <c r="AW72" s="44">
        <f>+VLOOKUP(C72,'Etape 1 - surface'!$A$5:$B$58,2,FALSE)</f>
        <v>0</v>
      </c>
      <c r="AX72" s="44">
        <f t="shared" si="0"/>
        <v>0</v>
      </c>
      <c r="AY72" s="44">
        <f>(86.135208)/(1+EXP(-(0.50064483*AU72+-0.6204261)))</f>
        <v>35.678504186041316</v>
      </c>
      <c r="AZ72" s="63"/>
      <c r="BA72" s="63">
        <f t="shared" si="1"/>
        <v>0</v>
      </c>
      <c r="BB72" s="45"/>
      <c r="BC72" s="65">
        <v>4.4999999999999998E-2</v>
      </c>
      <c r="BD72" s="63">
        <f t="shared" si="2"/>
        <v>-5316.3744869547991</v>
      </c>
    </row>
    <row r="73" spans="1:56" ht="15" x14ac:dyDescent="0.25">
      <c r="A73" t="str">
        <f>+VLOOKUP(D73,Acronyme!$A$1:$C$50,3,FALSE)</f>
        <v>Epicéa</v>
      </c>
      <c r="B73" t="str">
        <f>+VLOOKUP(E73,Acronyme!$E$2:$I$50,5,FALSE)</f>
        <v>GS Arc Jurassien</v>
      </c>
      <c r="C73" t="str">
        <f>+_xlfn.CONCAT(A73,"_",G73,"_",F73,"_",B73,"_")</f>
        <v>Epicéa_Fbonne_Entree 16-17 m_GS Arc Jurassien_</v>
      </c>
      <c r="D73" s="43" t="s">
        <v>118</v>
      </c>
      <c r="E73" s="43" t="s">
        <v>119</v>
      </c>
      <c r="F73" s="43" t="s">
        <v>120</v>
      </c>
      <c r="G73" s="43" t="s">
        <v>121</v>
      </c>
      <c r="H73" s="43">
        <v>28.5</v>
      </c>
      <c r="I73" s="43" t="s">
        <v>101</v>
      </c>
      <c r="J73" s="43">
        <v>1666</v>
      </c>
      <c r="K73" s="43" t="s">
        <v>102</v>
      </c>
      <c r="L73" s="43" t="s">
        <v>103</v>
      </c>
      <c r="M73" s="43" t="s">
        <v>123</v>
      </c>
      <c r="N73" s="43"/>
      <c r="O73" s="43"/>
      <c r="P73" s="43">
        <v>25</v>
      </c>
      <c r="Q73" s="43">
        <v>16.53</v>
      </c>
      <c r="R73" s="43">
        <v>1255</v>
      </c>
      <c r="S73" s="43">
        <v>35.83</v>
      </c>
      <c r="T73" s="43">
        <v>3</v>
      </c>
      <c r="U73" s="43">
        <v>181</v>
      </c>
      <c r="V73" s="43">
        <v>304</v>
      </c>
      <c r="W73" s="43">
        <v>527</v>
      </c>
      <c r="X73" s="43">
        <v>194</v>
      </c>
      <c r="Y73" s="43">
        <v>46</v>
      </c>
      <c r="Z73" s="32">
        <v>36</v>
      </c>
      <c r="AA73" s="43" t="s">
        <v>63</v>
      </c>
      <c r="AB73" s="43">
        <v>22.686495405848</v>
      </c>
      <c r="AC73" s="43">
        <v>456</v>
      </c>
      <c r="AD73" s="43">
        <v>28.142409315658199</v>
      </c>
      <c r="AE73" s="43">
        <v>28.031947792394099</v>
      </c>
      <c r="AF73" s="43">
        <v>34.163235289709</v>
      </c>
      <c r="AG73" s="43">
        <v>276.16147985023701</v>
      </c>
      <c r="AH73" s="43">
        <v>277.42692597802102</v>
      </c>
      <c r="AI73" s="43">
        <v>323.16707463089602</v>
      </c>
      <c r="AJ73" s="43">
        <v>55.304829931861498</v>
      </c>
      <c r="AK73" s="43">
        <v>1.53624527588504</v>
      </c>
      <c r="AL73" s="43">
        <v>1.5585827907555201</v>
      </c>
      <c r="AM73" s="43">
        <v>598.53363768834697</v>
      </c>
      <c r="AN73" s="43">
        <v>16.6259343802319</v>
      </c>
      <c r="AO73" s="43">
        <v>25.135609189657099</v>
      </c>
      <c r="AP73" s="44">
        <v>169</v>
      </c>
      <c r="AQ73" s="44">
        <v>9.4651645093574999</v>
      </c>
      <c r="AR73" s="44">
        <v>26.703967471929698</v>
      </c>
      <c r="AS73" s="44">
        <v>92.445073814382965</v>
      </c>
      <c r="AT73" s="44">
        <v>0.93077811348102668</v>
      </c>
      <c r="AU73" s="44">
        <v>0.54701227109102346</v>
      </c>
      <c r="AV73" s="44">
        <f t="shared" si="10"/>
        <v>92.445073814382965</v>
      </c>
      <c r="AW73" s="44">
        <f>+VLOOKUP(C73,'Etape 1 - surface'!$A$5:$B$58,2,FALSE)</f>
        <v>0</v>
      </c>
      <c r="AX73" s="44">
        <f t="shared" si="0"/>
        <v>0</v>
      </c>
      <c r="AY73" s="44">
        <f>(86.135208)/(1+EXP(-(0.50064483*AU73+-0.6204261)))</f>
        <v>35.678504186041316</v>
      </c>
      <c r="AZ73" s="63"/>
      <c r="BA73" s="63">
        <f t="shared" si="1"/>
        <v>0</v>
      </c>
      <c r="BB73" s="45"/>
      <c r="BC73" s="65">
        <v>4.4999999999999998E-2</v>
      </c>
      <c r="BD73" s="63">
        <f t="shared" si="2"/>
        <v>-5316.3744869547991</v>
      </c>
    </row>
    <row r="74" spans="1:56" ht="15" x14ac:dyDescent="0.25">
      <c r="A74" t="str">
        <f>+VLOOKUP(D74,Acronyme!$A$1:$C$50,3,FALSE)</f>
        <v>Pin Maritime</v>
      </c>
      <c r="B74" t="str">
        <f>+VLOOKUP(E74,Acronyme!$E$2:$I$50,5,FALSE)</f>
        <v>GS Pineraies des plaines du Centre et du Nord Ouest</v>
      </c>
      <c r="C74" t="str">
        <f>+_xlfn.CONCAT(A74,"_",G74,"_",F74,"_",B74,"_")</f>
        <v>Pin Maritime_F2_Classique_GS Pineraies des plaines du Centre et du Nord Ouest_</v>
      </c>
      <c r="D74" s="43" t="s">
        <v>124</v>
      </c>
      <c r="E74" s="43" t="s">
        <v>89</v>
      </c>
      <c r="F74" s="43" t="s">
        <v>61</v>
      </c>
      <c r="G74" s="43" t="s">
        <v>62</v>
      </c>
      <c r="H74" s="43">
        <v>23</v>
      </c>
      <c r="I74" s="43">
        <v>50</v>
      </c>
      <c r="J74" s="43">
        <v>1250</v>
      </c>
      <c r="K74" s="43" t="s">
        <v>102</v>
      </c>
      <c r="L74" s="43" t="s">
        <v>103</v>
      </c>
      <c r="M74" s="43" t="s">
        <v>125</v>
      </c>
      <c r="N74" s="43"/>
      <c r="O74" s="43"/>
      <c r="P74" s="43">
        <v>17</v>
      </c>
      <c r="Q74" s="43">
        <v>11</v>
      </c>
      <c r="R74" s="43">
        <v>1251</v>
      </c>
      <c r="S74" s="43">
        <v>25.56</v>
      </c>
      <c r="T74" s="43">
        <v>13</v>
      </c>
      <c r="U74" s="43">
        <v>239</v>
      </c>
      <c r="V74" s="43">
        <v>629</v>
      </c>
      <c r="W74" s="43">
        <v>324</v>
      </c>
      <c r="X74" s="43">
        <v>46</v>
      </c>
      <c r="Y74" s="43">
        <v>0</v>
      </c>
      <c r="Z74" s="32">
        <v>36</v>
      </c>
      <c r="AA74" s="43" t="s">
        <v>63</v>
      </c>
      <c r="AB74" s="43">
        <v>19.66</v>
      </c>
      <c r="AC74" s="43">
        <v>338.6</v>
      </c>
      <c r="AD74" s="43">
        <v>26.01</v>
      </c>
      <c r="AE74" s="43">
        <v>31.27</v>
      </c>
      <c r="AF74" s="43">
        <v>36.25</v>
      </c>
      <c r="AG74" s="43">
        <v>233.20415967885299</v>
      </c>
      <c r="AH74" s="43">
        <v>234.327651133339</v>
      </c>
      <c r="AI74" s="43">
        <v>257.42828480545001</v>
      </c>
      <c r="AJ74" s="43">
        <v>58.796731689113699</v>
      </c>
      <c r="AK74" s="43">
        <v>1.63324254691983</v>
      </c>
      <c r="AL74" s="43">
        <v>1.21894411048587</v>
      </c>
      <c r="AM74" s="43">
        <v>528.33931135929402</v>
      </c>
      <c r="AN74" s="43">
        <v>14.6760919822026</v>
      </c>
      <c r="AO74" s="43">
        <v>17.072817665675199</v>
      </c>
      <c r="AP74" s="44">
        <v>107</v>
      </c>
      <c r="AQ74" s="44">
        <v>8.3199999999999967</v>
      </c>
      <c r="AR74" s="44">
        <v>31.464789714760055</v>
      </c>
      <c r="AS74" s="44">
        <v>74.21099055169401</v>
      </c>
      <c r="AT74" s="44">
        <v>1.01</v>
      </c>
      <c r="AU74" s="44">
        <v>0.69356065936162625</v>
      </c>
      <c r="AV74" s="44">
        <f t="shared" si="10"/>
        <v>74.21099055169401</v>
      </c>
      <c r="AW74" s="44">
        <f>+VLOOKUP(C74,'Etape 1 - surface'!$A$5:$B$58,2,FALSE)</f>
        <v>0</v>
      </c>
      <c r="AX74" s="44">
        <f t="shared" si="0"/>
        <v>0</v>
      </c>
      <c r="AY74" s="44">
        <f>(86.135208)/(1+EXP(-(0.50064483*AU74+-0.6204261)))</f>
        <v>37.220920666655012</v>
      </c>
      <c r="AZ74" s="63"/>
      <c r="BA74" s="63">
        <f t="shared" si="1"/>
        <v>0</v>
      </c>
      <c r="BB74" s="45"/>
      <c r="BC74" s="65">
        <v>4.4999999999999998E-2</v>
      </c>
      <c r="BD74" s="63">
        <f t="shared" si="2"/>
        <v>-5316.3744869547991</v>
      </c>
    </row>
    <row r="75" spans="1:56" ht="15" x14ac:dyDescent="0.25">
      <c r="A75" t="str">
        <f>+VLOOKUP(D75,Acronyme!$A$1:$C$50,3,FALSE)</f>
        <v>Pin d'Alep</v>
      </c>
      <c r="B75" t="str">
        <f>+VLOOKUP(E75,Acronyme!$E$2:$I$50,5,FALSE)</f>
        <v>Pin d'Alep</v>
      </c>
      <c r="C75" t="str">
        <f>+_xlfn.CONCAT(A75,"_",G75,"_",F75,"_",B75,"_")</f>
        <v>Pin d'Alep_F1_Classique_Pin d'Alep_</v>
      </c>
      <c r="D75" s="43" t="s">
        <v>146</v>
      </c>
      <c r="E75" s="43" t="s">
        <v>147</v>
      </c>
      <c r="F75" s="43" t="s">
        <v>61</v>
      </c>
      <c r="G75" s="43" t="s">
        <v>100</v>
      </c>
      <c r="H75" s="43">
        <v>15.5</v>
      </c>
      <c r="I75" s="43" t="s">
        <v>148</v>
      </c>
      <c r="J75" s="43">
        <v>1100</v>
      </c>
      <c r="K75" s="43" t="s">
        <v>109</v>
      </c>
      <c r="L75" s="43" t="s">
        <v>103</v>
      </c>
      <c r="M75" s="43" t="s">
        <v>149</v>
      </c>
      <c r="N75" s="43"/>
      <c r="O75" s="43"/>
      <c r="P75" s="43">
        <v>15</v>
      </c>
      <c r="Q75" s="43">
        <v>4.33</v>
      </c>
      <c r="R75" s="43">
        <v>1101</v>
      </c>
      <c r="S75" s="43">
        <v>4.92</v>
      </c>
      <c r="T75" s="43">
        <v>569</v>
      </c>
      <c r="U75" s="43">
        <v>532</v>
      </c>
      <c r="V75" s="43">
        <v>0</v>
      </c>
      <c r="W75" s="43">
        <v>0</v>
      </c>
      <c r="X75" s="43">
        <v>0</v>
      </c>
      <c r="Y75" s="43">
        <v>0</v>
      </c>
      <c r="Z75" s="32">
        <v>36</v>
      </c>
      <c r="AA75" s="43" t="s">
        <v>63</v>
      </c>
      <c r="AB75" s="43">
        <v>11.89</v>
      </c>
      <c r="AC75" s="43">
        <v>701</v>
      </c>
      <c r="AD75" s="43">
        <v>15.26</v>
      </c>
      <c r="AE75" s="43">
        <v>16.649999999999999</v>
      </c>
      <c r="AF75" s="43">
        <v>18.79</v>
      </c>
      <c r="AG75" s="43">
        <v>76.985908104843006</v>
      </c>
      <c r="AH75" s="43">
        <v>78.615613509343405</v>
      </c>
      <c r="AI75" s="43">
        <v>118.267563158442</v>
      </c>
      <c r="AJ75" s="43">
        <v>21.467672099114299</v>
      </c>
      <c r="AK75" s="43">
        <v>0.59632422497539594</v>
      </c>
      <c r="AL75" s="43">
        <v>0.69024776495047002</v>
      </c>
      <c r="AM75" s="43">
        <v>164.09769710081301</v>
      </c>
      <c r="AN75" s="43">
        <v>4.5582693639114602</v>
      </c>
      <c r="AO75" s="43">
        <v>7.3172549612351396</v>
      </c>
      <c r="AP75" s="44">
        <v>394</v>
      </c>
      <c r="AQ75" s="44">
        <v>6.1399999999999988</v>
      </c>
      <c r="AR75" s="44">
        <v>14.086111895834744</v>
      </c>
      <c r="AS75" s="44">
        <v>28.723678755085999</v>
      </c>
      <c r="AT75" s="44">
        <v>0.8</v>
      </c>
      <c r="AU75" s="44">
        <v>7.2902737957071057E-2</v>
      </c>
      <c r="AV75" s="44">
        <f t="shared" si="10"/>
        <v>28.723678755085995</v>
      </c>
      <c r="AW75" s="44">
        <f>+VLOOKUP(C75,'Etape 1 - surface'!$A$5:$B$58,2,FALSE)</f>
        <v>0</v>
      </c>
      <c r="AX75" s="44">
        <f t="shared" si="0"/>
        <v>0</v>
      </c>
      <c r="AY75" s="44">
        <f>(86.135208)/(1+EXP(-(0.50064483*AU75+-0.6204261)))</f>
        <v>30.83893052693989</v>
      </c>
      <c r="AZ75" s="63"/>
      <c r="BA75" s="63">
        <f t="shared" si="1"/>
        <v>0</v>
      </c>
      <c r="BB75" s="45"/>
      <c r="BC75" s="65">
        <v>4.4999999999999998E-2</v>
      </c>
      <c r="BD75" s="63">
        <f t="shared" si="2"/>
        <v>-5316.3744869547991</v>
      </c>
    </row>
    <row r="76" spans="1:56" ht="14.45" customHeight="1" x14ac:dyDescent="0.25">
      <c r="C76" t="s">
        <v>267</v>
      </c>
      <c r="D76" s="43" t="s">
        <v>78</v>
      </c>
      <c r="E76" s="43" t="s">
        <v>68</v>
      </c>
      <c r="F76" s="43" t="s">
        <v>79</v>
      </c>
      <c r="G76" s="43" t="s">
        <v>114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2">
        <v>36</v>
      </c>
      <c r="AA76" s="43" t="s">
        <v>152</v>
      </c>
      <c r="AB76" s="44">
        <v>60</v>
      </c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44">
        <v>60</v>
      </c>
      <c r="AQ76" s="1"/>
      <c r="AR76" s="1"/>
      <c r="AS76" s="1"/>
      <c r="AT76" s="1"/>
      <c r="AU76" s="44">
        <v>0.9</v>
      </c>
      <c r="AV76" s="44">
        <v>55.2</v>
      </c>
      <c r="AW76" s="44">
        <f>+VLOOKUP(C76,'Etape 1 - surface'!$A$5:$B$58,2,FALSE)</f>
        <v>0</v>
      </c>
      <c r="AX76" s="44">
        <f t="shared" si="0"/>
        <v>0</v>
      </c>
      <c r="AY76" s="44">
        <v>30</v>
      </c>
      <c r="AZ76" s="63"/>
      <c r="BA76" s="63">
        <f t="shared" si="1"/>
        <v>0</v>
      </c>
      <c r="BB76" s="45"/>
      <c r="BC76" s="65">
        <v>4.4999999999999998E-2</v>
      </c>
      <c r="BD76" s="63">
        <f t="shared" si="2"/>
        <v>-5316.3744869547991</v>
      </c>
    </row>
    <row r="77" spans="1:56" ht="14.45" customHeight="1" x14ac:dyDescent="0.25">
      <c r="A77" t="str">
        <f>+VLOOKUP(D77,Acronyme!$A$1:$C$50,3,FALSE)</f>
        <v>Pin Laricio</v>
      </c>
      <c r="B77" t="str">
        <f>+VLOOKUP(E77,Acronyme!$E$2:$I$50,5,FALSE)</f>
        <v>GS Pineraies des plaines du Centre et du Nord Ouest</v>
      </c>
      <c r="C77" t="str">
        <f t="shared" ref="C77:C93" si="11">+_xlfn.CONCAT(A77,"_",G77,"_",F77,"_",B77,"_")</f>
        <v>Pin Laricio_F1_Classique_GS Pineraies des plaines du Centre et du Nord Ouest_</v>
      </c>
      <c r="D77" s="43" t="s">
        <v>88</v>
      </c>
      <c r="E77" s="43" t="s">
        <v>89</v>
      </c>
      <c r="F77" s="43" t="s">
        <v>61</v>
      </c>
      <c r="G77" s="43" t="s">
        <v>100</v>
      </c>
      <c r="H77" s="43">
        <v>26</v>
      </c>
      <c r="I77" s="43" t="s">
        <v>101</v>
      </c>
      <c r="J77" s="43">
        <v>1600</v>
      </c>
      <c r="K77" s="43" t="s">
        <v>102</v>
      </c>
      <c r="L77" s="43" t="s">
        <v>103</v>
      </c>
      <c r="M77" s="43" t="s">
        <v>117</v>
      </c>
      <c r="N77" s="43"/>
      <c r="O77" s="43"/>
      <c r="P77" s="43">
        <v>15</v>
      </c>
      <c r="Q77" s="43">
        <v>8.23</v>
      </c>
      <c r="R77" s="43">
        <v>1600</v>
      </c>
      <c r="S77" s="43">
        <v>14.07</v>
      </c>
      <c r="T77" s="43">
        <v>109</v>
      </c>
      <c r="U77" s="43">
        <v>1278</v>
      </c>
      <c r="V77" s="43">
        <v>213</v>
      </c>
      <c r="W77" s="43">
        <v>0</v>
      </c>
      <c r="X77" s="43">
        <v>0</v>
      </c>
      <c r="Y77" s="43">
        <v>0</v>
      </c>
      <c r="Z77" s="32">
        <v>37</v>
      </c>
      <c r="AA77" s="43" t="s">
        <v>63</v>
      </c>
      <c r="AB77" s="43">
        <v>21.73</v>
      </c>
      <c r="AC77" s="43">
        <v>384.6</v>
      </c>
      <c r="AD77" s="43">
        <v>27</v>
      </c>
      <c r="AE77" s="43">
        <v>29.9</v>
      </c>
      <c r="AF77" s="43">
        <v>32.85</v>
      </c>
      <c r="AG77" s="43">
        <v>231.37144147207599</v>
      </c>
      <c r="AH77" s="43">
        <v>235.321332002167</v>
      </c>
      <c r="AI77" s="43">
        <v>292.33664048944701</v>
      </c>
      <c r="AJ77" s="43">
        <v>56.016647317177899</v>
      </c>
      <c r="AK77" s="43">
        <v>1.51396344100481</v>
      </c>
      <c r="AL77" s="43">
        <v>1.3338612061310999</v>
      </c>
      <c r="AM77" s="43">
        <v>534.28444078304005</v>
      </c>
      <c r="AN77" s="43">
        <v>14.440120021163199</v>
      </c>
      <c r="AO77" s="43">
        <v>19.523238201404499</v>
      </c>
      <c r="AP77" s="44">
        <v>103</v>
      </c>
      <c r="AQ77" s="44">
        <v>5.3299999999999983</v>
      </c>
      <c r="AR77" s="44">
        <v>25.668474059203472</v>
      </c>
      <c r="AS77" s="44">
        <v>44.276991327813988</v>
      </c>
      <c r="AT77" s="44">
        <v>0.78074251531190098</v>
      </c>
      <c r="AU77" s="44">
        <v>0.42987370221178628</v>
      </c>
      <c r="AV77" s="44">
        <f t="shared" ref="AV77:AV93" si="12">+AU77*AP77</f>
        <v>44.276991327813988</v>
      </c>
      <c r="AW77" s="44">
        <f>+VLOOKUP(C77,'Etape 1 - surface'!$A$5:$B$58,2,FALSE)</f>
        <v>0</v>
      </c>
      <c r="AX77" s="44">
        <f t="shared" si="0"/>
        <v>0</v>
      </c>
      <c r="AY77" s="44">
        <f>(86.135208)/(1+EXP(-(0.50064483*AU77+-0.6204261)))</f>
        <v>34.459314592418934</v>
      </c>
      <c r="AZ77" s="63"/>
      <c r="BA77" s="63">
        <f t="shared" si="1"/>
        <v>0</v>
      </c>
      <c r="BB77" s="45"/>
      <c r="BC77" s="65">
        <v>4.4999999999999998E-2</v>
      </c>
      <c r="BD77" s="63">
        <f t="shared" si="2"/>
        <v>-5316.3744869547991</v>
      </c>
    </row>
    <row r="78" spans="1:56" ht="15" x14ac:dyDescent="0.25">
      <c r="A78" t="str">
        <f>+VLOOKUP(D78,Acronyme!$A$1:$C$50,3,FALSE)</f>
        <v>Chene_pedoncule</v>
      </c>
      <c r="B78" t="str">
        <f>+VLOOKUP(E78,Acronyme!$E$2:$I$50,5,FALSE)</f>
        <v>Guide chênaie continentale</v>
      </c>
      <c r="C78" t="str">
        <f t="shared" si="11"/>
        <v>Chene_pedoncule_F1_Dynamique_Guide chênaie continentale_</v>
      </c>
      <c r="D78" s="43" t="s">
        <v>145</v>
      </c>
      <c r="E78" s="43" t="s">
        <v>65</v>
      </c>
      <c r="F78" s="43" t="s">
        <v>66</v>
      </c>
      <c r="G78" s="43" t="s">
        <v>100</v>
      </c>
      <c r="H78" s="43">
        <v>26</v>
      </c>
      <c r="I78" s="43" t="s">
        <v>144</v>
      </c>
      <c r="J78" s="43">
        <v>1600</v>
      </c>
      <c r="K78" s="43" t="s">
        <v>109</v>
      </c>
      <c r="L78" s="43" t="s">
        <v>103</v>
      </c>
      <c r="M78" s="43" t="s">
        <v>143</v>
      </c>
      <c r="N78" s="43"/>
      <c r="O78" s="43"/>
      <c r="P78" s="43">
        <v>31</v>
      </c>
      <c r="Q78" s="43">
        <v>16.22</v>
      </c>
      <c r="R78" s="43">
        <v>1446</v>
      </c>
      <c r="S78" s="43">
        <v>21.44</v>
      </c>
      <c r="T78" s="43">
        <v>65</v>
      </c>
      <c r="U78" s="43">
        <v>525</v>
      </c>
      <c r="V78" s="43">
        <v>696</v>
      </c>
      <c r="W78" s="43">
        <v>155</v>
      </c>
      <c r="X78" s="43">
        <v>5</v>
      </c>
      <c r="Y78" s="43">
        <v>0</v>
      </c>
      <c r="Z78" s="32">
        <v>37</v>
      </c>
      <c r="AA78" s="43" t="s">
        <v>63</v>
      </c>
      <c r="AB78" s="43">
        <v>18.77</v>
      </c>
      <c r="AC78" s="43">
        <v>372</v>
      </c>
      <c r="AD78" s="43">
        <v>12.2</v>
      </c>
      <c r="AE78" s="43">
        <v>20.440000000000001</v>
      </c>
      <c r="AF78" s="43">
        <v>24.02</v>
      </c>
      <c r="AG78" s="43">
        <v>106.594582953447</v>
      </c>
      <c r="AH78" s="43">
        <v>115.26367727124</v>
      </c>
      <c r="AI78" s="43">
        <v>136.19611008888199</v>
      </c>
      <c r="AJ78" s="43">
        <v>27.759816074006601</v>
      </c>
      <c r="AK78" s="43">
        <v>0.75026529929747499</v>
      </c>
      <c r="AL78" s="43">
        <v>0.96698324764653298</v>
      </c>
      <c r="AM78" s="43">
        <v>284.35105859760603</v>
      </c>
      <c r="AN78" s="43">
        <v>7.6851637458812396</v>
      </c>
      <c r="AO78" s="43">
        <v>14.2648546268841</v>
      </c>
      <c r="AP78" s="44">
        <v>186</v>
      </c>
      <c r="AQ78" s="44">
        <v>4.9600000000000009</v>
      </c>
      <c r="AR78" s="44">
        <v>18.426354638471228</v>
      </c>
      <c r="AS78" s="44">
        <v>42.013739569561011</v>
      </c>
      <c r="AT78" s="44">
        <v>0.87</v>
      </c>
      <c r="AU78" s="44">
        <v>0.22588032026645705</v>
      </c>
      <c r="AV78" s="44">
        <f t="shared" si="12"/>
        <v>42.013739569561011</v>
      </c>
      <c r="AW78" s="44">
        <f>+VLOOKUP(C78,'Etape 1 - surface'!$A$5:$B$58,2,FALSE)</f>
        <v>0</v>
      </c>
      <c r="AX78" s="44">
        <f t="shared" si="0"/>
        <v>0</v>
      </c>
      <c r="AY78" s="44">
        <f>(86.135208)/(1+EXP(-(0.50064483*AU78+-0.6204261)))</f>
        <v>32.371095394831315</v>
      </c>
      <c r="AZ78" s="63"/>
      <c r="BA78" s="63">
        <f t="shared" si="1"/>
        <v>0</v>
      </c>
      <c r="BB78" s="45"/>
      <c r="BC78" s="65">
        <v>4.4999999999999998E-2</v>
      </c>
      <c r="BD78" s="63">
        <f t="shared" si="2"/>
        <v>-5316.3744869547991</v>
      </c>
    </row>
    <row r="79" spans="1:56" ht="15" x14ac:dyDescent="0.25">
      <c r="A79" t="str">
        <f>+VLOOKUP(D79,Acronyme!$A$1:$C$50,3,FALSE)</f>
        <v>Pin sylvestre</v>
      </c>
      <c r="B79" t="str">
        <f>+VLOOKUP(E79,Acronyme!$E$2:$I$50,5,FALSE)</f>
        <v>GS Pineraies des plaines du Centre et du Nord Ouest</v>
      </c>
      <c r="C79" t="str">
        <f t="shared" si="11"/>
        <v>Pin sylvestre_F2_Eclaircie précoce_GS Pineraies des plaines du Centre et du Nord Ouest_</v>
      </c>
      <c r="D79" s="43" t="s">
        <v>106</v>
      </c>
      <c r="E79" s="43" t="s">
        <v>89</v>
      </c>
      <c r="F79" s="43" t="s">
        <v>107</v>
      </c>
      <c r="G79" s="43" t="s">
        <v>62</v>
      </c>
      <c r="H79" s="43">
        <v>23</v>
      </c>
      <c r="I79" s="43" t="s">
        <v>108</v>
      </c>
      <c r="J79" s="43">
        <v>2500</v>
      </c>
      <c r="K79" s="43" t="s">
        <v>109</v>
      </c>
      <c r="L79" s="43" t="s">
        <v>110</v>
      </c>
      <c r="M79" s="43" t="s">
        <v>111</v>
      </c>
      <c r="N79" s="43">
        <v>2003</v>
      </c>
      <c r="O79" s="43"/>
      <c r="P79" s="43">
        <v>24</v>
      </c>
      <c r="Q79" s="43">
        <v>11.4</v>
      </c>
      <c r="R79" s="43">
        <v>2157</v>
      </c>
      <c r="S79" s="43">
        <v>40.299999999999997</v>
      </c>
      <c r="T79" s="43">
        <v>0</v>
      </c>
      <c r="U79" s="43">
        <v>600</v>
      </c>
      <c r="V79" s="43">
        <v>1043</v>
      </c>
      <c r="W79" s="43">
        <v>457</v>
      </c>
      <c r="X79" s="43">
        <v>57</v>
      </c>
      <c r="Y79" s="43">
        <v>0</v>
      </c>
      <c r="Z79" s="32">
        <v>38</v>
      </c>
      <c r="AA79" s="43" t="s">
        <v>63</v>
      </c>
      <c r="AB79" s="43">
        <v>17.149999999999999</v>
      </c>
      <c r="AC79" s="43">
        <v>530</v>
      </c>
      <c r="AD79" s="43">
        <v>21.15</v>
      </c>
      <c r="AE79" s="43">
        <v>22.54</v>
      </c>
      <c r="AF79" s="43">
        <v>28.1</v>
      </c>
      <c r="AG79" s="43">
        <v>156.532228892864</v>
      </c>
      <c r="AH79" s="43">
        <v>158.1725892</v>
      </c>
      <c r="AI79" s="43">
        <v>194.599116916014</v>
      </c>
      <c r="AJ79" s="43">
        <v>55.974409147670698</v>
      </c>
      <c r="AK79" s="43">
        <v>1.47301076704397</v>
      </c>
      <c r="AL79" s="43">
        <v>0.82774206500099001</v>
      </c>
      <c r="AM79" s="43">
        <v>452.40223962772899</v>
      </c>
      <c r="AN79" s="43">
        <v>11.9053220954665</v>
      </c>
      <c r="AO79" s="43">
        <v>11.723283684497201</v>
      </c>
      <c r="AP79" s="44">
        <v>170</v>
      </c>
      <c r="AQ79" s="44">
        <v>4.6325569999390019</v>
      </c>
      <c r="AR79" s="44">
        <v>18.626917217646628</v>
      </c>
      <c r="AS79" s="44">
        <v>32.536928447133988</v>
      </c>
      <c r="AT79" s="44">
        <v>0.7389031142110436</v>
      </c>
      <c r="AU79" s="44">
        <v>0.19139369674784698</v>
      </c>
      <c r="AV79" s="44">
        <f t="shared" si="12"/>
        <v>32.536928447133988</v>
      </c>
      <c r="AW79" s="44">
        <f>+VLOOKUP(C79,'Etape 1 - surface'!$A$5:$B$58,2,FALSE)</f>
        <v>0</v>
      </c>
      <c r="AX79" s="44">
        <f t="shared" si="0"/>
        <v>0</v>
      </c>
      <c r="AY79" s="44">
        <f>(86.135208)/(1+EXP(-(0.50064483*AU79+-0.6204261)))</f>
        <v>32.022991686131</v>
      </c>
      <c r="AZ79" s="63"/>
      <c r="BA79" s="63">
        <f t="shared" si="1"/>
        <v>0</v>
      </c>
      <c r="BB79" s="45"/>
      <c r="BC79" s="65">
        <v>4.4999999999999998E-2</v>
      </c>
      <c r="BD79" s="63">
        <f t="shared" si="2"/>
        <v>-5316.3744869547991</v>
      </c>
    </row>
    <row r="80" spans="1:56" ht="15" x14ac:dyDescent="0.25">
      <c r="A80" t="str">
        <f>+VLOOKUP(D80,Acronyme!$A$1:$C$50,3,FALSE)</f>
        <v>Pin Maritime</v>
      </c>
      <c r="B80" t="str">
        <f>+VLOOKUP(E80,Acronyme!$E$2:$I$50,5,FALSE)</f>
        <v>GS Pineraies des plaines du Centre et du Nord Ouest</v>
      </c>
      <c r="C80" t="str">
        <f t="shared" si="11"/>
        <v>Pin Maritime_F1_Classique_GS Pineraies des plaines du Centre et du Nord Ouest_</v>
      </c>
      <c r="D80" s="43" t="s">
        <v>124</v>
      </c>
      <c r="E80" s="43" t="s">
        <v>89</v>
      </c>
      <c r="F80" s="43" t="s">
        <v>61</v>
      </c>
      <c r="G80" s="43" t="s">
        <v>100</v>
      </c>
      <c r="H80" s="43">
        <v>27.5</v>
      </c>
      <c r="I80" s="43">
        <v>55</v>
      </c>
      <c r="J80" s="43">
        <v>1250</v>
      </c>
      <c r="K80" s="43" t="s">
        <v>102</v>
      </c>
      <c r="L80" s="43" t="s">
        <v>103</v>
      </c>
      <c r="M80" s="43" t="s">
        <v>125</v>
      </c>
      <c r="N80" s="43"/>
      <c r="O80" s="43"/>
      <c r="P80" s="43">
        <v>14</v>
      </c>
      <c r="Q80" s="43">
        <v>11</v>
      </c>
      <c r="R80" s="43">
        <v>1251</v>
      </c>
      <c r="S80" s="43">
        <v>25.56</v>
      </c>
      <c r="T80" s="43">
        <v>13</v>
      </c>
      <c r="U80" s="43">
        <v>239</v>
      </c>
      <c r="V80" s="43">
        <v>629</v>
      </c>
      <c r="W80" s="43">
        <v>324</v>
      </c>
      <c r="X80" s="43">
        <v>46</v>
      </c>
      <c r="Y80" s="43">
        <v>0</v>
      </c>
      <c r="Z80" s="32">
        <v>38</v>
      </c>
      <c r="AA80" s="43" t="s">
        <v>63</v>
      </c>
      <c r="AB80" s="43">
        <v>23.94</v>
      </c>
      <c r="AC80" s="43">
        <v>286.2</v>
      </c>
      <c r="AD80" s="43">
        <v>32.590000000000003</v>
      </c>
      <c r="AE80" s="43">
        <v>38.08</v>
      </c>
      <c r="AF80" s="43">
        <v>43</v>
      </c>
      <c r="AG80" s="43">
        <v>323.078173548368</v>
      </c>
      <c r="AH80" s="43">
        <v>327.11253443734</v>
      </c>
      <c r="AI80" s="43">
        <v>377.47976109201301</v>
      </c>
      <c r="AJ80" s="43">
        <v>70.049576899077906</v>
      </c>
      <c r="AK80" s="43">
        <v>1.84340991839679</v>
      </c>
      <c r="AL80" s="43">
        <v>1.2368877029449099</v>
      </c>
      <c r="AM80" s="43">
        <v>719.70305772480503</v>
      </c>
      <c r="AN80" s="43">
        <v>18.9395541506528</v>
      </c>
      <c r="AO80" s="43">
        <v>20.665511988059102</v>
      </c>
      <c r="AP80" s="44">
        <v>80.600000000000023</v>
      </c>
      <c r="AQ80" s="44">
        <v>9.1499999999999986</v>
      </c>
      <c r="AR80" s="44">
        <v>38.018772028978084</v>
      </c>
      <c r="AS80" s="44">
        <v>97.166842514648977</v>
      </c>
      <c r="AT80" s="44">
        <v>1</v>
      </c>
      <c r="AU80" s="44">
        <v>1.205543951794652</v>
      </c>
      <c r="AV80" s="44">
        <f t="shared" si="12"/>
        <v>97.166842514648977</v>
      </c>
      <c r="AW80" s="44">
        <f>+VLOOKUP(C80,'Etape 1 - surface'!$A$5:$B$58,2,FALSE)</f>
        <v>0</v>
      </c>
      <c r="AX80" s="44">
        <f t="shared" si="0"/>
        <v>0</v>
      </c>
      <c r="AY80" s="44">
        <f>14.9665006012713+(52.588398731357-14.9665006012713)/(1+EXP(-(0.927907412957439*AU80+-0.605044532722853)))</f>
        <v>38.50454173862088</v>
      </c>
      <c r="AZ80" s="63"/>
      <c r="BA80" s="63">
        <f t="shared" si="1"/>
        <v>0</v>
      </c>
      <c r="BB80" s="45"/>
      <c r="BC80" s="65">
        <v>4.4999999999999998E-2</v>
      </c>
      <c r="BD80" s="63">
        <f t="shared" si="2"/>
        <v>-5316.3744869547991</v>
      </c>
    </row>
    <row r="81" spans="1:56" ht="15" x14ac:dyDescent="0.25">
      <c r="A81" t="str">
        <f>+VLOOKUP(D81,Acronyme!$A$1:$C$50,3,FALSE)</f>
        <v>Chene_pedoncule</v>
      </c>
      <c r="B81" t="str">
        <f>+VLOOKUP(E81,Acronyme!$E$2:$I$50,5,FALSE)</f>
        <v>Guide chênaie continentale</v>
      </c>
      <c r="C81" t="str">
        <f t="shared" si="11"/>
        <v>Chene_pedoncule_F2_Dynamique_Guide chênaie continentale_</v>
      </c>
      <c r="D81" s="43" t="s">
        <v>145</v>
      </c>
      <c r="E81" s="43" t="s">
        <v>65</v>
      </c>
      <c r="F81" s="43" t="s">
        <v>66</v>
      </c>
      <c r="G81" s="43" t="s">
        <v>62</v>
      </c>
      <c r="H81" s="43">
        <v>21.9</v>
      </c>
      <c r="I81" s="43" t="s">
        <v>144</v>
      </c>
      <c r="J81" s="43">
        <v>1600</v>
      </c>
      <c r="K81" s="43" t="s">
        <v>109</v>
      </c>
      <c r="L81" s="43" t="s">
        <v>103</v>
      </c>
      <c r="M81" s="43" t="s">
        <v>143</v>
      </c>
      <c r="N81" s="43"/>
      <c r="O81" s="43"/>
      <c r="P81" s="43">
        <v>38</v>
      </c>
      <c r="Q81" s="43">
        <v>16.27</v>
      </c>
      <c r="R81" s="43">
        <v>1446</v>
      </c>
      <c r="S81" s="43">
        <v>21.44</v>
      </c>
      <c r="T81" s="43">
        <v>65</v>
      </c>
      <c r="U81" s="43">
        <v>525</v>
      </c>
      <c r="V81" s="43">
        <v>696</v>
      </c>
      <c r="W81" s="43">
        <v>155</v>
      </c>
      <c r="X81" s="43">
        <v>5</v>
      </c>
      <c r="Y81" s="43">
        <v>0</v>
      </c>
      <c r="Z81" s="32">
        <v>38</v>
      </c>
      <c r="AA81" s="43" t="s">
        <v>63</v>
      </c>
      <c r="AB81" s="43">
        <v>16.27</v>
      </c>
      <c r="AC81" s="43">
        <v>542</v>
      </c>
      <c r="AD81" s="43">
        <v>10.59</v>
      </c>
      <c r="AE81" s="43">
        <v>15.78</v>
      </c>
      <c r="AF81" s="43">
        <v>19.95</v>
      </c>
      <c r="AG81" s="43">
        <v>76.607302074434301</v>
      </c>
      <c r="AH81" s="43">
        <v>81.674155122497197</v>
      </c>
      <c r="AI81" s="43">
        <v>102.661359033407</v>
      </c>
      <c r="AJ81" s="43">
        <v>21.436971631035298</v>
      </c>
      <c r="AK81" s="43">
        <v>0.56413083239566597</v>
      </c>
      <c r="AL81" s="43">
        <v>0.80759023253073703</v>
      </c>
      <c r="AM81" s="43">
        <v>199.32057347182501</v>
      </c>
      <c r="AN81" s="43">
        <v>5.2452782492585497</v>
      </c>
      <c r="AO81" s="43">
        <v>10.3071750894555</v>
      </c>
      <c r="AP81" s="44">
        <v>904</v>
      </c>
      <c r="AQ81" s="44">
        <v>10.850000000000001</v>
      </c>
      <c r="AR81" s="44">
        <v>12.361913864151294</v>
      </c>
      <c r="AS81" s="44">
        <v>68.100458108183688</v>
      </c>
      <c r="AT81" s="44">
        <v>0.81</v>
      </c>
      <c r="AU81" s="44">
        <v>7.5332365163920015E-2</v>
      </c>
      <c r="AV81" s="44">
        <f t="shared" si="12"/>
        <v>68.100458108183688</v>
      </c>
      <c r="AW81" s="44">
        <f>+VLOOKUP(C81,'Etape 1 - surface'!$A$5:$B$58,2,FALSE)</f>
        <v>0</v>
      </c>
      <c r="AX81" s="44">
        <f t="shared" si="0"/>
        <v>0</v>
      </c>
      <c r="AY81" s="44">
        <f>10.8374384236453+(405.147848531042-10.8374384236453)/(1+EXP(-(1.16387919746889*AU81+-2.8965970117006)))</f>
        <v>33.251657125897346</v>
      </c>
      <c r="AZ81" s="63"/>
      <c r="BA81" s="63">
        <f t="shared" si="1"/>
        <v>0</v>
      </c>
      <c r="BB81" s="45"/>
      <c r="BC81" s="65">
        <v>4.4999999999999998E-2</v>
      </c>
      <c r="BD81" s="63">
        <f t="shared" si="2"/>
        <v>-5316.3744869547991</v>
      </c>
    </row>
    <row r="82" spans="1:56" ht="14.45" customHeight="1" x14ac:dyDescent="0.25">
      <c r="A82" t="str">
        <f>+VLOOKUP(D82,Acronyme!$A$1:$C$50,3,FALSE)</f>
        <v>Pin sylvestre</v>
      </c>
      <c r="B82" t="str">
        <f>+VLOOKUP(E82,Acronyme!$E$2:$I$50,5,FALSE)</f>
        <v>GS Pineraies des plaines du Centre et du Nord Ouest</v>
      </c>
      <c r="C82" t="str">
        <f t="shared" si="11"/>
        <v>Pin sylvestre_F1_Eclaircie tardive_GS Pineraies des plaines du Centre et du Nord Ouest_</v>
      </c>
      <c r="D82" s="43" t="s">
        <v>106</v>
      </c>
      <c r="E82" s="43" t="s">
        <v>89</v>
      </c>
      <c r="F82" s="43" t="s">
        <v>115</v>
      </c>
      <c r="G82" s="43" t="s">
        <v>100</v>
      </c>
      <c r="H82" s="43">
        <v>28</v>
      </c>
      <c r="I82" s="43">
        <v>45</v>
      </c>
      <c r="J82" s="43">
        <v>2500</v>
      </c>
      <c r="K82" s="43" t="s">
        <v>109</v>
      </c>
      <c r="L82" s="43" t="s">
        <v>116</v>
      </c>
      <c r="M82" s="43" t="s">
        <v>111</v>
      </c>
      <c r="N82" s="43">
        <v>1997</v>
      </c>
      <c r="O82" s="43" t="s">
        <v>96</v>
      </c>
      <c r="P82" s="43">
        <v>21</v>
      </c>
      <c r="Q82" s="43">
        <v>12.5</v>
      </c>
      <c r="R82" s="43">
        <v>2024</v>
      </c>
      <c r="S82" s="43">
        <v>28.8</v>
      </c>
      <c r="T82" s="43">
        <v>0</v>
      </c>
      <c r="U82" s="43">
        <v>1100</v>
      </c>
      <c r="V82" s="43">
        <v>712</v>
      </c>
      <c r="W82" s="43">
        <v>162</v>
      </c>
      <c r="X82" s="43">
        <v>50</v>
      </c>
      <c r="Y82" s="43">
        <v>0</v>
      </c>
      <c r="Z82" s="32">
        <v>40</v>
      </c>
      <c r="AA82" s="43" t="s">
        <v>63</v>
      </c>
      <c r="AB82" s="43">
        <v>23.45</v>
      </c>
      <c r="AC82" s="43">
        <v>580</v>
      </c>
      <c r="AD82" s="43">
        <v>25.07</v>
      </c>
      <c r="AE82" s="43">
        <v>23.46</v>
      </c>
      <c r="AF82" s="43">
        <v>28.84</v>
      </c>
      <c r="AG82" s="43">
        <v>251.87376354194899</v>
      </c>
      <c r="AH82" s="43">
        <v>253.085699317625</v>
      </c>
      <c r="AI82" s="43">
        <v>291.04956839172098</v>
      </c>
      <c r="AJ82" s="43">
        <v>50.992444279999702</v>
      </c>
      <c r="AK82" s="43">
        <v>1.2748111069999899</v>
      </c>
      <c r="AL82" s="43">
        <v>0.71329967228508895</v>
      </c>
      <c r="AM82" s="43">
        <v>524.79937691692101</v>
      </c>
      <c r="AN82" s="43">
        <v>13.119984422923</v>
      </c>
      <c r="AO82" s="43">
        <v>12.462555651768399</v>
      </c>
      <c r="AP82" s="44">
        <v>190</v>
      </c>
      <c r="AQ82" s="44">
        <v>4.8900000000000006</v>
      </c>
      <c r="AR82" s="44">
        <v>18.102255418876961</v>
      </c>
      <c r="AS82" s="44">
        <v>45.774439759097021</v>
      </c>
      <c r="AT82" s="44">
        <v>0.66</v>
      </c>
      <c r="AU82" s="44">
        <v>0.24091810399524749</v>
      </c>
      <c r="AV82" s="44">
        <f t="shared" si="12"/>
        <v>45.774439759097021</v>
      </c>
      <c r="AW82" s="44">
        <f>+VLOOKUP(C82,'Etape 1 - surface'!$A$5:$B$58,2,FALSE)</f>
        <v>0</v>
      </c>
      <c r="AX82" s="44">
        <f t="shared" si="0"/>
        <v>0</v>
      </c>
      <c r="AY82" s="44">
        <f>10.0046474463505+(37.1112351801373-10.0046474463505)/(1+EXP(-(0.581180949782075*AU82+-0.955447614584994)))</f>
        <v>18.319172436281338</v>
      </c>
      <c r="AZ82" s="63"/>
      <c r="BA82" s="63">
        <f t="shared" si="1"/>
        <v>0</v>
      </c>
      <c r="BB82" s="45"/>
      <c r="BC82" s="65">
        <v>4.4999999999999998E-2</v>
      </c>
      <c r="BD82" s="63">
        <f t="shared" ref="BD82:BD146" si="13">+(+BA82+BB82)/(1+BC82)^Z82+BD81</f>
        <v>-5316.3744869547991</v>
      </c>
    </row>
    <row r="83" spans="1:56" ht="14.45" customHeight="1" x14ac:dyDescent="0.25">
      <c r="A83" t="str">
        <f>+VLOOKUP(D83,Acronyme!$A$1:$C$50,3,FALSE)</f>
        <v>Pin Laricio</v>
      </c>
      <c r="B83" t="str">
        <f>+VLOOKUP(E83,Acronyme!$E$2:$I$50,5,FALSE)</f>
        <v>GS Pineraies des plaines du Centre et du Nord Ouest</v>
      </c>
      <c r="C83" t="str">
        <f t="shared" si="11"/>
        <v>Pin Laricio_F2_Classique_GS Pineraies des plaines du Centre et du Nord Ouest_</v>
      </c>
      <c r="D83" s="43" t="s">
        <v>88</v>
      </c>
      <c r="E83" s="43" t="s">
        <v>89</v>
      </c>
      <c r="F83" s="43" t="s">
        <v>61</v>
      </c>
      <c r="G83" s="43" t="s">
        <v>62</v>
      </c>
      <c r="H83" s="43">
        <v>23.3</v>
      </c>
      <c r="I83" s="43" t="s">
        <v>101</v>
      </c>
      <c r="J83" s="43">
        <v>1666</v>
      </c>
      <c r="K83" s="43" t="s">
        <v>102</v>
      </c>
      <c r="L83" s="43" t="s">
        <v>103</v>
      </c>
      <c r="M83" s="43" t="s">
        <v>117</v>
      </c>
      <c r="N83" s="43"/>
      <c r="O83" s="43"/>
      <c r="P83" s="43">
        <v>22</v>
      </c>
      <c r="Q83" s="43">
        <v>11.13</v>
      </c>
      <c r="R83" s="43">
        <v>1444</v>
      </c>
      <c r="S83" s="43">
        <v>25.27</v>
      </c>
      <c r="T83" s="43">
        <v>1</v>
      </c>
      <c r="U83" s="43">
        <v>272</v>
      </c>
      <c r="V83" s="43">
        <v>985</v>
      </c>
      <c r="W83" s="43">
        <v>187</v>
      </c>
      <c r="X83" s="43">
        <v>0</v>
      </c>
      <c r="Y83" s="43">
        <v>0</v>
      </c>
      <c r="Z83" s="32">
        <v>40</v>
      </c>
      <c r="AA83" s="43" t="s">
        <v>63</v>
      </c>
      <c r="AB83" s="43">
        <v>20.04</v>
      </c>
      <c r="AC83" s="43">
        <v>354.2</v>
      </c>
      <c r="AD83" s="43">
        <v>22.97</v>
      </c>
      <c r="AE83" s="43">
        <v>28.74</v>
      </c>
      <c r="AF83" s="43">
        <v>31.01</v>
      </c>
      <c r="AG83" s="43">
        <v>184.88314187261599</v>
      </c>
      <c r="AH83" s="43">
        <v>187.92615169122601</v>
      </c>
      <c r="AI83" s="43">
        <v>233.871865012874</v>
      </c>
      <c r="AJ83" s="43">
        <v>51.432870421127099</v>
      </c>
      <c r="AK83" s="43">
        <v>1.2858217605281801</v>
      </c>
      <c r="AL83" s="43">
        <v>1.1204440903783499</v>
      </c>
      <c r="AM83" s="43">
        <v>460.78402712432501</v>
      </c>
      <c r="AN83" s="43">
        <v>11.5196006781081</v>
      </c>
      <c r="AO83" s="43">
        <v>15.6697754411268</v>
      </c>
      <c r="AP83" s="44">
        <v>134</v>
      </c>
      <c r="AQ83" s="44">
        <v>6.0500000000000007</v>
      </c>
      <c r="AR83" s="44">
        <v>23.976199712637506</v>
      </c>
      <c r="AS83" s="44">
        <v>46.804195961266998</v>
      </c>
      <c r="AT83" s="44">
        <v>0.75959048189908907</v>
      </c>
      <c r="AU83" s="44">
        <v>0.34928504448706715</v>
      </c>
      <c r="AV83" s="44">
        <f t="shared" si="12"/>
        <v>46.804195961266998</v>
      </c>
      <c r="AW83" s="44">
        <f>+VLOOKUP(C83,'Etape 1 - surface'!$A$5:$B$58,2,FALSE)</f>
        <v>0</v>
      </c>
      <c r="AX83" s="44">
        <f t="shared" si="0"/>
        <v>0</v>
      </c>
      <c r="AY83" s="44">
        <f>10.0046474463505+(37.1112351801373-10.0046474463505)/(1+EXP(-(0.581180949782075*AU83+-0.955447614584994)))</f>
        <v>18.686555062176936</v>
      </c>
      <c r="AZ83" s="63"/>
      <c r="BA83" s="63">
        <f t="shared" si="1"/>
        <v>0</v>
      </c>
      <c r="BB83" s="45"/>
      <c r="BC83" s="65">
        <v>4.4999999999999998E-2</v>
      </c>
      <c r="BD83" s="63">
        <f t="shared" si="13"/>
        <v>-5316.3744869547991</v>
      </c>
    </row>
    <row r="84" spans="1:56" ht="15" x14ac:dyDescent="0.25">
      <c r="A84" t="str">
        <f>+VLOOKUP(D84,Acronyme!$A$1:$C$50,3,FALSE)</f>
        <v>Pin Noir d'Autriche</v>
      </c>
      <c r="B84" t="str">
        <f>+VLOOKUP(E84,Acronyme!$E$2:$I$50,5,FALSE)</f>
        <v>GSM Alpes du Sud</v>
      </c>
      <c r="C84" t="str">
        <f t="shared" si="11"/>
        <v>Pin Noir d'Autriche_F1_PO1_d4_GSM Alpes du Sud_</v>
      </c>
      <c r="D84" s="43" t="s">
        <v>131</v>
      </c>
      <c r="E84" s="43" t="s">
        <v>132</v>
      </c>
      <c r="F84" s="43" t="s">
        <v>133</v>
      </c>
      <c r="G84" s="43" t="s">
        <v>100</v>
      </c>
      <c r="H84" s="43">
        <v>18.2</v>
      </c>
      <c r="I84" s="43" t="s">
        <v>108</v>
      </c>
      <c r="J84" s="43">
        <v>1100</v>
      </c>
      <c r="K84" s="43" t="s">
        <v>109</v>
      </c>
      <c r="L84" s="43" t="s">
        <v>134</v>
      </c>
      <c r="M84" s="43" t="s">
        <v>135</v>
      </c>
      <c r="N84" s="43"/>
      <c r="O84" s="43"/>
      <c r="P84" s="43">
        <v>15</v>
      </c>
      <c r="Q84" s="43">
        <v>4.9000000000000004</v>
      </c>
      <c r="R84" s="43">
        <v>6000</v>
      </c>
      <c r="S84" s="43">
        <v>19.7</v>
      </c>
      <c r="T84" s="43">
        <v>5448</v>
      </c>
      <c r="U84" s="43">
        <v>552</v>
      </c>
      <c r="V84" s="43">
        <v>0</v>
      </c>
      <c r="W84" s="43">
        <v>0</v>
      </c>
      <c r="X84" s="43">
        <v>0</v>
      </c>
      <c r="Y84" s="43">
        <v>0</v>
      </c>
      <c r="Z84" s="32">
        <v>40</v>
      </c>
      <c r="AA84" s="43" t="s">
        <v>63</v>
      </c>
      <c r="AB84" s="43">
        <v>15.44</v>
      </c>
      <c r="AC84" s="43">
        <v>701</v>
      </c>
      <c r="AD84" s="43">
        <v>24.86</v>
      </c>
      <c r="AE84" s="43">
        <v>21.25</v>
      </c>
      <c r="AF84" s="43">
        <v>24.39</v>
      </c>
      <c r="AG84" s="43">
        <v>183.313035792786</v>
      </c>
      <c r="AH84" s="43">
        <v>184.18863952881799</v>
      </c>
      <c r="AI84" s="43">
        <v>215.97841556656701</v>
      </c>
      <c r="AJ84" s="43">
        <v>35.294322522277</v>
      </c>
      <c r="AK84" s="43">
        <v>0.88235806305692599</v>
      </c>
      <c r="AL84" s="43">
        <v>0.84053302336176206</v>
      </c>
      <c r="AM84" s="43">
        <v>305.70590279235103</v>
      </c>
      <c r="AN84" s="43">
        <v>7.6426475698087604</v>
      </c>
      <c r="AO84" s="43">
        <v>10.892239252150899</v>
      </c>
      <c r="AP84" s="44">
        <v>375</v>
      </c>
      <c r="AQ84" s="44">
        <v>9.8999999999999986</v>
      </c>
      <c r="AR84" s="44">
        <v>18.333991376950163</v>
      </c>
      <c r="AS84" s="44">
        <v>72.227795136951016</v>
      </c>
      <c r="AT84" s="44">
        <v>0.82</v>
      </c>
      <c r="AU84" s="44">
        <v>0.19260745369853605</v>
      </c>
      <c r="AV84" s="44">
        <f t="shared" si="12"/>
        <v>72.227795136951016</v>
      </c>
      <c r="AW84" s="44">
        <f>+VLOOKUP(C84,'Etape 1 - surface'!$A$5:$B$58,2,FALSE)</f>
        <v>0</v>
      </c>
      <c r="AX84" s="44">
        <f t="shared" ref="AX84:AX149" si="14">+AW84*AV84</f>
        <v>0</v>
      </c>
      <c r="AY84" s="44">
        <f>10.0046474463505+(37.1112351801373-10.0046474463505)/(1+EXP(-(0.581180949782075*AU84+-0.955447614584994)))</f>
        <v>18.158214402890749</v>
      </c>
      <c r="AZ84" s="63"/>
      <c r="BA84" s="63">
        <f t="shared" ref="BA84:BA149" si="15">+AX84*AY84</f>
        <v>0</v>
      </c>
      <c r="BB84" s="45"/>
      <c r="BC84" s="65">
        <v>4.4999999999999998E-2</v>
      </c>
      <c r="BD84" s="63">
        <f t="shared" si="13"/>
        <v>-5316.3744869547991</v>
      </c>
    </row>
    <row r="85" spans="1:56" ht="14.45" customHeight="1" x14ac:dyDescent="0.25">
      <c r="A85" t="str">
        <f>+VLOOKUP(D85,Acronyme!$A$1:$C$50,3,FALSE)</f>
        <v>Chêne sessile</v>
      </c>
      <c r="B85" t="str">
        <f>+VLOOKUP(E85,Acronyme!$E$2:$I$50,5,FALSE)</f>
        <v>Guide chênaie continentale</v>
      </c>
      <c r="C85" t="str">
        <f t="shared" si="11"/>
        <v>Chêne sessile_F1_Dynamique_Guide chênaie continentale_</v>
      </c>
      <c r="D85" s="43" t="s">
        <v>60</v>
      </c>
      <c r="E85" s="43" t="s">
        <v>65</v>
      </c>
      <c r="F85" s="43" t="s">
        <v>66</v>
      </c>
      <c r="G85" s="43" t="s">
        <v>100</v>
      </c>
      <c r="H85" s="43">
        <v>21.5</v>
      </c>
      <c r="I85" s="43" t="s">
        <v>144</v>
      </c>
      <c r="J85" s="43">
        <v>1666</v>
      </c>
      <c r="K85" s="43" t="s">
        <v>109</v>
      </c>
      <c r="L85" s="43" t="s">
        <v>103</v>
      </c>
      <c r="M85" s="43" t="s">
        <v>143</v>
      </c>
      <c r="N85" s="43"/>
      <c r="O85" s="43"/>
      <c r="P85" s="43">
        <v>35</v>
      </c>
      <c r="Q85" s="43">
        <v>16.59</v>
      </c>
      <c r="R85" s="43">
        <v>1453</v>
      </c>
      <c r="S85" s="43">
        <v>26.19</v>
      </c>
      <c r="T85" s="43">
        <v>41</v>
      </c>
      <c r="U85" s="43">
        <v>369</v>
      </c>
      <c r="V85" s="43">
        <v>713</v>
      </c>
      <c r="W85" s="43">
        <v>301</v>
      </c>
      <c r="X85" s="43">
        <v>28</v>
      </c>
      <c r="Y85" s="43">
        <v>0</v>
      </c>
      <c r="Z85" s="32">
        <v>41</v>
      </c>
      <c r="AA85" s="43" t="s">
        <v>63</v>
      </c>
      <c r="AB85" s="43">
        <v>18.8</v>
      </c>
      <c r="AC85" s="43">
        <v>470</v>
      </c>
      <c r="AD85" s="43">
        <v>16.22</v>
      </c>
      <c r="AE85" s="43">
        <v>20.96</v>
      </c>
      <c r="AF85" s="43">
        <v>25.39</v>
      </c>
      <c r="AG85" s="43">
        <v>144.45833556746001</v>
      </c>
      <c r="AH85" s="43">
        <v>155.68822461903301</v>
      </c>
      <c r="AI85" s="43">
        <v>182.10631773196101</v>
      </c>
      <c r="AJ85" s="43">
        <v>32.432875275319397</v>
      </c>
      <c r="AK85" s="43">
        <v>0.79104573842242498</v>
      </c>
      <c r="AL85" s="43">
        <v>0.906947867567368</v>
      </c>
      <c r="AM85" s="43">
        <v>341.16277410687502</v>
      </c>
      <c r="AN85" s="43">
        <v>8.3210432708993896</v>
      </c>
      <c r="AO85" s="43">
        <v>13.639101246236899</v>
      </c>
      <c r="AP85" s="44">
        <v>230</v>
      </c>
      <c r="AQ85" s="44">
        <v>6.32</v>
      </c>
      <c r="AR85" s="44">
        <v>18.704654062473129</v>
      </c>
      <c r="AS85" s="44">
        <v>54.706521345705994</v>
      </c>
      <c r="AT85" s="44">
        <v>0.85</v>
      </c>
      <c r="AU85" s="44">
        <v>0.23785444063350433</v>
      </c>
      <c r="AV85" s="44">
        <f t="shared" si="12"/>
        <v>54.706521345705994</v>
      </c>
      <c r="AW85" s="44">
        <f>+VLOOKUP(C85,'Etape 1 - surface'!$A$5:$B$58,2,FALSE)</f>
        <v>0</v>
      </c>
      <c r="AX85" s="44">
        <f t="shared" si="14"/>
        <v>0</v>
      </c>
      <c r="AY85" s="44">
        <f>10.8374384236453+(405.147848531042-10.8374384236453)/(1+EXP(-(1.16387919746889*AU85+-2.8965970117006)))</f>
        <v>37.602154909944069</v>
      </c>
      <c r="AZ85" s="63"/>
      <c r="BA85" s="63">
        <f t="shared" si="15"/>
        <v>0</v>
      </c>
      <c r="BB85" s="45"/>
      <c r="BC85" s="65">
        <v>4.4999999999999998E-2</v>
      </c>
      <c r="BD85" s="63">
        <f t="shared" si="13"/>
        <v>-5316.3744869547991</v>
      </c>
    </row>
    <row r="86" spans="1:56" ht="14.45" customHeight="1" x14ac:dyDescent="0.25">
      <c r="A86" t="str">
        <f>+VLOOKUP(D86,Acronyme!$A$1:$C$50,3,FALSE)</f>
        <v>Douglas</v>
      </c>
      <c r="B86" t="str">
        <f>+VLOOKUP(E86,Acronyme!$E$2:$I$50,5,FALSE)</f>
        <v>National</v>
      </c>
      <c r="C86" t="str">
        <f t="shared" si="11"/>
        <v>Douglas_F1_Entree 17-18m, densité haute_National_</v>
      </c>
      <c r="D86" s="68" t="s">
        <v>97</v>
      </c>
      <c r="E86" s="43" t="s">
        <v>98</v>
      </c>
      <c r="F86" s="43" t="s">
        <v>99</v>
      </c>
      <c r="G86" s="43" t="s">
        <v>100</v>
      </c>
      <c r="H86" s="43">
        <v>40</v>
      </c>
      <c r="I86" s="43" t="s">
        <v>101</v>
      </c>
      <c r="J86" s="43">
        <v>1666</v>
      </c>
      <c r="K86" s="43" t="s">
        <v>102</v>
      </c>
      <c r="L86" s="43" t="s">
        <v>103</v>
      </c>
      <c r="M86" s="43" t="s">
        <v>104</v>
      </c>
      <c r="N86" s="43"/>
      <c r="O86" s="43"/>
      <c r="P86" s="43">
        <v>17</v>
      </c>
      <c r="Q86" s="43">
        <v>15.63</v>
      </c>
      <c r="R86" s="43">
        <v>1600</v>
      </c>
      <c r="S86" s="43">
        <v>27.89</v>
      </c>
      <c r="T86" s="43">
        <v>30</v>
      </c>
      <c r="U86" s="43">
        <v>428</v>
      </c>
      <c r="V86" s="43">
        <v>863</v>
      </c>
      <c r="W86" s="43">
        <v>267</v>
      </c>
      <c r="X86" s="43">
        <v>12</v>
      </c>
      <c r="Y86" s="43">
        <v>0</v>
      </c>
      <c r="Z86" s="32">
        <v>42</v>
      </c>
      <c r="AA86" s="43" t="s">
        <v>63</v>
      </c>
      <c r="AB86" s="43">
        <v>35.18</v>
      </c>
      <c r="AC86" s="43">
        <v>269</v>
      </c>
      <c r="AD86" s="43">
        <v>34.880000000000003</v>
      </c>
      <c r="AE86" s="43">
        <v>40.630000000000003</v>
      </c>
      <c r="AF86" s="43">
        <v>45.07</v>
      </c>
      <c r="AG86" s="43">
        <v>409.25037781549798</v>
      </c>
      <c r="AH86" s="43">
        <v>414.64374370000002</v>
      </c>
      <c r="AI86" s="43">
        <v>513.93313452559403</v>
      </c>
      <c r="AJ86" s="43">
        <v>73.511656119248698</v>
      </c>
      <c r="AK86" s="43">
        <v>1.75027752664878</v>
      </c>
      <c r="AL86" s="43">
        <v>1.2642068624524301</v>
      </c>
      <c r="AM86" s="43">
        <v>930.33607081059597</v>
      </c>
      <c r="AN86" s="43">
        <v>22.150858828823701</v>
      </c>
      <c r="AO86" s="43">
        <v>27.2922560274781</v>
      </c>
      <c r="AP86" s="44">
        <v>64</v>
      </c>
      <c r="AQ86" s="44">
        <v>6.519999999999996</v>
      </c>
      <c r="AR86" s="44">
        <v>36.015452047682899</v>
      </c>
      <c r="AS86" s="44">
        <v>75.808624555799042</v>
      </c>
      <c r="AT86" s="44">
        <v>0.82</v>
      </c>
      <c r="AU86" s="44">
        <v>1.18450975868436</v>
      </c>
      <c r="AV86" s="44">
        <f t="shared" si="12"/>
        <v>75.808624555799042</v>
      </c>
      <c r="AW86" s="44">
        <f>+VLOOKUP(C86,'Etape 1 - surface'!$A$5:$B$58,2,FALSE)</f>
        <v>0</v>
      </c>
      <c r="AX86" s="44">
        <f t="shared" si="14"/>
        <v>0</v>
      </c>
      <c r="AY86" s="44">
        <f>17.058316746383+(70.7042249024703-17.058316746383)/(1+EXP(-(0.378583234479568*AU86+-0.73675928557405)))</f>
        <v>40.040990416126874</v>
      </c>
      <c r="AZ86" s="63"/>
      <c r="BA86" s="63">
        <f t="shared" si="15"/>
        <v>0</v>
      </c>
      <c r="BB86" s="45"/>
      <c r="BC86" s="65">
        <v>4.4999999999999998E-2</v>
      </c>
      <c r="BD86" s="63">
        <f t="shared" si="13"/>
        <v>-5316.3744869547991</v>
      </c>
    </row>
    <row r="87" spans="1:56" ht="15" x14ac:dyDescent="0.25">
      <c r="A87" t="str">
        <f>+VLOOKUP(D87,Acronyme!$A$1:$C$50,3,FALSE)</f>
        <v>Douglas</v>
      </c>
      <c r="B87" t="str">
        <f>+VLOOKUP(E87,Acronyme!$E$2:$I$50,5,FALSE)</f>
        <v>National</v>
      </c>
      <c r="C87" t="str">
        <f t="shared" si="11"/>
        <v>Douglas_F2_Entree 17-18m, densité haute_National_</v>
      </c>
      <c r="D87" s="43" t="s">
        <v>97</v>
      </c>
      <c r="E87" s="43" t="s">
        <v>98</v>
      </c>
      <c r="F87" s="43" t="s">
        <v>99</v>
      </c>
      <c r="G87" s="43" t="s">
        <v>62</v>
      </c>
      <c r="H87" s="43">
        <v>33</v>
      </c>
      <c r="I87" s="43" t="s">
        <v>101</v>
      </c>
      <c r="J87" s="43">
        <v>1666</v>
      </c>
      <c r="K87" s="43" t="s">
        <v>102</v>
      </c>
      <c r="L87" s="43" t="s">
        <v>103</v>
      </c>
      <c r="M87" s="43" t="s">
        <v>104</v>
      </c>
      <c r="N87" s="43"/>
      <c r="O87" s="43" t="s">
        <v>112</v>
      </c>
      <c r="P87" s="43">
        <v>19</v>
      </c>
      <c r="Q87" s="43">
        <v>15.33</v>
      </c>
      <c r="R87" s="43">
        <v>1600</v>
      </c>
      <c r="S87" s="43">
        <v>14.8</v>
      </c>
      <c r="T87" s="43">
        <v>30</v>
      </c>
      <c r="U87" s="43">
        <v>428</v>
      </c>
      <c r="V87" s="43">
        <v>890</v>
      </c>
      <c r="W87" s="43">
        <v>240</v>
      </c>
      <c r="X87" s="43">
        <v>12</v>
      </c>
      <c r="Y87" s="43">
        <v>0</v>
      </c>
      <c r="Z87" s="32">
        <v>42</v>
      </c>
      <c r="AA87" s="43" t="s">
        <v>63</v>
      </c>
      <c r="AB87" s="43">
        <v>29.9978097043183</v>
      </c>
      <c r="AC87" s="43">
        <v>330</v>
      </c>
      <c r="AD87" s="43">
        <v>30.286505460166701</v>
      </c>
      <c r="AE87" s="43">
        <v>34.183983678219498</v>
      </c>
      <c r="AF87" s="43">
        <v>40.591795481160403</v>
      </c>
      <c r="AG87" s="43">
        <v>290.96441349557699</v>
      </c>
      <c r="AH87" s="43">
        <v>294.29181069103498</v>
      </c>
      <c r="AI87" s="43">
        <v>366.50811417744302</v>
      </c>
      <c r="AJ87" s="43">
        <v>66.334492539880401</v>
      </c>
      <c r="AK87" s="43">
        <v>1.5793926795209601</v>
      </c>
      <c r="AL87" s="43">
        <v>1.32972767510305</v>
      </c>
      <c r="AM87" s="43">
        <v>716.52781402089397</v>
      </c>
      <c r="AN87" s="43">
        <v>17.060186048116499</v>
      </c>
      <c r="AO87" s="43">
        <v>22.7761222801945</v>
      </c>
      <c r="AP87" s="44">
        <v>110</v>
      </c>
      <c r="AQ87" s="44">
        <v>8.6728162858677962</v>
      </c>
      <c r="AR87" s="44">
        <v>31.683911402519872</v>
      </c>
      <c r="AS87" s="44">
        <v>83.061135467185011</v>
      </c>
      <c r="AT87" s="44">
        <v>0.89044838535984061</v>
      </c>
      <c r="AU87" s="44">
        <v>0.75510123151986375</v>
      </c>
      <c r="AV87" s="44">
        <f t="shared" si="12"/>
        <v>83.061135467185011</v>
      </c>
      <c r="AW87" s="44">
        <f>+VLOOKUP(C87,'Etape 1 - surface'!$A$5:$B$58,2,FALSE)</f>
        <v>0</v>
      </c>
      <c r="AX87" s="44">
        <f t="shared" si="14"/>
        <v>0</v>
      </c>
      <c r="AY87" s="44">
        <f>17.058316746383+(70.7042249024703-17.058316746383)/(1+EXP(-(0.378583234479568*AU87+-0.73675928557405)))</f>
        <v>37.934570098641586</v>
      </c>
      <c r="AZ87" s="63"/>
      <c r="BA87" s="63">
        <f t="shared" si="15"/>
        <v>0</v>
      </c>
      <c r="BB87" s="45"/>
      <c r="BC87" s="65">
        <v>4.4999999999999998E-2</v>
      </c>
      <c r="BD87" s="63">
        <f t="shared" si="13"/>
        <v>-5316.3744869547991</v>
      </c>
    </row>
    <row r="88" spans="1:56" ht="15" x14ac:dyDescent="0.25">
      <c r="A88" t="str">
        <f>+VLOOKUP(D88,Acronyme!$A$1:$C$50,3,FALSE)</f>
        <v>Pin sylvestre</v>
      </c>
      <c r="B88" t="str">
        <f>+VLOOKUP(E88,Acronyme!$E$2:$I$50,5,FALSE)</f>
        <v>GS Pineraies des plaines du Centre et du Nord Ouest</v>
      </c>
      <c r="C88" t="str">
        <f t="shared" si="11"/>
        <v>Pin sylvestre_F2_Eclaircie tardive_GS Pineraies des plaines du Centre et du Nord Ouest_</v>
      </c>
      <c r="D88" s="43" t="s">
        <v>106</v>
      </c>
      <c r="E88" s="43" t="s">
        <v>89</v>
      </c>
      <c r="F88" s="43" t="s">
        <v>115</v>
      </c>
      <c r="G88" s="43" t="s">
        <v>62</v>
      </c>
      <c r="H88" s="43">
        <v>23</v>
      </c>
      <c r="I88" s="43">
        <v>45</v>
      </c>
      <c r="J88" s="43">
        <v>2500</v>
      </c>
      <c r="K88" s="43" t="s">
        <v>109</v>
      </c>
      <c r="L88" s="43" t="s">
        <v>110</v>
      </c>
      <c r="M88" s="43" t="s">
        <v>111</v>
      </c>
      <c r="N88" s="43">
        <v>2003</v>
      </c>
      <c r="O88" s="43" t="s">
        <v>58</v>
      </c>
      <c r="P88" s="43">
        <v>28</v>
      </c>
      <c r="Q88" s="43">
        <v>13.5</v>
      </c>
      <c r="R88" s="43">
        <v>2157</v>
      </c>
      <c r="S88" s="43">
        <v>40.299999999999997</v>
      </c>
      <c r="T88" s="43">
        <v>0</v>
      </c>
      <c r="U88" s="43">
        <v>600</v>
      </c>
      <c r="V88" s="43">
        <v>1043</v>
      </c>
      <c r="W88" s="43">
        <v>457</v>
      </c>
      <c r="X88" s="43">
        <v>57</v>
      </c>
      <c r="Y88" s="43">
        <v>0</v>
      </c>
      <c r="Z88" s="32">
        <v>42</v>
      </c>
      <c r="AA88" s="43" t="s">
        <v>63</v>
      </c>
      <c r="AB88" s="43">
        <v>19.010000000000002</v>
      </c>
      <c r="AC88" s="43">
        <v>650</v>
      </c>
      <c r="AD88" s="43">
        <v>22.08</v>
      </c>
      <c r="AE88" s="43">
        <v>20.79</v>
      </c>
      <c r="AF88" s="43">
        <v>25.93</v>
      </c>
      <c r="AG88" s="43">
        <v>179.57932445978301</v>
      </c>
      <c r="AH88" s="43">
        <v>180.69438842576</v>
      </c>
      <c r="AI88" s="43">
        <v>216.639717107758</v>
      </c>
      <c r="AJ88" s="43">
        <v>55.167146496859999</v>
      </c>
      <c r="AK88" s="43">
        <v>1.3135034880204799</v>
      </c>
      <c r="AL88" s="43">
        <v>0.69145309194988902</v>
      </c>
      <c r="AM88" s="43">
        <v>493.57820596556098</v>
      </c>
      <c r="AN88" s="43">
        <v>11.751862046799101</v>
      </c>
      <c r="AO88" s="43">
        <v>10.509299106890699</v>
      </c>
      <c r="AP88" s="44">
        <v>300</v>
      </c>
      <c r="AQ88" s="44">
        <v>8.3100000000000023</v>
      </c>
      <c r="AR88" s="44">
        <v>18.779972148319075</v>
      </c>
      <c r="AS88" s="44">
        <v>66.063560851532003</v>
      </c>
      <c r="AT88" s="44">
        <v>0.87</v>
      </c>
      <c r="AU88" s="44">
        <v>0.22021186950510668</v>
      </c>
      <c r="AV88" s="44">
        <f t="shared" si="12"/>
        <v>66.063560851532003</v>
      </c>
      <c r="AW88" s="44">
        <f>+VLOOKUP(C88,'Etape 1 - surface'!$A$5:$B$58,2,FALSE)</f>
        <v>0</v>
      </c>
      <c r="AX88" s="44">
        <f t="shared" si="14"/>
        <v>0</v>
      </c>
      <c r="AY88" s="44">
        <f>10.0046474463505+(37.1112351801373-10.0046474463505)/(1+EXP(-(0.581180949782075*AU88+-0.955447614584994)))</f>
        <v>18.249967763600687</v>
      </c>
      <c r="AZ88" s="63"/>
      <c r="BA88" s="63">
        <f t="shared" si="15"/>
        <v>0</v>
      </c>
      <c r="BB88" s="45"/>
      <c r="BC88" s="65">
        <v>4.4999999999999998E-2</v>
      </c>
      <c r="BD88" s="63">
        <f t="shared" si="13"/>
        <v>-5316.3744869547991</v>
      </c>
    </row>
    <row r="89" spans="1:56" ht="15" x14ac:dyDescent="0.25">
      <c r="A89" t="str">
        <f>+VLOOKUP(D89,Acronyme!$A$1:$C$50,3,FALSE)</f>
        <v>Epicéa</v>
      </c>
      <c r="B89" t="str">
        <f>+VLOOKUP(E89,Acronyme!$E$2:$I$50,5,FALSE)</f>
        <v>GS Arc Jurassien</v>
      </c>
      <c r="C89" t="str">
        <f t="shared" si="11"/>
        <v>Epicéa_Fbonne_Entree 16-17 m_GS Arc Jurassien_</v>
      </c>
      <c r="D89" s="43" t="s">
        <v>118</v>
      </c>
      <c r="E89" s="43" t="s">
        <v>119</v>
      </c>
      <c r="F89" s="43" t="s">
        <v>120</v>
      </c>
      <c r="G89" s="43" t="s">
        <v>121</v>
      </c>
      <c r="H89" s="43">
        <v>28.5</v>
      </c>
      <c r="I89" s="43" t="s">
        <v>122</v>
      </c>
      <c r="J89" s="43">
        <v>1666</v>
      </c>
      <c r="K89" s="43" t="s">
        <v>102</v>
      </c>
      <c r="L89" s="43" t="s">
        <v>103</v>
      </c>
      <c r="M89" s="43" t="s">
        <v>123</v>
      </c>
      <c r="N89" s="43"/>
      <c r="O89" s="43"/>
      <c r="P89" s="43">
        <v>25</v>
      </c>
      <c r="Q89" s="43">
        <v>16.53</v>
      </c>
      <c r="R89" s="43">
        <v>1255</v>
      </c>
      <c r="S89" s="43">
        <v>35.83</v>
      </c>
      <c r="T89" s="43">
        <v>3</v>
      </c>
      <c r="U89" s="43">
        <v>181</v>
      </c>
      <c r="V89" s="43">
        <v>304</v>
      </c>
      <c r="W89" s="43">
        <v>527</v>
      </c>
      <c r="X89" s="43">
        <v>194</v>
      </c>
      <c r="Y89" s="43">
        <v>46</v>
      </c>
      <c r="Z89" s="32">
        <v>42</v>
      </c>
      <c r="AA89" s="43" t="s">
        <v>63</v>
      </c>
      <c r="AB89" s="43">
        <v>25.4367017744351</v>
      </c>
      <c r="AC89" s="43">
        <v>351</v>
      </c>
      <c r="AD89" s="43">
        <v>29.926339033519501</v>
      </c>
      <c r="AE89" s="43">
        <v>32.947942314398801</v>
      </c>
      <c r="AF89" s="43">
        <v>39.125287223974198</v>
      </c>
      <c r="AG89" s="43">
        <v>331.44787282349</v>
      </c>
      <c r="AH89" s="43">
        <v>332.97212303535599</v>
      </c>
      <c r="AI89" s="43">
        <v>378.88612897222498</v>
      </c>
      <c r="AJ89" s="43">
        <v>64.656326676394698</v>
      </c>
      <c r="AK89" s="43">
        <v>1.5394363494379699</v>
      </c>
      <c r="AL89" s="43">
        <v>1.3949291993562101</v>
      </c>
      <c r="AM89" s="43">
        <v>749.34729282628996</v>
      </c>
      <c r="AN89" s="43">
        <v>17.841602210149802</v>
      </c>
      <c r="AO89" s="43">
        <v>24.038152526906298</v>
      </c>
      <c r="AP89" s="44">
        <v>105</v>
      </c>
      <c r="AQ89" s="44">
        <v>7.5675670268275006</v>
      </c>
      <c r="AR89" s="44">
        <v>30.292739340657469</v>
      </c>
      <c r="AS89" s="44">
        <v>83.199649262950004</v>
      </c>
      <c r="AT89" s="44">
        <v>0.87653877575762551</v>
      </c>
      <c r="AU89" s="44">
        <v>0.79237761202809531</v>
      </c>
      <c r="AV89" s="44">
        <f t="shared" si="12"/>
        <v>83.199649262950004</v>
      </c>
      <c r="AW89" s="44">
        <f>+VLOOKUP(C89,'Etape 1 - surface'!$A$5:$B$58,2,FALSE)</f>
        <v>0</v>
      </c>
      <c r="AX89" s="44">
        <f t="shared" si="14"/>
        <v>0</v>
      </c>
      <c r="AY89" s="44">
        <f>5.9476406705017+(63.9669421487603-5.9476406705017)/(1+EXP(-(0.302428574792357*AU89+-0.378232364909735)))</f>
        <v>32.950210732929804</v>
      </c>
      <c r="AZ89" s="63"/>
      <c r="BA89" s="63">
        <f t="shared" si="15"/>
        <v>0</v>
      </c>
      <c r="BB89" s="45"/>
      <c r="BC89" s="65">
        <v>4.4999999999999998E-2</v>
      </c>
      <c r="BD89" s="63">
        <f t="shared" si="13"/>
        <v>-5316.3744869547991</v>
      </c>
    </row>
    <row r="90" spans="1:56" ht="14.45" customHeight="1" x14ac:dyDescent="0.25">
      <c r="A90" t="str">
        <f>+VLOOKUP(D90,Acronyme!$A$1:$C$50,3,FALSE)</f>
        <v>Epicéa</v>
      </c>
      <c r="B90" t="str">
        <f>+VLOOKUP(E90,Acronyme!$E$2:$I$50,5,FALSE)</f>
        <v>GS Arc Jurassien</v>
      </c>
      <c r="C90" t="str">
        <f t="shared" si="11"/>
        <v>Epicéa_Fbonne_Entree 16-17 m_GS Arc Jurassien_</v>
      </c>
      <c r="D90" s="43" t="s">
        <v>118</v>
      </c>
      <c r="E90" s="43" t="s">
        <v>119</v>
      </c>
      <c r="F90" s="43" t="s">
        <v>120</v>
      </c>
      <c r="G90" s="43" t="s">
        <v>121</v>
      </c>
      <c r="H90" s="43">
        <v>28.5</v>
      </c>
      <c r="I90" s="43" t="s">
        <v>101</v>
      </c>
      <c r="J90" s="43">
        <v>1666</v>
      </c>
      <c r="K90" s="43" t="s">
        <v>102</v>
      </c>
      <c r="L90" s="43" t="s">
        <v>103</v>
      </c>
      <c r="M90" s="43" t="s">
        <v>123</v>
      </c>
      <c r="N90" s="43"/>
      <c r="O90" s="43"/>
      <c r="P90" s="43">
        <v>25</v>
      </c>
      <c r="Q90" s="43">
        <v>16.53</v>
      </c>
      <c r="R90" s="43">
        <v>1255</v>
      </c>
      <c r="S90" s="43">
        <v>35.83</v>
      </c>
      <c r="T90" s="43">
        <v>3</v>
      </c>
      <c r="U90" s="43">
        <v>181</v>
      </c>
      <c r="V90" s="43">
        <v>304</v>
      </c>
      <c r="W90" s="43">
        <v>527</v>
      </c>
      <c r="X90" s="43">
        <v>194</v>
      </c>
      <c r="Y90" s="43">
        <v>46</v>
      </c>
      <c r="Z90" s="32">
        <v>42</v>
      </c>
      <c r="AA90" s="43" t="s">
        <v>63</v>
      </c>
      <c r="AB90" s="43">
        <v>25.4367017744351</v>
      </c>
      <c r="AC90" s="43">
        <v>351</v>
      </c>
      <c r="AD90" s="43">
        <v>29.926339033519501</v>
      </c>
      <c r="AE90" s="43">
        <v>32.947942314398801</v>
      </c>
      <c r="AF90" s="43">
        <v>39.125287223974198</v>
      </c>
      <c r="AG90" s="43">
        <v>331.44787282349</v>
      </c>
      <c r="AH90" s="43">
        <v>332.97212303535599</v>
      </c>
      <c r="AI90" s="43">
        <v>378.88612897222498</v>
      </c>
      <c r="AJ90" s="43">
        <v>64.656326676394698</v>
      </c>
      <c r="AK90" s="43">
        <v>1.5394363494379699</v>
      </c>
      <c r="AL90" s="43">
        <v>1.3949291993562101</v>
      </c>
      <c r="AM90" s="43">
        <v>749.34729282628996</v>
      </c>
      <c r="AN90" s="43">
        <v>17.841602210149802</v>
      </c>
      <c r="AO90" s="43">
        <v>24.038152526906298</v>
      </c>
      <c r="AP90" s="44">
        <v>105</v>
      </c>
      <c r="AQ90" s="44">
        <v>7.5675670268275006</v>
      </c>
      <c r="AR90" s="44">
        <v>30.292739340657469</v>
      </c>
      <c r="AS90" s="44">
        <v>83.199649262950004</v>
      </c>
      <c r="AT90" s="44">
        <v>0.87653877575762551</v>
      </c>
      <c r="AU90" s="44">
        <v>0.79237761202809531</v>
      </c>
      <c r="AV90" s="44">
        <f t="shared" si="12"/>
        <v>83.199649262950004</v>
      </c>
      <c r="AW90" s="44">
        <f>+VLOOKUP(C90,'Etape 1 - surface'!$A$5:$B$58,2,FALSE)</f>
        <v>0</v>
      </c>
      <c r="AX90" s="44">
        <f t="shared" si="14"/>
        <v>0</v>
      </c>
      <c r="AY90" s="44">
        <f>5.9476406705017+(63.9669421487603-5.9476406705017)/(1+EXP(-(0.302428574792357*AU90+-0.378232364909735)))</f>
        <v>32.950210732929804</v>
      </c>
      <c r="AZ90" s="63"/>
      <c r="BA90" s="63">
        <f t="shared" si="15"/>
        <v>0</v>
      </c>
      <c r="BB90" s="45"/>
      <c r="BC90" s="65">
        <v>4.4999999999999998E-2</v>
      </c>
      <c r="BD90" s="63">
        <f t="shared" si="13"/>
        <v>-5316.3744869547991</v>
      </c>
    </row>
    <row r="91" spans="1:56" ht="14.45" customHeight="1" x14ac:dyDescent="0.25">
      <c r="A91" t="str">
        <f>+VLOOKUP(D91,Acronyme!$A$1:$C$50,3,FALSE)</f>
        <v>Hêtre commun</v>
      </c>
      <c r="B91" t="str">
        <f>+VLOOKUP(E91,Acronyme!$E$2:$I$50,5,FALSE)</f>
        <v>GS Hêtraies et hêtraies sapinières des Pyrénées</v>
      </c>
      <c r="C91" t="str">
        <f t="shared" si="11"/>
        <v>Hêtre commun_F1_Entree 19-20m_GS Hêtraies et hêtraies sapinières des Pyrénées_</v>
      </c>
      <c r="D91" s="43" t="s">
        <v>126</v>
      </c>
      <c r="E91" s="43" t="s">
        <v>127</v>
      </c>
      <c r="F91" s="43" t="s">
        <v>113</v>
      </c>
      <c r="G91" s="43" t="s">
        <v>100</v>
      </c>
      <c r="H91" s="43">
        <v>22</v>
      </c>
      <c r="I91" s="43">
        <v>55</v>
      </c>
      <c r="J91" s="43">
        <v>1666</v>
      </c>
      <c r="K91" s="43" t="s">
        <v>109</v>
      </c>
      <c r="L91" s="43" t="s">
        <v>103</v>
      </c>
      <c r="M91" s="43" t="s">
        <v>128</v>
      </c>
      <c r="N91" s="43"/>
      <c r="O91" s="43"/>
      <c r="P91" s="43">
        <v>42</v>
      </c>
      <c r="Q91" s="43">
        <v>19.510000000000002</v>
      </c>
      <c r="R91" s="43">
        <v>1402</v>
      </c>
      <c r="S91" s="43">
        <v>28.51</v>
      </c>
      <c r="T91" s="43">
        <v>50</v>
      </c>
      <c r="U91" s="43">
        <v>303</v>
      </c>
      <c r="V91" s="43">
        <v>595</v>
      </c>
      <c r="W91" s="43">
        <v>375</v>
      </c>
      <c r="X91" s="43">
        <v>75</v>
      </c>
      <c r="Y91" s="43">
        <v>4</v>
      </c>
      <c r="Z91" s="32">
        <v>42</v>
      </c>
      <c r="AA91" s="43" t="s">
        <v>63</v>
      </c>
      <c r="AB91" s="43">
        <v>19.510000000000002</v>
      </c>
      <c r="AC91" s="43">
        <v>900</v>
      </c>
      <c r="AD91" s="43">
        <v>17.71</v>
      </c>
      <c r="AE91" s="43">
        <v>15.83</v>
      </c>
      <c r="AF91" s="43">
        <v>23</v>
      </c>
      <c r="AG91" s="43">
        <v>142.226777861675</v>
      </c>
      <c r="AH91" s="43">
        <v>149.948913042237</v>
      </c>
      <c r="AI91" s="43">
        <v>193.24552587966301</v>
      </c>
      <c r="AJ91" s="43">
        <v>28.5147442601241</v>
      </c>
      <c r="AK91" s="43">
        <v>0.67892248238390696</v>
      </c>
      <c r="AL91" s="43">
        <v>1.03623886444277</v>
      </c>
      <c r="AM91" s="43">
        <v>312.91452598929601</v>
      </c>
      <c r="AN91" s="43">
        <v>7.4503458568880001</v>
      </c>
      <c r="AO91" s="43">
        <v>16.096623734080602</v>
      </c>
      <c r="AP91" s="44">
        <v>502</v>
      </c>
      <c r="AQ91" s="44">
        <v>10.8</v>
      </c>
      <c r="AR91" s="44">
        <v>16.550650908072214</v>
      </c>
      <c r="AS91" s="44">
        <v>88.495796217119988</v>
      </c>
      <c r="AT91" s="44">
        <v>1.06</v>
      </c>
      <c r="AU91" s="44">
        <v>0.17628644664764939</v>
      </c>
      <c r="AV91" s="44">
        <f t="shared" si="12"/>
        <v>88.495796217119988</v>
      </c>
      <c r="AW91" s="44">
        <f>+VLOOKUP(C91,'Etape 1 - surface'!$A$5:$B$58,2,FALSE)</f>
        <v>0</v>
      </c>
      <c r="AX91" s="44">
        <f t="shared" si="14"/>
        <v>0</v>
      </c>
      <c r="AY91" s="44">
        <f>5.93488073153274+(78.4394250513347-5.93488073153274)/(1+EXP(-(1.03516193614659*AU91+-2.09091784316379)))</f>
        <v>15.299351513290841</v>
      </c>
      <c r="AZ91" s="63"/>
      <c r="BA91" s="63">
        <f t="shared" si="15"/>
        <v>0</v>
      </c>
      <c r="BB91" s="45"/>
      <c r="BC91" s="65">
        <v>4.4999999999999998E-2</v>
      </c>
      <c r="BD91" s="63">
        <f t="shared" si="13"/>
        <v>-5316.3744869547991</v>
      </c>
    </row>
    <row r="92" spans="1:56" ht="14.45" customHeight="1" x14ac:dyDescent="0.25">
      <c r="A92" t="str">
        <f>+VLOOKUP(D92,Acronyme!$A$1:$C$50,3,FALSE)</f>
        <v>Chêne sessile</v>
      </c>
      <c r="B92" t="str">
        <f>+VLOOKUP(E92,Acronyme!$E$2:$I$50,5,FALSE)</f>
        <v>Guide chênaie atlantique</v>
      </c>
      <c r="C92" t="str">
        <f t="shared" si="11"/>
        <v>Chêne sessile_F1_Classique_Guide chênaie atlantique_</v>
      </c>
      <c r="D92" s="43" t="s">
        <v>60</v>
      </c>
      <c r="E92" s="43" t="s">
        <v>150</v>
      </c>
      <c r="F92" s="43" t="s">
        <v>61</v>
      </c>
      <c r="G92" s="43" t="s">
        <v>100</v>
      </c>
      <c r="H92" s="43">
        <v>21.5</v>
      </c>
      <c r="I92" s="43" t="s">
        <v>151</v>
      </c>
      <c r="J92" s="43">
        <v>1666</v>
      </c>
      <c r="K92" s="43" t="s">
        <v>109</v>
      </c>
      <c r="L92" s="43" t="s">
        <v>103</v>
      </c>
      <c r="M92" s="43" t="s">
        <v>143</v>
      </c>
      <c r="N92" s="43"/>
      <c r="O92" s="43"/>
      <c r="P92" s="43">
        <v>34</v>
      </c>
      <c r="Q92" s="43">
        <v>16.2</v>
      </c>
      <c r="R92" s="43">
        <v>1451</v>
      </c>
      <c r="S92" s="43">
        <v>23.57</v>
      </c>
      <c r="T92" s="43">
        <v>44</v>
      </c>
      <c r="U92" s="43">
        <v>444</v>
      </c>
      <c r="V92" s="43">
        <v>742</v>
      </c>
      <c r="W92" s="43">
        <v>211</v>
      </c>
      <c r="X92" s="43">
        <v>10</v>
      </c>
      <c r="Y92" s="43">
        <v>0</v>
      </c>
      <c r="Z92" s="32">
        <v>42</v>
      </c>
      <c r="AA92" s="43" t="s">
        <v>63</v>
      </c>
      <c r="AB92" s="43">
        <v>19.14</v>
      </c>
      <c r="AC92" s="43">
        <v>683</v>
      </c>
      <c r="AD92" s="43">
        <v>20.03</v>
      </c>
      <c r="AE92" s="43">
        <v>19.32</v>
      </c>
      <c r="AF92" s="43">
        <v>24.7</v>
      </c>
      <c r="AG92" s="43">
        <v>177.55411373582899</v>
      </c>
      <c r="AH92" s="43">
        <v>189.215149206192</v>
      </c>
      <c r="AI92" s="43">
        <v>223.03316451354101</v>
      </c>
      <c r="AJ92" s="43">
        <v>32.311743607175899</v>
      </c>
      <c r="AK92" s="43">
        <v>0.76932722874228399</v>
      </c>
      <c r="AL92" s="43">
        <v>0.99362559221314195</v>
      </c>
      <c r="AM92" s="43">
        <v>344.04021613753702</v>
      </c>
      <c r="AN92" s="43">
        <v>8.1914337175604004</v>
      </c>
      <c r="AO92" s="43">
        <v>15.1165156195114</v>
      </c>
      <c r="AP92" s="44">
        <v>319</v>
      </c>
      <c r="AQ92" s="44">
        <v>6.879999999999999</v>
      </c>
      <c r="AR92" s="44">
        <v>16.571199160686358</v>
      </c>
      <c r="AS92" s="44">
        <v>57.673205784217998</v>
      </c>
      <c r="AT92" s="44">
        <v>0.8</v>
      </c>
      <c r="AU92" s="44">
        <v>0.18079374853986832</v>
      </c>
      <c r="AV92" s="44">
        <f t="shared" si="12"/>
        <v>57.673205784217991</v>
      </c>
      <c r="AW92" s="44">
        <f>+VLOOKUP(C92,'Etape 1 - surface'!$A$5:$B$58,2,FALSE)</f>
        <v>0</v>
      </c>
      <c r="AX92" s="44">
        <f t="shared" si="14"/>
        <v>0</v>
      </c>
      <c r="AY92" s="44">
        <f>10.8374384236453+(405.147848531042-10.8374384236453)/(1+EXP(-(1.16387919746889*AU92+-2.8965970117006)))</f>
        <v>35.992111272585795</v>
      </c>
      <c r="AZ92" s="63"/>
      <c r="BA92" s="63">
        <f t="shared" si="15"/>
        <v>0</v>
      </c>
      <c r="BB92" s="45"/>
      <c r="BC92" s="65">
        <v>4.4999999999999998E-2</v>
      </c>
      <c r="BD92" s="63">
        <f t="shared" si="13"/>
        <v>-5316.3744869547991</v>
      </c>
    </row>
    <row r="93" spans="1:56" ht="15" x14ac:dyDescent="0.25">
      <c r="A93" t="str">
        <f>+VLOOKUP(D93,Acronyme!$A$1:$C$50,3,FALSE)</f>
        <v>Chêne sessile</v>
      </c>
      <c r="B93" t="str">
        <f>+VLOOKUP(E93,Acronyme!$E$2:$I$50,5,FALSE)</f>
        <v>Guide chênaie atlantique</v>
      </c>
      <c r="C93" t="str">
        <f t="shared" si="11"/>
        <v>Chêne sessile_F2_Classique_Guide chênaie atlantique_</v>
      </c>
      <c r="D93" s="43" t="s">
        <v>60</v>
      </c>
      <c r="E93" s="43" t="s">
        <v>150</v>
      </c>
      <c r="F93" s="43" t="s">
        <v>61</v>
      </c>
      <c r="G93" s="43" t="s">
        <v>62</v>
      </c>
      <c r="H93" s="43">
        <v>18.18</v>
      </c>
      <c r="I93" s="43" t="s">
        <v>142</v>
      </c>
      <c r="J93" s="43">
        <v>1666</v>
      </c>
      <c r="K93" s="43" t="s">
        <v>109</v>
      </c>
      <c r="L93" s="43" t="s">
        <v>103</v>
      </c>
      <c r="M93" s="43" t="s">
        <v>143</v>
      </c>
      <c r="N93" s="43"/>
      <c r="O93" s="43"/>
      <c r="P93" s="43">
        <v>42</v>
      </c>
      <c r="Q93" s="43">
        <v>16.02</v>
      </c>
      <c r="R93" s="43">
        <v>1451</v>
      </c>
      <c r="S93" s="43">
        <v>23.57</v>
      </c>
      <c r="T93" s="43">
        <v>44</v>
      </c>
      <c r="U93" s="43">
        <v>444</v>
      </c>
      <c r="V93" s="43">
        <v>742</v>
      </c>
      <c r="W93" s="43">
        <v>211</v>
      </c>
      <c r="X93" s="43">
        <v>10</v>
      </c>
      <c r="Y93" s="43">
        <v>0</v>
      </c>
      <c r="Z93" s="32">
        <v>42</v>
      </c>
      <c r="AA93" s="43" t="s">
        <v>63</v>
      </c>
      <c r="AB93" s="43">
        <v>16.02</v>
      </c>
      <c r="AC93" s="43">
        <v>879</v>
      </c>
      <c r="AD93" s="43">
        <v>16.690000000000001</v>
      </c>
      <c r="AE93" s="43">
        <v>15.55</v>
      </c>
      <c r="AF93" s="43">
        <v>20.6</v>
      </c>
      <c r="AG93" s="43">
        <v>120.128149910346</v>
      </c>
      <c r="AH93" s="43">
        <v>127.243987620355</v>
      </c>
      <c r="AI93" s="43">
        <v>159.545265254745</v>
      </c>
      <c r="AJ93" s="43">
        <v>23.566186052005801</v>
      </c>
      <c r="AK93" s="43">
        <v>0.56109966790489996</v>
      </c>
      <c r="AL93" s="43">
        <v>0.82939196401280701</v>
      </c>
      <c r="AM93" s="43">
        <v>220.52043882776999</v>
      </c>
      <c r="AN93" s="43">
        <v>5.2504866387564402</v>
      </c>
      <c r="AO93" s="43">
        <v>10.7248458677185</v>
      </c>
      <c r="AP93" s="44">
        <v>572</v>
      </c>
      <c r="AQ93" s="44">
        <v>6.879999999999999</v>
      </c>
      <c r="AR93" s="44">
        <v>12.37517257616328</v>
      </c>
      <c r="AS93" s="44">
        <v>43.596786524071007</v>
      </c>
      <c r="AT93" s="44">
        <v>0.74</v>
      </c>
      <c r="AU93" s="44">
        <v>7.6218158258865396E-2</v>
      </c>
      <c r="AV93" s="44">
        <f t="shared" si="12"/>
        <v>43.596786524071007</v>
      </c>
      <c r="AW93" s="44">
        <f>+VLOOKUP(C93,'Etape 1 - surface'!$A$5:$B$58,2,FALSE)</f>
        <v>0</v>
      </c>
      <c r="AX93" s="44">
        <f t="shared" si="14"/>
        <v>0</v>
      </c>
      <c r="AY93" s="44">
        <f>10.8374384236453+(405.147848531042-10.8374384236453)/(1+EXP(-(1.16387919746889*AU93+-2.8965970117006)))</f>
        <v>33.273461604907993</v>
      </c>
      <c r="AZ93" s="63"/>
      <c r="BA93" s="63">
        <f t="shared" si="15"/>
        <v>0</v>
      </c>
      <c r="BB93" s="45"/>
      <c r="BC93" s="65">
        <v>4.4999999999999998E-2</v>
      </c>
      <c r="BD93" s="63">
        <f t="shared" si="13"/>
        <v>-5316.3744869547991</v>
      </c>
    </row>
    <row r="94" spans="1:56" ht="15" x14ac:dyDescent="0.25">
      <c r="C94" t="s">
        <v>261</v>
      </c>
      <c r="D94" s="43" t="s">
        <v>207</v>
      </c>
      <c r="E94" s="43" t="s">
        <v>208</v>
      </c>
      <c r="F94" s="43" t="s">
        <v>258</v>
      </c>
      <c r="G94" s="43" t="s">
        <v>62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32">
        <v>42</v>
      </c>
      <c r="AA94" s="43" t="s">
        <v>63</v>
      </c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4">
        <v>400</v>
      </c>
      <c r="AQ94" s="44"/>
      <c r="AR94" s="44"/>
      <c r="AS94" s="44"/>
      <c r="AT94" s="44"/>
      <c r="AU94" s="44">
        <f>AV94/AP94</f>
        <v>0.26250000000000001</v>
      </c>
      <c r="AV94" s="44">
        <v>105</v>
      </c>
      <c r="AW94" s="44">
        <f>+VLOOKUP(C94,'Etape 1 - surface'!$A$5:$B$58,2,FALSE)</f>
        <v>0</v>
      </c>
      <c r="AX94" s="44">
        <f t="shared" si="14"/>
        <v>0</v>
      </c>
      <c r="AY94" s="44">
        <f>82.5251889/(1+EXP(-(0.26195064*AU94+(-0.34406779))))</f>
        <v>35.61828485252299</v>
      </c>
      <c r="AZ94" s="63"/>
      <c r="BA94" s="63">
        <f t="shared" si="15"/>
        <v>0</v>
      </c>
      <c r="BB94" s="45"/>
      <c r="BC94" s="65">
        <v>4.4999999999999998E-2</v>
      </c>
      <c r="BD94" s="63">
        <f t="shared" si="13"/>
        <v>-5316.3744869547991</v>
      </c>
    </row>
    <row r="95" spans="1:56" ht="14.45" customHeight="1" x14ac:dyDescent="0.25">
      <c r="C95" t="s">
        <v>262</v>
      </c>
      <c r="D95" s="43" t="s">
        <v>207</v>
      </c>
      <c r="E95" s="43" t="s">
        <v>208</v>
      </c>
      <c r="F95" s="43" t="s">
        <v>259</v>
      </c>
      <c r="G95" s="43" t="s">
        <v>62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2">
        <v>42</v>
      </c>
      <c r="AA95" s="43" t="s">
        <v>63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44">
        <v>649</v>
      </c>
      <c r="AQ95" s="1"/>
      <c r="AR95" s="1"/>
      <c r="AS95" s="1"/>
      <c r="AT95" s="1"/>
      <c r="AU95" s="44">
        <f>AV95/AP95</f>
        <v>0.28043143297380585</v>
      </c>
      <c r="AV95" s="44">
        <v>182</v>
      </c>
      <c r="AW95" s="44">
        <f>+VLOOKUP(C95,'Etape 1 - surface'!$A$5:$B$58,2,FALSE)</f>
        <v>0</v>
      </c>
      <c r="AX95" s="44">
        <f t="shared" si="14"/>
        <v>0</v>
      </c>
      <c r="AY95" s="44">
        <f>82.5251889/(1+EXP(-(0.26195064*AU95+(-0.34406779))))</f>
        <v>35.713410242910449</v>
      </c>
      <c r="AZ95" s="63"/>
      <c r="BA95" s="63">
        <f t="shared" si="15"/>
        <v>0</v>
      </c>
      <c r="BB95" s="45"/>
      <c r="BC95" s="65">
        <v>4.4999999999999998E-2</v>
      </c>
      <c r="BD95" s="63">
        <f t="shared" si="13"/>
        <v>-5316.3744869547991</v>
      </c>
    </row>
    <row r="96" spans="1:56" ht="15" x14ac:dyDescent="0.25">
      <c r="A96" t="e">
        <f>+VLOOKUP(D96,Acronyme!$A$1:$C$34,3,FALSE)</f>
        <v>#N/A</v>
      </c>
      <c r="B96" t="e">
        <f>+VLOOKUP(E96,Acronyme!$E$2:$I$35,5,FALSE)</f>
        <v>#N/A</v>
      </c>
      <c r="C96" t="s">
        <v>240</v>
      </c>
      <c r="D96" s="43" t="s">
        <v>78</v>
      </c>
      <c r="E96" s="43" t="s">
        <v>68</v>
      </c>
      <c r="F96" s="43" t="s">
        <v>79</v>
      </c>
      <c r="G96" s="43" t="s">
        <v>62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32">
        <v>43</v>
      </c>
      <c r="AA96" s="43" t="s">
        <v>152</v>
      </c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4">
        <v>50</v>
      </c>
      <c r="AQ96" s="44"/>
      <c r="AR96" s="44"/>
      <c r="AS96" s="44"/>
      <c r="AT96" s="44"/>
      <c r="AU96" s="44">
        <v>1.63</v>
      </c>
      <c r="AV96" s="44">
        <f>+AU96*AP96</f>
        <v>81.5</v>
      </c>
      <c r="AW96" s="44">
        <f>+VLOOKUP(C96,'Etape 1 - surface'!$A$5:$B$58,2,FALSE)</f>
        <v>0</v>
      </c>
      <c r="AX96" s="44">
        <f t="shared" si="14"/>
        <v>0</v>
      </c>
      <c r="AY96" s="44">
        <v>10</v>
      </c>
      <c r="AZ96" s="63"/>
      <c r="BA96" s="63">
        <f t="shared" si="15"/>
        <v>0</v>
      </c>
      <c r="BB96" s="45"/>
      <c r="BC96" s="65">
        <v>4.4999999999999998E-2</v>
      </c>
      <c r="BD96" s="63">
        <f t="shared" si="13"/>
        <v>-5316.3744869547991</v>
      </c>
    </row>
    <row r="97" spans="1:56" ht="15" x14ac:dyDescent="0.25">
      <c r="C97" t="s">
        <v>267</v>
      </c>
      <c r="D97" s="43" t="s">
        <v>78</v>
      </c>
      <c r="E97" s="43" t="s">
        <v>68</v>
      </c>
      <c r="F97" s="43" t="s">
        <v>79</v>
      </c>
      <c r="G97" s="43" t="s">
        <v>114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2">
        <v>43</v>
      </c>
      <c r="AA97" s="43" t="s">
        <v>152</v>
      </c>
      <c r="AB97" s="44">
        <v>50</v>
      </c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44">
        <v>50</v>
      </c>
      <c r="AQ97" s="1"/>
      <c r="AR97" s="1"/>
      <c r="AS97" s="1"/>
      <c r="AT97" s="1"/>
      <c r="AU97" s="44">
        <v>1.3</v>
      </c>
      <c r="AV97" s="44">
        <v>65.2</v>
      </c>
      <c r="AW97" s="44">
        <f>+VLOOKUP(C97,'Etape 1 - surface'!$A$5:$B$58,2,FALSE)</f>
        <v>0</v>
      </c>
      <c r="AX97" s="44">
        <f t="shared" si="14"/>
        <v>0</v>
      </c>
      <c r="AY97" s="44">
        <v>30</v>
      </c>
      <c r="AZ97" s="63"/>
      <c r="BA97" s="63">
        <f t="shared" si="15"/>
        <v>0</v>
      </c>
      <c r="BB97" s="45"/>
      <c r="BC97" s="65">
        <v>4.4999999999999998E-2</v>
      </c>
      <c r="BD97" s="63">
        <f t="shared" si="13"/>
        <v>-5316.3744869547991</v>
      </c>
    </row>
    <row r="98" spans="1:56" ht="15" x14ac:dyDescent="0.25">
      <c r="A98" t="str">
        <f>+VLOOKUP(D98,Acronyme!$A$1:$C$50,3,FALSE)</f>
        <v>Douglas</v>
      </c>
      <c r="B98" t="str">
        <f>+VLOOKUP(E98,Acronyme!$E$2:$I$50,5,FALSE)</f>
        <v>National</v>
      </c>
      <c r="C98" t="s">
        <v>264</v>
      </c>
      <c r="D98" s="43" t="s">
        <v>97</v>
      </c>
      <c r="E98" s="43" t="s">
        <v>98</v>
      </c>
      <c r="F98" s="43" t="s">
        <v>113</v>
      </c>
      <c r="G98" s="43" t="s">
        <v>114</v>
      </c>
      <c r="H98" s="43">
        <v>26</v>
      </c>
      <c r="I98" s="43" t="s">
        <v>101</v>
      </c>
      <c r="J98" s="43">
        <v>1666</v>
      </c>
      <c r="K98" s="43" t="s">
        <v>102</v>
      </c>
      <c r="L98" s="43" t="s">
        <v>103</v>
      </c>
      <c r="M98" s="43" t="s">
        <v>104</v>
      </c>
      <c r="N98" s="43"/>
      <c r="O98" s="43" t="s">
        <v>112</v>
      </c>
      <c r="P98" s="43">
        <v>25</v>
      </c>
      <c r="Q98" s="43">
        <v>14.76</v>
      </c>
      <c r="R98" s="43">
        <v>1600</v>
      </c>
      <c r="S98" s="43">
        <v>26.34</v>
      </c>
      <c r="T98" s="43">
        <v>40</v>
      </c>
      <c r="U98" s="43">
        <v>465</v>
      </c>
      <c r="V98" s="43">
        <v>873</v>
      </c>
      <c r="W98" s="43">
        <v>210</v>
      </c>
      <c r="X98" s="43">
        <v>12</v>
      </c>
      <c r="Y98" s="43">
        <v>0</v>
      </c>
      <c r="Z98" s="32">
        <v>44</v>
      </c>
      <c r="AA98" s="43" t="s">
        <v>63</v>
      </c>
      <c r="AB98" s="43">
        <v>24.271034726321499</v>
      </c>
      <c r="AC98" s="43">
        <v>530</v>
      </c>
      <c r="AD98" s="43">
        <v>26.139196378668</v>
      </c>
      <c r="AE98" s="43">
        <v>25.058971389737099</v>
      </c>
      <c r="AF98" s="43">
        <v>30.8722809003748</v>
      </c>
      <c r="AG98" s="43">
        <v>207.21021826561201</v>
      </c>
      <c r="AH98" s="43">
        <v>208.82583210000001</v>
      </c>
      <c r="AI98" s="43">
        <v>263.88018306009201</v>
      </c>
      <c r="AJ98" s="43">
        <v>47.595672236838098</v>
      </c>
      <c r="AK98" s="43">
        <v>1.0817198235645</v>
      </c>
      <c r="AL98" s="43">
        <v>0.86078356616570195</v>
      </c>
      <c r="AM98" s="43">
        <v>456.28365206894898</v>
      </c>
      <c r="AN98" s="43">
        <v>10.370083001567</v>
      </c>
      <c r="AO98" s="43">
        <v>13.4319836127637</v>
      </c>
      <c r="AP98" s="44">
        <v>150</v>
      </c>
      <c r="AQ98" s="44">
        <v>7.3407332722245009</v>
      </c>
      <c r="AR98" s="44">
        <v>24.961986952897512</v>
      </c>
      <c r="AS98" s="44">
        <v>58.567269206313995</v>
      </c>
      <c r="AT98" s="44">
        <v>0.99396836197346849</v>
      </c>
      <c r="AU98" s="44">
        <v>0.39044846137542666</v>
      </c>
      <c r="AV98" s="44">
        <f t="shared" ref="AV98:AV118" si="16">+AU98*AP98</f>
        <v>58.567269206314002</v>
      </c>
      <c r="AW98" s="44">
        <f>+VLOOKUP(C98,'Etape 1 - surface'!$A$5:$B$58,2,FALSE)</f>
        <v>0</v>
      </c>
      <c r="AX98" s="44">
        <f t="shared" si="14"/>
        <v>0</v>
      </c>
      <c r="AY98" s="44">
        <f>17.058316746383+(70.7042249024703-17.058316746383)/(1+EXP(-(0.378583234479568*AU98+-0.73675928557405)))</f>
        <v>36.203341592666298</v>
      </c>
      <c r="AZ98" s="63"/>
      <c r="BA98" s="63">
        <f t="shared" si="15"/>
        <v>0</v>
      </c>
      <c r="BB98" s="45"/>
      <c r="BC98" s="65">
        <v>4.4999999999999998E-2</v>
      </c>
      <c r="BD98" s="63">
        <f t="shared" si="13"/>
        <v>-5316.3744869547991</v>
      </c>
    </row>
    <row r="99" spans="1:56" ht="15" x14ac:dyDescent="0.25">
      <c r="A99" t="str">
        <f>+VLOOKUP(D99,Acronyme!$A$1:$C$50,3,FALSE)</f>
        <v>Pin Maritime</v>
      </c>
      <c r="B99" t="str">
        <f>+VLOOKUP(E99,Acronyme!$E$2:$I$50,5,FALSE)</f>
        <v>GS Pineraies des plaines du Centre et du Nord Ouest</v>
      </c>
      <c r="C99" t="s">
        <v>264</v>
      </c>
      <c r="D99" s="43" t="s">
        <v>124</v>
      </c>
      <c r="E99" s="43" t="s">
        <v>89</v>
      </c>
      <c r="F99" s="43" t="s">
        <v>61</v>
      </c>
      <c r="G99" s="43" t="s">
        <v>62</v>
      </c>
      <c r="H99" s="43">
        <v>23</v>
      </c>
      <c r="I99" s="43">
        <v>50</v>
      </c>
      <c r="J99" s="43">
        <v>1250</v>
      </c>
      <c r="K99" s="43" t="s">
        <v>102</v>
      </c>
      <c r="L99" s="43" t="s">
        <v>103</v>
      </c>
      <c r="M99" s="43" t="s">
        <v>125</v>
      </c>
      <c r="N99" s="43"/>
      <c r="O99" s="43"/>
      <c r="P99" s="43">
        <v>17</v>
      </c>
      <c r="Q99" s="43">
        <v>11</v>
      </c>
      <c r="R99" s="43">
        <v>1251</v>
      </c>
      <c r="S99" s="43">
        <v>25.56</v>
      </c>
      <c r="T99" s="43">
        <v>13</v>
      </c>
      <c r="U99" s="43">
        <v>239</v>
      </c>
      <c r="V99" s="43">
        <v>629</v>
      </c>
      <c r="W99" s="43">
        <v>324</v>
      </c>
      <c r="X99" s="43">
        <v>46</v>
      </c>
      <c r="Y99" s="43">
        <v>0</v>
      </c>
      <c r="Z99" s="32">
        <v>44</v>
      </c>
      <c r="AA99" s="43" t="s">
        <v>63</v>
      </c>
      <c r="AB99" s="43">
        <v>22.27</v>
      </c>
      <c r="AC99" s="43">
        <v>268.2</v>
      </c>
      <c r="AD99" s="43">
        <v>28.2</v>
      </c>
      <c r="AE99" s="43">
        <v>36.590000000000003</v>
      </c>
      <c r="AF99" s="43">
        <v>41.39</v>
      </c>
      <c r="AG99" s="43">
        <v>276.158159885641</v>
      </c>
      <c r="AH99" s="43">
        <v>278.31398676947202</v>
      </c>
      <c r="AI99" s="43">
        <v>310.28480878482998</v>
      </c>
      <c r="AJ99" s="43">
        <v>68.520381137249302</v>
      </c>
      <c r="AK99" s="43">
        <v>1.55728138948294</v>
      </c>
      <c r="AL99" s="43">
        <v>1.0010724346608899</v>
      </c>
      <c r="AM99" s="43">
        <v>665.01544669185205</v>
      </c>
      <c r="AN99" s="43">
        <v>15.1139874248148</v>
      </c>
      <c r="AO99" s="43">
        <v>15.1341618097713</v>
      </c>
      <c r="AP99" s="44">
        <v>70.400000000000034</v>
      </c>
      <c r="AQ99" s="44">
        <v>7.5299999999999976</v>
      </c>
      <c r="AR99" s="44">
        <v>36.903386169496244</v>
      </c>
      <c r="AS99" s="44">
        <v>74.03020139560698</v>
      </c>
      <c r="AT99" s="44">
        <v>1.01</v>
      </c>
      <c r="AU99" s="44">
        <v>1.0515653607330533</v>
      </c>
      <c r="AV99" s="44">
        <f t="shared" si="16"/>
        <v>74.030201395606994</v>
      </c>
      <c r="AW99" s="44">
        <f>+VLOOKUP(C99,'Etape 1 - surface'!$A$5:$B$58,2,FALSE)</f>
        <v>0</v>
      </c>
      <c r="AX99" s="44">
        <f t="shared" si="14"/>
        <v>0</v>
      </c>
      <c r="AY99" s="44">
        <f>14.9665006012713+(52.588398731357-14.9665006012713)/(1+EXP(-(0.927907412957439*AU99+-0.605044532722853)))</f>
        <v>37.224770982815969</v>
      </c>
      <c r="AZ99" s="63"/>
      <c r="BA99" s="63">
        <f t="shared" si="15"/>
        <v>0</v>
      </c>
      <c r="BB99" s="45"/>
      <c r="BC99" s="65">
        <v>4.4999999999999998E-2</v>
      </c>
      <c r="BD99" s="63">
        <f t="shared" si="13"/>
        <v>-5316.3744869547991</v>
      </c>
    </row>
    <row r="100" spans="1:56" ht="15" x14ac:dyDescent="0.25">
      <c r="A100" t="str">
        <f>+VLOOKUP(D100,Acronyme!$A$1:$C$50,3,FALSE)</f>
        <v>Chêne sessile</v>
      </c>
      <c r="B100" t="str">
        <f>+VLOOKUP(E100,Acronyme!$E$2:$I$50,5,FALSE)</f>
        <v>Guide chênaie continentale</v>
      </c>
      <c r="C100" t="s">
        <v>264</v>
      </c>
      <c r="D100" s="43" t="s">
        <v>60</v>
      </c>
      <c r="E100" s="43" t="s">
        <v>65</v>
      </c>
      <c r="F100" s="43" t="s">
        <v>66</v>
      </c>
      <c r="G100" s="43" t="s">
        <v>62</v>
      </c>
      <c r="H100" s="43">
        <v>18</v>
      </c>
      <c r="I100" s="43" t="s">
        <v>142</v>
      </c>
      <c r="J100" s="43">
        <v>1666</v>
      </c>
      <c r="K100" s="43" t="s">
        <v>109</v>
      </c>
      <c r="L100" s="43" t="s">
        <v>103</v>
      </c>
      <c r="M100" s="43" t="s">
        <v>143</v>
      </c>
      <c r="N100" s="43"/>
      <c r="O100" s="43"/>
      <c r="P100" s="43">
        <v>44</v>
      </c>
      <c r="Q100" s="43">
        <v>16.579999999999998</v>
      </c>
      <c r="R100" s="43">
        <v>1453</v>
      </c>
      <c r="S100" s="43">
        <v>26.19</v>
      </c>
      <c r="T100" s="43">
        <v>41</v>
      </c>
      <c r="U100" s="43">
        <v>369</v>
      </c>
      <c r="V100" s="43">
        <v>713</v>
      </c>
      <c r="W100" s="43">
        <v>301</v>
      </c>
      <c r="X100" s="43">
        <v>28</v>
      </c>
      <c r="Y100" s="43">
        <v>0</v>
      </c>
      <c r="Z100" s="32">
        <v>44</v>
      </c>
      <c r="AA100" s="43" t="s">
        <v>63</v>
      </c>
      <c r="AB100" s="43">
        <v>16.579999999999998</v>
      </c>
      <c r="AC100" s="43">
        <v>660</v>
      </c>
      <c r="AD100" s="43">
        <v>15.07</v>
      </c>
      <c r="AE100" s="43">
        <v>17.05</v>
      </c>
      <c r="AF100" s="43">
        <v>21.94</v>
      </c>
      <c r="AG100" s="43">
        <v>114.867658861677</v>
      </c>
      <c r="AH100" s="43">
        <v>122.72144543416</v>
      </c>
      <c r="AI100" s="43">
        <v>150.20456600833299</v>
      </c>
      <c r="AJ100" s="43">
        <v>26.186352864916</v>
      </c>
      <c r="AK100" s="43">
        <v>0.59514438329354602</v>
      </c>
      <c r="AL100" s="43">
        <v>0.74864976032319996</v>
      </c>
      <c r="AM100" s="43">
        <v>252.866422029473</v>
      </c>
      <c r="AN100" s="43">
        <v>5.7469641370334896</v>
      </c>
      <c r="AO100" s="43">
        <v>9.97215117368291</v>
      </c>
      <c r="AP100" s="44">
        <v>793</v>
      </c>
      <c r="AQ100" s="44">
        <v>11.120000000000001</v>
      </c>
      <c r="AR100" s="44">
        <v>13.361981289389501</v>
      </c>
      <c r="AS100" s="44">
        <v>75.617235862217001</v>
      </c>
      <c r="AT100" s="44">
        <v>0.78</v>
      </c>
      <c r="AU100" s="44">
        <v>9.5355909031799496E-2</v>
      </c>
      <c r="AV100" s="44">
        <f t="shared" si="16"/>
        <v>75.617235862217001</v>
      </c>
      <c r="AW100" s="44">
        <f>+VLOOKUP(C100,'Etape 1 - surface'!$A$5:$B$58,2,FALSE)</f>
        <v>0</v>
      </c>
      <c r="AX100" s="44">
        <f t="shared" si="14"/>
        <v>0</v>
      </c>
      <c r="AY100" s="44">
        <f>10.8374384236453+(405.147848531042-10.8374384236453)/(1+EXP(-(1.16387919746889*AU100+-2.8965970117006)))</f>
        <v>33.749445426551752</v>
      </c>
      <c r="AZ100" s="63"/>
      <c r="BA100" s="63">
        <f t="shared" si="15"/>
        <v>0</v>
      </c>
      <c r="BB100" s="45"/>
      <c r="BC100" s="65">
        <v>4.4999999999999998E-2</v>
      </c>
      <c r="BD100" s="63">
        <f t="shared" si="13"/>
        <v>-5316.3744869547991</v>
      </c>
    </row>
    <row r="101" spans="1:56" ht="15" x14ac:dyDescent="0.25">
      <c r="A101" t="str">
        <f>+VLOOKUP(D101,Acronyme!$A$1:$C$50,3,FALSE)</f>
        <v>Chene_pedoncule</v>
      </c>
      <c r="B101" t="str">
        <f>+VLOOKUP(E101,Acronyme!$E$2:$I$50,5,FALSE)</f>
        <v>Guide chênaie continentale</v>
      </c>
      <c r="C101" t="s">
        <v>264</v>
      </c>
      <c r="D101" s="43" t="s">
        <v>145</v>
      </c>
      <c r="E101" s="43" t="s">
        <v>65</v>
      </c>
      <c r="F101" s="43" t="s">
        <v>66</v>
      </c>
      <c r="G101" s="43" t="s">
        <v>100</v>
      </c>
      <c r="H101" s="43">
        <v>26</v>
      </c>
      <c r="I101" s="43" t="s">
        <v>144</v>
      </c>
      <c r="J101" s="43">
        <v>1600</v>
      </c>
      <c r="K101" s="43" t="s">
        <v>109</v>
      </c>
      <c r="L101" s="43" t="s">
        <v>103</v>
      </c>
      <c r="M101" s="43" t="s">
        <v>143</v>
      </c>
      <c r="N101" s="43"/>
      <c r="O101" s="43"/>
      <c r="P101" s="43">
        <v>31</v>
      </c>
      <c r="Q101" s="43">
        <v>16.22</v>
      </c>
      <c r="R101" s="43">
        <v>1446</v>
      </c>
      <c r="S101" s="43">
        <v>21.44</v>
      </c>
      <c r="T101" s="43">
        <v>65</v>
      </c>
      <c r="U101" s="43">
        <v>525</v>
      </c>
      <c r="V101" s="43">
        <v>696</v>
      </c>
      <c r="W101" s="43">
        <v>155</v>
      </c>
      <c r="X101" s="43">
        <v>5</v>
      </c>
      <c r="Y101" s="43">
        <v>0</v>
      </c>
      <c r="Z101" s="32">
        <v>44</v>
      </c>
      <c r="AA101" s="43" t="s">
        <v>63</v>
      </c>
      <c r="AB101" s="43">
        <v>21.44</v>
      </c>
      <c r="AC101" s="43">
        <v>256</v>
      </c>
      <c r="AD101" s="43">
        <v>13.82</v>
      </c>
      <c r="AE101" s="43">
        <v>26.21</v>
      </c>
      <c r="AF101" s="43">
        <v>29.23</v>
      </c>
      <c r="AG101" s="43">
        <v>141.38166748796201</v>
      </c>
      <c r="AH101" s="43">
        <v>154.876736245313</v>
      </c>
      <c r="AI101" s="43">
        <v>176.33499079544799</v>
      </c>
      <c r="AJ101" s="43">
        <v>34.583678556071703</v>
      </c>
      <c r="AK101" s="43">
        <v>0.78599269445617603</v>
      </c>
      <c r="AL101" s="43">
        <v>0.86653698530558598</v>
      </c>
      <c r="AM101" s="43">
        <v>389.60193498094998</v>
      </c>
      <c r="AN101" s="43">
        <v>8.8545894313852305</v>
      </c>
      <c r="AO101" s="43">
        <v>14.4005858116137</v>
      </c>
      <c r="AP101" s="44">
        <v>116</v>
      </c>
      <c r="AQ101" s="44">
        <v>5.1999999999999993</v>
      </c>
      <c r="AR101" s="44">
        <v>23.890637382381662</v>
      </c>
      <c r="AS101" s="44">
        <v>52.485179480238003</v>
      </c>
      <c r="AT101" s="44">
        <v>0.88</v>
      </c>
      <c r="AU101" s="44">
        <v>0.45245844379515521</v>
      </c>
      <c r="AV101" s="44">
        <f t="shared" si="16"/>
        <v>52.485179480238003</v>
      </c>
      <c r="AW101" s="44">
        <f>+VLOOKUP(C101,'Etape 1 - surface'!$A$5:$B$58,2,FALSE)</f>
        <v>0</v>
      </c>
      <c r="AX101" s="44">
        <f t="shared" si="14"/>
        <v>0</v>
      </c>
      <c r="AY101" s="44">
        <f>10.8374384236453+(405.147848531042-10.8374384236453)/(1+EXP(-(1.16387919746889*AU101+-2.8965970117006)))</f>
        <v>44.547003058421282</v>
      </c>
      <c r="AZ101" s="63"/>
      <c r="BA101" s="63">
        <f t="shared" si="15"/>
        <v>0</v>
      </c>
      <c r="BB101" s="45"/>
      <c r="BC101" s="65">
        <v>4.4999999999999998E-2</v>
      </c>
      <c r="BD101" s="63">
        <f t="shared" si="13"/>
        <v>-5316.3744869547991</v>
      </c>
    </row>
    <row r="102" spans="1:56" ht="15" x14ac:dyDescent="0.25">
      <c r="A102" t="s">
        <v>284</v>
      </c>
      <c r="B102" t="s">
        <v>285</v>
      </c>
      <c r="C102" t="s">
        <v>282</v>
      </c>
      <c r="D102" s="43" t="s">
        <v>283</v>
      </c>
      <c r="E102" s="43" t="s">
        <v>68</v>
      </c>
      <c r="F102" s="43" t="s">
        <v>286</v>
      </c>
      <c r="G102" s="43" t="s">
        <v>62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32">
        <v>45</v>
      </c>
      <c r="AA102" s="43" t="s">
        <v>152</v>
      </c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4">
        <v>180</v>
      </c>
      <c r="AQ102" s="44"/>
      <c r="AR102" s="44"/>
      <c r="AS102" s="44"/>
      <c r="AT102" s="44"/>
      <c r="AU102" s="44"/>
      <c r="AV102" s="44">
        <v>0</v>
      </c>
      <c r="AW102" s="74">
        <f>+VLOOKUP(C102,'Etape 1 - surface'!$A$5:$B$58,2,FALSE)</f>
        <v>4.01</v>
      </c>
      <c r="AX102" s="44">
        <f t="shared" ref="AX102" si="17">+AW102*AV102</f>
        <v>0</v>
      </c>
      <c r="AY102" s="44">
        <v>13.91</v>
      </c>
      <c r="AZ102" s="63"/>
      <c r="BA102" s="63">
        <f>+AX102*AY102</f>
        <v>0</v>
      </c>
      <c r="BB102" s="45">
        <v>0</v>
      </c>
      <c r="BC102" s="65">
        <v>4.4999999999999998E-2</v>
      </c>
      <c r="BD102" s="63">
        <f t="shared" si="13"/>
        <v>-5316.3744869547991</v>
      </c>
    </row>
    <row r="103" spans="1:56" ht="14.45" customHeight="1" x14ac:dyDescent="0.25">
      <c r="A103" t="str">
        <f>+VLOOKUP(D103,Acronyme!$A$1:$C$50,3,FALSE)</f>
        <v>Sapin pectiné</v>
      </c>
      <c r="B103" t="str">
        <f>+VLOOKUP(E103,Acronyme!$E$2:$I$50,5,FALSE)</f>
        <v>GS Arc Jurassien</v>
      </c>
      <c r="C103" t="s">
        <v>264</v>
      </c>
      <c r="D103" s="43" t="s">
        <v>129</v>
      </c>
      <c r="E103" s="43" t="s">
        <v>119</v>
      </c>
      <c r="F103" s="43" t="s">
        <v>130</v>
      </c>
      <c r="G103" s="43" t="s">
        <v>100</v>
      </c>
      <c r="H103" s="43">
        <v>20</v>
      </c>
      <c r="I103" s="43" t="s">
        <v>122</v>
      </c>
      <c r="J103" s="43">
        <v>2000</v>
      </c>
      <c r="K103" s="43" t="s">
        <v>102</v>
      </c>
      <c r="L103" s="43" t="s">
        <v>103</v>
      </c>
      <c r="M103" s="43" t="s">
        <v>123</v>
      </c>
      <c r="N103" s="43"/>
      <c r="O103" s="43"/>
      <c r="P103" s="43">
        <v>45</v>
      </c>
      <c r="Q103" s="43">
        <v>17.7</v>
      </c>
      <c r="R103" s="43">
        <v>1853</v>
      </c>
      <c r="S103" s="43">
        <v>45.68</v>
      </c>
      <c r="T103" s="43">
        <v>0</v>
      </c>
      <c r="U103" s="43">
        <v>0</v>
      </c>
      <c r="V103" s="43">
        <v>1079</v>
      </c>
      <c r="W103" s="43">
        <v>672</v>
      </c>
      <c r="X103" s="43">
        <v>94</v>
      </c>
      <c r="Y103" s="43">
        <v>8</v>
      </c>
      <c r="Z103" s="32">
        <v>45</v>
      </c>
      <c r="AA103" s="43" t="s">
        <v>63</v>
      </c>
      <c r="AB103" s="43">
        <v>17.7049207643812</v>
      </c>
      <c r="AC103" s="43">
        <v>946</v>
      </c>
      <c r="AD103" s="43">
        <v>25.85</v>
      </c>
      <c r="AE103" s="43">
        <v>18.6510610927096</v>
      </c>
      <c r="AF103" s="43">
        <v>22.428679107357901</v>
      </c>
      <c r="AG103" s="43">
        <v>200.963137728579</v>
      </c>
      <c r="AH103" s="43">
        <v>201.66596213607801</v>
      </c>
      <c r="AI103" s="43">
        <v>256.42260489988001</v>
      </c>
      <c r="AJ103" s="43">
        <v>45.677588309268998</v>
      </c>
      <c r="AK103" s="43">
        <v>1.01505751798376</v>
      </c>
      <c r="AL103" s="43">
        <v>1.56459577039942</v>
      </c>
      <c r="AM103" s="43">
        <v>446.57570357105698</v>
      </c>
      <c r="AN103" s="43">
        <v>9.9239045238012604</v>
      </c>
      <c r="AO103" s="43">
        <v>24.635823029267499</v>
      </c>
      <c r="AP103" s="44">
        <v>907</v>
      </c>
      <c r="AQ103" s="44">
        <v>19.829999999999998</v>
      </c>
      <c r="AR103" s="44">
        <v>16.684483734515187</v>
      </c>
      <c r="AS103" s="44">
        <v>146.737975008989</v>
      </c>
      <c r="AT103" s="44">
        <v>0.88692660090142594</v>
      </c>
      <c r="AU103" s="44">
        <v>0.16178387542336162</v>
      </c>
      <c r="AV103" s="44">
        <f t="shared" si="16"/>
        <v>146.737975008989</v>
      </c>
      <c r="AW103" s="44">
        <f>+VLOOKUP(C103,'Etape 1 - surface'!$A$5:$B$58,2,FALSE)</f>
        <v>0</v>
      </c>
      <c r="AX103" s="44">
        <f t="shared" si="14"/>
        <v>0</v>
      </c>
      <c r="AY103" s="44">
        <f>12.60067150914+(56.0435691950881-12.60067150914)/(1+EXP(-(0.12255140894824*AU103+-0.18958347271504)))</f>
        <v>32.482855136175516</v>
      </c>
      <c r="AZ103" s="63"/>
      <c r="BA103" s="63">
        <f t="shared" si="15"/>
        <v>0</v>
      </c>
      <c r="BB103" s="45"/>
      <c r="BC103" s="65">
        <v>4.4999999999999998E-2</v>
      </c>
      <c r="BD103" s="63">
        <f t="shared" si="13"/>
        <v>-5316.3744869547991</v>
      </c>
    </row>
    <row r="104" spans="1:56" ht="14.45" customHeight="1" x14ac:dyDescent="0.25">
      <c r="A104" t="str">
        <f>+VLOOKUP(D104,Acronyme!$A$1:$C$50,3,FALSE)</f>
        <v>Sapin pectiné</v>
      </c>
      <c r="B104" t="str">
        <f>+VLOOKUP(E104,Acronyme!$E$2:$I$50,5,FALSE)</f>
        <v>GS Arc Jurassien</v>
      </c>
      <c r="C104" t="s">
        <v>264</v>
      </c>
      <c r="D104" s="43" t="s">
        <v>129</v>
      </c>
      <c r="E104" s="43" t="s">
        <v>119</v>
      </c>
      <c r="F104" s="43" t="s">
        <v>130</v>
      </c>
      <c r="G104" s="43" t="s">
        <v>100</v>
      </c>
      <c r="H104" s="43">
        <v>20</v>
      </c>
      <c r="I104" s="43" t="s">
        <v>101</v>
      </c>
      <c r="J104" s="43">
        <v>2000</v>
      </c>
      <c r="K104" s="43" t="s">
        <v>102</v>
      </c>
      <c r="L104" s="43" t="s">
        <v>103</v>
      </c>
      <c r="M104" s="43" t="s">
        <v>123</v>
      </c>
      <c r="N104" s="43"/>
      <c r="O104" s="43"/>
      <c r="P104" s="43">
        <v>45</v>
      </c>
      <c r="Q104" s="43">
        <v>17.7</v>
      </c>
      <c r="R104" s="43">
        <v>1853</v>
      </c>
      <c r="S104" s="43">
        <v>45.68</v>
      </c>
      <c r="T104" s="43">
        <v>0</v>
      </c>
      <c r="U104" s="43">
        <v>0</v>
      </c>
      <c r="V104" s="43">
        <v>1079</v>
      </c>
      <c r="W104" s="43">
        <v>672</v>
      </c>
      <c r="X104" s="43">
        <v>94</v>
      </c>
      <c r="Y104" s="43">
        <v>8</v>
      </c>
      <c r="Z104" s="32">
        <v>45</v>
      </c>
      <c r="AA104" s="43" t="s">
        <v>63</v>
      </c>
      <c r="AB104" s="43">
        <v>17.7049207643812</v>
      </c>
      <c r="AC104" s="43">
        <v>946</v>
      </c>
      <c r="AD104" s="43">
        <v>25.85</v>
      </c>
      <c r="AE104" s="43">
        <v>18.6510610927096</v>
      </c>
      <c r="AF104" s="43">
        <v>22.428679107357901</v>
      </c>
      <c r="AG104" s="43">
        <v>200.963137728579</v>
      </c>
      <c r="AH104" s="43">
        <v>201.66596213607801</v>
      </c>
      <c r="AI104" s="43">
        <v>256.42260489988001</v>
      </c>
      <c r="AJ104" s="43">
        <v>45.677588309268998</v>
      </c>
      <c r="AK104" s="43">
        <v>1.01505751798376</v>
      </c>
      <c r="AL104" s="43">
        <v>1.56459577039942</v>
      </c>
      <c r="AM104" s="43">
        <v>446.57570357105698</v>
      </c>
      <c r="AN104" s="43">
        <v>9.9239045238012604</v>
      </c>
      <c r="AO104" s="43">
        <v>24.635823029267499</v>
      </c>
      <c r="AP104" s="44">
        <v>907</v>
      </c>
      <c r="AQ104" s="44">
        <v>19.829999999999998</v>
      </c>
      <c r="AR104" s="44">
        <v>16.684483734515187</v>
      </c>
      <c r="AS104" s="44">
        <v>146.737975008989</v>
      </c>
      <c r="AT104" s="44">
        <v>0.88692660090142594</v>
      </c>
      <c r="AU104" s="44">
        <v>0.16178387542336162</v>
      </c>
      <c r="AV104" s="44">
        <f t="shared" si="16"/>
        <v>146.737975008989</v>
      </c>
      <c r="AW104" s="44">
        <f>+VLOOKUP(C104,'Etape 1 - surface'!$A$5:$B$58,2,FALSE)</f>
        <v>0</v>
      </c>
      <c r="AX104" s="44">
        <f t="shared" si="14"/>
        <v>0</v>
      </c>
      <c r="AY104" s="44">
        <f>12.60067150914+(56.0435691950881-12.60067150914)/(1+EXP(-(0.12255140894824*AU104+-0.18958347271504)))</f>
        <v>32.482855136175516</v>
      </c>
      <c r="AZ104" s="63"/>
      <c r="BA104" s="63">
        <f t="shared" si="15"/>
        <v>0</v>
      </c>
      <c r="BB104" s="45"/>
      <c r="BC104" s="65">
        <v>4.4999999999999998E-2</v>
      </c>
      <c r="BD104" s="63">
        <f t="shared" si="13"/>
        <v>-5316.3744869547991</v>
      </c>
    </row>
    <row r="105" spans="1:56" ht="15" x14ac:dyDescent="0.25">
      <c r="A105" t="str">
        <f>+VLOOKUP(D105,Acronyme!$A$1:$C$50,3,FALSE)</f>
        <v>Pin Noir d'Autriche</v>
      </c>
      <c r="B105" t="str">
        <f>+VLOOKUP(E105,Acronyme!$E$2:$I$50,5,FALSE)</f>
        <v>GSM Alpes du Sud</v>
      </c>
      <c r="C105" t="s">
        <v>264</v>
      </c>
      <c r="D105" s="43" t="s">
        <v>131</v>
      </c>
      <c r="E105" s="43" t="s">
        <v>132</v>
      </c>
      <c r="F105" s="43" t="s">
        <v>136</v>
      </c>
      <c r="G105" s="43" t="s">
        <v>62</v>
      </c>
      <c r="H105" s="43">
        <v>15.2</v>
      </c>
      <c r="I105" s="43" t="s">
        <v>108</v>
      </c>
      <c r="J105" s="43">
        <v>1100</v>
      </c>
      <c r="K105" s="43" t="s">
        <v>109</v>
      </c>
      <c r="L105" s="43" t="s">
        <v>134</v>
      </c>
      <c r="M105" s="43" t="s">
        <v>135</v>
      </c>
      <c r="N105" s="43"/>
      <c r="O105" s="43"/>
      <c r="P105" s="43">
        <v>15</v>
      </c>
      <c r="Q105" s="43">
        <v>3.96</v>
      </c>
      <c r="R105" s="43">
        <v>6000</v>
      </c>
      <c r="S105" s="43">
        <v>9.57</v>
      </c>
      <c r="T105" s="43">
        <v>6000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32">
        <v>45</v>
      </c>
      <c r="AA105" s="43" t="s">
        <v>63</v>
      </c>
      <c r="AB105" s="43">
        <v>14.2</v>
      </c>
      <c r="AC105" s="43">
        <v>622</v>
      </c>
      <c r="AD105" s="43">
        <v>19.07</v>
      </c>
      <c r="AE105" s="43">
        <v>19.760000000000002</v>
      </c>
      <c r="AF105" s="43">
        <v>23.08</v>
      </c>
      <c r="AG105" s="43">
        <v>129.68510069157199</v>
      </c>
      <c r="AH105" s="43">
        <v>130.36713796401</v>
      </c>
      <c r="AI105" s="43">
        <v>156.46022328156201</v>
      </c>
      <c r="AJ105" s="43">
        <v>30.366905355615799</v>
      </c>
      <c r="AK105" s="43">
        <v>0.67482011901368399</v>
      </c>
      <c r="AL105" s="43">
        <v>0.77183647654017096</v>
      </c>
      <c r="AM105" s="43">
        <v>248.61495721714601</v>
      </c>
      <c r="AN105" s="43">
        <v>5.52477682704769</v>
      </c>
      <c r="AO105" s="43">
        <v>8.2975757148671008</v>
      </c>
      <c r="AP105" s="44">
        <v>458</v>
      </c>
      <c r="AQ105" s="44">
        <v>10.98</v>
      </c>
      <c r="AR105" s="44">
        <v>17.471230376127561</v>
      </c>
      <c r="AS105" s="44">
        <v>73.999393363323009</v>
      </c>
      <c r="AT105" s="44">
        <v>0.86</v>
      </c>
      <c r="AU105" s="44">
        <v>0.1615707278675175</v>
      </c>
      <c r="AV105" s="44">
        <f t="shared" si="16"/>
        <v>73.999393363323009</v>
      </c>
      <c r="AW105" s="44">
        <f>+VLOOKUP(C105,'Etape 1 - surface'!$A$5:$B$58,2,FALSE)</f>
        <v>0</v>
      </c>
      <c r="AX105" s="44">
        <f t="shared" si="14"/>
        <v>0</v>
      </c>
      <c r="AY105" s="44">
        <f>10.0046474463505+(37.1112351801373-10.0046474463505)/(1+EXP(-(0.581180949782075*AU105+-0.955447614584994)))</f>
        <v>18.055750935836581</v>
      </c>
      <c r="AZ105" s="63"/>
      <c r="BA105" s="63">
        <f t="shared" si="15"/>
        <v>0</v>
      </c>
      <c r="BB105" s="45"/>
      <c r="BC105" s="65">
        <v>4.4999999999999998E-2</v>
      </c>
      <c r="BD105" s="63">
        <f t="shared" si="13"/>
        <v>-5316.3744869547991</v>
      </c>
    </row>
    <row r="106" spans="1:56" ht="14.45" customHeight="1" x14ac:dyDescent="0.25">
      <c r="A106" t="str">
        <f>+VLOOKUP(D106,Acronyme!$A$1:$C$50,3,FALSE)</f>
        <v>Chene_pedoncule</v>
      </c>
      <c r="B106" t="str">
        <f>+VLOOKUP(E106,Acronyme!$E$2:$I$50,5,FALSE)</f>
        <v>Guide chênaie continentale</v>
      </c>
      <c r="C106" t="s">
        <v>264</v>
      </c>
      <c r="D106" s="43" t="s">
        <v>145</v>
      </c>
      <c r="E106" s="43" t="s">
        <v>65</v>
      </c>
      <c r="F106" s="43" t="s">
        <v>66</v>
      </c>
      <c r="G106" s="43" t="s">
        <v>62</v>
      </c>
      <c r="H106" s="43">
        <v>21.9</v>
      </c>
      <c r="I106" s="43" t="s">
        <v>144</v>
      </c>
      <c r="J106" s="43">
        <v>1600</v>
      </c>
      <c r="K106" s="43" t="s">
        <v>109</v>
      </c>
      <c r="L106" s="43" t="s">
        <v>103</v>
      </c>
      <c r="M106" s="43" t="s">
        <v>143</v>
      </c>
      <c r="N106" s="43"/>
      <c r="O106" s="43"/>
      <c r="P106" s="43">
        <v>38</v>
      </c>
      <c r="Q106" s="43">
        <v>16.27</v>
      </c>
      <c r="R106" s="43">
        <v>1446</v>
      </c>
      <c r="S106" s="43">
        <v>21.44</v>
      </c>
      <c r="T106" s="43">
        <v>65</v>
      </c>
      <c r="U106" s="43">
        <v>525</v>
      </c>
      <c r="V106" s="43">
        <v>696</v>
      </c>
      <c r="W106" s="43">
        <v>155</v>
      </c>
      <c r="X106" s="43">
        <v>5</v>
      </c>
      <c r="Y106" s="43">
        <v>0</v>
      </c>
      <c r="Z106" s="32">
        <v>45</v>
      </c>
      <c r="AA106" s="43" t="s">
        <v>63</v>
      </c>
      <c r="AB106" s="43">
        <v>18.510000000000002</v>
      </c>
      <c r="AC106" s="43">
        <v>345</v>
      </c>
      <c r="AD106" s="43">
        <v>11.45</v>
      </c>
      <c r="AE106" s="43">
        <v>20.55</v>
      </c>
      <c r="AF106" s="43">
        <v>24.07</v>
      </c>
      <c r="AG106" s="43">
        <v>98.956656852496096</v>
      </c>
      <c r="AH106" s="43">
        <v>107.329122607201</v>
      </c>
      <c r="AI106" s="43">
        <v>126.92242117924999</v>
      </c>
      <c r="AJ106" s="43">
        <v>27.190594207628902</v>
      </c>
      <c r="AK106" s="43">
        <v>0.60423542683619802</v>
      </c>
      <c r="AL106" s="43">
        <v>0.72945344849452698</v>
      </c>
      <c r="AM106" s="43">
        <v>275.88017112778499</v>
      </c>
      <c r="AN106" s="43">
        <v>6.1306704695063301</v>
      </c>
      <c r="AO106" s="43">
        <v>10.4715285027011</v>
      </c>
      <c r="AP106" s="44">
        <v>197</v>
      </c>
      <c r="AQ106" s="44">
        <v>4.9000000000000021</v>
      </c>
      <c r="AR106" s="44">
        <v>17.795901212344027</v>
      </c>
      <c r="AS106" s="44">
        <v>40.643804236622898</v>
      </c>
      <c r="AT106" s="44">
        <v>0.82</v>
      </c>
      <c r="AU106" s="44">
        <v>0.20631372708945633</v>
      </c>
      <c r="AV106" s="44">
        <f t="shared" si="16"/>
        <v>40.643804236622898</v>
      </c>
      <c r="AW106" s="44">
        <f>+VLOOKUP(C106,'Etape 1 - surface'!$A$5:$B$58,2,FALSE)</f>
        <v>0</v>
      </c>
      <c r="AX106" s="44">
        <f t="shared" si="14"/>
        <v>0</v>
      </c>
      <c r="AY106" s="44">
        <f>10.8374384236453+(405.147848531042-10.8374384236453)/(1+EXP(-(1.16387919746889*AU106+-2.8965970117006)))</f>
        <v>36.700724933793325</v>
      </c>
      <c r="AZ106" s="63"/>
      <c r="BA106" s="63">
        <f t="shared" si="15"/>
        <v>0</v>
      </c>
      <c r="BB106" s="45"/>
      <c r="BC106" s="65">
        <v>4.4999999999999998E-2</v>
      </c>
      <c r="BD106" s="63">
        <f t="shared" si="13"/>
        <v>-5316.3744869547991</v>
      </c>
    </row>
    <row r="107" spans="1:56" ht="15" x14ac:dyDescent="0.25">
      <c r="A107" t="str">
        <f>+VLOOKUP(D107,Acronyme!$A$1:$C$50,3,FALSE)</f>
        <v>Pin Maritime</v>
      </c>
      <c r="B107" t="str">
        <f>+VLOOKUP(E107,Acronyme!$E$2:$I$50,5,FALSE)</f>
        <v>GS Pineraies des plaines du Centre et du Nord Ouest</v>
      </c>
      <c r="C107" t="s">
        <v>264</v>
      </c>
      <c r="D107" s="43" t="s">
        <v>124</v>
      </c>
      <c r="E107" s="43" t="s">
        <v>89</v>
      </c>
      <c r="F107" s="43" t="s">
        <v>61</v>
      </c>
      <c r="G107" s="43" t="s">
        <v>100</v>
      </c>
      <c r="H107" s="43">
        <v>27.5</v>
      </c>
      <c r="I107" s="43">
        <v>55</v>
      </c>
      <c r="J107" s="43">
        <v>1250</v>
      </c>
      <c r="K107" s="43" t="s">
        <v>102</v>
      </c>
      <c r="L107" s="43" t="s">
        <v>103</v>
      </c>
      <c r="M107" s="43" t="s">
        <v>125</v>
      </c>
      <c r="N107" s="43"/>
      <c r="O107" s="43"/>
      <c r="P107" s="43">
        <v>14</v>
      </c>
      <c r="Q107" s="43">
        <v>11</v>
      </c>
      <c r="R107" s="43">
        <v>1251</v>
      </c>
      <c r="S107" s="43">
        <v>25.56</v>
      </c>
      <c r="T107" s="43">
        <v>13</v>
      </c>
      <c r="U107" s="43">
        <v>239</v>
      </c>
      <c r="V107" s="43">
        <v>629</v>
      </c>
      <c r="W107" s="43">
        <v>324</v>
      </c>
      <c r="X107" s="43">
        <v>46</v>
      </c>
      <c r="Y107" s="43">
        <v>0</v>
      </c>
      <c r="Z107" s="32">
        <v>46</v>
      </c>
      <c r="AA107" s="43" t="s">
        <v>63</v>
      </c>
      <c r="AB107" s="43">
        <v>26.71</v>
      </c>
      <c r="AC107" s="43">
        <v>230.4</v>
      </c>
      <c r="AD107" s="43">
        <v>33.880000000000003</v>
      </c>
      <c r="AE107" s="43">
        <v>43.27</v>
      </c>
      <c r="AF107" s="43">
        <v>47.84</v>
      </c>
      <c r="AG107" s="43">
        <v>343.65629264615399</v>
      </c>
      <c r="AH107" s="43">
        <v>351.724974961876</v>
      </c>
      <c r="AI107" s="43">
        <v>431.00397670078002</v>
      </c>
      <c r="AJ107" s="43">
        <v>79.944678522637105</v>
      </c>
      <c r="AK107" s="43">
        <v>1.7379277939703699</v>
      </c>
      <c r="AL107" s="43">
        <v>1.0421893019272701</v>
      </c>
      <c r="AM107" s="43">
        <v>885.02715362927802</v>
      </c>
      <c r="AN107" s="43">
        <v>19.239720731071301</v>
      </c>
      <c r="AO107" s="43">
        <v>18.867793960000899</v>
      </c>
      <c r="AP107" s="44">
        <v>55.799999999999983</v>
      </c>
      <c r="AQ107" s="44">
        <v>8.61</v>
      </c>
      <c r="AR107" s="44">
        <v>44.324060151052834</v>
      </c>
      <c r="AS107" s="44">
        <v>89.128374797117033</v>
      </c>
      <c r="AT107" s="44">
        <v>1.04</v>
      </c>
      <c r="AU107" s="44">
        <v>1.5972827024572951</v>
      </c>
      <c r="AV107" s="44">
        <f t="shared" si="16"/>
        <v>89.128374797117033</v>
      </c>
      <c r="AW107" s="44">
        <f>+VLOOKUP(C107,'Etape 1 - surface'!$A$5:$B$58,2,FALSE)</f>
        <v>0</v>
      </c>
      <c r="AX107" s="44">
        <f t="shared" si="14"/>
        <v>0</v>
      </c>
      <c r="AY107" s="44">
        <f>14.9665006012713+(52.588398731357-14.9665006012713)/(1+EXP(-(0.927907412957439*AU107+-0.605044532722853)))</f>
        <v>41.535761876113938</v>
      </c>
      <c r="AZ107" s="63"/>
      <c r="BA107" s="63">
        <f t="shared" si="15"/>
        <v>0</v>
      </c>
      <c r="BB107" s="45"/>
      <c r="BC107" s="65">
        <v>4.4999999999999998E-2</v>
      </c>
      <c r="BD107" s="63">
        <f t="shared" si="13"/>
        <v>-5316.3744869547991</v>
      </c>
    </row>
    <row r="108" spans="1:56" ht="15" x14ac:dyDescent="0.25">
      <c r="A108" t="str">
        <f>+VLOOKUP(D108,Acronyme!$A$1:$C$50,3,FALSE)</f>
        <v>Pin Laricio</v>
      </c>
      <c r="B108" t="str">
        <f>+VLOOKUP(E108,Acronyme!$E$2:$I$50,5,FALSE)</f>
        <v>GS Pineraies des plaines du Centre et du Nord Ouest</v>
      </c>
      <c r="C108" t="s">
        <v>264</v>
      </c>
      <c r="D108" s="43" t="s">
        <v>88</v>
      </c>
      <c r="E108" s="43" t="s">
        <v>89</v>
      </c>
      <c r="F108" s="43" t="s">
        <v>61</v>
      </c>
      <c r="G108" s="43" t="s">
        <v>100</v>
      </c>
      <c r="H108" s="43">
        <v>26</v>
      </c>
      <c r="I108" s="43" t="s">
        <v>101</v>
      </c>
      <c r="J108" s="43">
        <v>1600</v>
      </c>
      <c r="K108" s="43" t="s">
        <v>102</v>
      </c>
      <c r="L108" s="43" t="s">
        <v>103</v>
      </c>
      <c r="M108" s="43" t="s">
        <v>117</v>
      </c>
      <c r="N108" s="43"/>
      <c r="O108" s="43"/>
      <c r="P108" s="43">
        <v>15</v>
      </c>
      <c r="Q108" s="43">
        <v>8.23</v>
      </c>
      <c r="R108" s="43">
        <v>1600</v>
      </c>
      <c r="S108" s="43">
        <v>14.07</v>
      </c>
      <c r="T108" s="43">
        <v>109</v>
      </c>
      <c r="U108" s="43">
        <v>1278</v>
      </c>
      <c r="V108" s="43">
        <v>213</v>
      </c>
      <c r="W108" s="43">
        <v>0</v>
      </c>
      <c r="X108" s="43">
        <v>0</v>
      </c>
      <c r="Y108" s="43">
        <v>0</v>
      </c>
      <c r="Z108" s="32">
        <v>46</v>
      </c>
      <c r="AA108" s="43" t="s">
        <v>63</v>
      </c>
      <c r="AB108" s="43">
        <v>25.07</v>
      </c>
      <c r="AC108" s="43">
        <v>296.39999999999998</v>
      </c>
      <c r="AD108" s="43">
        <v>30.87</v>
      </c>
      <c r="AE108" s="43">
        <v>36.409999999999997</v>
      </c>
      <c r="AF108" s="43">
        <v>39.53</v>
      </c>
      <c r="AG108" s="43">
        <v>298.436558594254</v>
      </c>
      <c r="AH108" s="43">
        <v>304.51188529018202</v>
      </c>
      <c r="AI108" s="43">
        <v>375.32574281883501</v>
      </c>
      <c r="AJ108" s="43">
        <v>67.925439865831706</v>
      </c>
      <c r="AK108" s="43">
        <v>1.4766399970833</v>
      </c>
      <c r="AL108" s="43">
        <v>1.12303940502231</v>
      </c>
      <c r="AM108" s="43">
        <v>714.30876287400702</v>
      </c>
      <c r="AN108" s="43">
        <v>15.5284513668262</v>
      </c>
      <c r="AO108" s="43">
        <v>17.646896805569199</v>
      </c>
      <c r="AP108" s="44">
        <v>86</v>
      </c>
      <c r="AQ108" s="44">
        <v>8.0399999999999956</v>
      </c>
      <c r="AR108" s="44">
        <v>34.501172780320431</v>
      </c>
      <c r="AS108" s="44">
        <v>77.075094458841988</v>
      </c>
      <c r="AT108" s="44">
        <v>0.91897568967323995</v>
      </c>
      <c r="AU108" s="44">
        <v>0.89622202859118594</v>
      </c>
      <c r="AV108" s="44">
        <f t="shared" si="16"/>
        <v>77.075094458841988</v>
      </c>
      <c r="AW108" s="44">
        <f>+VLOOKUP(C108,'Etape 1 - surface'!$A$5:$B$58,2,FALSE)</f>
        <v>0</v>
      </c>
      <c r="AX108" s="44">
        <f t="shared" si="14"/>
        <v>0</v>
      </c>
      <c r="AY108" s="44">
        <f>10.0046474463505+(37.1112351801373-10.0046474463505)/(1+EXP(-(0.581180949782075*AU108+-0.955447614584994)))</f>
        <v>20.658433537779892</v>
      </c>
      <c r="AZ108" s="63"/>
      <c r="BA108" s="63">
        <f t="shared" si="15"/>
        <v>0</v>
      </c>
      <c r="BB108" s="45"/>
      <c r="BC108" s="65">
        <v>4.4999999999999998E-2</v>
      </c>
      <c r="BD108" s="63">
        <f t="shared" si="13"/>
        <v>-5316.3744869547991</v>
      </c>
    </row>
    <row r="109" spans="1:56" ht="15" x14ac:dyDescent="0.25">
      <c r="A109" t="str">
        <f>+VLOOKUP(D109,Acronyme!$A$1:$C$50,3,FALSE)</f>
        <v>Pin sylvestre</v>
      </c>
      <c r="B109" t="str">
        <f>+VLOOKUP(E109,Acronyme!$E$2:$I$50,5,FALSE)</f>
        <v>GS Pineraies des plaines du Centre et du Nord Ouest</v>
      </c>
      <c r="C109" t="s">
        <v>264</v>
      </c>
      <c r="D109" s="68" t="s">
        <v>106</v>
      </c>
      <c r="E109" s="43" t="s">
        <v>89</v>
      </c>
      <c r="F109" s="43" t="s">
        <v>107</v>
      </c>
      <c r="G109" s="43" t="s">
        <v>62</v>
      </c>
      <c r="H109" s="43">
        <v>23</v>
      </c>
      <c r="I109" s="43" t="s">
        <v>108</v>
      </c>
      <c r="J109" s="43">
        <v>2500</v>
      </c>
      <c r="K109" s="43" t="s">
        <v>109</v>
      </c>
      <c r="L109" s="43" t="s">
        <v>110</v>
      </c>
      <c r="M109" s="43" t="s">
        <v>111</v>
      </c>
      <c r="N109" s="43">
        <v>2003</v>
      </c>
      <c r="O109" s="43"/>
      <c r="P109" s="43">
        <v>24</v>
      </c>
      <c r="Q109" s="43">
        <v>11.4</v>
      </c>
      <c r="R109" s="43">
        <v>2157</v>
      </c>
      <c r="S109" s="43">
        <v>40.299999999999997</v>
      </c>
      <c r="T109" s="43">
        <v>0</v>
      </c>
      <c r="U109" s="43">
        <v>600</v>
      </c>
      <c r="V109" s="43">
        <v>1043</v>
      </c>
      <c r="W109" s="43">
        <v>457</v>
      </c>
      <c r="X109" s="43">
        <v>57</v>
      </c>
      <c r="Y109" s="43">
        <v>0</v>
      </c>
      <c r="Z109" s="32">
        <v>47</v>
      </c>
      <c r="AA109" s="43" t="s">
        <v>63</v>
      </c>
      <c r="AB109" s="43">
        <v>20.190000000000001</v>
      </c>
      <c r="AC109" s="43">
        <v>400</v>
      </c>
      <c r="AD109" s="43">
        <v>21.91</v>
      </c>
      <c r="AE109" s="43">
        <v>26.41</v>
      </c>
      <c r="AF109" s="43">
        <v>31.76</v>
      </c>
      <c r="AG109" s="43">
        <v>191.04954072366399</v>
      </c>
      <c r="AH109" s="43">
        <v>192.99685819999999</v>
      </c>
      <c r="AI109" s="43">
        <v>229.808983787183</v>
      </c>
      <c r="AJ109" s="43">
        <v>63.162030972520299</v>
      </c>
      <c r="AK109" s="43">
        <v>1.34387299941533</v>
      </c>
      <c r="AL109" s="43">
        <v>0.63202312033701702</v>
      </c>
      <c r="AM109" s="43">
        <v>554.61344378416595</v>
      </c>
      <c r="AN109" s="43">
        <v>11.800286037961</v>
      </c>
      <c r="AO109" s="43">
        <v>10.0067057933265</v>
      </c>
      <c r="AP109" s="44">
        <v>130</v>
      </c>
      <c r="AQ109" s="44">
        <v>6.1974230431954993</v>
      </c>
      <c r="AR109" s="44">
        <v>24.637064157717653</v>
      </c>
      <c r="AS109" s="44">
        <v>55.578623144472999</v>
      </c>
      <c r="AT109" s="44">
        <v>0.9038523955026817</v>
      </c>
      <c r="AU109" s="44">
        <v>0.42752787034209999</v>
      </c>
      <c r="AV109" s="44">
        <f t="shared" si="16"/>
        <v>55.578623144472999</v>
      </c>
      <c r="AW109" s="44">
        <f>+VLOOKUP(C109,'Etape 1 - surface'!$A$5:$B$58,2,FALSE)</f>
        <v>0</v>
      </c>
      <c r="AX109" s="44">
        <f t="shared" si="14"/>
        <v>0</v>
      </c>
      <c r="AY109" s="44">
        <f>10.0046474463505+(37.1112351801373-10.0046474463505)/(1+EXP(-(0.581180949782075*AU109+-0.955447614584994)))</f>
        <v>18.957065731068937</v>
      </c>
      <c r="AZ109" s="63"/>
      <c r="BA109" s="63">
        <f t="shared" si="15"/>
        <v>0</v>
      </c>
      <c r="BB109" s="45"/>
      <c r="BC109" s="65">
        <v>4.4999999999999998E-2</v>
      </c>
      <c r="BD109" s="63">
        <f t="shared" si="13"/>
        <v>-5316.3744869547991</v>
      </c>
    </row>
    <row r="110" spans="1:56" ht="14.45" customHeight="1" x14ac:dyDescent="0.25">
      <c r="A110" t="str">
        <f>+VLOOKUP(D110,Acronyme!$A$1:$C$50,3,FALSE)</f>
        <v>Pin sylvestre</v>
      </c>
      <c r="B110" t="str">
        <f>+VLOOKUP(E110,Acronyme!$E$2:$I$50,5,FALSE)</f>
        <v>GS Pineraies des plaines du Centre et du Nord Ouest</v>
      </c>
      <c r="C110" t="s">
        <v>264</v>
      </c>
      <c r="D110" s="43" t="s">
        <v>106</v>
      </c>
      <c r="E110" s="43" t="s">
        <v>89</v>
      </c>
      <c r="F110" s="43" t="s">
        <v>115</v>
      </c>
      <c r="G110" s="43" t="s">
        <v>100</v>
      </c>
      <c r="H110" s="43">
        <v>28</v>
      </c>
      <c r="I110" s="43">
        <v>45</v>
      </c>
      <c r="J110" s="43">
        <v>2500</v>
      </c>
      <c r="K110" s="43" t="s">
        <v>109</v>
      </c>
      <c r="L110" s="43" t="s">
        <v>116</v>
      </c>
      <c r="M110" s="43" t="s">
        <v>111</v>
      </c>
      <c r="N110" s="43">
        <v>1997</v>
      </c>
      <c r="O110" s="43" t="s">
        <v>96</v>
      </c>
      <c r="P110" s="43">
        <v>21</v>
      </c>
      <c r="Q110" s="43">
        <v>12.5</v>
      </c>
      <c r="R110" s="43">
        <v>2024</v>
      </c>
      <c r="S110" s="43">
        <v>28.8</v>
      </c>
      <c r="T110" s="43">
        <v>0</v>
      </c>
      <c r="U110" s="43">
        <v>1100</v>
      </c>
      <c r="V110" s="43">
        <v>712</v>
      </c>
      <c r="W110" s="43">
        <v>162</v>
      </c>
      <c r="X110" s="43">
        <v>50</v>
      </c>
      <c r="Y110" s="43">
        <v>0</v>
      </c>
      <c r="Z110" s="32">
        <v>47</v>
      </c>
      <c r="AA110" s="43" t="s">
        <v>63</v>
      </c>
      <c r="AB110" s="43">
        <v>26.45</v>
      </c>
      <c r="AC110" s="43">
        <v>460</v>
      </c>
      <c r="AD110" s="43">
        <v>26.06</v>
      </c>
      <c r="AE110" s="43">
        <v>26.86</v>
      </c>
      <c r="AF110" s="43">
        <v>31.75</v>
      </c>
      <c r="AG110" s="43">
        <v>296.59294087440401</v>
      </c>
      <c r="AH110" s="43">
        <v>298.07019040439201</v>
      </c>
      <c r="AI110" s="43">
        <v>336.21513286176798</v>
      </c>
      <c r="AJ110" s="43">
        <v>55.742992843316699</v>
      </c>
      <c r="AK110" s="43">
        <v>1.18602112432589</v>
      </c>
      <c r="AL110" s="43">
        <v>0.59049972419477104</v>
      </c>
      <c r="AM110" s="43">
        <v>615.25560155203596</v>
      </c>
      <c r="AN110" s="43">
        <v>13.090544713873101</v>
      </c>
      <c r="AO110" s="43">
        <v>11.563241739936499</v>
      </c>
      <c r="AP110" s="44">
        <v>120</v>
      </c>
      <c r="AQ110" s="44">
        <v>3.7600000000000016</v>
      </c>
      <c r="AR110" s="44">
        <v>19.973692464932078</v>
      </c>
      <c r="AS110" s="44">
        <v>39.770772469726978</v>
      </c>
      <c r="AT110" s="44">
        <v>0.61</v>
      </c>
      <c r="AU110" s="44">
        <v>0.3314231039143915</v>
      </c>
      <c r="AV110" s="44">
        <f t="shared" si="16"/>
        <v>39.770772469726978</v>
      </c>
      <c r="AW110" s="44">
        <f>+VLOOKUP(C110,'Etape 1 - surface'!$A$5:$B$58,2,FALSE)</f>
        <v>0</v>
      </c>
      <c r="AX110" s="44">
        <f t="shared" si="14"/>
        <v>0</v>
      </c>
      <c r="AY110" s="44">
        <f>10.0046474463505+(37.1112351801373-10.0046474463505)/(1+EXP(-(0.581180949782075*AU110+-0.955447614584994)))</f>
        <v>18.625409221511326</v>
      </c>
      <c r="AZ110" s="63"/>
      <c r="BA110" s="63">
        <f t="shared" si="15"/>
        <v>0</v>
      </c>
      <c r="BB110" s="45"/>
      <c r="BC110" s="65">
        <v>4.4999999999999998E-2</v>
      </c>
      <c r="BD110" s="63">
        <f t="shared" si="13"/>
        <v>-5316.3744869547991</v>
      </c>
    </row>
    <row r="111" spans="1:56" ht="14.45" customHeight="1" x14ac:dyDescent="0.25">
      <c r="A111" t="str">
        <f>+VLOOKUP(D111,Acronyme!$A$1:$C$50,3,FALSE)</f>
        <v>Douglas</v>
      </c>
      <c r="B111" t="str">
        <f>+VLOOKUP(E111,Acronyme!$E$2:$I$50,5,FALSE)</f>
        <v>National</v>
      </c>
      <c r="C111" t="s">
        <v>264</v>
      </c>
      <c r="D111" s="43" t="s">
        <v>97</v>
      </c>
      <c r="E111" s="43" t="s">
        <v>98</v>
      </c>
      <c r="F111" s="43" t="s">
        <v>99</v>
      </c>
      <c r="G111" s="43" t="s">
        <v>100</v>
      </c>
      <c r="H111" s="43">
        <v>40</v>
      </c>
      <c r="I111" s="43" t="s">
        <v>101</v>
      </c>
      <c r="J111" s="43">
        <v>1666</v>
      </c>
      <c r="K111" s="43" t="s">
        <v>102</v>
      </c>
      <c r="L111" s="43" t="s">
        <v>103</v>
      </c>
      <c r="M111" s="43" t="s">
        <v>104</v>
      </c>
      <c r="N111" s="43"/>
      <c r="O111" s="43"/>
      <c r="P111" s="43">
        <v>17</v>
      </c>
      <c r="Q111" s="43">
        <v>15.63</v>
      </c>
      <c r="R111" s="43">
        <v>1600</v>
      </c>
      <c r="S111" s="43">
        <v>27.89</v>
      </c>
      <c r="T111" s="43">
        <v>30</v>
      </c>
      <c r="U111" s="43">
        <v>428</v>
      </c>
      <c r="V111" s="43">
        <v>863</v>
      </c>
      <c r="W111" s="43">
        <v>267</v>
      </c>
      <c r="X111" s="43">
        <v>12</v>
      </c>
      <c r="Y111" s="43">
        <v>0</v>
      </c>
      <c r="Z111" s="32">
        <v>48</v>
      </c>
      <c r="AA111" s="43" t="s">
        <v>63</v>
      </c>
      <c r="AB111" s="43">
        <v>39.03</v>
      </c>
      <c r="AC111" s="43">
        <v>218</v>
      </c>
      <c r="AD111" s="43">
        <v>35.700000000000003</v>
      </c>
      <c r="AE111" s="43">
        <v>45.66</v>
      </c>
      <c r="AF111" s="43">
        <v>49.66</v>
      </c>
      <c r="AG111" s="43">
        <v>459.98508654497698</v>
      </c>
      <c r="AH111" s="43">
        <v>466.66023660000002</v>
      </c>
      <c r="AI111" s="43">
        <v>576.87840100517894</v>
      </c>
      <c r="AJ111" s="43">
        <v>80.934313952237801</v>
      </c>
      <c r="AK111" s="43">
        <v>1.68613154067162</v>
      </c>
      <c r="AL111" s="43">
        <v>1.11413083725346</v>
      </c>
      <c r="AM111" s="43">
        <v>1099.01326536183</v>
      </c>
      <c r="AN111" s="43">
        <v>22.896109695038199</v>
      </c>
      <c r="AO111" s="43">
        <v>26.069461586129101</v>
      </c>
      <c r="AP111" s="44">
        <v>51</v>
      </c>
      <c r="AQ111" s="44">
        <v>6.5999999999999943</v>
      </c>
      <c r="AR111" s="44">
        <v>40.592139186977015</v>
      </c>
      <c r="AS111" s="44">
        <v>84.192680711146977</v>
      </c>
      <c r="AT111" s="44">
        <v>0.82</v>
      </c>
      <c r="AU111" s="44">
        <v>1.6508368766891564</v>
      </c>
      <c r="AV111" s="44">
        <f t="shared" si="16"/>
        <v>84.192680711146977</v>
      </c>
      <c r="AW111" s="44">
        <f>+VLOOKUP(C111,'Etape 1 - surface'!$A$5:$B$58,2,FALSE)</f>
        <v>0</v>
      </c>
      <c r="AX111" s="44">
        <f t="shared" si="14"/>
        <v>0</v>
      </c>
      <c r="AY111" s="44">
        <f>17.058316746383+(70.7042249024703-17.058316746383)/(1+EXP(-(0.378583234479568*AU111+-0.73675928557405)))</f>
        <v>42.383693297997844</v>
      </c>
      <c r="AZ111" s="63"/>
      <c r="BA111" s="63">
        <f t="shared" si="15"/>
        <v>0</v>
      </c>
      <c r="BB111" s="45"/>
      <c r="BC111" s="65">
        <v>4.4999999999999998E-2</v>
      </c>
      <c r="BD111" s="63">
        <f t="shared" si="13"/>
        <v>-5316.3744869547991</v>
      </c>
    </row>
    <row r="112" spans="1:56" ht="14.45" customHeight="1" x14ac:dyDescent="0.25">
      <c r="A112" t="str">
        <f>+VLOOKUP(D112,Acronyme!$A$1:$C$50,3,FALSE)</f>
        <v>Epicéa</v>
      </c>
      <c r="B112" t="str">
        <f>+VLOOKUP(E112,Acronyme!$E$2:$I$50,5,FALSE)</f>
        <v>GS Arc Jurassien</v>
      </c>
      <c r="C112" t="s">
        <v>264</v>
      </c>
      <c r="D112" s="43" t="s">
        <v>118</v>
      </c>
      <c r="E112" s="43" t="s">
        <v>119</v>
      </c>
      <c r="F112" s="43" t="s">
        <v>120</v>
      </c>
      <c r="G112" s="43" t="s">
        <v>121</v>
      </c>
      <c r="H112" s="43">
        <v>28.5</v>
      </c>
      <c r="I112" s="43" t="s">
        <v>122</v>
      </c>
      <c r="J112" s="43">
        <v>1666</v>
      </c>
      <c r="K112" s="43" t="s">
        <v>102</v>
      </c>
      <c r="L112" s="43" t="s">
        <v>103</v>
      </c>
      <c r="M112" s="43" t="s">
        <v>123</v>
      </c>
      <c r="N112" s="43"/>
      <c r="O112" s="43"/>
      <c r="P112" s="43">
        <v>25</v>
      </c>
      <c r="Q112" s="43">
        <v>16.53</v>
      </c>
      <c r="R112" s="43">
        <v>1255</v>
      </c>
      <c r="S112" s="43">
        <v>35.83</v>
      </c>
      <c r="T112" s="43">
        <v>3</v>
      </c>
      <c r="U112" s="43">
        <v>181</v>
      </c>
      <c r="V112" s="43">
        <v>304</v>
      </c>
      <c r="W112" s="43">
        <v>527</v>
      </c>
      <c r="X112" s="43">
        <v>194</v>
      </c>
      <c r="Y112" s="43">
        <v>46</v>
      </c>
      <c r="Z112" s="32">
        <v>48</v>
      </c>
      <c r="AA112" s="43" t="s">
        <v>63</v>
      </c>
      <c r="AB112" s="43">
        <v>27.796584595430701</v>
      </c>
      <c r="AC112" s="43">
        <v>279</v>
      </c>
      <c r="AD112" s="43">
        <v>30.730634842847401</v>
      </c>
      <c r="AE112" s="43">
        <v>37.448870528033702</v>
      </c>
      <c r="AF112" s="43">
        <v>43.301029840091701</v>
      </c>
      <c r="AG112" s="43">
        <v>373.295673265429</v>
      </c>
      <c r="AH112" s="43">
        <v>374.96999554732702</v>
      </c>
      <c r="AI112" s="43">
        <v>419.65099540839799</v>
      </c>
      <c r="AJ112" s="43">
        <v>73.025901872531904</v>
      </c>
      <c r="AK112" s="43">
        <v>1.52137295567775</v>
      </c>
      <c r="AL112" s="43">
        <v>1.22181140968651</v>
      </c>
      <c r="AM112" s="43">
        <v>893.576207987727</v>
      </c>
      <c r="AN112" s="43">
        <v>18.616170999744298</v>
      </c>
      <c r="AO112" s="43">
        <v>22.2356928691867</v>
      </c>
      <c r="AP112" s="44">
        <v>72</v>
      </c>
      <c r="AQ112" s="44">
        <v>7.5652793865108023</v>
      </c>
      <c r="AR112" s="44">
        <v>36.576428509118877</v>
      </c>
      <c r="AS112" s="44">
        <v>92.026247233803019</v>
      </c>
      <c r="AT112" s="44">
        <v>0.96304626097597867</v>
      </c>
      <c r="AU112" s="44">
        <v>1.2781423226917086</v>
      </c>
      <c r="AV112" s="44">
        <f t="shared" si="16"/>
        <v>92.026247233803019</v>
      </c>
      <c r="AW112" s="44">
        <f>+VLOOKUP(C112,'Etape 1 - surface'!$A$5:$B$58,2,FALSE)</f>
        <v>0</v>
      </c>
      <c r="AX112" s="44">
        <f t="shared" si="14"/>
        <v>0</v>
      </c>
      <c r="AY112" s="44">
        <f>5.9476406705017+(63.9669421487603-5.9476406705017)/(1+EXP(-(0.302428574792357*AU112+-0.378232364909735)))</f>
        <v>35.07788957872188</v>
      </c>
      <c r="AZ112" s="63"/>
      <c r="BA112" s="63">
        <f t="shared" si="15"/>
        <v>0</v>
      </c>
      <c r="BB112" s="45"/>
      <c r="BC112" s="65">
        <v>4.4999999999999998E-2</v>
      </c>
      <c r="BD112" s="63">
        <f t="shared" si="13"/>
        <v>-5316.3744869547991</v>
      </c>
    </row>
    <row r="113" spans="1:56" ht="14.45" customHeight="1" x14ac:dyDescent="0.25">
      <c r="A113" t="str">
        <f>+VLOOKUP(D113,Acronyme!$A$1:$C$50,3,FALSE)</f>
        <v>Epicéa</v>
      </c>
      <c r="B113" t="str">
        <f>+VLOOKUP(E113,Acronyme!$E$2:$I$50,5,FALSE)</f>
        <v>GS Arc Jurassien</v>
      </c>
      <c r="C113" t="s">
        <v>264</v>
      </c>
      <c r="D113" s="43" t="s">
        <v>118</v>
      </c>
      <c r="E113" s="43" t="s">
        <v>119</v>
      </c>
      <c r="F113" s="43" t="s">
        <v>120</v>
      </c>
      <c r="G113" s="43" t="s">
        <v>121</v>
      </c>
      <c r="H113" s="43">
        <v>28.5</v>
      </c>
      <c r="I113" s="43" t="s">
        <v>101</v>
      </c>
      <c r="J113" s="43">
        <v>1666</v>
      </c>
      <c r="K113" s="43" t="s">
        <v>102</v>
      </c>
      <c r="L113" s="43" t="s">
        <v>103</v>
      </c>
      <c r="M113" s="43" t="s">
        <v>123</v>
      </c>
      <c r="N113" s="43"/>
      <c r="O113" s="43"/>
      <c r="P113" s="43">
        <v>25</v>
      </c>
      <c r="Q113" s="43">
        <v>16.53</v>
      </c>
      <c r="R113" s="43">
        <v>1255</v>
      </c>
      <c r="S113" s="43">
        <v>35.83</v>
      </c>
      <c r="T113" s="43">
        <v>3</v>
      </c>
      <c r="U113" s="43">
        <v>181</v>
      </c>
      <c r="V113" s="43">
        <v>304</v>
      </c>
      <c r="W113" s="43">
        <v>527</v>
      </c>
      <c r="X113" s="43">
        <v>194</v>
      </c>
      <c r="Y113" s="43">
        <v>46</v>
      </c>
      <c r="Z113" s="32">
        <v>48</v>
      </c>
      <c r="AA113" s="43" t="s">
        <v>63</v>
      </c>
      <c r="AB113" s="43">
        <v>27.796584595430701</v>
      </c>
      <c r="AC113" s="43">
        <v>279</v>
      </c>
      <c r="AD113" s="43">
        <v>30.730634842847401</v>
      </c>
      <c r="AE113" s="43">
        <v>37.448870528033702</v>
      </c>
      <c r="AF113" s="43">
        <v>43.301029840091701</v>
      </c>
      <c r="AG113" s="43">
        <v>373.295673265429</v>
      </c>
      <c r="AH113" s="43">
        <v>374.96999554732702</v>
      </c>
      <c r="AI113" s="43">
        <v>419.65099540839799</v>
      </c>
      <c r="AJ113" s="43">
        <v>73.025901872531904</v>
      </c>
      <c r="AK113" s="43">
        <v>1.52137295567775</v>
      </c>
      <c r="AL113" s="43">
        <v>1.22181140968651</v>
      </c>
      <c r="AM113" s="43">
        <v>893.576207987727</v>
      </c>
      <c r="AN113" s="43">
        <v>18.616170999744298</v>
      </c>
      <c r="AO113" s="43">
        <v>22.2356928691867</v>
      </c>
      <c r="AP113" s="44">
        <v>72</v>
      </c>
      <c r="AQ113" s="44">
        <v>7.5652793865108023</v>
      </c>
      <c r="AR113" s="44">
        <v>36.576428509118877</v>
      </c>
      <c r="AS113" s="44">
        <v>92.026247233803019</v>
      </c>
      <c r="AT113" s="44">
        <v>0.96304626097597867</v>
      </c>
      <c r="AU113" s="44">
        <v>1.2781423226917086</v>
      </c>
      <c r="AV113" s="44">
        <f t="shared" si="16"/>
        <v>92.026247233803019</v>
      </c>
      <c r="AW113" s="44">
        <f>+VLOOKUP(C113,'Etape 1 - surface'!$A$5:$B$58,2,FALSE)</f>
        <v>0</v>
      </c>
      <c r="AX113" s="44">
        <f t="shared" si="14"/>
        <v>0</v>
      </c>
      <c r="AY113" s="44">
        <f>5.9476406705017+(63.9669421487603-5.9476406705017)/(1+EXP(-(0.302428574792357*AU113+-0.378232364909735)))</f>
        <v>35.07788957872188</v>
      </c>
      <c r="AZ113" s="63"/>
      <c r="BA113" s="63">
        <f t="shared" si="15"/>
        <v>0</v>
      </c>
      <c r="BB113" s="45"/>
      <c r="BC113" s="65">
        <v>4.4999999999999998E-2</v>
      </c>
      <c r="BD113" s="63">
        <f t="shared" si="13"/>
        <v>-5316.3744869547991</v>
      </c>
    </row>
    <row r="114" spans="1:56" ht="15" x14ac:dyDescent="0.25">
      <c r="A114" t="str">
        <f>+VLOOKUP(D114,Acronyme!$A$1:$C$50,3,FALSE)</f>
        <v>Hêtre commun</v>
      </c>
      <c r="B114" t="str">
        <f>+VLOOKUP(E114,Acronyme!$E$2:$I$50,5,FALSE)</f>
        <v>GS Hêtraies et hêtraies sapinières des Pyrénées</v>
      </c>
      <c r="C114" t="s">
        <v>264</v>
      </c>
      <c r="D114" s="43" t="s">
        <v>126</v>
      </c>
      <c r="E114" s="43" t="s">
        <v>127</v>
      </c>
      <c r="F114" s="43" t="s">
        <v>113</v>
      </c>
      <c r="G114" s="43" t="s">
        <v>100</v>
      </c>
      <c r="H114" s="43">
        <v>22</v>
      </c>
      <c r="I114" s="43">
        <v>55</v>
      </c>
      <c r="J114" s="43">
        <v>1666</v>
      </c>
      <c r="K114" s="43" t="s">
        <v>109</v>
      </c>
      <c r="L114" s="43" t="s">
        <v>103</v>
      </c>
      <c r="M114" s="43" t="s">
        <v>128</v>
      </c>
      <c r="N114" s="43"/>
      <c r="O114" s="43"/>
      <c r="P114" s="43">
        <v>42</v>
      </c>
      <c r="Q114" s="43">
        <v>19.510000000000002</v>
      </c>
      <c r="R114" s="43">
        <v>1402</v>
      </c>
      <c r="S114" s="43">
        <v>28.51</v>
      </c>
      <c r="T114" s="43">
        <v>50</v>
      </c>
      <c r="U114" s="43">
        <v>303</v>
      </c>
      <c r="V114" s="43">
        <v>595</v>
      </c>
      <c r="W114" s="43">
        <v>375</v>
      </c>
      <c r="X114" s="43">
        <v>75</v>
      </c>
      <c r="Y114" s="43">
        <v>4</v>
      </c>
      <c r="Z114" s="32">
        <v>48</v>
      </c>
      <c r="AA114" s="43" t="s">
        <v>63</v>
      </c>
      <c r="AB114" s="43">
        <v>22.07</v>
      </c>
      <c r="AC114" s="43">
        <v>648</v>
      </c>
      <c r="AD114" s="43">
        <v>17.96</v>
      </c>
      <c r="AE114" s="43">
        <v>18.79</v>
      </c>
      <c r="AF114" s="43">
        <v>26.31</v>
      </c>
      <c r="AG114" s="43">
        <v>169.793967380282</v>
      </c>
      <c r="AH114" s="43">
        <v>180.118857475694</v>
      </c>
      <c r="AI114" s="43">
        <v>220.46065364359001</v>
      </c>
      <c r="AJ114" s="43">
        <v>34.616502921426097</v>
      </c>
      <c r="AK114" s="43">
        <v>0.72117714419637702</v>
      </c>
      <c r="AL114" s="43">
        <v>0.94511711613306004</v>
      </c>
      <c r="AM114" s="43">
        <v>410.60004638493501</v>
      </c>
      <c r="AN114" s="43">
        <v>8.5541676330194694</v>
      </c>
      <c r="AO114" s="43">
        <v>15.923109509003201</v>
      </c>
      <c r="AP114" s="44">
        <v>252</v>
      </c>
      <c r="AQ114" s="44">
        <v>5.8499999999999979</v>
      </c>
      <c r="AR114" s="44">
        <v>17.192250165178823</v>
      </c>
      <c r="AS114" s="44">
        <v>53.702231209947001</v>
      </c>
      <c r="AT114" s="44">
        <v>0.88</v>
      </c>
      <c r="AU114" s="44">
        <v>0.2131040921029643</v>
      </c>
      <c r="AV114" s="44">
        <f t="shared" si="16"/>
        <v>53.702231209947001</v>
      </c>
      <c r="AW114" s="44">
        <f>+VLOOKUP(C114,'Etape 1 - surface'!$A$5:$B$58,2,FALSE)</f>
        <v>0</v>
      </c>
      <c r="AX114" s="44">
        <f t="shared" si="14"/>
        <v>0</v>
      </c>
      <c r="AY114" s="44">
        <f>5.93488073153274+(78.4394250513347-5.93488073153274)/(1+EXP(-(1.03516193614659*AU114+-2.09091784316379)))</f>
        <v>15.614573164196976</v>
      </c>
      <c r="AZ114" s="63"/>
      <c r="BA114" s="63">
        <f t="shared" si="15"/>
        <v>0</v>
      </c>
      <c r="BB114" s="45"/>
      <c r="BC114" s="65">
        <v>4.4999999999999998E-2</v>
      </c>
      <c r="BD114" s="63">
        <f t="shared" si="13"/>
        <v>-5316.3744869547991</v>
      </c>
    </row>
    <row r="115" spans="1:56" ht="14.45" customHeight="1" x14ac:dyDescent="0.25">
      <c r="A115" t="str">
        <f>+VLOOKUP(D115,Acronyme!$A$1:$C$50,3,FALSE)</f>
        <v>Chêne sessile</v>
      </c>
      <c r="B115" t="str">
        <f>+VLOOKUP(E115,Acronyme!$E$2:$I$50,5,FALSE)</f>
        <v>Guide chênaie continentale</v>
      </c>
      <c r="C115" t="s">
        <v>264</v>
      </c>
      <c r="D115" s="43" t="s">
        <v>60</v>
      </c>
      <c r="E115" s="43" t="s">
        <v>65</v>
      </c>
      <c r="F115" s="43" t="s">
        <v>66</v>
      </c>
      <c r="G115" s="43" t="s">
        <v>100</v>
      </c>
      <c r="H115" s="43">
        <v>21.5</v>
      </c>
      <c r="I115" s="43" t="s">
        <v>144</v>
      </c>
      <c r="J115" s="43">
        <v>1666</v>
      </c>
      <c r="K115" s="43" t="s">
        <v>109</v>
      </c>
      <c r="L115" s="43" t="s">
        <v>103</v>
      </c>
      <c r="M115" s="43" t="s">
        <v>143</v>
      </c>
      <c r="N115" s="43"/>
      <c r="O115" s="43"/>
      <c r="P115" s="43">
        <v>35</v>
      </c>
      <c r="Q115" s="43">
        <v>16.59</v>
      </c>
      <c r="R115" s="43">
        <v>1453</v>
      </c>
      <c r="S115" s="43">
        <v>26.19</v>
      </c>
      <c r="T115" s="43">
        <v>41</v>
      </c>
      <c r="U115" s="43">
        <v>369</v>
      </c>
      <c r="V115" s="43">
        <v>713</v>
      </c>
      <c r="W115" s="43">
        <v>301</v>
      </c>
      <c r="X115" s="43">
        <v>28</v>
      </c>
      <c r="Y115" s="43">
        <v>0</v>
      </c>
      <c r="Z115" s="32">
        <v>48</v>
      </c>
      <c r="AA115" s="43" t="s">
        <v>63</v>
      </c>
      <c r="AB115" s="43">
        <v>21.08</v>
      </c>
      <c r="AC115" s="43">
        <v>317</v>
      </c>
      <c r="AD115" s="43">
        <v>16.940000000000001</v>
      </c>
      <c r="AE115" s="43">
        <v>26.09</v>
      </c>
      <c r="AF115" s="43">
        <v>29.51</v>
      </c>
      <c r="AG115" s="43">
        <v>172.997182750831</v>
      </c>
      <c r="AH115" s="43">
        <v>188.315780577282</v>
      </c>
      <c r="AI115" s="43">
        <v>213.52141538903101</v>
      </c>
      <c r="AJ115" s="43">
        <v>38.873824760363703</v>
      </c>
      <c r="AK115" s="43">
        <v>0.80987134917424397</v>
      </c>
      <c r="AL115" s="43">
        <v>0.79160889310606097</v>
      </c>
      <c r="AM115" s="43">
        <v>441.67270538721198</v>
      </c>
      <c r="AN115" s="43">
        <v>9.2015146955669103</v>
      </c>
      <c r="AO115" s="43">
        <v>13.092048300206899</v>
      </c>
      <c r="AP115" s="44">
        <v>153</v>
      </c>
      <c r="AQ115" s="44">
        <v>5.7199999999999989</v>
      </c>
      <c r="AR115" s="44">
        <v>21.817619245347917</v>
      </c>
      <c r="AS115" s="44">
        <v>56.452891523423006</v>
      </c>
      <c r="AT115" s="44">
        <v>0.78</v>
      </c>
      <c r="AU115" s="44">
        <v>0.36897314721191504</v>
      </c>
      <c r="AV115" s="44">
        <f t="shared" si="16"/>
        <v>56.452891523422998</v>
      </c>
      <c r="AW115" s="44">
        <f>+VLOOKUP(C115,'Etape 1 - surface'!$A$5:$B$58,2,FALSE)</f>
        <v>0</v>
      </c>
      <c r="AX115" s="44">
        <f t="shared" si="14"/>
        <v>0</v>
      </c>
      <c r="AY115" s="44">
        <f>10.8374384236453+(405.147848531042-10.8374384236453)/(1+EXP(-(1.16387919746889*AU115+-2.8965970117006)))</f>
        <v>41.669721153708736</v>
      </c>
      <c r="AZ115" s="63"/>
      <c r="BA115" s="63">
        <f t="shared" si="15"/>
        <v>0</v>
      </c>
      <c r="BB115" s="45"/>
      <c r="BC115" s="65">
        <v>4.4999999999999998E-2</v>
      </c>
      <c r="BD115" s="63">
        <f t="shared" si="13"/>
        <v>-5316.3744869547991</v>
      </c>
    </row>
    <row r="116" spans="1:56" ht="14.45" customHeight="1" x14ac:dyDescent="0.25">
      <c r="A116" t="str">
        <f>+VLOOKUP(D116,Acronyme!$A$1:$C$50,3,FALSE)</f>
        <v>Douglas</v>
      </c>
      <c r="B116" t="str">
        <f>+VLOOKUP(E116,Acronyme!$E$2:$I$50,5,FALSE)</f>
        <v>National</v>
      </c>
      <c r="C116" t="s">
        <v>264</v>
      </c>
      <c r="D116" s="43" t="s">
        <v>97</v>
      </c>
      <c r="E116" s="43" t="s">
        <v>98</v>
      </c>
      <c r="F116" s="43" t="s">
        <v>99</v>
      </c>
      <c r="G116" s="43" t="s">
        <v>62</v>
      </c>
      <c r="H116" s="43">
        <v>33</v>
      </c>
      <c r="I116" s="43" t="s">
        <v>101</v>
      </c>
      <c r="J116" s="43">
        <v>1666</v>
      </c>
      <c r="K116" s="43" t="s">
        <v>102</v>
      </c>
      <c r="L116" s="43" t="s">
        <v>103</v>
      </c>
      <c r="M116" s="43" t="s">
        <v>104</v>
      </c>
      <c r="N116" s="43"/>
      <c r="O116" s="43" t="s">
        <v>112</v>
      </c>
      <c r="P116" s="43">
        <v>19</v>
      </c>
      <c r="Q116" s="43">
        <v>15.33</v>
      </c>
      <c r="R116" s="43">
        <v>1600</v>
      </c>
      <c r="S116" s="43">
        <v>14.8</v>
      </c>
      <c r="T116" s="43">
        <v>30</v>
      </c>
      <c r="U116" s="43">
        <v>428</v>
      </c>
      <c r="V116" s="43">
        <v>890</v>
      </c>
      <c r="W116" s="43">
        <v>240</v>
      </c>
      <c r="X116" s="43">
        <v>12</v>
      </c>
      <c r="Y116" s="43">
        <v>0</v>
      </c>
      <c r="Z116" s="32">
        <v>49</v>
      </c>
      <c r="AA116" s="43" t="s">
        <v>63</v>
      </c>
      <c r="AB116" s="43">
        <v>33.616595139505201</v>
      </c>
      <c r="AC116" s="43">
        <v>256</v>
      </c>
      <c r="AD116" s="43">
        <v>30.811171062318898</v>
      </c>
      <c r="AE116" s="43">
        <v>39.146161118532802</v>
      </c>
      <c r="AF116" s="43">
        <v>43.746220752514503</v>
      </c>
      <c r="AG116" s="43">
        <v>325.00508917807798</v>
      </c>
      <c r="AH116" s="43">
        <v>329.18615005708898</v>
      </c>
      <c r="AI116" s="43">
        <v>408.34712580508398</v>
      </c>
      <c r="AJ116" s="43">
        <v>75.642586265601807</v>
      </c>
      <c r="AK116" s="43">
        <v>1.5437262503183999</v>
      </c>
      <c r="AL116" s="43">
        <v>1.15130363973927</v>
      </c>
      <c r="AM116" s="43">
        <v>875.96066998225604</v>
      </c>
      <c r="AN116" s="43">
        <v>17.876748366984799</v>
      </c>
      <c r="AO116" s="43">
        <v>21.096548894577602</v>
      </c>
      <c r="AP116" s="44">
        <v>74</v>
      </c>
      <c r="AQ116" s="44">
        <v>8.7834281238921008</v>
      </c>
      <c r="AR116" s="44">
        <v>38.875073695382312</v>
      </c>
      <c r="AS116" s="44">
        <v>93.546532264506993</v>
      </c>
      <c r="AT116" s="44">
        <v>0.98925970810719865</v>
      </c>
      <c r="AU116" s="44">
        <v>1.2641423278987431</v>
      </c>
      <c r="AV116" s="44">
        <f t="shared" si="16"/>
        <v>93.546532264506993</v>
      </c>
      <c r="AW116" s="44">
        <f>+VLOOKUP(C116,'Etape 1 - surface'!$A$5:$B$58,2,FALSE)</f>
        <v>0</v>
      </c>
      <c r="AX116" s="44">
        <f t="shared" si="14"/>
        <v>0</v>
      </c>
      <c r="AY116" s="44">
        <f>17.058316746383+(70.7042249024703-17.058316746383)/(1+EXP(-(0.378583234479568*AU116+-0.73675928557405)))</f>
        <v>40.437852249177993</v>
      </c>
      <c r="AZ116" s="63"/>
      <c r="BA116" s="63">
        <f t="shared" si="15"/>
        <v>0</v>
      </c>
      <c r="BB116" s="45"/>
      <c r="BC116" s="65">
        <v>4.4999999999999998E-2</v>
      </c>
      <c r="BD116" s="63">
        <f t="shared" si="13"/>
        <v>-5316.3744869547991</v>
      </c>
    </row>
    <row r="117" spans="1:56" ht="15" x14ac:dyDescent="0.25">
      <c r="A117" t="str">
        <f>+VLOOKUP(D117,Acronyme!$A$1:$C$50,3,FALSE)</f>
        <v>Pin Laricio</v>
      </c>
      <c r="B117" t="str">
        <f>+VLOOKUP(E117,Acronyme!$E$2:$I$50,5,FALSE)</f>
        <v>GS Pineraies des plaines du Centre et du Nord Ouest</v>
      </c>
      <c r="C117" t="s">
        <v>264</v>
      </c>
      <c r="D117" s="43" t="s">
        <v>88</v>
      </c>
      <c r="E117" s="43" t="s">
        <v>89</v>
      </c>
      <c r="F117" s="43" t="s">
        <v>61</v>
      </c>
      <c r="G117" s="43" t="s">
        <v>62</v>
      </c>
      <c r="H117" s="43">
        <v>23.3</v>
      </c>
      <c r="I117" s="43" t="s">
        <v>101</v>
      </c>
      <c r="J117" s="43">
        <v>1666</v>
      </c>
      <c r="K117" s="43" t="s">
        <v>102</v>
      </c>
      <c r="L117" s="43" t="s">
        <v>103</v>
      </c>
      <c r="M117" s="43" t="s">
        <v>117</v>
      </c>
      <c r="N117" s="43"/>
      <c r="O117" s="43"/>
      <c r="P117" s="43">
        <v>22</v>
      </c>
      <c r="Q117" s="43">
        <v>11.13</v>
      </c>
      <c r="R117" s="43">
        <v>1444</v>
      </c>
      <c r="S117" s="43">
        <v>25.27</v>
      </c>
      <c r="T117" s="43">
        <v>1</v>
      </c>
      <c r="U117" s="43">
        <v>272</v>
      </c>
      <c r="V117" s="43">
        <v>985</v>
      </c>
      <c r="W117" s="43">
        <v>187</v>
      </c>
      <c r="X117" s="43">
        <v>0</v>
      </c>
      <c r="Y117" s="43">
        <v>0</v>
      </c>
      <c r="Z117" s="32">
        <v>49</v>
      </c>
      <c r="AA117" s="43" t="s">
        <v>63</v>
      </c>
      <c r="AB117" s="43">
        <v>23.02</v>
      </c>
      <c r="AC117" s="43">
        <v>276</v>
      </c>
      <c r="AD117" s="43">
        <v>27.03</v>
      </c>
      <c r="AE117" s="43">
        <v>35.31</v>
      </c>
      <c r="AF117" s="43">
        <v>37.24</v>
      </c>
      <c r="AG117" s="43">
        <v>244.30236963273001</v>
      </c>
      <c r="AH117" s="43">
        <v>249.149557008107</v>
      </c>
      <c r="AI117" s="43">
        <v>307.39069713541301</v>
      </c>
      <c r="AJ117" s="43">
        <v>61.516867234532299</v>
      </c>
      <c r="AK117" s="43">
        <v>1.2554462700925</v>
      </c>
      <c r="AL117" s="43">
        <v>0.95293266723880099</v>
      </c>
      <c r="AM117" s="43">
        <v>601.81200609446603</v>
      </c>
      <c r="AN117" s="43">
        <v>12.2818776753973</v>
      </c>
      <c r="AO117" s="43">
        <v>14.2622965001529</v>
      </c>
      <c r="AP117" s="44">
        <v>77</v>
      </c>
      <c r="AQ117" s="44">
        <v>6.019999999999996</v>
      </c>
      <c r="AR117" s="44">
        <v>31.550623224967424</v>
      </c>
      <c r="AS117" s="44">
        <v>53.512595061378022</v>
      </c>
      <c r="AT117" s="44">
        <v>0.83487744438921907</v>
      </c>
      <c r="AU117" s="44">
        <v>0.69496876703088339</v>
      </c>
      <c r="AV117" s="44">
        <f t="shared" si="16"/>
        <v>53.512595061378022</v>
      </c>
      <c r="AW117" s="44">
        <f>+VLOOKUP(C117,'Etape 1 - surface'!$A$5:$B$58,2,FALSE)</f>
        <v>0</v>
      </c>
      <c r="AX117" s="44">
        <f t="shared" si="14"/>
        <v>0</v>
      </c>
      <c r="AY117" s="44">
        <f>10.0046474463505+(37.1112351801373-10.0046474463505)/(1+EXP(-(0.581180949782075*AU117+-0.955447614584994)))</f>
        <v>19.912268716203073</v>
      </c>
      <c r="AZ117" s="63"/>
      <c r="BA117" s="63">
        <f t="shared" si="15"/>
        <v>0</v>
      </c>
      <c r="BB117" s="45"/>
      <c r="BC117" s="65">
        <v>4.4999999999999998E-2</v>
      </c>
      <c r="BD117" s="63">
        <f t="shared" si="13"/>
        <v>-5316.3744869547991</v>
      </c>
    </row>
    <row r="118" spans="1:56" ht="15" x14ac:dyDescent="0.25">
      <c r="A118" t="str">
        <f>+VLOOKUP(D118,Acronyme!$A$1:$C$50,3,FALSE)</f>
        <v>Pin d'Alep</v>
      </c>
      <c r="B118" t="str">
        <f>+VLOOKUP(E118,Acronyme!$E$2:$I$50,5,FALSE)</f>
        <v>Pin d'Alep</v>
      </c>
      <c r="C118" t="s">
        <v>264</v>
      </c>
      <c r="D118" s="43" t="s">
        <v>146</v>
      </c>
      <c r="E118" s="43" t="s">
        <v>147</v>
      </c>
      <c r="F118" s="43" t="s">
        <v>66</v>
      </c>
      <c r="G118" s="43" t="s">
        <v>100</v>
      </c>
      <c r="H118" s="43">
        <v>15.5</v>
      </c>
      <c r="I118" s="43" t="s">
        <v>148</v>
      </c>
      <c r="J118" s="43">
        <v>1100</v>
      </c>
      <c r="K118" s="43" t="s">
        <v>109</v>
      </c>
      <c r="L118" s="43" t="s">
        <v>103</v>
      </c>
      <c r="M118" s="43" t="s">
        <v>149</v>
      </c>
      <c r="N118" s="43"/>
      <c r="O118" s="43"/>
      <c r="P118" s="43">
        <v>15</v>
      </c>
      <c r="Q118" s="43">
        <v>4.33</v>
      </c>
      <c r="R118" s="43">
        <v>1101</v>
      </c>
      <c r="S118" s="43">
        <v>4.92</v>
      </c>
      <c r="T118" s="43">
        <v>569</v>
      </c>
      <c r="U118" s="43">
        <v>532</v>
      </c>
      <c r="V118" s="43">
        <v>0</v>
      </c>
      <c r="W118" s="43">
        <v>0</v>
      </c>
      <c r="X118" s="43">
        <v>0</v>
      </c>
      <c r="Y118" s="43">
        <v>0</v>
      </c>
      <c r="Z118" s="32">
        <v>49</v>
      </c>
      <c r="AA118" s="43" t="s">
        <v>63</v>
      </c>
      <c r="AB118" s="43">
        <v>15.31</v>
      </c>
      <c r="AC118" s="43">
        <v>531</v>
      </c>
      <c r="AD118" s="43">
        <v>17.57</v>
      </c>
      <c r="AE118" s="43">
        <v>20.53</v>
      </c>
      <c r="AF118" s="43">
        <v>23.99</v>
      </c>
      <c r="AG118" s="43">
        <v>111.02234696836</v>
      </c>
      <c r="AH118" s="43">
        <v>113.535559705287</v>
      </c>
      <c r="AI118" s="43">
        <v>160.39019982833901</v>
      </c>
      <c r="AJ118" s="43">
        <v>29.1861494906126</v>
      </c>
      <c r="AK118" s="43">
        <v>0.59563570389005305</v>
      </c>
      <c r="AL118" s="43">
        <v>0.60754092440704</v>
      </c>
      <c r="AM118" s="43">
        <v>254.806710543376</v>
      </c>
      <c r="AN118" s="43">
        <v>5.2001369498648096</v>
      </c>
      <c r="AO118" s="43">
        <v>7.4711114350433299</v>
      </c>
      <c r="AP118" s="44">
        <v>218</v>
      </c>
      <c r="AQ118" s="44">
        <v>7.1699999999999982</v>
      </c>
      <c r="AR118" s="44">
        <v>20.463805075149658</v>
      </c>
      <c r="AS118" s="44">
        <v>45.238589528192009</v>
      </c>
      <c r="AT118" s="44">
        <v>1</v>
      </c>
      <c r="AU118" s="44">
        <v>0.20751646572565141</v>
      </c>
      <c r="AV118" s="44">
        <f t="shared" si="16"/>
        <v>45.238589528192009</v>
      </c>
      <c r="AW118" s="44">
        <f>+VLOOKUP(C118,'Etape 1 - surface'!$A$5:$B$58,2,FALSE)</f>
        <v>0</v>
      </c>
      <c r="AX118" s="44">
        <f t="shared" si="14"/>
        <v>0</v>
      </c>
      <c r="AY118" s="44">
        <f>10.0046474463505+(37.1112351801373-10.0046474463505)/(1+EXP(-(0.581180949782075*AU118+-0.955447614584994)))</f>
        <v>18.207697743588419</v>
      </c>
      <c r="AZ118" s="63"/>
      <c r="BA118" s="63">
        <f t="shared" si="15"/>
        <v>0</v>
      </c>
      <c r="BB118" s="45"/>
      <c r="BC118" s="65">
        <v>4.4999999999999998E-2</v>
      </c>
      <c r="BD118" s="63">
        <f t="shared" si="13"/>
        <v>-5316.3744869547991</v>
      </c>
    </row>
    <row r="119" spans="1:56" ht="14.45" customHeight="1" x14ac:dyDescent="0.25">
      <c r="C119" t="s">
        <v>262</v>
      </c>
      <c r="D119" s="43" t="s">
        <v>207</v>
      </c>
      <c r="E119" s="43" t="s">
        <v>208</v>
      </c>
      <c r="F119" s="43" t="s">
        <v>259</v>
      </c>
      <c r="G119" s="43" t="s">
        <v>62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2">
        <v>49</v>
      </c>
      <c r="AA119" s="43" t="s">
        <v>63</v>
      </c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44">
        <v>282</v>
      </c>
      <c r="AQ119" s="1"/>
      <c r="AR119" s="1"/>
      <c r="AS119" s="1"/>
      <c r="AT119" s="1"/>
      <c r="AU119" s="44">
        <f>AV119/AP119</f>
        <v>0.3546099290780142</v>
      </c>
      <c r="AV119" s="44">
        <v>100</v>
      </c>
      <c r="AW119" s="44">
        <f>+VLOOKUP(C119,'Etape 1 - surface'!$A$5:$B$58,2,FALSE)</f>
        <v>0</v>
      </c>
      <c r="AX119" s="44">
        <f t="shared" si="14"/>
        <v>0</v>
      </c>
      <c r="AY119" s="44">
        <f>82.5251889/(1+EXP(-(0.26195064*AU119+(-0.34406779))))</f>
        <v>36.107551194737056</v>
      </c>
      <c r="AZ119" s="63"/>
      <c r="BA119" s="63">
        <f t="shared" si="15"/>
        <v>0</v>
      </c>
      <c r="BB119" s="45"/>
      <c r="BC119" s="65">
        <v>4.4999999999999998E-2</v>
      </c>
      <c r="BD119" s="63">
        <f t="shared" si="13"/>
        <v>-5316.3744869547991</v>
      </c>
    </row>
    <row r="120" spans="1:56" ht="15" x14ac:dyDescent="0.25">
      <c r="A120" t="e">
        <f>+VLOOKUP(D120,Acronyme!$A$1:$C$34,3,FALSE)</f>
        <v>#N/A</v>
      </c>
      <c r="B120" t="e">
        <f>+VLOOKUP(E120,Acronyme!$E$2:$I$35,5,FALSE)</f>
        <v>#N/A</v>
      </c>
      <c r="C120" t="s">
        <v>240</v>
      </c>
      <c r="D120" s="43" t="s">
        <v>78</v>
      </c>
      <c r="E120" s="43" t="s">
        <v>68</v>
      </c>
      <c r="F120" s="43" t="s">
        <v>79</v>
      </c>
      <c r="G120" s="43" t="s">
        <v>62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32">
        <v>50</v>
      </c>
      <c r="AA120" s="43" t="s">
        <v>152</v>
      </c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4">
        <v>30</v>
      </c>
      <c r="AQ120" s="44"/>
      <c r="AR120" s="44"/>
      <c r="AS120" s="44"/>
      <c r="AT120" s="44"/>
      <c r="AU120" s="44">
        <v>2.2200000000000002</v>
      </c>
      <c r="AV120" s="44">
        <f t="shared" ref="AV120:AV126" si="18">+AU120*AP120</f>
        <v>66.600000000000009</v>
      </c>
      <c r="AW120" s="44">
        <f>+VLOOKUP(C120,'Etape 1 - surface'!$A$5:$B$58,2,FALSE)</f>
        <v>0</v>
      </c>
      <c r="AX120" s="44">
        <f t="shared" si="14"/>
        <v>0</v>
      </c>
      <c r="AY120" s="44">
        <v>20</v>
      </c>
      <c r="AZ120" s="63"/>
      <c r="BA120" s="63">
        <f t="shared" si="15"/>
        <v>0</v>
      </c>
      <c r="BB120" s="45"/>
      <c r="BC120" s="65">
        <v>4.4999999999999998E-2</v>
      </c>
      <c r="BD120" s="63">
        <f t="shared" si="13"/>
        <v>-5316.3744869547991</v>
      </c>
    </row>
    <row r="121" spans="1:56" ht="15" x14ac:dyDescent="0.25">
      <c r="A121" t="str">
        <f>+VLOOKUP(D121,Acronyme!$A$1:$C$50,3,FALSE)</f>
        <v>Pin sylvestre</v>
      </c>
      <c r="B121" t="str">
        <f>+VLOOKUP(E121,Acronyme!$E$2:$I$50,5,FALSE)</f>
        <v>GSM Alpes du Sud</v>
      </c>
      <c r="C121" t="s">
        <v>264</v>
      </c>
      <c r="D121" s="43" t="s">
        <v>106</v>
      </c>
      <c r="E121" s="43" t="s">
        <v>132</v>
      </c>
      <c r="F121" s="43" t="s">
        <v>137</v>
      </c>
      <c r="G121" s="43" t="s">
        <v>100</v>
      </c>
      <c r="H121" s="43">
        <v>15.1</v>
      </c>
      <c r="I121" s="43" t="s">
        <v>108</v>
      </c>
      <c r="J121" s="43">
        <v>1100</v>
      </c>
      <c r="K121" s="43" t="s">
        <v>109</v>
      </c>
      <c r="L121" s="43" t="s">
        <v>134</v>
      </c>
      <c r="M121" s="43" t="s">
        <v>135</v>
      </c>
      <c r="N121" s="43"/>
      <c r="O121" s="43"/>
      <c r="P121" s="43">
        <v>15</v>
      </c>
      <c r="Q121" s="43">
        <v>3.64</v>
      </c>
      <c r="R121" s="43">
        <v>6001</v>
      </c>
      <c r="S121" s="43">
        <v>9.11</v>
      </c>
      <c r="T121" s="43">
        <v>6001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  <c r="Z121" s="32">
        <v>50</v>
      </c>
      <c r="AA121" s="43" t="s">
        <v>63</v>
      </c>
      <c r="AB121" s="43">
        <v>15.11</v>
      </c>
      <c r="AC121" s="43">
        <v>622</v>
      </c>
      <c r="AD121" s="43">
        <v>25.07</v>
      </c>
      <c r="AE121" s="43">
        <v>22.65</v>
      </c>
      <c r="AF121" s="43">
        <v>25.89</v>
      </c>
      <c r="AG121" s="43">
        <v>171.032584781628</v>
      </c>
      <c r="AH121" s="43">
        <v>173.17409454441099</v>
      </c>
      <c r="AI121" s="43">
        <v>218.063650410702</v>
      </c>
      <c r="AJ121" s="43">
        <v>40.026056888297802</v>
      </c>
      <c r="AK121" s="43">
        <v>0.80052113776595601</v>
      </c>
      <c r="AL121" s="43">
        <v>0.70453143064024604</v>
      </c>
      <c r="AM121" s="43">
        <v>344.726420957691</v>
      </c>
      <c r="AN121" s="43">
        <v>6.8945284191538203</v>
      </c>
      <c r="AO121" s="43">
        <v>7.6074783436160303</v>
      </c>
      <c r="AP121" s="44">
        <v>397</v>
      </c>
      <c r="AQ121" s="44">
        <v>13.07</v>
      </c>
      <c r="AR121" s="44">
        <v>20.473759607992331</v>
      </c>
      <c r="AS121" s="44">
        <v>88.674366022460021</v>
      </c>
      <c r="AT121" s="44">
        <v>0.88</v>
      </c>
      <c r="AU121" s="44">
        <v>0.22336112348226705</v>
      </c>
      <c r="AV121" s="44">
        <f t="shared" si="18"/>
        <v>88.674366022460021</v>
      </c>
      <c r="AW121" s="44">
        <f>+VLOOKUP(C121,'Etape 1 - surface'!$A$5:$B$58,2,FALSE)</f>
        <v>0</v>
      </c>
      <c r="AX121" s="44">
        <f t="shared" si="14"/>
        <v>0</v>
      </c>
      <c r="AY121" s="44">
        <f>10.0046474463505+(37.1112351801373-10.0046474463505)/(1+EXP(-(0.581180949782075*AU121+-0.955447614584994)))</f>
        <v>18.260472330960475</v>
      </c>
      <c r="AZ121" s="63"/>
      <c r="BA121" s="63">
        <f t="shared" si="15"/>
        <v>0</v>
      </c>
      <c r="BB121" s="45"/>
      <c r="BC121" s="65">
        <v>4.4999999999999998E-2</v>
      </c>
      <c r="BD121" s="63">
        <f t="shared" si="13"/>
        <v>-5316.3744869547991</v>
      </c>
    </row>
    <row r="122" spans="1:56" ht="15" x14ac:dyDescent="0.25">
      <c r="A122" t="str">
        <f>+VLOOKUP(D122,Acronyme!$A$1:$C$50,3,FALSE)</f>
        <v>Sapin pectiné</v>
      </c>
      <c r="B122" t="str">
        <f>+VLOOKUP(E122,Acronyme!$E$2:$I$50,5,FALSE)</f>
        <v>GSM Alpes du Sud</v>
      </c>
      <c r="C122" t="s">
        <v>264</v>
      </c>
      <c r="D122" s="43" t="s">
        <v>129</v>
      </c>
      <c r="E122" s="43" t="s">
        <v>132</v>
      </c>
      <c r="F122" s="43" t="s">
        <v>141</v>
      </c>
      <c r="G122" s="43" t="s">
        <v>100</v>
      </c>
      <c r="H122" s="43">
        <v>20.399999999999999</v>
      </c>
      <c r="I122" s="43" t="s">
        <v>101</v>
      </c>
      <c r="J122" s="43">
        <v>1600</v>
      </c>
      <c r="K122" s="43" t="s">
        <v>109</v>
      </c>
      <c r="L122" s="43" t="s">
        <v>134</v>
      </c>
      <c r="M122" s="43" t="s">
        <v>135</v>
      </c>
      <c r="N122" s="43"/>
      <c r="O122" s="43"/>
      <c r="P122" s="43">
        <v>40</v>
      </c>
      <c r="Q122" s="43">
        <v>16.829999999999998</v>
      </c>
      <c r="R122" s="43">
        <v>1499</v>
      </c>
      <c r="S122" s="43">
        <v>24.88</v>
      </c>
      <c r="T122" s="43">
        <v>27</v>
      </c>
      <c r="U122" s="43">
        <v>516</v>
      </c>
      <c r="V122" s="43">
        <v>633</v>
      </c>
      <c r="W122" s="43">
        <v>307</v>
      </c>
      <c r="X122" s="43">
        <v>15</v>
      </c>
      <c r="Y122" s="43">
        <v>0</v>
      </c>
      <c r="Z122" s="32">
        <v>50</v>
      </c>
      <c r="AA122" s="43" t="s">
        <v>63</v>
      </c>
      <c r="AB122" s="43">
        <v>20.399999999999999</v>
      </c>
      <c r="AC122" s="43">
        <v>722</v>
      </c>
      <c r="AD122" s="43">
        <v>29.04</v>
      </c>
      <c r="AE122" s="43">
        <v>22.63</v>
      </c>
      <c r="AF122" s="43">
        <v>28.04</v>
      </c>
      <c r="AG122" s="43">
        <v>257.61038433693</v>
      </c>
      <c r="AH122" s="43">
        <v>258.90542612479601</v>
      </c>
      <c r="AI122" s="43">
        <v>318.96838665223203</v>
      </c>
      <c r="AJ122" s="43">
        <v>44.746526359146799</v>
      </c>
      <c r="AK122" s="43">
        <v>0.89493052718293598</v>
      </c>
      <c r="AL122" s="43">
        <v>1.5088460250420499</v>
      </c>
      <c r="AM122" s="43">
        <v>464.38019683072002</v>
      </c>
      <c r="AN122" s="43">
        <v>9.2876039366143903</v>
      </c>
      <c r="AO122" s="43">
        <v>21.125323627005201</v>
      </c>
      <c r="AP122" s="44">
        <v>719</v>
      </c>
      <c r="AQ122" s="44">
        <v>14.670000000000002</v>
      </c>
      <c r="AR122" s="44">
        <v>16.117796607241015</v>
      </c>
      <c r="AS122" s="44">
        <v>103.28623116706899</v>
      </c>
      <c r="AT122" s="44">
        <v>0.67</v>
      </c>
      <c r="AU122" s="44">
        <v>0.14365261636588178</v>
      </c>
      <c r="AV122" s="44">
        <f t="shared" si="18"/>
        <v>103.286231167069</v>
      </c>
      <c r="AW122" s="44">
        <f>+VLOOKUP(C122,'Etape 1 - surface'!$A$5:$B$58,2,FALSE)</f>
        <v>0</v>
      </c>
      <c r="AX122" s="44">
        <f t="shared" si="14"/>
        <v>0</v>
      </c>
      <c r="AY122" s="44">
        <f>12.60067150914+(56.0435691950881-12.60067150914)/(1+EXP(-(0.12255140894824*AU122+-0.18958347271504)))</f>
        <v>32.458897774871588</v>
      </c>
      <c r="AZ122" s="63"/>
      <c r="BA122" s="63">
        <f t="shared" si="15"/>
        <v>0</v>
      </c>
      <c r="BB122" s="45"/>
      <c r="BC122" s="65">
        <v>4.4999999999999998E-2</v>
      </c>
      <c r="BD122" s="63">
        <f t="shared" si="13"/>
        <v>-5316.3744869547991</v>
      </c>
    </row>
    <row r="123" spans="1:56" ht="15" x14ac:dyDescent="0.25">
      <c r="A123" t="str">
        <f>+VLOOKUP(D123,Acronyme!$A$1:$C$50,3,FALSE)</f>
        <v>Chêne sessile</v>
      </c>
      <c r="B123" t="str">
        <f>+VLOOKUP(E123,Acronyme!$E$2:$I$50,5,FALSE)</f>
        <v>Guide chênaie atlantique</v>
      </c>
      <c r="C123" t="s">
        <v>264</v>
      </c>
      <c r="D123" s="43" t="s">
        <v>60</v>
      </c>
      <c r="E123" s="43" t="s">
        <v>150</v>
      </c>
      <c r="F123" s="43" t="s">
        <v>61</v>
      </c>
      <c r="G123" s="43" t="s">
        <v>100</v>
      </c>
      <c r="H123" s="43">
        <v>21.5</v>
      </c>
      <c r="I123" s="43" t="s">
        <v>151</v>
      </c>
      <c r="J123" s="43">
        <v>1666</v>
      </c>
      <c r="K123" s="43" t="s">
        <v>109</v>
      </c>
      <c r="L123" s="43" t="s">
        <v>103</v>
      </c>
      <c r="M123" s="43" t="s">
        <v>143</v>
      </c>
      <c r="N123" s="43"/>
      <c r="O123" s="43"/>
      <c r="P123" s="43">
        <v>34</v>
      </c>
      <c r="Q123" s="43">
        <v>16.2</v>
      </c>
      <c r="R123" s="43">
        <v>1451</v>
      </c>
      <c r="S123" s="43">
        <v>23.57</v>
      </c>
      <c r="T123" s="43">
        <v>44</v>
      </c>
      <c r="U123" s="43">
        <v>444</v>
      </c>
      <c r="V123" s="43">
        <v>742</v>
      </c>
      <c r="W123" s="43">
        <v>211</v>
      </c>
      <c r="X123" s="43">
        <v>10</v>
      </c>
      <c r="Y123" s="43">
        <v>0</v>
      </c>
      <c r="Z123" s="32">
        <v>50</v>
      </c>
      <c r="AA123" s="43" t="s">
        <v>63</v>
      </c>
      <c r="AB123" s="43">
        <v>21.73</v>
      </c>
      <c r="AC123" s="43">
        <v>485</v>
      </c>
      <c r="AD123" s="43">
        <v>21.21</v>
      </c>
      <c r="AE123" s="43">
        <v>23.6</v>
      </c>
      <c r="AF123" s="43">
        <v>28.8</v>
      </c>
      <c r="AG123" s="43">
        <v>218.645362965358</v>
      </c>
      <c r="AH123" s="43">
        <v>234.562397251356</v>
      </c>
      <c r="AI123" s="43">
        <v>266.999365174638</v>
      </c>
      <c r="AJ123" s="43">
        <v>40.0906131380152</v>
      </c>
      <c r="AK123" s="43">
        <v>0.80181226276030404</v>
      </c>
      <c r="AL123" s="43">
        <v>0.87537556563914098</v>
      </c>
      <c r="AM123" s="43">
        <v>468.10019709821501</v>
      </c>
      <c r="AN123" s="43">
        <v>9.3620039419642893</v>
      </c>
      <c r="AO123" s="43">
        <v>14.843537335592</v>
      </c>
      <c r="AP123" s="44">
        <v>198</v>
      </c>
      <c r="AQ123" s="44">
        <v>6.5999999999999979</v>
      </c>
      <c r="AR123" s="44">
        <v>20.601290774570106</v>
      </c>
      <c r="AS123" s="44">
        <v>65.706054613776985</v>
      </c>
      <c r="AT123" s="44">
        <v>0.82</v>
      </c>
      <c r="AU123" s="44">
        <v>0.33184876067564134</v>
      </c>
      <c r="AV123" s="44">
        <f t="shared" si="18"/>
        <v>65.706054613776985</v>
      </c>
      <c r="AW123" s="44">
        <f>+VLOOKUP(C123,'Etape 1 - surface'!$A$5:$B$58,2,FALSE)</f>
        <v>0</v>
      </c>
      <c r="AX123" s="44">
        <f t="shared" si="14"/>
        <v>0</v>
      </c>
      <c r="AY123" s="44">
        <f>10.8374384236453+(405.147848531042-10.8374384236453)/(1+EXP(-(1.16387919746889*AU123+-2.8965970117006)))</f>
        <v>40.463845403229392</v>
      </c>
      <c r="AZ123" s="63"/>
      <c r="BA123" s="63">
        <f t="shared" si="15"/>
        <v>0</v>
      </c>
      <c r="BB123" s="45"/>
      <c r="BC123" s="65">
        <v>4.4999999999999998E-2</v>
      </c>
      <c r="BD123" s="63">
        <f t="shared" si="13"/>
        <v>-5316.3744869547991</v>
      </c>
    </row>
    <row r="124" spans="1:56" ht="15" x14ac:dyDescent="0.25">
      <c r="A124" t="str">
        <f>+VLOOKUP(D124,Acronyme!$A$1:$C$50,3,FALSE)</f>
        <v>Chêne sessile</v>
      </c>
      <c r="B124" t="str">
        <f>+VLOOKUP(E124,Acronyme!$E$2:$I$50,5,FALSE)</f>
        <v>Guide chênaie atlantique</v>
      </c>
      <c r="C124" t="s">
        <v>264</v>
      </c>
      <c r="D124" s="43" t="s">
        <v>60</v>
      </c>
      <c r="E124" s="43" t="s">
        <v>150</v>
      </c>
      <c r="F124" s="43" t="s">
        <v>61</v>
      </c>
      <c r="G124" s="43" t="s">
        <v>62</v>
      </c>
      <c r="H124" s="43">
        <v>18.18</v>
      </c>
      <c r="I124" s="43" t="s">
        <v>142</v>
      </c>
      <c r="J124" s="43">
        <v>1666</v>
      </c>
      <c r="K124" s="43" t="s">
        <v>109</v>
      </c>
      <c r="L124" s="43" t="s">
        <v>103</v>
      </c>
      <c r="M124" s="43" t="s">
        <v>143</v>
      </c>
      <c r="N124" s="43"/>
      <c r="O124" s="43"/>
      <c r="P124" s="43">
        <v>42</v>
      </c>
      <c r="Q124" s="43">
        <v>16.02</v>
      </c>
      <c r="R124" s="43">
        <v>1451</v>
      </c>
      <c r="S124" s="43">
        <v>23.57</v>
      </c>
      <c r="T124" s="43">
        <v>44</v>
      </c>
      <c r="U124" s="43">
        <v>444</v>
      </c>
      <c r="V124" s="43">
        <v>742</v>
      </c>
      <c r="W124" s="43">
        <v>211</v>
      </c>
      <c r="X124" s="43">
        <v>10</v>
      </c>
      <c r="Y124" s="43">
        <v>0</v>
      </c>
      <c r="Z124" s="32">
        <v>50</v>
      </c>
      <c r="AA124" s="43" t="s">
        <v>63</v>
      </c>
      <c r="AB124" s="43">
        <v>18.190000000000001</v>
      </c>
      <c r="AC124" s="43">
        <v>663</v>
      </c>
      <c r="AD124" s="43">
        <v>18.7</v>
      </c>
      <c r="AE124" s="43">
        <v>18.95</v>
      </c>
      <c r="AF124" s="43">
        <v>23.92</v>
      </c>
      <c r="AG124" s="43">
        <v>158.271280803248</v>
      </c>
      <c r="AH124" s="43">
        <v>169.14538794027001</v>
      </c>
      <c r="AI124" s="43">
        <v>201.161741030131</v>
      </c>
      <c r="AJ124" s="43">
        <v>30.1761412680532</v>
      </c>
      <c r="AK124" s="43">
        <v>0.60352282536106405</v>
      </c>
      <c r="AL124" s="43">
        <v>0.76364218135839901</v>
      </c>
      <c r="AM124" s="43">
        <v>309.71046095553999</v>
      </c>
      <c r="AN124" s="43">
        <v>6.1942092191107898</v>
      </c>
      <c r="AO124" s="43">
        <v>11.0347752165736</v>
      </c>
      <c r="AP124" s="44">
        <v>216</v>
      </c>
      <c r="AQ124" s="44">
        <v>4.6000000000000014</v>
      </c>
      <c r="AR124" s="44">
        <v>16.466719952935811</v>
      </c>
      <c r="AS124" s="44">
        <v>37.018356768638</v>
      </c>
      <c r="AT124" s="44">
        <v>0.8</v>
      </c>
      <c r="AU124" s="44">
        <v>0.17138128133628705</v>
      </c>
      <c r="AV124" s="44">
        <f t="shared" si="18"/>
        <v>37.018356768638</v>
      </c>
      <c r="AW124" s="44">
        <f>+VLOOKUP(C124,'Etape 1 - surface'!$A$5:$B$58,2,FALSE)</f>
        <v>0</v>
      </c>
      <c r="AX124" s="44">
        <f t="shared" si="14"/>
        <v>0</v>
      </c>
      <c r="AY124" s="44">
        <f>10.8374384236453+(405.147848531042-10.8374384236453)/(1+EXP(-(1.16387919746889*AU124+-2.8965970117006)))</f>
        <v>35.735351652353991</v>
      </c>
      <c r="AZ124" s="63"/>
      <c r="BA124" s="63">
        <f t="shared" si="15"/>
        <v>0</v>
      </c>
      <c r="BB124" s="45"/>
      <c r="BC124" s="65">
        <v>4.4999999999999998E-2</v>
      </c>
      <c r="BD124" s="63">
        <f t="shared" si="13"/>
        <v>-5316.3744869547991</v>
      </c>
    </row>
    <row r="125" spans="1:56" ht="15" x14ac:dyDescent="0.25">
      <c r="C125" t="s">
        <v>282</v>
      </c>
      <c r="D125" s="43" t="s">
        <v>283</v>
      </c>
      <c r="E125" s="43" t="s">
        <v>68</v>
      </c>
      <c r="F125" s="43" t="s">
        <v>286</v>
      </c>
      <c r="G125" s="43" t="s">
        <v>62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32">
        <v>50</v>
      </c>
      <c r="AA125" s="43" t="s">
        <v>152</v>
      </c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4"/>
      <c r="AQ125" s="44"/>
      <c r="AR125" s="44"/>
      <c r="AS125" s="44"/>
      <c r="AT125" s="44"/>
      <c r="AU125" s="44"/>
      <c r="AV125" s="44">
        <v>293.85000000000002</v>
      </c>
      <c r="AW125" s="44">
        <f>+VLOOKUP(C125,'Etape 1 - surface'!$A$5:$B$58,2,FALSE)</f>
        <v>4.01</v>
      </c>
      <c r="AX125" s="44">
        <f t="shared" si="14"/>
        <v>1178.3385000000001</v>
      </c>
      <c r="AY125" s="45">
        <v>13.9</v>
      </c>
      <c r="AZ125" s="63" t="s">
        <v>280</v>
      </c>
      <c r="BA125" s="63">
        <f t="shared" si="15"/>
        <v>16378.905150000001</v>
      </c>
      <c r="BB125" s="45"/>
      <c r="BC125" s="65">
        <v>4.4999999999999998E-2</v>
      </c>
      <c r="BD125" s="63">
        <f t="shared" si="13"/>
        <v>-3503.0716309776817</v>
      </c>
    </row>
    <row r="126" spans="1:56" ht="15" x14ac:dyDescent="0.25">
      <c r="A126" t="str">
        <f>+VLOOKUP(D126,Acronyme!$A$1:$C$50,3,FALSE)</f>
        <v>Pin d'Alep</v>
      </c>
      <c r="B126" t="str">
        <f>+VLOOKUP(E126,Acronyme!$E$2:$I$50,5,FALSE)</f>
        <v>Pin d'Alep</v>
      </c>
      <c r="C126" t="s">
        <v>264</v>
      </c>
      <c r="D126" s="43" t="s">
        <v>146</v>
      </c>
      <c r="E126" s="43" t="s">
        <v>147</v>
      </c>
      <c r="F126" s="43" t="s">
        <v>61</v>
      </c>
      <c r="G126" s="43" t="s">
        <v>62</v>
      </c>
      <c r="H126" s="43">
        <v>12</v>
      </c>
      <c r="I126" s="43" t="s">
        <v>148</v>
      </c>
      <c r="J126" s="43">
        <v>1100</v>
      </c>
      <c r="K126" s="43" t="s">
        <v>109</v>
      </c>
      <c r="L126" s="43" t="s">
        <v>103</v>
      </c>
      <c r="M126" s="43" t="s">
        <v>149</v>
      </c>
      <c r="N126" s="43"/>
      <c r="O126" s="43"/>
      <c r="P126" s="43">
        <v>18</v>
      </c>
      <c r="Q126" s="43">
        <v>4.34</v>
      </c>
      <c r="R126" s="43">
        <v>1101</v>
      </c>
      <c r="S126" s="43">
        <v>4.92</v>
      </c>
      <c r="T126" s="43">
        <v>569</v>
      </c>
      <c r="U126" s="43">
        <v>532</v>
      </c>
      <c r="V126" s="43">
        <v>0</v>
      </c>
      <c r="W126" s="43">
        <v>0</v>
      </c>
      <c r="X126" s="43">
        <v>0</v>
      </c>
      <c r="Y126" s="43">
        <v>0</v>
      </c>
      <c r="Z126" s="32">
        <v>50</v>
      </c>
      <c r="AA126" s="43" t="s">
        <v>63</v>
      </c>
      <c r="AB126" s="43">
        <v>11.99</v>
      </c>
      <c r="AC126" s="43">
        <v>701</v>
      </c>
      <c r="AD126" s="43">
        <v>21.65</v>
      </c>
      <c r="AE126" s="43">
        <v>19.829999999999998</v>
      </c>
      <c r="AF126" s="43">
        <v>22.73</v>
      </c>
      <c r="AG126" s="43">
        <v>110.941037333919</v>
      </c>
      <c r="AH126" s="43">
        <v>114.267360699802</v>
      </c>
      <c r="AI126" s="43">
        <v>171.02794818350199</v>
      </c>
      <c r="AJ126" s="43">
        <v>30.376872600234002</v>
      </c>
      <c r="AK126" s="43">
        <v>0.60753745200468001</v>
      </c>
      <c r="AL126" s="43">
        <v>0.68857140325653499</v>
      </c>
      <c r="AM126" s="43">
        <v>236.86315822766099</v>
      </c>
      <c r="AN126" s="43">
        <v>4.7372631645532204</v>
      </c>
      <c r="AO126" s="43">
        <v>7.08192843622572</v>
      </c>
      <c r="AP126" s="44">
        <v>376</v>
      </c>
      <c r="AQ126" s="44">
        <v>8.3500000000000014</v>
      </c>
      <c r="AR126" s="44">
        <v>16.815290501266528</v>
      </c>
      <c r="AS126" s="44">
        <v>40.612101569882</v>
      </c>
      <c r="AT126" s="44">
        <v>0.8</v>
      </c>
      <c r="AU126" s="44">
        <v>0.10801090843053723</v>
      </c>
      <c r="AV126" s="44">
        <f t="shared" si="18"/>
        <v>40.612101569882</v>
      </c>
      <c r="AW126" s="44">
        <f>+VLOOKUP(C126,'Etape 1 - surface'!$A$5:$B$58,2,FALSE)</f>
        <v>0</v>
      </c>
      <c r="AX126" s="44">
        <f t="shared" si="14"/>
        <v>0</v>
      </c>
      <c r="AY126" s="44">
        <f>10.0046474463505+(37.1112351801373-10.0046474463505)/(1+EXP(-(0.581180949782075*AU126+-0.955447614584994)))</f>
        <v>17.880693429381701</v>
      </c>
      <c r="AZ126" s="63"/>
      <c r="BA126" s="63">
        <f t="shared" si="15"/>
        <v>0</v>
      </c>
      <c r="BB126" s="45"/>
      <c r="BC126" s="65">
        <v>4.4999999999999998E-2</v>
      </c>
      <c r="BD126" s="63">
        <f t="shared" si="13"/>
        <v>-3503.0716309776817</v>
      </c>
    </row>
    <row r="127" spans="1:56" ht="15" x14ac:dyDescent="0.25">
      <c r="C127" t="s">
        <v>264</v>
      </c>
      <c r="D127" s="43" t="s">
        <v>246</v>
      </c>
      <c r="E127" s="43" t="s">
        <v>238</v>
      </c>
      <c r="F127" s="43" t="s">
        <v>251</v>
      </c>
      <c r="G127" s="43" t="s">
        <v>114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32">
        <v>50</v>
      </c>
      <c r="AA127" s="43" t="s">
        <v>63</v>
      </c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4"/>
      <c r="AQ127" s="44"/>
      <c r="AR127" s="44"/>
      <c r="AS127" s="44"/>
      <c r="AT127" s="44"/>
      <c r="AU127" s="44">
        <v>0.56000000000000005</v>
      </c>
      <c r="AV127" s="44">
        <v>64</v>
      </c>
      <c r="AW127" s="44">
        <f>+VLOOKUP(C127,'Etape 1 - surface'!$A$5:$B$58,2,FALSE)</f>
        <v>0</v>
      </c>
      <c r="AX127" s="44">
        <f t="shared" si="14"/>
        <v>0</v>
      </c>
      <c r="AY127" s="44">
        <f>(86.135208)/(1+EXP(-(0.50064483*AU127+-0.6204261)))</f>
        <v>35.8144758905337</v>
      </c>
      <c r="AZ127" s="63"/>
      <c r="BA127" s="63">
        <f t="shared" si="15"/>
        <v>0</v>
      </c>
      <c r="BB127" s="45"/>
      <c r="BC127" s="65">
        <v>4.4999999999999998E-2</v>
      </c>
      <c r="BD127" s="63">
        <f t="shared" si="13"/>
        <v>-3503.0716309776817</v>
      </c>
    </row>
    <row r="128" spans="1:56" ht="15" x14ac:dyDescent="0.25">
      <c r="C128" t="s">
        <v>261</v>
      </c>
      <c r="D128" s="43" t="s">
        <v>207</v>
      </c>
      <c r="E128" s="43" t="s">
        <v>208</v>
      </c>
      <c r="F128" s="43" t="s">
        <v>258</v>
      </c>
      <c r="G128" s="43" t="s">
        <v>62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32">
        <v>50</v>
      </c>
      <c r="AA128" s="43" t="s">
        <v>63</v>
      </c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4">
        <v>186</v>
      </c>
      <c r="AQ128" s="44"/>
      <c r="AR128" s="44"/>
      <c r="AS128" s="44"/>
      <c r="AT128" s="44"/>
      <c r="AU128" s="44">
        <f>AV128/AP128</f>
        <v>0.56989247311827962</v>
      </c>
      <c r="AV128" s="44">
        <v>106</v>
      </c>
      <c r="AW128" s="44">
        <f>+VLOOKUP(C128,'Etape 1 - surface'!$A$5:$B$58,2,FALSE)</f>
        <v>0</v>
      </c>
      <c r="AX128" s="44">
        <f t="shared" si="14"/>
        <v>0</v>
      </c>
      <c r="AY128" s="44">
        <f>82.5251889/(1+EXP(-(0.26195064*AU128+(-0.34406779))))</f>
        <v>37.256603840784884</v>
      </c>
      <c r="AZ128" s="63"/>
      <c r="BA128" s="63">
        <f t="shared" si="15"/>
        <v>0</v>
      </c>
      <c r="BB128" s="45"/>
      <c r="BC128" s="65">
        <v>4.4999999999999998E-2</v>
      </c>
      <c r="BD128" s="63">
        <f t="shared" si="13"/>
        <v>-3503.0716309776817</v>
      </c>
    </row>
    <row r="129" spans="1:56" ht="15" x14ac:dyDescent="0.25">
      <c r="C129" t="s">
        <v>264</v>
      </c>
      <c r="D129" s="43" t="s">
        <v>246</v>
      </c>
      <c r="E129" s="43" t="s">
        <v>238</v>
      </c>
      <c r="F129" s="43" t="s">
        <v>247</v>
      </c>
      <c r="G129" s="43" t="s">
        <v>62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32">
        <v>50</v>
      </c>
      <c r="AA129" s="43" t="s">
        <v>63</v>
      </c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4"/>
      <c r="AQ129" s="44"/>
      <c r="AR129" s="44"/>
      <c r="AS129" s="44"/>
      <c r="AT129" s="44"/>
      <c r="AU129" s="44">
        <v>1.1000000000000001</v>
      </c>
      <c r="AV129" s="44">
        <v>84</v>
      </c>
      <c r="AW129" s="44">
        <f>+VLOOKUP(C129,'Etape 1 - surface'!$A$5:$B$58,2,FALSE)</f>
        <v>0</v>
      </c>
      <c r="AX129" s="44">
        <f t="shared" si="14"/>
        <v>0</v>
      </c>
      <c r="AY129" s="44">
        <f>(86.135208)/(1+EXP(-(0.50064483*AU129+-0.6204261)))</f>
        <v>41.566944284440837</v>
      </c>
      <c r="AZ129" s="63"/>
      <c r="BA129" s="63">
        <f t="shared" si="15"/>
        <v>0</v>
      </c>
      <c r="BB129" s="45"/>
      <c r="BC129" s="65">
        <v>4.4999999999999998E-2</v>
      </c>
      <c r="BD129" s="63">
        <f t="shared" si="13"/>
        <v>-3503.0716309776817</v>
      </c>
    </row>
    <row r="130" spans="1:56" ht="15" x14ac:dyDescent="0.25">
      <c r="C130" t="s">
        <v>264</v>
      </c>
      <c r="D130" s="43" t="s">
        <v>246</v>
      </c>
      <c r="E130" s="43" t="s">
        <v>238</v>
      </c>
      <c r="F130" s="43" t="s">
        <v>252</v>
      </c>
      <c r="G130" s="43" t="s">
        <v>100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32">
        <v>50</v>
      </c>
      <c r="AA130" s="43" t="s">
        <v>63</v>
      </c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4"/>
      <c r="AQ130" s="44"/>
      <c r="AR130" s="44"/>
      <c r="AS130" s="44"/>
      <c r="AT130" s="44"/>
      <c r="AU130" s="44">
        <v>0.5</v>
      </c>
      <c r="AV130" s="44">
        <v>108</v>
      </c>
      <c r="AW130" s="44">
        <f>+VLOOKUP(C130,'Etape 1 - surface'!$A$5:$B$58,2,FALSE)</f>
        <v>0</v>
      </c>
      <c r="AX130" s="44">
        <f t="shared" si="14"/>
        <v>0</v>
      </c>
      <c r="AY130" s="44">
        <f>(86.135208)/(1+EXP(-(0.50064483*AU130+-0.6204261)))</f>
        <v>35.187607862372445</v>
      </c>
      <c r="AZ130" s="63"/>
      <c r="BA130" s="63">
        <f t="shared" si="15"/>
        <v>0</v>
      </c>
      <c r="BB130" s="45"/>
      <c r="BC130" s="65">
        <v>4.4999999999999998E-2</v>
      </c>
      <c r="BD130" s="63">
        <f t="shared" si="13"/>
        <v>-3503.0716309776817</v>
      </c>
    </row>
    <row r="131" spans="1:56" ht="14.45" customHeight="1" x14ac:dyDescent="0.25">
      <c r="C131" t="s">
        <v>267</v>
      </c>
      <c r="D131" s="43" t="s">
        <v>78</v>
      </c>
      <c r="E131" s="43" t="s">
        <v>68</v>
      </c>
      <c r="F131" s="43" t="s">
        <v>79</v>
      </c>
      <c r="G131" s="43" t="s">
        <v>114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2">
        <v>50</v>
      </c>
      <c r="AA131" s="43" t="s">
        <v>152</v>
      </c>
      <c r="AB131" s="44">
        <v>30</v>
      </c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44">
        <v>30</v>
      </c>
      <c r="AQ131" s="1"/>
      <c r="AR131" s="1"/>
      <c r="AS131" s="1"/>
      <c r="AT131" s="1"/>
      <c r="AU131" s="44">
        <v>1.8</v>
      </c>
      <c r="AV131" s="44">
        <v>53.3</v>
      </c>
      <c r="AW131" s="44">
        <f>+VLOOKUP(C131,'Etape 1 - surface'!$A$5:$B$58,2,FALSE)</f>
        <v>0</v>
      </c>
      <c r="AX131" s="44">
        <f t="shared" si="14"/>
        <v>0</v>
      </c>
      <c r="AY131" s="44">
        <v>30</v>
      </c>
      <c r="AZ131" s="63"/>
      <c r="BA131" s="63">
        <f t="shared" si="15"/>
        <v>0</v>
      </c>
      <c r="BB131" s="45"/>
      <c r="BC131" s="65">
        <v>4.4999999999999998E-2</v>
      </c>
      <c r="BD131" s="63">
        <f t="shared" si="13"/>
        <v>-3503.0716309776817</v>
      </c>
    </row>
    <row r="132" spans="1:56" ht="14.45" customHeight="1" x14ac:dyDescent="0.25">
      <c r="A132" t="s">
        <v>271</v>
      </c>
      <c r="B132" t="s">
        <v>272</v>
      </c>
      <c r="C132" t="str">
        <f>+_xlfn.CONCAT(A132,"_",G132,"_",F132,"_",B132,"_")</f>
        <v>Sequoia sempervirens_FU_Guide britannique_Hamilton and Christie_</v>
      </c>
      <c r="D132" s="43" t="s">
        <v>268</v>
      </c>
      <c r="E132" s="43" t="s">
        <v>68</v>
      </c>
      <c r="F132" s="43" t="s">
        <v>269</v>
      </c>
      <c r="G132" s="43" t="s">
        <v>270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2">
        <v>50</v>
      </c>
      <c r="AA132" s="43" t="s">
        <v>63</v>
      </c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44">
        <v>29</v>
      </c>
      <c r="AQ132" s="1"/>
      <c r="AR132" s="1"/>
      <c r="AS132" s="1"/>
      <c r="AT132" s="1"/>
      <c r="AU132" s="44">
        <f>AV132/AP132</f>
        <v>8.7586206896551726</v>
      </c>
      <c r="AV132" s="44">
        <v>254</v>
      </c>
      <c r="AW132" s="44">
        <f>+VLOOKUP(C132,'Etape 1 - surface'!$A$5:$B$58,2,FALSE)</f>
        <v>0</v>
      </c>
      <c r="AX132" s="44">
        <f t="shared" si="14"/>
        <v>0</v>
      </c>
      <c r="AY132" s="44">
        <v>20</v>
      </c>
      <c r="AZ132" s="63"/>
      <c r="BA132" s="63">
        <f t="shared" si="15"/>
        <v>0</v>
      </c>
      <c r="BB132" s="45"/>
      <c r="BC132" s="65">
        <v>4.4999999999999998E-2</v>
      </c>
      <c r="BD132" s="63">
        <f t="shared" si="13"/>
        <v>-3503.0716309776817</v>
      </c>
    </row>
    <row r="133" spans="1:56" ht="14.45" customHeight="1" x14ac:dyDescent="0.25">
      <c r="A133" t="str">
        <f>+VLOOKUP(D133,Acronyme!$A$1:$C$50,3,FALSE)</f>
        <v>Chêne sessile</v>
      </c>
      <c r="B133" t="str">
        <f>+VLOOKUP(E133,Acronyme!$E$2:$I$50,5,FALSE)</f>
        <v>Guide chênaie continentale</v>
      </c>
      <c r="C133" t="s">
        <v>264</v>
      </c>
      <c r="D133" s="43" t="s">
        <v>60</v>
      </c>
      <c r="E133" s="43" t="s">
        <v>65</v>
      </c>
      <c r="F133" s="43" t="s">
        <v>66</v>
      </c>
      <c r="G133" s="43" t="s">
        <v>62</v>
      </c>
      <c r="H133" s="43">
        <v>18</v>
      </c>
      <c r="I133" s="43" t="s">
        <v>142</v>
      </c>
      <c r="J133" s="43">
        <v>1666</v>
      </c>
      <c r="K133" s="43" t="s">
        <v>109</v>
      </c>
      <c r="L133" s="43" t="s">
        <v>103</v>
      </c>
      <c r="M133" s="43" t="s">
        <v>143</v>
      </c>
      <c r="N133" s="43"/>
      <c r="O133" s="43"/>
      <c r="P133" s="43">
        <v>44</v>
      </c>
      <c r="Q133" s="43">
        <v>16.579999999999998</v>
      </c>
      <c r="R133" s="43">
        <v>1453</v>
      </c>
      <c r="S133" s="43">
        <v>26.19</v>
      </c>
      <c r="T133" s="43">
        <v>41</v>
      </c>
      <c r="U133" s="43">
        <v>369</v>
      </c>
      <c r="V133" s="43">
        <v>713</v>
      </c>
      <c r="W133" s="43">
        <v>301</v>
      </c>
      <c r="X133" s="43">
        <v>28</v>
      </c>
      <c r="Y133" s="43">
        <v>0</v>
      </c>
      <c r="Z133" s="32">
        <v>51</v>
      </c>
      <c r="AA133" s="43" t="s">
        <v>63</v>
      </c>
      <c r="AB133" s="43">
        <v>18.399999999999999</v>
      </c>
      <c r="AC133" s="43">
        <v>424</v>
      </c>
      <c r="AD133" s="43">
        <v>15.05</v>
      </c>
      <c r="AE133" s="43">
        <v>21.26</v>
      </c>
      <c r="AF133" s="43">
        <v>25.2</v>
      </c>
      <c r="AG133" s="43">
        <v>131.97313107935</v>
      </c>
      <c r="AH133" s="43">
        <v>142.83026659741199</v>
      </c>
      <c r="AI133" s="43">
        <v>167.23800109787899</v>
      </c>
      <c r="AJ133" s="43">
        <v>31.544314756854401</v>
      </c>
      <c r="AK133" s="43">
        <v>0.61851597562459604</v>
      </c>
      <c r="AL133" s="43">
        <v>0.63187414863137803</v>
      </c>
      <c r="AM133" s="43">
        <v>326.25589276179301</v>
      </c>
      <c r="AN133" s="43">
        <v>6.3971743678782902</v>
      </c>
      <c r="AO133" s="43">
        <v>9.1729869761408107</v>
      </c>
      <c r="AP133" s="44">
        <v>236</v>
      </c>
      <c r="AQ133" s="44">
        <v>5.379999999999999</v>
      </c>
      <c r="AR133" s="44">
        <v>17.036885147734125</v>
      </c>
      <c r="AS133" s="44">
        <v>44.224295764650009</v>
      </c>
      <c r="AT133" s="44">
        <v>0.74</v>
      </c>
      <c r="AU133" s="44">
        <v>0.18739108374851698</v>
      </c>
      <c r="AV133" s="44">
        <f>+AU133*AP133</f>
        <v>44.224295764650009</v>
      </c>
      <c r="AW133" s="44">
        <f>+VLOOKUP(C133,'Etape 1 - surface'!$A$5:$B$58,2,FALSE)</f>
        <v>0</v>
      </c>
      <c r="AX133" s="44">
        <f t="shared" si="14"/>
        <v>0</v>
      </c>
      <c r="AY133" s="44">
        <f>10.8374384236453+(405.147848531042-10.8374384236453)/(1+EXP(-(1.16387919746889*AU133+-2.8965970117006)))</f>
        <v>36.17354642741595</v>
      </c>
      <c r="AZ133" s="63"/>
      <c r="BA133" s="63">
        <f t="shared" si="15"/>
        <v>0</v>
      </c>
      <c r="BB133" s="45"/>
      <c r="BC133" s="65">
        <v>4.4999999999999998E-2</v>
      </c>
      <c r="BD133" s="63">
        <f t="shared" si="13"/>
        <v>-3503.0716309776817</v>
      </c>
    </row>
    <row r="134" spans="1:56" ht="15" x14ac:dyDescent="0.25">
      <c r="A134" t="str">
        <f>+VLOOKUP(D134,Acronyme!$A$1:$C$50,3,FALSE)</f>
        <v>Chene_pedoncule</v>
      </c>
      <c r="B134" t="str">
        <f>+VLOOKUP(E134,Acronyme!$E$2:$I$50,5,FALSE)</f>
        <v>Guide chênaie continentale</v>
      </c>
      <c r="C134" t="s">
        <v>264</v>
      </c>
      <c r="D134" s="43" t="s">
        <v>145</v>
      </c>
      <c r="E134" s="43" t="s">
        <v>65</v>
      </c>
      <c r="F134" s="43" t="s">
        <v>66</v>
      </c>
      <c r="G134" s="43" t="s">
        <v>100</v>
      </c>
      <c r="H134" s="43">
        <v>26</v>
      </c>
      <c r="I134" s="43" t="s">
        <v>144</v>
      </c>
      <c r="J134" s="43">
        <v>1600</v>
      </c>
      <c r="K134" s="43" t="s">
        <v>109</v>
      </c>
      <c r="L134" s="43" t="s">
        <v>103</v>
      </c>
      <c r="M134" s="43" t="s">
        <v>143</v>
      </c>
      <c r="N134" s="43"/>
      <c r="O134" s="43"/>
      <c r="P134" s="43">
        <v>31</v>
      </c>
      <c r="Q134" s="43">
        <v>16.22</v>
      </c>
      <c r="R134" s="43">
        <v>1446</v>
      </c>
      <c r="S134" s="43">
        <v>21.44</v>
      </c>
      <c r="T134" s="43">
        <v>65</v>
      </c>
      <c r="U134" s="43">
        <v>525</v>
      </c>
      <c r="V134" s="43">
        <v>696</v>
      </c>
      <c r="W134" s="43">
        <v>155</v>
      </c>
      <c r="X134" s="43">
        <v>5</v>
      </c>
      <c r="Y134" s="43">
        <v>0</v>
      </c>
      <c r="Z134" s="32">
        <v>51</v>
      </c>
      <c r="AA134" s="43" t="s">
        <v>63</v>
      </c>
      <c r="AB134" s="43">
        <v>23.82</v>
      </c>
      <c r="AC134" s="43">
        <v>192</v>
      </c>
      <c r="AD134" s="43">
        <v>15.71</v>
      </c>
      <c r="AE134" s="43">
        <v>32.28</v>
      </c>
      <c r="AF134" s="43">
        <v>34.57</v>
      </c>
      <c r="AG134" s="43">
        <v>180.70035624447999</v>
      </c>
      <c r="AH134" s="43">
        <v>200.03345154440501</v>
      </c>
      <c r="AI134" s="43">
        <v>222.98890925549401</v>
      </c>
      <c r="AJ134" s="43">
        <v>40.697385479633503</v>
      </c>
      <c r="AK134" s="43">
        <v>0.79798795058104899</v>
      </c>
      <c r="AL134" s="43">
        <v>0.79418891036485895</v>
      </c>
      <c r="AM134" s="43">
        <v>494.83327307631498</v>
      </c>
      <c r="AN134" s="43">
        <v>9.7026131975748005</v>
      </c>
      <c r="AO134" s="43">
        <v>14.554716566373401</v>
      </c>
      <c r="AP134" s="44">
        <v>64</v>
      </c>
      <c r="AQ134" s="44">
        <v>4.2199999999999989</v>
      </c>
      <c r="AR134" s="44">
        <v>28.974856769443186</v>
      </c>
      <c r="AS134" s="44">
        <v>47.919445096434998</v>
      </c>
      <c r="AT134" s="44">
        <v>0.85</v>
      </c>
      <c r="AU134" s="44">
        <v>0.74874132963179685</v>
      </c>
      <c r="AV134" s="44">
        <f>+AU134*AP134</f>
        <v>47.919445096434998</v>
      </c>
      <c r="AW134" s="44">
        <f>+VLOOKUP(C134,'Etape 1 - surface'!$A$5:$B$58,2,FALSE)</f>
        <v>0</v>
      </c>
      <c r="AX134" s="44">
        <f t="shared" si="14"/>
        <v>0</v>
      </c>
      <c r="AY134" s="44">
        <f>10.8374384236453+(405.147848531042-10.8374384236453)/(1+EXP(-(1.16387919746889*AU134+-2.8965970117006)))</f>
        <v>56.809007153566299</v>
      </c>
      <c r="AZ134" s="63"/>
      <c r="BA134" s="63">
        <f t="shared" si="15"/>
        <v>0</v>
      </c>
      <c r="BB134" s="45"/>
      <c r="BC134" s="65">
        <v>4.4999999999999998E-2</v>
      </c>
      <c r="BD134" s="63">
        <f t="shared" si="13"/>
        <v>-3503.0716309776817</v>
      </c>
    </row>
    <row r="135" spans="1:56" ht="14.45" customHeight="1" x14ac:dyDescent="0.25">
      <c r="C135" t="s">
        <v>264</v>
      </c>
      <c r="D135" s="43" t="s">
        <v>207</v>
      </c>
      <c r="E135" s="43" t="s">
        <v>208</v>
      </c>
      <c r="F135" s="43" t="s">
        <v>258</v>
      </c>
      <c r="G135" s="43" t="s">
        <v>114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2">
        <v>51</v>
      </c>
      <c r="AA135" s="43" t="s">
        <v>63</v>
      </c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44">
        <v>400</v>
      </c>
      <c r="AQ135" s="1"/>
      <c r="AR135" s="1"/>
      <c r="AS135" s="1"/>
      <c r="AT135" s="1"/>
      <c r="AU135" s="44">
        <f>AV135/AP135</f>
        <v>0.2475</v>
      </c>
      <c r="AV135" s="44">
        <v>99</v>
      </c>
      <c r="AW135" s="44">
        <f>+VLOOKUP(C135,'Etape 1 - surface'!$A$5:$B$58,2,FALSE)</f>
        <v>0</v>
      </c>
      <c r="AX135" s="44">
        <f t="shared" si="14"/>
        <v>0</v>
      </c>
      <c r="AY135" s="44">
        <f>82.5251889/(1+EXP(-(0.26195064*AU135+(-0.34406779))))</f>
        <v>35.538757465711164</v>
      </c>
      <c r="AZ135" s="63"/>
      <c r="BA135" s="63">
        <f t="shared" si="15"/>
        <v>0</v>
      </c>
      <c r="BB135" s="45"/>
      <c r="BC135" s="65">
        <v>4.4999999999999998E-2</v>
      </c>
      <c r="BD135" s="63">
        <f t="shared" si="13"/>
        <v>-3503.0716309776817</v>
      </c>
    </row>
    <row r="136" spans="1:56" ht="14.45" customHeight="1" x14ac:dyDescent="0.25">
      <c r="C136" t="s">
        <v>263</v>
      </c>
      <c r="D136" s="43" t="s">
        <v>207</v>
      </c>
      <c r="E136" s="43" t="s">
        <v>208</v>
      </c>
      <c r="F136" s="43" t="s">
        <v>259</v>
      </c>
      <c r="G136" s="43" t="s">
        <v>114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2">
        <v>51</v>
      </c>
      <c r="AA136" s="43" t="s">
        <v>63</v>
      </c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44">
        <v>651</v>
      </c>
      <c r="AQ136" s="1"/>
      <c r="AR136" s="1"/>
      <c r="AS136" s="1"/>
      <c r="AT136" s="1"/>
      <c r="AU136" s="44">
        <f>AV136/AP136</f>
        <v>0.26574500768049153</v>
      </c>
      <c r="AV136" s="44">
        <v>173</v>
      </c>
      <c r="AW136" s="44">
        <f>+VLOOKUP(C136,'Etape 1 - surface'!$A$5:$B$58,2,FALSE)</f>
        <v>0</v>
      </c>
      <c r="AX136" s="44">
        <f t="shared" si="14"/>
        <v>0</v>
      </c>
      <c r="AY136" s="44">
        <f>82.5251889/(1+EXP(-(0.26195064*AU136+(-0.34406779))))</f>
        <v>35.635494963139664</v>
      </c>
      <c r="AZ136" s="63"/>
      <c r="BA136" s="63">
        <f t="shared" si="15"/>
        <v>0</v>
      </c>
      <c r="BB136" s="45"/>
      <c r="BC136" s="65">
        <v>4.4999999999999998E-2</v>
      </c>
      <c r="BD136" s="63">
        <f t="shared" si="13"/>
        <v>-3503.0716309776817</v>
      </c>
    </row>
    <row r="137" spans="1:56" ht="15" x14ac:dyDescent="0.25">
      <c r="A137" t="str">
        <f>+VLOOKUP(D137,Acronyme!$A$1:$C$50,3,FALSE)</f>
        <v>Pin sylvestre</v>
      </c>
      <c r="B137" t="str">
        <f>+VLOOKUP(E137,Acronyme!$E$2:$I$50,5,FALSE)</f>
        <v>GS Pineraies des plaines du Centre et du Nord Ouest</v>
      </c>
      <c r="C137" t="s">
        <v>264</v>
      </c>
      <c r="D137" s="43" t="s">
        <v>106</v>
      </c>
      <c r="E137" s="43" t="s">
        <v>89</v>
      </c>
      <c r="F137" s="43" t="s">
        <v>115</v>
      </c>
      <c r="G137" s="43" t="s">
        <v>62</v>
      </c>
      <c r="H137" s="43">
        <v>23</v>
      </c>
      <c r="I137" s="43">
        <v>45</v>
      </c>
      <c r="J137" s="43">
        <v>2500</v>
      </c>
      <c r="K137" s="43" t="s">
        <v>109</v>
      </c>
      <c r="L137" s="43" t="s">
        <v>110</v>
      </c>
      <c r="M137" s="43" t="s">
        <v>111</v>
      </c>
      <c r="N137" s="43">
        <v>2003</v>
      </c>
      <c r="O137" s="43" t="s">
        <v>58</v>
      </c>
      <c r="P137" s="43">
        <v>28</v>
      </c>
      <c r="Q137" s="43">
        <v>13.5</v>
      </c>
      <c r="R137" s="43">
        <v>2157</v>
      </c>
      <c r="S137" s="43">
        <v>40.299999999999997</v>
      </c>
      <c r="T137" s="43">
        <v>0</v>
      </c>
      <c r="U137" s="43">
        <v>600</v>
      </c>
      <c r="V137" s="43">
        <v>1043</v>
      </c>
      <c r="W137" s="43">
        <v>457</v>
      </c>
      <c r="X137" s="43">
        <v>57</v>
      </c>
      <c r="Y137" s="43">
        <v>0</v>
      </c>
      <c r="Z137" s="32">
        <v>52</v>
      </c>
      <c r="AA137" s="43" t="s">
        <v>63</v>
      </c>
      <c r="AB137" s="43">
        <v>22.2</v>
      </c>
      <c r="AC137" s="43">
        <v>470</v>
      </c>
      <c r="AD137" s="43">
        <v>22.96</v>
      </c>
      <c r="AE137" s="43">
        <v>24.94</v>
      </c>
      <c r="AF137" s="43">
        <v>29.85</v>
      </c>
      <c r="AG137" s="43">
        <v>220.226030707284</v>
      </c>
      <c r="AH137" s="43">
        <v>221.68995790039401</v>
      </c>
      <c r="AI137" s="43">
        <v>257.71897883897901</v>
      </c>
      <c r="AJ137" s="43">
        <v>61.673043344199101</v>
      </c>
      <c r="AK137" s="43">
        <v>1.18602006431152</v>
      </c>
      <c r="AL137" s="43">
        <v>0.529853021601149</v>
      </c>
      <c r="AM137" s="43">
        <v>594.87904999132502</v>
      </c>
      <c r="AN137" s="43">
        <v>11.439981730602399</v>
      </c>
      <c r="AO137" s="43">
        <v>8.2485631586301906</v>
      </c>
      <c r="AP137" s="44">
        <v>180</v>
      </c>
      <c r="AQ137" s="44">
        <v>5.6199999999999974</v>
      </c>
      <c r="AR137" s="44">
        <v>19.938246665101293</v>
      </c>
      <c r="AS137" s="44">
        <v>51.189329487388022</v>
      </c>
      <c r="AT137" s="44">
        <v>0.71</v>
      </c>
      <c r="AU137" s="44">
        <v>0.28438516381882234</v>
      </c>
      <c r="AV137" s="44">
        <f t="shared" ref="AV137:AV154" si="19">+AU137*AP137</f>
        <v>51.189329487388022</v>
      </c>
      <c r="AW137" s="44">
        <f>+VLOOKUP(C137,'Etape 1 - surface'!$A$5:$B$58,2,FALSE)</f>
        <v>0</v>
      </c>
      <c r="AX137" s="44">
        <f t="shared" si="14"/>
        <v>0</v>
      </c>
      <c r="AY137" s="44">
        <f>10.0046474463505+(37.1112351801373-10.0046474463505)/(1+EXP(-(0.581180949782075*AU137+-0.955447614584994)))</f>
        <v>18.465494908099913</v>
      </c>
      <c r="AZ137" s="63"/>
      <c r="BA137" s="63">
        <f t="shared" si="15"/>
        <v>0</v>
      </c>
      <c r="BB137" s="45"/>
      <c r="BC137" s="65">
        <v>4.4999999999999998E-2</v>
      </c>
      <c r="BD137" s="63">
        <f t="shared" si="13"/>
        <v>-3503.0716309776817</v>
      </c>
    </row>
    <row r="138" spans="1:56" ht="15" x14ac:dyDescent="0.25">
      <c r="A138" t="str">
        <f>+VLOOKUP(D138,Acronyme!$A$1:$C$50,3,FALSE)</f>
        <v>Pin Maritime</v>
      </c>
      <c r="B138" t="str">
        <f>+VLOOKUP(E138,Acronyme!$E$2:$I$50,5,FALSE)</f>
        <v>GS Pineraies des plaines du Centre et du Nord Ouest</v>
      </c>
      <c r="C138" t="s">
        <v>264</v>
      </c>
      <c r="D138" s="43" t="s">
        <v>124</v>
      </c>
      <c r="E138" s="43" t="s">
        <v>89</v>
      </c>
      <c r="F138" s="43" t="s">
        <v>61</v>
      </c>
      <c r="G138" s="43" t="s">
        <v>62</v>
      </c>
      <c r="H138" s="43">
        <v>23</v>
      </c>
      <c r="I138" s="43">
        <v>50</v>
      </c>
      <c r="J138" s="43">
        <v>1250</v>
      </c>
      <c r="K138" s="43" t="s">
        <v>102</v>
      </c>
      <c r="L138" s="43" t="s">
        <v>103</v>
      </c>
      <c r="M138" s="43" t="s">
        <v>125</v>
      </c>
      <c r="N138" s="43"/>
      <c r="O138" s="43"/>
      <c r="P138" s="43">
        <v>17</v>
      </c>
      <c r="Q138" s="43">
        <v>11</v>
      </c>
      <c r="R138" s="43">
        <v>1251</v>
      </c>
      <c r="S138" s="43">
        <v>25.56</v>
      </c>
      <c r="T138" s="43">
        <v>13</v>
      </c>
      <c r="U138" s="43">
        <v>239</v>
      </c>
      <c r="V138" s="43">
        <v>629</v>
      </c>
      <c r="W138" s="43">
        <v>324</v>
      </c>
      <c r="X138" s="43">
        <v>46</v>
      </c>
      <c r="Y138" s="43">
        <v>0</v>
      </c>
      <c r="Z138" s="32">
        <v>52</v>
      </c>
      <c r="AA138" s="43" t="s">
        <v>63</v>
      </c>
      <c r="AB138" s="43">
        <v>24.16</v>
      </c>
      <c r="AC138" s="43">
        <v>218.2</v>
      </c>
      <c r="AD138" s="43">
        <v>29.55</v>
      </c>
      <c r="AE138" s="43">
        <v>41.52</v>
      </c>
      <c r="AF138" s="43">
        <v>45.21</v>
      </c>
      <c r="AG138" s="43">
        <v>302.09013894925801</v>
      </c>
      <c r="AH138" s="43">
        <v>305.98030150589102</v>
      </c>
      <c r="AI138" s="43">
        <v>351.03843091865798</v>
      </c>
      <c r="AJ138" s="43">
        <v>76.528960614536501</v>
      </c>
      <c r="AK138" s="43">
        <v>1.4717107810487799</v>
      </c>
      <c r="AL138" s="43">
        <v>0.84780423425621299</v>
      </c>
      <c r="AM138" s="43">
        <v>786.08874117002199</v>
      </c>
      <c r="AN138" s="43">
        <v>15.1170911763466</v>
      </c>
      <c r="AO138" s="43">
        <v>13.5633261158591</v>
      </c>
      <c r="AP138" s="44">
        <v>50</v>
      </c>
      <c r="AQ138" s="44">
        <v>6.6500000000000021</v>
      </c>
      <c r="AR138" s="44">
        <v>41.151046092387091</v>
      </c>
      <c r="AS138" s="44">
        <v>69.213382250763004</v>
      </c>
      <c r="AT138" s="44">
        <v>0.99</v>
      </c>
      <c r="AU138" s="44">
        <v>1.38426764501526</v>
      </c>
      <c r="AV138" s="44">
        <f t="shared" si="19"/>
        <v>69.213382250763004</v>
      </c>
      <c r="AW138" s="44">
        <f>+VLOOKUP(C138,'Etape 1 - surface'!$A$5:$B$58,2,FALSE)</f>
        <v>0</v>
      </c>
      <c r="AX138" s="44">
        <f t="shared" si="14"/>
        <v>0</v>
      </c>
      <c r="AY138" s="44">
        <f>14.9665006012713+(52.588398731357-14.9665006012713)/(1+EXP(-(0.927907412957439*AU138+-0.605044532722853)))</f>
        <v>39.932804114439435</v>
      </c>
      <c r="AZ138" s="63"/>
      <c r="BA138" s="63">
        <f t="shared" si="15"/>
        <v>0</v>
      </c>
      <c r="BB138" s="45"/>
      <c r="BC138" s="65">
        <v>4.4999999999999998E-2</v>
      </c>
      <c r="BD138" s="63">
        <f t="shared" si="13"/>
        <v>-3503.0716309776817</v>
      </c>
    </row>
    <row r="139" spans="1:56" ht="14.45" customHeight="1" x14ac:dyDescent="0.25">
      <c r="A139" t="str">
        <f>+VLOOKUP(D139,Acronyme!$A$1:$C$50,3,FALSE)</f>
        <v>Sapin pectiné</v>
      </c>
      <c r="B139" t="str">
        <f>+VLOOKUP(E139,Acronyme!$E$2:$I$50,5,FALSE)</f>
        <v>GS Arc Jurassien</v>
      </c>
      <c r="C139" t="s">
        <v>264</v>
      </c>
      <c r="D139" s="43" t="s">
        <v>129</v>
      </c>
      <c r="E139" s="43" t="s">
        <v>119</v>
      </c>
      <c r="F139" s="43" t="s">
        <v>130</v>
      </c>
      <c r="G139" s="43" t="s">
        <v>100</v>
      </c>
      <c r="H139" s="43">
        <v>20</v>
      </c>
      <c r="I139" s="43" t="s">
        <v>122</v>
      </c>
      <c r="J139" s="43">
        <v>2000</v>
      </c>
      <c r="K139" s="43" t="s">
        <v>102</v>
      </c>
      <c r="L139" s="43" t="s">
        <v>103</v>
      </c>
      <c r="M139" s="43" t="s">
        <v>123</v>
      </c>
      <c r="N139" s="43"/>
      <c r="O139" s="43"/>
      <c r="P139" s="43">
        <v>45</v>
      </c>
      <c r="Q139" s="43">
        <v>17.7</v>
      </c>
      <c r="R139" s="43">
        <v>1853</v>
      </c>
      <c r="S139" s="43">
        <v>45.68</v>
      </c>
      <c r="T139" s="43">
        <v>0</v>
      </c>
      <c r="U139" s="43">
        <v>0</v>
      </c>
      <c r="V139" s="43">
        <v>1079</v>
      </c>
      <c r="W139" s="43">
        <v>672</v>
      </c>
      <c r="X139" s="43">
        <v>94</v>
      </c>
      <c r="Y139" s="43">
        <v>8</v>
      </c>
      <c r="Z139" s="32">
        <v>52</v>
      </c>
      <c r="AA139" s="43" t="s">
        <v>63</v>
      </c>
      <c r="AB139" s="43">
        <v>21.000497099315499</v>
      </c>
      <c r="AC139" s="43">
        <v>716</v>
      </c>
      <c r="AD139" s="43">
        <v>28.25</v>
      </c>
      <c r="AE139" s="43">
        <v>22.4123821550087</v>
      </c>
      <c r="AF139" s="43">
        <v>26.752811639837802</v>
      </c>
      <c r="AG139" s="43">
        <v>275.20524222716398</v>
      </c>
      <c r="AH139" s="43">
        <v>276.13648028519202</v>
      </c>
      <c r="AI139" s="43">
        <v>330.98737704793098</v>
      </c>
      <c r="AJ139" s="43">
        <v>56.552767280850397</v>
      </c>
      <c r="AK139" s="43">
        <v>1.08755321693943</v>
      </c>
      <c r="AL139" s="43">
        <v>1.3975057928916199</v>
      </c>
      <c r="AM139" s="43">
        <v>619.32386899196399</v>
      </c>
      <c r="AN139" s="43">
        <v>11.910074403691601</v>
      </c>
      <c r="AO139" s="43">
        <v>22.936557015040499</v>
      </c>
      <c r="AP139" s="44">
        <v>230</v>
      </c>
      <c r="AQ139" s="44">
        <v>8.4699999999999989</v>
      </c>
      <c r="AR139" s="44">
        <v>21.653736442216903</v>
      </c>
      <c r="AS139" s="44">
        <v>81.489095395633001</v>
      </c>
      <c r="AT139" s="44">
        <v>0.94871065383301345</v>
      </c>
      <c r="AU139" s="44">
        <v>0.35430041476362173</v>
      </c>
      <c r="AV139" s="44">
        <f t="shared" si="19"/>
        <v>81.489095395633001</v>
      </c>
      <c r="AW139" s="44">
        <f>+VLOOKUP(C139,'Etape 1 - surface'!$A$5:$B$58,2,FALSE)</f>
        <v>0</v>
      </c>
      <c r="AX139" s="44">
        <f t="shared" si="14"/>
        <v>0</v>
      </c>
      <c r="AY139" s="44">
        <f>12.60067150914+(56.0435691950881-12.60067150914)/(1+EXP(-(0.12255140894824*AU139+-0.18958347271504)))</f>
        <v>32.737499434881158</v>
      </c>
      <c r="AZ139" s="63"/>
      <c r="BA139" s="63">
        <f t="shared" si="15"/>
        <v>0</v>
      </c>
      <c r="BB139" s="45"/>
      <c r="BC139" s="65">
        <v>4.4999999999999998E-2</v>
      </c>
      <c r="BD139" s="63">
        <f t="shared" si="13"/>
        <v>-3503.0716309776817</v>
      </c>
    </row>
    <row r="140" spans="1:56" ht="14.45" customHeight="1" x14ac:dyDescent="0.25">
      <c r="A140" t="str">
        <f>+VLOOKUP(D140,Acronyme!$A$1:$C$50,3,FALSE)</f>
        <v>Sapin pectiné</v>
      </c>
      <c r="B140" t="str">
        <f>+VLOOKUP(E140,Acronyme!$E$2:$I$50,5,FALSE)</f>
        <v>GS Arc Jurassien</v>
      </c>
      <c r="C140" t="s">
        <v>264</v>
      </c>
      <c r="D140" s="43" t="s">
        <v>129</v>
      </c>
      <c r="E140" s="43" t="s">
        <v>119</v>
      </c>
      <c r="F140" s="43" t="s">
        <v>130</v>
      </c>
      <c r="G140" s="43" t="s">
        <v>100</v>
      </c>
      <c r="H140" s="43">
        <v>20</v>
      </c>
      <c r="I140" s="43" t="s">
        <v>101</v>
      </c>
      <c r="J140" s="43">
        <v>2000</v>
      </c>
      <c r="K140" s="43" t="s">
        <v>102</v>
      </c>
      <c r="L140" s="43" t="s">
        <v>103</v>
      </c>
      <c r="M140" s="43" t="s">
        <v>123</v>
      </c>
      <c r="N140" s="43"/>
      <c r="O140" s="43"/>
      <c r="P140" s="43">
        <v>45</v>
      </c>
      <c r="Q140" s="43">
        <v>17.7</v>
      </c>
      <c r="R140" s="43">
        <v>1853</v>
      </c>
      <c r="S140" s="43">
        <v>45.68</v>
      </c>
      <c r="T140" s="43">
        <v>0</v>
      </c>
      <c r="U140" s="43">
        <v>0</v>
      </c>
      <c r="V140" s="43">
        <v>1079</v>
      </c>
      <c r="W140" s="43">
        <v>672</v>
      </c>
      <c r="X140" s="43">
        <v>94</v>
      </c>
      <c r="Y140" s="43">
        <v>8</v>
      </c>
      <c r="Z140" s="32">
        <v>52</v>
      </c>
      <c r="AA140" s="43" t="s">
        <v>63</v>
      </c>
      <c r="AB140" s="43">
        <v>21.000497099315499</v>
      </c>
      <c r="AC140" s="43">
        <v>716</v>
      </c>
      <c r="AD140" s="43">
        <v>28.25</v>
      </c>
      <c r="AE140" s="43">
        <v>22.4123821550087</v>
      </c>
      <c r="AF140" s="43">
        <v>26.752811639837802</v>
      </c>
      <c r="AG140" s="43">
        <v>275.20524222716398</v>
      </c>
      <c r="AH140" s="43">
        <v>276.13648028519202</v>
      </c>
      <c r="AI140" s="43">
        <v>330.98737704793098</v>
      </c>
      <c r="AJ140" s="43">
        <v>56.552767280850397</v>
      </c>
      <c r="AK140" s="43">
        <v>1.08755321693943</v>
      </c>
      <c r="AL140" s="43">
        <v>1.3975057928916199</v>
      </c>
      <c r="AM140" s="43">
        <v>619.32386899196399</v>
      </c>
      <c r="AN140" s="43">
        <v>11.910074403691601</v>
      </c>
      <c r="AO140" s="43">
        <v>22.936557015040499</v>
      </c>
      <c r="AP140" s="44">
        <v>230</v>
      </c>
      <c r="AQ140" s="44">
        <v>8.4699999999999989</v>
      </c>
      <c r="AR140" s="44">
        <v>21.653736442216903</v>
      </c>
      <c r="AS140" s="44">
        <v>81.489095395633001</v>
      </c>
      <c r="AT140" s="44">
        <v>0.94871065383301345</v>
      </c>
      <c r="AU140" s="44">
        <v>0.35430041476362173</v>
      </c>
      <c r="AV140" s="44">
        <f t="shared" si="19"/>
        <v>81.489095395633001</v>
      </c>
      <c r="AW140" s="44">
        <f>+VLOOKUP(C140,'Etape 1 - surface'!$A$5:$B$58,2,FALSE)</f>
        <v>0</v>
      </c>
      <c r="AX140" s="44">
        <f t="shared" si="14"/>
        <v>0</v>
      </c>
      <c r="AY140" s="44">
        <f>12.60067150914+(56.0435691950881-12.60067150914)/(1+EXP(-(0.12255140894824*AU140+-0.18958347271504)))</f>
        <v>32.737499434881158</v>
      </c>
      <c r="AZ140" s="63"/>
      <c r="BA140" s="63">
        <f t="shared" si="15"/>
        <v>0</v>
      </c>
      <c r="BB140" s="45"/>
      <c r="BC140" s="65">
        <v>4.4999999999999998E-2</v>
      </c>
      <c r="BD140" s="63">
        <f t="shared" si="13"/>
        <v>-3503.0716309776817</v>
      </c>
    </row>
    <row r="141" spans="1:56" ht="15" x14ac:dyDescent="0.25">
      <c r="A141" t="str">
        <f>+VLOOKUP(D141,Acronyme!$A$1:$C$50,3,FALSE)</f>
        <v>Chene_pedoncule</v>
      </c>
      <c r="B141" t="str">
        <f>+VLOOKUP(E141,Acronyme!$E$2:$I$50,5,FALSE)</f>
        <v>Guide chênaie continentale</v>
      </c>
      <c r="C141" t="s">
        <v>264</v>
      </c>
      <c r="D141" s="43" t="s">
        <v>145</v>
      </c>
      <c r="E141" s="43" t="s">
        <v>65</v>
      </c>
      <c r="F141" s="43" t="s">
        <v>66</v>
      </c>
      <c r="G141" s="43" t="s">
        <v>62</v>
      </c>
      <c r="H141" s="43">
        <v>21.9</v>
      </c>
      <c r="I141" s="43" t="s">
        <v>144</v>
      </c>
      <c r="J141" s="43">
        <v>1600</v>
      </c>
      <c r="K141" s="43" t="s">
        <v>109</v>
      </c>
      <c r="L141" s="43" t="s">
        <v>103</v>
      </c>
      <c r="M141" s="43" t="s">
        <v>143</v>
      </c>
      <c r="N141" s="43"/>
      <c r="O141" s="43"/>
      <c r="P141" s="43">
        <v>38</v>
      </c>
      <c r="Q141" s="43">
        <v>16.27</v>
      </c>
      <c r="R141" s="43">
        <v>1446</v>
      </c>
      <c r="S141" s="43">
        <v>21.44</v>
      </c>
      <c r="T141" s="43">
        <v>65</v>
      </c>
      <c r="U141" s="43">
        <v>525</v>
      </c>
      <c r="V141" s="43">
        <v>696</v>
      </c>
      <c r="W141" s="43">
        <v>155</v>
      </c>
      <c r="X141" s="43">
        <v>5</v>
      </c>
      <c r="Y141" s="43">
        <v>0</v>
      </c>
      <c r="Z141" s="32">
        <v>52</v>
      </c>
      <c r="AA141" s="43" t="s">
        <v>63</v>
      </c>
      <c r="AB141" s="43">
        <v>20.5</v>
      </c>
      <c r="AC141" s="43">
        <v>239</v>
      </c>
      <c r="AD141" s="43">
        <v>12.39</v>
      </c>
      <c r="AE141" s="43">
        <v>25.69</v>
      </c>
      <c r="AF141" s="43">
        <v>28.34</v>
      </c>
      <c r="AG141" s="43">
        <v>121.299113496719</v>
      </c>
      <c r="AH141" s="43">
        <v>133.487046970509</v>
      </c>
      <c r="AI141" s="43">
        <v>152.90975914501101</v>
      </c>
      <c r="AJ141" s="43">
        <v>32.343789415184901</v>
      </c>
      <c r="AK141" s="43">
        <v>0.62199595029201704</v>
      </c>
      <c r="AL141" s="43">
        <v>0.65904260001172099</v>
      </c>
      <c r="AM141" s="43">
        <v>352.308273751184</v>
      </c>
      <c r="AN141" s="43">
        <v>6.7751591105997004</v>
      </c>
      <c r="AO141" s="43">
        <v>10.421278404997</v>
      </c>
      <c r="AP141" s="44">
        <v>106</v>
      </c>
      <c r="AQ141" s="44">
        <v>4.2100000000000009</v>
      </c>
      <c r="AR141" s="44">
        <v>22.487603468324238</v>
      </c>
      <c r="AS141" s="44">
        <v>40.270911989257002</v>
      </c>
      <c r="AT141" s="44">
        <v>0.83</v>
      </c>
      <c r="AU141" s="44">
        <v>0.37991426404959433</v>
      </c>
      <c r="AV141" s="44">
        <f t="shared" si="19"/>
        <v>40.270911989257002</v>
      </c>
      <c r="AW141" s="44">
        <f>+VLOOKUP(C141,'Etape 1 - surface'!$A$5:$B$58,2,FALSE)</f>
        <v>0</v>
      </c>
      <c r="AX141" s="44">
        <f t="shared" si="14"/>
        <v>0</v>
      </c>
      <c r="AY141" s="44">
        <f>10.8374384236453+(405.147848531042-10.8374384236453)/(1+EXP(-(1.16387919746889*AU141+-2.8965970117006)))</f>
        <v>42.033592967142063</v>
      </c>
      <c r="AZ141" s="63"/>
      <c r="BA141" s="63">
        <f t="shared" si="15"/>
        <v>0</v>
      </c>
      <c r="BB141" s="45"/>
      <c r="BC141" s="65">
        <v>4.4999999999999998E-2</v>
      </c>
      <c r="BD141" s="63">
        <f t="shared" si="13"/>
        <v>-3503.0716309776817</v>
      </c>
    </row>
    <row r="142" spans="1:56" ht="15" x14ac:dyDescent="0.25">
      <c r="A142" t="str">
        <f>+VLOOKUP(D142,Acronyme!$A$1:$C$50,3,FALSE)</f>
        <v>Pin d'Alep</v>
      </c>
      <c r="B142" t="str">
        <f>+VLOOKUP(E142,Acronyme!$E$2:$I$50,5,FALSE)</f>
        <v>Pin d'Alep</v>
      </c>
      <c r="C142" t="s">
        <v>264</v>
      </c>
      <c r="D142" s="43" t="s">
        <v>146</v>
      </c>
      <c r="E142" s="43" t="s">
        <v>147</v>
      </c>
      <c r="F142" s="43" t="s">
        <v>61</v>
      </c>
      <c r="G142" s="43" t="s">
        <v>100</v>
      </c>
      <c r="H142" s="43">
        <v>15.5</v>
      </c>
      <c r="I142" s="43" t="s">
        <v>148</v>
      </c>
      <c r="J142" s="43">
        <v>1100</v>
      </c>
      <c r="K142" s="43" t="s">
        <v>109</v>
      </c>
      <c r="L142" s="43" t="s">
        <v>103</v>
      </c>
      <c r="M142" s="43" t="s">
        <v>149</v>
      </c>
      <c r="N142" s="43"/>
      <c r="O142" s="43"/>
      <c r="P142" s="43">
        <v>15</v>
      </c>
      <c r="Q142" s="43">
        <v>4.33</v>
      </c>
      <c r="R142" s="43">
        <v>1101</v>
      </c>
      <c r="S142" s="43">
        <v>4.92</v>
      </c>
      <c r="T142" s="43">
        <v>569</v>
      </c>
      <c r="U142" s="43">
        <v>532</v>
      </c>
      <c r="V142" s="43">
        <v>0</v>
      </c>
      <c r="W142" s="43">
        <v>0</v>
      </c>
      <c r="X142" s="43">
        <v>0</v>
      </c>
      <c r="Y142" s="43">
        <v>0</v>
      </c>
      <c r="Z142" s="32">
        <v>52</v>
      </c>
      <c r="AA142" s="43" t="s">
        <v>63</v>
      </c>
      <c r="AB142" s="43">
        <v>15.98</v>
      </c>
      <c r="AC142" s="43">
        <v>351</v>
      </c>
      <c r="AD142" s="43">
        <v>15.29</v>
      </c>
      <c r="AE142" s="43">
        <v>23.55</v>
      </c>
      <c r="AF142" s="43">
        <v>24.99</v>
      </c>
      <c r="AG142" s="43">
        <v>103.29174678792501</v>
      </c>
      <c r="AH142" s="43">
        <v>105.925926597642</v>
      </c>
      <c r="AI142" s="43">
        <v>147.317271336359</v>
      </c>
      <c r="AJ142" s="43">
        <v>32.454402206456102</v>
      </c>
      <c r="AK142" s="43">
        <v>0.62412311935492404</v>
      </c>
      <c r="AL142" s="43">
        <v>0.49344634526779901</v>
      </c>
      <c r="AM142" s="43">
        <v>294.26551089329098</v>
      </c>
      <c r="AN142" s="43">
        <v>5.6589521325632797</v>
      </c>
      <c r="AO142" s="43">
        <v>6.3188404832341103</v>
      </c>
      <c r="AP142" s="44">
        <v>346</v>
      </c>
      <c r="AQ142" s="44">
        <v>10.86</v>
      </c>
      <c r="AR142" s="44">
        <v>19.990880475642918</v>
      </c>
      <c r="AS142" s="44">
        <v>69.915701230533983</v>
      </c>
      <c r="AT142" s="44">
        <v>0.84</v>
      </c>
      <c r="AU142" s="44">
        <v>0.20206850066628318</v>
      </c>
      <c r="AV142" s="44">
        <f t="shared" si="19"/>
        <v>69.915701230533983</v>
      </c>
      <c r="AW142" s="44">
        <f>+VLOOKUP(C142,'Etape 1 - surface'!$A$5:$B$58,2,FALSE)</f>
        <v>0</v>
      </c>
      <c r="AX142" s="44">
        <f t="shared" si="14"/>
        <v>0</v>
      </c>
      <c r="AY142" s="44">
        <f>10.0046474463505+(37.1112351801373-10.0046474463505)/(1+EXP(-(0.581180949782075*AU142+-0.955447614584994)))</f>
        <v>18.189596117079137</v>
      </c>
      <c r="AZ142" s="63"/>
      <c r="BA142" s="63">
        <f t="shared" si="15"/>
        <v>0</v>
      </c>
      <c r="BB142" s="45"/>
      <c r="BC142" s="65">
        <v>4.4999999999999998E-2</v>
      </c>
      <c r="BD142" s="63">
        <f t="shared" si="13"/>
        <v>-3503.0716309776817</v>
      </c>
    </row>
    <row r="143" spans="1:56" ht="14.45" customHeight="1" x14ac:dyDescent="0.25">
      <c r="A143" t="str">
        <f>+VLOOKUP(D143,Acronyme!$A$1:$C$50,3,FALSE)</f>
        <v>Douglas</v>
      </c>
      <c r="B143" t="str">
        <f>+VLOOKUP(E143,Acronyme!$E$2:$I$50,5,FALSE)</f>
        <v>National</v>
      </c>
      <c r="C143" s="1" t="s">
        <v>264</v>
      </c>
      <c r="D143" s="43" t="s">
        <v>97</v>
      </c>
      <c r="E143" s="43" t="s">
        <v>98</v>
      </c>
      <c r="F143" s="43" t="s">
        <v>113</v>
      </c>
      <c r="G143" s="43" t="s">
        <v>114</v>
      </c>
      <c r="H143" s="43">
        <v>26</v>
      </c>
      <c r="I143" s="43" t="s">
        <v>101</v>
      </c>
      <c r="J143" s="43">
        <v>1666</v>
      </c>
      <c r="K143" s="43" t="s">
        <v>102</v>
      </c>
      <c r="L143" s="43" t="s">
        <v>103</v>
      </c>
      <c r="M143" s="43" t="s">
        <v>104</v>
      </c>
      <c r="N143" s="43"/>
      <c r="O143" s="43" t="s">
        <v>112</v>
      </c>
      <c r="P143" s="43">
        <v>25</v>
      </c>
      <c r="Q143" s="43">
        <v>14.76</v>
      </c>
      <c r="R143" s="43">
        <v>1600</v>
      </c>
      <c r="S143" s="43">
        <v>26.34</v>
      </c>
      <c r="T143" s="43">
        <v>40</v>
      </c>
      <c r="U143" s="43">
        <v>465</v>
      </c>
      <c r="V143" s="43">
        <v>873</v>
      </c>
      <c r="W143" s="43">
        <v>210</v>
      </c>
      <c r="X143" s="43">
        <v>12</v>
      </c>
      <c r="Y143" s="43">
        <v>0</v>
      </c>
      <c r="Z143" s="32">
        <v>53</v>
      </c>
      <c r="AA143" s="43" t="s">
        <v>63</v>
      </c>
      <c r="AB143" s="43">
        <v>28.1134373103318</v>
      </c>
      <c r="AC143" s="43">
        <v>430</v>
      </c>
      <c r="AD143" s="43">
        <v>27.584529085058801</v>
      </c>
      <c r="AE143" s="43">
        <v>28.5794336746313</v>
      </c>
      <c r="AF143" s="43">
        <v>34.438698072266597</v>
      </c>
      <c r="AG143" s="43">
        <v>247.217760185831</v>
      </c>
      <c r="AH143" s="43">
        <v>249.5092271</v>
      </c>
      <c r="AI143" s="43">
        <v>313.02307363971897</v>
      </c>
      <c r="AJ143" s="43">
        <v>55.342724332329396</v>
      </c>
      <c r="AK143" s="43">
        <v>1.0442023458930101</v>
      </c>
      <c r="AL143" s="43">
        <v>0.70179664816057796</v>
      </c>
      <c r="AM143" s="43">
        <v>577.17150458382196</v>
      </c>
      <c r="AN143" s="43">
        <v>10.890028388374001</v>
      </c>
      <c r="AO143" s="43">
        <v>12.2074994080631</v>
      </c>
      <c r="AP143" s="44">
        <v>100</v>
      </c>
      <c r="AQ143" s="44">
        <v>6.3017193883168012</v>
      </c>
      <c r="AR143" s="44">
        <v>28.325956868267014</v>
      </c>
      <c r="AS143" s="44">
        <v>56.626027741337992</v>
      </c>
      <c r="AT143" s="44">
        <v>0.98562438342269298</v>
      </c>
      <c r="AU143" s="44">
        <v>0.56626027741337992</v>
      </c>
      <c r="AV143" s="44">
        <f t="shared" si="19"/>
        <v>56.626027741337992</v>
      </c>
      <c r="AW143" s="44">
        <f>+VLOOKUP(C143,'Etape 1 - surface'!$A$5:$B$58,2,FALSE)</f>
        <v>0</v>
      </c>
      <c r="AX143" s="44">
        <f t="shared" si="14"/>
        <v>0</v>
      </c>
      <c r="AY143" s="44">
        <f>17.058316746383+(70.7042249024703-17.058316746383)/(1+EXP(-(0.378583234479568*AU143+-0.73675928557405)))</f>
        <v>37.030434188504444</v>
      </c>
      <c r="AZ143" s="63"/>
      <c r="BA143" s="63">
        <f t="shared" si="15"/>
        <v>0</v>
      </c>
      <c r="BB143" s="45"/>
      <c r="BC143" s="65">
        <v>4.4999999999999998E-2</v>
      </c>
      <c r="BD143" s="63">
        <f t="shared" si="13"/>
        <v>-3503.0716309776817</v>
      </c>
    </row>
    <row r="144" spans="1:56" ht="14.45" customHeight="1" x14ac:dyDescent="0.25">
      <c r="A144" t="str">
        <f>+VLOOKUP(D144,Acronyme!$A$1:$C$50,3,FALSE)</f>
        <v>Douglas</v>
      </c>
      <c r="B144" t="str">
        <f>+VLOOKUP(E144,Acronyme!$E$2:$I$50,5,FALSE)</f>
        <v>National</v>
      </c>
      <c r="C144" t="s">
        <v>264</v>
      </c>
      <c r="D144" s="43" t="s">
        <v>97</v>
      </c>
      <c r="E144" s="43" t="s">
        <v>98</v>
      </c>
      <c r="F144" s="43" t="s">
        <v>99</v>
      </c>
      <c r="G144" s="43" t="s">
        <v>100</v>
      </c>
      <c r="H144" s="43">
        <v>40</v>
      </c>
      <c r="I144" s="43" t="s">
        <v>101</v>
      </c>
      <c r="J144" s="43">
        <v>1666</v>
      </c>
      <c r="K144" s="43" t="s">
        <v>102</v>
      </c>
      <c r="L144" s="43" t="s">
        <v>103</v>
      </c>
      <c r="M144" s="43" t="s">
        <v>104</v>
      </c>
      <c r="N144" s="43"/>
      <c r="O144" s="43"/>
      <c r="P144" s="43">
        <v>17</v>
      </c>
      <c r="Q144" s="43">
        <v>15.63</v>
      </c>
      <c r="R144" s="43">
        <v>1600</v>
      </c>
      <c r="S144" s="43">
        <v>27.89</v>
      </c>
      <c r="T144" s="43">
        <v>30</v>
      </c>
      <c r="U144" s="43">
        <v>428</v>
      </c>
      <c r="V144" s="43">
        <v>863</v>
      </c>
      <c r="W144" s="43">
        <v>267</v>
      </c>
      <c r="X144" s="43">
        <v>12</v>
      </c>
      <c r="Y144" s="43">
        <v>0</v>
      </c>
      <c r="Z144" s="32">
        <v>54</v>
      </c>
      <c r="AA144" s="43" t="s">
        <v>63</v>
      </c>
      <c r="AB144" s="43">
        <v>42.59</v>
      </c>
      <c r="AC144" s="43">
        <v>0</v>
      </c>
      <c r="AD144" s="43">
        <v>0</v>
      </c>
      <c r="AE144" s="43">
        <v>0</v>
      </c>
      <c r="AF144" s="43">
        <v>0</v>
      </c>
      <c r="AG144" s="43">
        <v>0</v>
      </c>
      <c r="AH144" s="43">
        <v>0</v>
      </c>
      <c r="AI144" s="43">
        <v>0</v>
      </c>
      <c r="AJ144" s="43">
        <v>87.491829224618598</v>
      </c>
      <c r="AK144" s="43">
        <v>1.62021905971516</v>
      </c>
      <c r="AL144" s="43"/>
      <c r="AM144" s="43">
        <v>1258.97529828863</v>
      </c>
      <c r="AN144" s="43">
        <v>23.314357375715399</v>
      </c>
      <c r="AO144" s="43"/>
      <c r="AP144" s="44">
        <v>218</v>
      </c>
      <c r="AQ144" s="44">
        <v>42.26</v>
      </c>
      <c r="AR144" s="44">
        <v>49.681140700548589</v>
      </c>
      <c r="AS144" s="44">
        <v>587.95222742380304</v>
      </c>
      <c r="AT144" s="44">
        <v>1</v>
      </c>
      <c r="AU144" s="44">
        <v>2.6970285661642341</v>
      </c>
      <c r="AV144" s="44">
        <f t="shared" si="19"/>
        <v>587.95222742380304</v>
      </c>
      <c r="AW144" s="44">
        <f>+VLOOKUP(C144,'Etape 1 - surface'!$A$5:$B$58,2,FALSE)</f>
        <v>0</v>
      </c>
      <c r="AX144" s="44">
        <f t="shared" si="14"/>
        <v>0</v>
      </c>
      <c r="AY144" s="44">
        <f>17.058316746383+(70.7042249024703-17.058316746383)/(1+EXP(-(0.378583234479568*AU144+-0.73675928557405)))</f>
        <v>47.668553106501669</v>
      </c>
      <c r="AZ144" s="63"/>
      <c r="BA144" s="63">
        <f t="shared" si="15"/>
        <v>0</v>
      </c>
      <c r="BB144" s="45"/>
      <c r="BC144" s="65">
        <v>4.4999999999999998E-2</v>
      </c>
      <c r="BD144" s="63">
        <f t="shared" si="13"/>
        <v>-3503.0716309776817</v>
      </c>
    </row>
    <row r="145" spans="1:56" ht="14.45" customHeight="1" x14ac:dyDescent="0.25">
      <c r="A145" t="str">
        <f>+VLOOKUP(D145,Acronyme!$A$1:$C$50,3,FALSE)</f>
        <v>Pin sylvestre</v>
      </c>
      <c r="B145" t="str">
        <f>+VLOOKUP(E145,Acronyme!$E$2:$I$50,5,FALSE)</f>
        <v>GS Pineraies des plaines du Centre et du Nord Ouest</v>
      </c>
      <c r="C145" t="s">
        <v>264</v>
      </c>
      <c r="D145" s="43" t="s">
        <v>106</v>
      </c>
      <c r="E145" s="43" t="s">
        <v>89</v>
      </c>
      <c r="F145" s="43" t="s">
        <v>115</v>
      </c>
      <c r="G145" s="43" t="s">
        <v>100</v>
      </c>
      <c r="H145" s="43">
        <v>28</v>
      </c>
      <c r="I145" s="43">
        <v>45</v>
      </c>
      <c r="J145" s="43">
        <v>2500</v>
      </c>
      <c r="K145" s="43" t="s">
        <v>109</v>
      </c>
      <c r="L145" s="43" t="s">
        <v>116</v>
      </c>
      <c r="M145" s="43" t="s">
        <v>111</v>
      </c>
      <c r="N145" s="43">
        <v>1997</v>
      </c>
      <c r="O145" s="43" t="s">
        <v>96</v>
      </c>
      <c r="P145" s="43">
        <v>21</v>
      </c>
      <c r="Q145" s="43">
        <v>12.5</v>
      </c>
      <c r="R145" s="43">
        <v>2024</v>
      </c>
      <c r="S145" s="43">
        <v>28.8</v>
      </c>
      <c r="T145" s="43">
        <v>0</v>
      </c>
      <c r="U145" s="43">
        <v>1100</v>
      </c>
      <c r="V145" s="43">
        <v>712</v>
      </c>
      <c r="W145" s="43">
        <v>162</v>
      </c>
      <c r="X145" s="43">
        <v>50</v>
      </c>
      <c r="Y145" s="43">
        <v>0</v>
      </c>
      <c r="Z145" s="32">
        <v>54</v>
      </c>
      <c r="AA145" s="43" t="s">
        <v>63</v>
      </c>
      <c r="AB145" s="43">
        <v>29.08</v>
      </c>
      <c r="AC145" s="43">
        <v>380</v>
      </c>
      <c r="AD145" s="43">
        <v>25.98</v>
      </c>
      <c r="AE145" s="43">
        <v>29.5</v>
      </c>
      <c r="AF145" s="43">
        <v>34.15</v>
      </c>
      <c r="AG145" s="43">
        <v>325.36894582577497</v>
      </c>
      <c r="AH145" s="43">
        <v>326.98273987206699</v>
      </c>
      <c r="AI145" s="43">
        <v>364.08292693343998</v>
      </c>
      <c r="AJ145" s="43">
        <v>59.693918119554802</v>
      </c>
      <c r="AK145" s="43">
        <v>1.1054429281399001</v>
      </c>
      <c r="AL145" s="43">
        <v>0.48345242067394201</v>
      </c>
      <c r="AM145" s="43">
        <v>697.76552308082796</v>
      </c>
      <c r="AN145" s="43">
        <v>12.9215837607561</v>
      </c>
      <c r="AO145" s="43">
        <v>10.4335019980255</v>
      </c>
      <c r="AP145" s="44">
        <v>80</v>
      </c>
      <c r="AQ145" s="44">
        <v>4.0300000000000011</v>
      </c>
      <c r="AR145" s="44">
        <v>25.325765944198775</v>
      </c>
      <c r="AS145" s="44">
        <v>48.917957987330055</v>
      </c>
      <c r="AT145" s="44">
        <v>0.77</v>
      </c>
      <c r="AU145" s="44">
        <v>0.61147447484162565</v>
      </c>
      <c r="AV145" s="44">
        <f t="shared" si="19"/>
        <v>48.917957987330055</v>
      </c>
      <c r="AW145" s="44">
        <f>+VLOOKUP(C145,'Etape 1 - surface'!$A$5:$B$58,2,FALSE)</f>
        <v>0</v>
      </c>
      <c r="AX145" s="44">
        <f t="shared" si="14"/>
        <v>0</v>
      </c>
      <c r="AY145" s="44">
        <f>10.0046474463505+(37.1112351801373-10.0046474463505)/(1+EXP(-(0.581180949782075*AU145+-0.955447614584994)))</f>
        <v>19.609259913467358</v>
      </c>
      <c r="AZ145" s="63"/>
      <c r="BA145" s="63">
        <f t="shared" si="15"/>
        <v>0</v>
      </c>
      <c r="BB145" s="45"/>
      <c r="BC145" s="65">
        <v>4.4999999999999998E-2</v>
      </c>
      <c r="BD145" s="63">
        <f t="shared" si="13"/>
        <v>-3503.0716309776817</v>
      </c>
    </row>
    <row r="146" spans="1:56" ht="14.45" customHeight="1" x14ac:dyDescent="0.25">
      <c r="A146" t="str">
        <f>+VLOOKUP(D146,Acronyme!$A$1:$C$50,3,FALSE)</f>
        <v>Pin Maritime</v>
      </c>
      <c r="B146" t="str">
        <f>+VLOOKUP(E146,Acronyme!$E$2:$I$50,5,FALSE)</f>
        <v>GS Pineraies des plaines du Centre et du Nord Ouest</v>
      </c>
      <c r="C146" t="s">
        <v>264</v>
      </c>
      <c r="D146" s="43" t="s">
        <v>124</v>
      </c>
      <c r="E146" s="43" t="s">
        <v>89</v>
      </c>
      <c r="F146" s="43" t="s">
        <v>61</v>
      </c>
      <c r="G146" s="43" t="s">
        <v>100</v>
      </c>
      <c r="H146" s="43">
        <v>27.5</v>
      </c>
      <c r="I146" s="43">
        <v>55</v>
      </c>
      <c r="J146" s="43">
        <v>1250</v>
      </c>
      <c r="K146" s="43" t="s">
        <v>102</v>
      </c>
      <c r="L146" s="43" t="s">
        <v>103</v>
      </c>
      <c r="M146" s="43" t="s">
        <v>125</v>
      </c>
      <c r="N146" s="43"/>
      <c r="O146" s="43"/>
      <c r="P146" s="43">
        <v>14</v>
      </c>
      <c r="Q146" s="43">
        <v>11</v>
      </c>
      <c r="R146" s="43">
        <v>1251</v>
      </c>
      <c r="S146" s="43">
        <v>25.56</v>
      </c>
      <c r="T146" s="43">
        <v>13</v>
      </c>
      <c r="U146" s="43">
        <v>239</v>
      </c>
      <c r="V146" s="43">
        <v>629</v>
      </c>
      <c r="W146" s="43">
        <v>324</v>
      </c>
      <c r="X146" s="43">
        <v>46</v>
      </c>
      <c r="Y146" s="43">
        <v>0</v>
      </c>
      <c r="Z146" s="32">
        <v>54</v>
      </c>
      <c r="AA146" s="43" t="s">
        <v>63</v>
      </c>
      <c r="AB146" s="43">
        <v>0</v>
      </c>
      <c r="AC146" s="43">
        <v>0</v>
      </c>
      <c r="AD146" s="43">
        <v>0</v>
      </c>
      <c r="AE146" s="43">
        <v>0</v>
      </c>
      <c r="AF146" s="43">
        <v>0</v>
      </c>
      <c r="AG146" s="43">
        <v>0</v>
      </c>
      <c r="AH146" s="43">
        <v>0</v>
      </c>
      <c r="AI146" s="43">
        <v>0</v>
      </c>
      <c r="AJ146" s="43">
        <v>88.082198758324694</v>
      </c>
      <c r="AK146" s="43">
        <v>1.6311518288578599</v>
      </c>
      <c r="AL146" s="43" t="s">
        <v>105</v>
      </c>
      <c r="AM146" s="43">
        <v>1026.4465471634201</v>
      </c>
      <c r="AN146" s="43">
        <v>19.008269391915299</v>
      </c>
      <c r="AO146" s="43" t="s">
        <v>105</v>
      </c>
      <c r="AP146" s="44">
        <v>230.4</v>
      </c>
      <c r="AQ146" s="44">
        <v>42.02</v>
      </c>
      <c r="AR146" s="44">
        <v>48.188326692438359</v>
      </c>
      <c r="AS146" s="44">
        <v>456.87740473739001</v>
      </c>
      <c r="AT146" s="44">
        <v>1</v>
      </c>
      <c r="AU146" s="44">
        <v>1.9829748469504773</v>
      </c>
      <c r="AV146" s="44">
        <f t="shared" si="19"/>
        <v>456.87740473739001</v>
      </c>
      <c r="AW146" s="44">
        <f>+VLOOKUP(C146,'Etape 1 - surface'!$A$5:$B$58,2,FALSE)</f>
        <v>0</v>
      </c>
      <c r="AX146" s="44">
        <f t="shared" si="14"/>
        <v>0</v>
      </c>
      <c r="AY146" s="44">
        <f>14.9665006012713+(52.588398731357-14.9665006012713)/(1+EXP(-(0.927907412957439*AU146+-0.605044532722853)))</f>
        <v>44.111722247246618</v>
      </c>
      <c r="AZ146" s="63"/>
      <c r="BA146" s="63">
        <f t="shared" si="15"/>
        <v>0</v>
      </c>
      <c r="BB146" s="45"/>
      <c r="BC146" s="65">
        <v>4.4999999999999998E-2</v>
      </c>
      <c r="BD146" s="63">
        <f t="shared" si="13"/>
        <v>-3503.0716309776817</v>
      </c>
    </row>
    <row r="147" spans="1:56" ht="14.45" customHeight="1" x14ac:dyDescent="0.25">
      <c r="A147" t="str">
        <f>+VLOOKUP(D147,Acronyme!$A$1:$C$50,3,FALSE)</f>
        <v>Hêtre commun</v>
      </c>
      <c r="B147" t="str">
        <f>+VLOOKUP(E147,Acronyme!$E$2:$I$50,5,FALSE)</f>
        <v>GS Hêtraies et hêtraies sapinières des Pyrénées</v>
      </c>
      <c r="C147" t="s">
        <v>264</v>
      </c>
      <c r="D147" s="43" t="s">
        <v>126</v>
      </c>
      <c r="E147" s="43" t="s">
        <v>127</v>
      </c>
      <c r="F147" s="43" t="s">
        <v>113</v>
      </c>
      <c r="G147" s="43" t="s">
        <v>100</v>
      </c>
      <c r="H147" s="43">
        <v>22</v>
      </c>
      <c r="I147" s="43">
        <v>55</v>
      </c>
      <c r="J147" s="43">
        <v>1666</v>
      </c>
      <c r="K147" s="43" t="s">
        <v>109</v>
      </c>
      <c r="L147" s="43" t="s">
        <v>103</v>
      </c>
      <c r="M147" s="43" t="s">
        <v>128</v>
      </c>
      <c r="N147" s="43"/>
      <c r="O147" s="43"/>
      <c r="P147" s="43">
        <v>42</v>
      </c>
      <c r="Q147" s="43">
        <v>19.510000000000002</v>
      </c>
      <c r="R147" s="43">
        <v>1402</v>
      </c>
      <c r="S147" s="43">
        <v>28.51</v>
      </c>
      <c r="T147" s="43">
        <v>50</v>
      </c>
      <c r="U147" s="43">
        <v>303</v>
      </c>
      <c r="V147" s="43">
        <v>595</v>
      </c>
      <c r="W147" s="43">
        <v>375</v>
      </c>
      <c r="X147" s="43">
        <v>75</v>
      </c>
      <c r="Y147" s="43">
        <v>4</v>
      </c>
      <c r="Z147" s="32">
        <v>54</v>
      </c>
      <c r="AA147" s="43" t="s">
        <v>63</v>
      </c>
      <c r="AB147" s="43">
        <v>24.32</v>
      </c>
      <c r="AC147" s="43">
        <v>501</v>
      </c>
      <c r="AD147" s="43">
        <v>18.11</v>
      </c>
      <c r="AE147" s="43">
        <v>21.46</v>
      </c>
      <c r="AF147" s="43">
        <v>29.35</v>
      </c>
      <c r="AG147" s="43">
        <v>192.321019606362</v>
      </c>
      <c r="AH147" s="43">
        <v>204.71784988931901</v>
      </c>
      <c r="AI147" s="43">
        <v>243.20543556361</v>
      </c>
      <c r="AJ147" s="43">
        <v>40.1297334278349</v>
      </c>
      <c r="AK147" s="43">
        <v>0.74314321162657304</v>
      </c>
      <c r="AL147" s="43">
        <v>0.84265682062980096</v>
      </c>
      <c r="AM147" s="43">
        <v>506.06852812810098</v>
      </c>
      <c r="AN147" s="43">
        <v>9.3716394097796503</v>
      </c>
      <c r="AO147" s="43">
        <v>15.385241417046</v>
      </c>
      <c r="AP147" s="44">
        <v>147</v>
      </c>
      <c r="AQ147" s="44">
        <v>5.3599999999999994</v>
      </c>
      <c r="AR147" s="44">
        <v>21.546601859359317</v>
      </c>
      <c r="AS147" s="44">
        <v>57.226216294392003</v>
      </c>
      <c r="AT147" s="44">
        <v>1.01</v>
      </c>
      <c r="AU147" s="44">
        <v>0.38929398839722451</v>
      </c>
      <c r="AV147" s="44">
        <f t="shared" si="19"/>
        <v>57.226216294392003</v>
      </c>
      <c r="AW147" s="44">
        <f>+VLOOKUP(C147,'Etape 1 - surface'!$A$5:$B$58,2,FALSE)</f>
        <v>0</v>
      </c>
      <c r="AX147" s="44">
        <f t="shared" si="14"/>
        <v>0</v>
      </c>
      <c r="AY147" s="44">
        <f>5.93488073153274+(78.4394250513347-5.93488073153274)/(1+EXP(-(1.03516193614659*AU147+-2.09091784316379)))</f>
        <v>17.249035911583061</v>
      </c>
      <c r="AZ147" s="63"/>
      <c r="BA147" s="63">
        <f t="shared" si="15"/>
        <v>0</v>
      </c>
      <c r="BB147" s="45"/>
      <c r="BC147" s="65">
        <v>4.4999999999999998E-2</v>
      </c>
      <c r="BD147" s="63">
        <f t="shared" ref="BD147:BD210" si="20">+(+BA147+BB147)/(1+BC147)^Z147+BD146</f>
        <v>-3503.0716309776817</v>
      </c>
    </row>
    <row r="148" spans="1:56" ht="15" x14ac:dyDescent="0.25">
      <c r="A148" t="str">
        <f>+VLOOKUP(D148,Acronyme!$A$1:$C$50,3,FALSE)</f>
        <v>Epicéa</v>
      </c>
      <c r="B148" t="str">
        <f>+VLOOKUP(E148,Acronyme!$E$2:$I$50,5,FALSE)</f>
        <v>GS Arc Jurassien</v>
      </c>
      <c r="C148" t="s">
        <v>264</v>
      </c>
      <c r="D148" s="43" t="s">
        <v>118</v>
      </c>
      <c r="E148" s="43" t="s">
        <v>119</v>
      </c>
      <c r="F148" s="43" t="s">
        <v>120</v>
      </c>
      <c r="G148" s="43" t="s">
        <v>121</v>
      </c>
      <c r="H148" s="43">
        <v>28.5</v>
      </c>
      <c r="I148" s="43" t="s">
        <v>122</v>
      </c>
      <c r="J148" s="43">
        <v>1666</v>
      </c>
      <c r="K148" s="43" t="s">
        <v>102</v>
      </c>
      <c r="L148" s="43" t="s">
        <v>103</v>
      </c>
      <c r="M148" s="43" t="s">
        <v>123</v>
      </c>
      <c r="N148" s="43"/>
      <c r="O148" s="43"/>
      <c r="P148" s="43">
        <v>25</v>
      </c>
      <c r="Q148" s="43">
        <v>16.53</v>
      </c>
      <c r="R148" s="43">
        <v>1255</v>
      </c>
      <c r="S148" s="43">
        <v>35.83</v>
      </c>
      <c r="T148" s="43">
        <v>3</v>
      </c>
      <c r="U148" s="43">
        <v>181</v>
      </c>
      <c r="V148" s="43">
        <v>304</v>
      </c>
      <c r="W148" s="43">
        <v>527</v>
      </c>
      <c r="X148" s="43">
        <v>194</v>
      </c>
      <c r="Y148" s="43">
        <v>46</v>
      </c>
      <c r="Z148" s="32">
        <v>55</v>
      </c>
      <c r="AA148" s="43" t="s">
        <v>63</v>
      </c>
      <c r="AB148" s="43">
        <v>30.112683557628301</v>
      </c>
      <c r="AC148" s="43">
        <v>221</v>
      </c>
      <c r="AD148" s="43">
        <v>31.9246703847578</v>
      </c>
      <c r="AE148" s="43">
        <v>42.8866509763672</v>
      </c>
      <c r="AF148" s="43">
        <v>47.769424050084403</v>
      </c>
      <c r="AG148" s="43">
        <v>422.07871447034597</v>
      </c>
      <c r="AH148" s="43">
        <v>423.92989975022903</v>
      </c>
      <c r="AI148" s="43">
        <v>467.84253605911198</v>
      </c>
      <c r="AJ148" s="43">
        <v>81.578581740337498</v>
      </c>
      <c r="AK148" s="43">
        <v>1.4832469407334099</v>
      </c>
      <c r="AL148" s="43">
        <v>1.0480463976514001</v>
      </c>
      <c r="AM148" s="43">
        <v>1049.2260580720299</v>
      </c>
      <c r="AN148" s="43">
        <v>19.0768374194915</v>
      </c>
      <c r="AO148" s="43">
        <v>19.993856182641299</v>
      </c>
      <c r="AP148" s="44">
        <v>58</v>
      </c>
      <c r="AQ148" s="44">
        <v>7.3586443266063988</v>
      </c>
      <c r="AR148" s="44">
        <v>40.192032475733292</v>
      </c>
      <c r="AS148" s="44">
        <v>97.020942195116049</v>
      </c>
      <c r="AT148" s="44">
        <v>0.90108528098056573</v>
      </c>
      <c r="AU148" s="44">
        <v>1.6727748654330354</v>
      </c>
      <c r="AV148" s="44">
        <f t="shared" si="19"/>
        <v>97.020942195116049</v>
      </c>
      <c r="AW148" s="44">
        <f>+VLOOKUP(C148,'Etape 1 - surface'!$A$5:$B$58,2,FALSE)</f>
        <v>0</v>
      </c>
      <c r="AX148" s="44">
        <f t="shared" si="14"/>
        <v>0</v>
      </c>
      <c r="AY148" s="44">
        <f>5.9476406705017+(63.9669421487603-5.9476406705017)/(1+EXP(-(0.302428574792357*AU148+-0.378232364909735)))</f>
        <v>36.806503641206987</v>
      </c>
      <c r="AZ148" s="63"/>
      <c r="BA148" s="63">
        <f t="shared" si="15"/>
        <v>0</v>
      </c>
      <c r="BB148" s="45"/>
      <c r="BC148" s="65">
        <v>4.4999999999999998E-2</v>
      </c>
      <c r="BD148" s="63">
        <f t="shared" si="20"/>
        <v>-3503.0716309776817</v>
      </c>
    </row>
    <row r="149" spans="1:56" ht="15" x14ac:dyDescent="0.25">
      <c r="A149" t="str">
        <f>+VLOOKUP(D149,Acronyme!$A$1:$C$50,3,FALSE)</f>
        <v>Epicéa</v>
      </c>
      <c r="B149" t="str">
        <f>+VLOOKUP(E149,Acronyme!$E$2:$I$50,5,FALSE)</f>
        <v>GS Arc Jurassien</v>
      </c>
      <c r="C149" t="s">
        <v>264</v>
      </c>
      <c r="D149" s="43" t="s">
        <v>118</v>
      </c>
      <c r="E149" s="43" t="s">
        <v>119</v>
      </c>
      <c r="F149" s="43" t="s">
        <v>120</v>
      </c>
      <c r="G149" s="43" t="s">
        <v>121</v>
      </c>
      <c r="H149" s="43">
        <v>28.5</v>
      </c>
      <c r="I149" s="43" t="s">
        <v>101</v>
      </c>
      <c r="J149" s="43">
        <v>1666</v>
      </c>
      <c r="K149" s="43" t="s">
        <v>102</v>
      </c>
      <c r="L149" s="43" t="s">
        <v>103</v>
      </c>
      <c r="M149" s="43" t="s">
        <v>123</v>
      </c>
      <c r="N149" s="43"/>
      <c r="O149" s="43"/>
      <c r="P149" s="43">
        <v>25</v>
      </c>
      <c r="Q149" s="43">
        <v>16.53</v>
      </c>
      <c r="R149" s="43">
        <v>1255</v>
      </c>
      <c r="S149" s="43">
        <v>35.83</v>
      </c>
      <c r="T149" s="43">
        <v>3</v>
      </c>
      <c r="U149" s="43">
        <v>181</v>
      </c>
      <c r="V149" s="43">
        <v>304</v>
      </c>
      <c r="W149" s="43">
        <v>527</v>
      </c>
      <c r="X149" s="43">
        <v>194</v>
      </c>
      <c r="Y149" s="43">
        <v>46</v>
      </c>
      <c r="Z149" s="32">
        <v>55</v>
      </c>
      <c r="AA149" s="43" t="s">
        <v>63</v>
      </c>
      <c r="AB149" s="43">
        <v>30.112683557628301</v>
      </c>
      <c r="AC149" s="43">
        <v>0</v>
      </c>
      <c r="AD149" s="43">
        <v>0</v>
      </c>
      <c r="AE149" s="43">
        <v>0</v>
      </c>
      <c r="AF149" s="43">
        <v>0</v>
      </c>
      <c r="AG149" s="43">
        <v>0</v>
      </c>
      <c r="AH149" s="43">
        <v>0</v>
      </c>
      <c r="AI149" s="43">
        <v>0</v>
      </c>
      <c r="AJ149" s="43">
        <v>81.578581740337498</v>
      </c>
      <c r="AK149" s="43">
        <v>1.4832469407334099</v>
      </c>
      <c r="AL149" s="43"/>
      <c r="AM149" s="43">
        <v>1049.2260580720299</v>
      </c>
      <c r="AN149" s="43">
        <v>19.0768374194915</v>
      </c>
      <c r="AO149" s="43"/>
      <c r="AP149" s="44">
        <v>279</v>
      </c>
      <c r="AQ149" s="44">
        <v>39.28</v>
      </c>
      <c r="AR149" s="44">
        <v>42.338814867022265</v>
      </c>
      <c r="AS149" s="44">
        <v>519.1</v>
      </c>
      <c r="AT149" s="44">
        <v>1</v>
      </c>
      <c r="AU149" s="44">
        <v>1.8605734767025091</v>
      </c>
      <c r="AV149" s="44">
        <f t="shared" si="19"/>
        <v>519.1</v>
      </c>
      <c r="AW149" s="44">
        <f>+VLOOKUP(C149,'Etape 1 - surface'!$A$5:$B$58,2,FALSE)</f>
        <v>0</v>
      </c>
      <c r="AX149" s="44">
        <f t="shared" si="14"/>
        <v>0</v>
      </c>
      <c r="AY149" s="44">
        <f>5.9476406705017+(63.9669421487603-5.9476406705017)/(1+EXP(-(0.302428574792357*AU149+-0.378232364909735)))</f>
        <v>37.625265183694822</v>
      </c>
      <c r="AZ149" s="63"/>
      <c r="BA149" s="63">
        <f t="shared" si="15"/>
        <v>0</v>
      </c>
      <c r="BB149" s="45"/>
      <c r="BC149" s="65">
        <v>4.4999999999999998E-2</v>
      </c>
      <c r="BD149" s="63">
        <f t="shared" si="20"/>
        <v>-3503.0716309776817</v>
      </c>
    </row>
    <row r="150" spans="1:56" ht="14.45" customHeight="1" x14ac:dyDescent="0.25">
      <c r="A150" t="str">
        <f>+VLOOKUP(D150,Acronyme!$A$1:$C$50,3,FALSE)</f>
        <v>Pin Noir d'Autriche</v>
      </c>
      <c r="B150" t="str">
        <f>+VLOOKUP(E150,Acronyme!$E$2:$I$50,5,FALSE)</f>
        <v>GSM Alpes du Sud</v>
      </c>
      <c r="C150" t="s">
        <v>264</v>
      </c>
      <c r="D150" s="43" t="s">
        <v>131</v>
      </c>
      <c r="E150" s="43" t="s">
        <v>132</v>
      </c>
      <c r="F150" s="43" t="s">
        <v>133</v>
      </c>
      <c r="G150" s="43" t="s">
        <v>100</v>
      </c>
      <c r="H150" s="43">
        <v>18.2</v>
      </c>
      <c r="I150" s="43" t="s">
        <v>108</v>
      </c>
      <c r="J150" s="43">
        <v>1100</v>
      </c>
      <c r="K150" s="43" t="s">
        <v>109</v>
      </c>
      <c r="L150" s="43" t="s">
        <v>134</v>
      </c>
      <c r="M150" s="43" t="s">
        <v>135</v>
      </c>
      <c r="N150" s="43"/>
      <c r="O150" s="43"/>
      <c r="P150" s="43">
        <v>15</v>
      </c>
      <c r="Q150" s="43">
        <v>4.9000000000000004</v>
      </c>
      <c r="R150" s="43">
        <v>6000</v>
      </c>
      <c r="S150" s="43">
        <v>19.7</v>
      </c>
      <c r="T150" s="43">
        <v>5448</v>
      </c>
      <c r="U150" s="43">
        <v>552</v>
      </c>
      <c r="V150" s="43">
        <v>0</v>
      </c>
      <c r="W150" s="43">
        <v>0</v>
      </c>
      <c r="X150" s="43">
        <v>0</v>
      </c>
      <c r="Y150" s="43">
        <v>0</v>
      </c>
      <c r="Z150" s="32">
        <v>55</v>
      </c>
      <c r="AA150" s="43" t="s">
        <v>63</v>
      </c>
      <c r="AB150" s="43">
        <v>19.399999999999999</v>
      </c>
      <c r="AC150" s="43">
        <v>501</v>
      </c>
      <c r="AD150" s="43">
        <v>28.2</v>
      </c>
      <c r="AE150" s="43">
        <v>26.77</v>
      </c>
      <c r="AF150" s="43">
        <v>30.12</v>
      </c>
      <c r="AG150" s="43">
        <v>261.499947001527</v>
      </c>
      <c r="AH150" s="43">
        <v>262.481796102293</v>
      </c>
      <c r="AI150" s="43">
        <v>291.32166318012497</v>
      </c>
      <c r="AJ150" s="43">
        <v>47.245597891410398</v>
      </c>
      <c r="AK150" s="43">
        <v>0.85901087075291704</v>
      </c>
      <c r="AL150" s="43">
        <v>0.70029016117737797</v>
      </c>
      <c r="AM150" s="43">
        <v>469.39391622751498</v>
      </c>
      <c r="AN150" s="43">
        <v>8.5344348405002695</v>
      </c>
      <c r="AO150" s="43">
        <v>9.7869684395284793</v>
      </c>
      <c r="AP150" s="44">
        <v>190</v>
      </c>
      <c r="AQ150" s="44">
        <v>8.1999999999999993</v>
      </c>
      <c r="AR150" s="44">
        <v>23.441488486541317</v>
      </c>
      <c r="AS150" s="44">
        <v>75.889853987771005</v>
      </c>
      <c r="AT150" s="44">
        <v>0.82</v>
      </c>
      <c r="AU150" s="44">
        <v>0.39942028414616321</v>
      </c>
      <c r="AV150" s="44">
        <f t="shared" si="19"/>
        <v>75.889853987771005</v>
      </c>
      <c r="AW150" s="44">
        <f>+VLOOKUP(C150,'Etape 1 - surface'!$A$5:$B$58,2,FALSE)</f>
        <v>0</v>
      </c>
      <c r="AX150" s="44">
        <f t="shared" ref="AX150:AX213" si="21">+AW150*AV150</f>
        <v>0</v>
      </c>
      <c r="AY150" s="44">
        <f>10.0046474463505+(37.1112351801373-10.0046474463505)/(1+EXP(-(0.581180949782075*AU150+-0.955447614584994)))</f>
        <v>18.859394942328532</v>
      </c>
      <c r="AZ150" s="63"/>
      <c r="BA150" s="63">
        <f t="shared" ref="BA150:BA213" si="22">+AX150*AY150</f>
        <v>0</v>
      </c>
      <c r="BB150" s="45"/>
      <c r="BC150" s="65">
        <v>4.4999999999999998E-2</v>
      </c>
      <c r="BD150" s="63">
        <f t="shared" si="20"/>
        <v>-3503.0716309776817</v>
      </c>
    </row>
    <row r="151" spans="1:56" ht="15" x14ac:dyDescent="0.25">
      <c r="A151" t="str">
        <f>+VLOOKUP(D151,Acronyme!$A$1:$C$50,3,FALSE)</f>
        <v>Chêne sessile</v>
      </c>
      <c r="B151" t="str">
        <f>+VLOOKUP(E151,Acronyme!$E$2:$I$50,5,FALSE)</f>
        <v>Guide chênaie continentale</v>
      </c>
      <c r="C151" t="s">
        <v>264</v>
      </c>
      <c r="D151" s="43" t="s">
        <v>60</v>
      </c>
      <c r="E151" s="43" t="s">
        <v>65</v>
      </c>
      <c r="F151" s="43" t="s">
        <v>66</v>
      </c>
      <c r="G151" s="43" t="s">
        <v>100</v>
      </c>
      <c r="H151" s="43">
        <v>21.5</v>
      </c>
      <c r="I151" s="43" t="s">
        <v>144</v>
      </c>
      <c r="J151" s="43">
        <v>1666</v>
      </c>
      <c r="K151" s="43" t="s">
        <v>109</v>
      </c>
      <c r="L151" s="43" t="s">
        <v>103</v>
      </c>
      <c r="M151" s="43" t="s">
        <v>143</v>
      </c>
      <c r="N151" s="43"/>
      <c r="O151" s="43"/>
      <c r="P151" s="43">
        <v>35</v>
      </c>
      <c r="Q151" s="43">
        <v>16.59</v>
      </c>
      <c r="R151" s="43">
        <v>1453</v>
      </c>
      <c r="S151" s="43">
        <v>26.19</v>
      </c>
      <c r="T151" s="43">
        <v>41</v>
      </c>
      <c r="U151" s="43">
        <v>369</v>
      </c>
      <c r="V151" s="43">
        <v>713</v>
      </c>
      <c r="W151" s="43">
        <v>301</v>
      </c>
      <c r="X151" s="43">
        <v>28</v>
      </c>
      <c r="Y151" s="43">
        <v>0</v>
      </c>
      <c r="Z151" s="32">
        <v>55</v>
      </c>
      <c r="AA151" s="43" t="s">
        <v>63</v>
      </c>
      <c r="AB151" s="43">
        <v>23.1</v>
      </c>
      <c r="AC151" s="43">
        <v>228</v>
      </c>
      <c r="AD151" s="43">
        <v>17.25</v>
      </c>
      <c r="AE151" s="43">
        <v>31.03</v>
      </c>
      <c r="AF151" s="43">
        <v>33.72</v>
      </c>
      <c r="AG151" s="43">
        <v>194.98568623368101</v>
      </c>
      <c r="AH151" s="43">
        <v>213.87539510104</v>
      </c>
      <c r="AI151" s="43">
        <v>238.14525616703699</v>
      </c>
      <c r="AJ151" s="43">
        <v>44.537720670461297</v>
      </c>
      <c r="AK151" s="43">
        <v>0.80977673946293305</v>
      </c>
      <c r="AL151" s="43">
        <v>0.68137606961234998</v>
      </c>
      <c r="AM151" s="43">
        <v>538.60060184078804</v>
      </c>
      <c r="AN151" s="43">
        <v>9.7927382152870592</v>
      </c>
      <c r="AO151" s="43">
        <v>12.1548746731376</v>
      </c>
      <c r="AP151" s="44">
        <v>89</v>
      </c>
      <c r="AQ151" s="44">
        <v>5.3599999999999994</v>
      </c>
      <c r="AR151" s="44">
        <v>27.691243007513702</v>
      </c>
      <c r="AS151" s="44">
        <v>59.793346122150979</v>
      </c>
      <c r="AT151" s="44">
        <v>0.84</v>
      </c>
      <c r="AU151" s="44">
        <v>0.67183534968708969</v>
      </c>
      <c r="AV151" s="44">
        <f t="shared" si="19"/>
        <v>59.793346122150979</v>
      </c>
      <c r="AW151" s="44">
        <f>+VLOOKUP(C151,'Etape 1 - surface'!$A$5:$B$58,2,FALSE)</f>
        <v>0</v>
      </c>
      <c r="AX151" s="44">
        <f t="shared" si="21"/>
        <v>0</v>
      </c>
      <c r="AY151" s="44">
        <f>10.8374384236453+(405.147848531042-10.8374384236453)/(1+EXP(-(1.16387919746889*AU151+-2.8965970117006)))</f>
        <v>53.296750144308632</v>
      </c>
      <c r="AZ151" s="63"/>
      <c r="BA151" s="63">
        <f t="shared" si="22"/>
        <v>0</v>
      </c>
      <c r="BB151" s="45"/>
      <c r="BC151" s="65">
        <v>4.4999999999999998E-2</v>
      </c>
      <c r="BD151" s="63">
        <f t="shared" si="20"/>
        <v>-3503.0716309776817</v>
      </c>
    </row>
    <row r="152" spans="1:56" ht="14.45" customHeight="1" x14ac:dyDescent="0.25">
      <c r="A152" t="str">
        <f>+VLOOKUP(D152,Acronyme!$A$1:$C$50,3,FALSE)</f>
        <v>Pin sylvestre</v>
      </c>
      <c r="B152" t="str">
        <f>+VLOOKUP(E152,Acronyme!$E$2:$I$50,5,FALSE)</f>
        <v>GS Pineraies des plaines du Centre et du Nord Ouest</v>
      </c>
      <c r="C152" t="s">
        <v>264</v>
      </c>
      <c r="D152" s="43" t="s">
        <v>106</v>
      </c>
      <c r="E152" s="43" t="s">
        <v>89</v>
      </c>
      <c r="F152" s="43" t="s">
        <v>107</v>
      </c>
      <c r="G152" s="43" t="s">
        <v>62</v>
      </c>
      <c r="H152" s="43">
        <v>23</v>
      </c>
      <c r="I152" s="43" t="s">
        <v>108</v>
      </c>
      <c r="J152" s="43">
        <v>2500</v>
      </c>
      <c r="K152" s="43" t="s">
        <v>109</v>
      </c>
      <c r="L152" s="43" t="s">
        <v>110</v>
      </c>
      <c r="M152" s="43" t="s">
        <v>111</v>
      </c>
      <c r="N152" s="43">
        <v>2003</v>
      </c>
      <c r="O152" s="43"/>
      <c r="P152" s="43">
        <v>24</v>
      </c>
      <c r="Q152" s="43">
        <v>11.4</v>
      </c>
      <c r="R152" s="43">
        <v>2157</v>
      </c>
      <c r="S152" s="43">
        <v>40.299999999999997</v>
      </c>
      <c r="T152" s="43">
        <v>0</v>
      </c>
      <c r="U152" s="43">
        <v>600</v>
      </c>
      <c r="V152" s="43">
        <v>1043</v>
      </c>
      <c r="W152" s="43">
        <v>457</v>
      </c>
      <c r="X152" s="43">
        <v>57</v>
      </c>
      <c r="Y152" s="43">
        <v>0</v>
      </c>
      <c r="Z152" s="32">
        <v>56</v>
      </c>
      <c r="AA152" s="43" t="s">
        <v>63</v>
      </c>
      <c r="AB152" s="43">
        <v>22.77</v>
      </c>
      <c r="AC152" s="43">
        <v>300</v>
      </c>
      <c r="AD152" s="43">
        <v>22.95</v>
      </c>
      <c r="AE152" s="43">
        <v>31.21</v>
      </c>
      <c r="AF152" s="43">
        <v>35.72</v>
      </c>
      <c r="AG152" s="43">
        <v>227.16394217526599</v>
      </c>
      <c r="AH152" s="43">
        <v>229.59419890000001</v>
      </c>
      <c r="AI152" s="43">
        <v>268.05426756343797</v>
      </c>
      <c r="AJ152" s="43">
        <v>68.624300243654702</v>
      </c>
      <c r="AK152" s="43">
        <v>1.2254339329224</v>
      </c>
      <c r="AL152" s="43">
        <v>0.513517281727218</v>
      </c>
      <c r="AM152" s="43">
        <v>641.63815193713504</v>
      </c>
      <c r="AN152" s="43">
        <v>11.4578241417346</v>
      </c>
      <c r="AO152" s="43">
        <v>8.2915533176194494</v>
      </c>
      <c r="AP152" s="44">
        <v>100</v>
      </c>
      <c r="AQ152" s="44">
        <v>4.3551187363831012</v>
      </c>
      <c r="AR152" s="44">
        <v>23.548055964728803</v>
      </c>
      <c r="AS152" s="44">
        <v>41.654912004837996</v>
      </c>
      <c r="AT152" s="44">
        <v>0.62970853947233996</v>
      </c>
      <c r="AU152" s="44">
        <v>0.41654912004837996</v>
      </c>
      <c r="AV152" s="44">
        <f t="shared" si="19"/>
        <v>41.654912004837996</v>
      </c>
      <c r="AW152" s="44">
        <f>+VLOOKUP(C152,'Etape 1 - surface'!$A$5:$B$58,2,FALSE)</f>
        <v>0</v>
      </c>
      <c r="AX152" s="44">
        <f t="shared" si="21"/>
        <v>0</v>
      </c>
      <c r="AY152" s="44">
        <f>10.0046474463505+(37.1112351801373-10.0046474463505)/(1+EXP(-(0.581180949782075*AU152+-0.955447614584994)))</f>
        <v>18.918850664745438</v>
      </c>
      <c r="AZ152" s="63"/>
      <c r="BA152" s="63">
        <f t="shared" si="22"/>
        <v>0</v>
      </c>
      <c r="BB152" s="45"/>
      <c r="BC152" s="65">
        <v>4.4999999999999998E-2</v>
      </c>
      <c r="BD152" s="63">
        <f t="shared" si="20"/>
        <v>-3503.0716309776817</v>
      </c>
    </row>
    <row r="153" spans="1:56" ht="15" x14ac:dyDescent="0.25">
      <c r="A153" t="str">
        <f>+VLOOKUP(D153,Acronyme!$A$1:$C$50,3,FALSE)</f>
        <v>Douglas</v>
      </c>
      <c r="B153" t="str">
        <f>+VLOOKUP(E153,Acronyme!$E$2:$I$50,5,FALSE)</f>
        <v>National</v>
      </c>
      <c r="C153" t="s">
        <v>264</v>
      </c>
      <c r="D153" s="43" t="s">
        <v>97</v>
      </c>
      <c r="E153" s="43" t="s">
        <v>98</v>
      </c>
      <c r="F153" s="43" t="s">
        <v>99</v>
      </c>
      <c r="G153" s="43" t="s">
        <v>62</v>
      </c>
      <c r="H153" s="43">
        <v>33</v>
      </c>
      <c r="I153" s="43" t="s">
        <v>101</v>
      </c>
      <c r="J153" s="43">
        <v>1666</v>
      </c>
      <c r="K153" s="43" t="s">
        <v>102</v>
      </c>
      <c r="L153" s="43" t="s">
        <v>103</v>
      </c>
      <c r="M153" s="43" t="s">
        <v>104</v>
      </c>
      <c r="N153" s="43"/>
      <c r="O153" s="43" t="s">
        <v>112</v>
      </c>
      <c r="P153" s="43">
        <v>19</v>
      </c>
      <c r="Q153" s="43">
        <v>15.33</v>
      </c>
      <c r="R153" s="43">
        <v>1600</v>
      </c>
      <c r="S153" s="43">
        <v>14.8</v>
      </c>
      <c r="T153" s="43">
        <v>30</v>
      </c>
      <c r="U153" s="43">
        <v>428</v>
      </c>
      <c r="V153" s="43">
        <v>890</v>
      </c>
      <c r="W153" s="43">
        <v>240</v>
      </c>
      <c r="X153" s="43">
        <v>12</v>
      </c>
      <c r="Y153" s="43">
        <v>0</v>
      </c>
      <c r="Z153" s="32">
        <v>56</v>
      </c>
      <c r="AA153" s="43" t="s">
        <v>63</v>
      </c>
      <c r="AB153" s="43">
        <v>36.8923075610982</v>
      </c>
      <c r="AC153" s="43">
        <v>206</v>
      </c>
      <c r="AD153" s="43">
        <v>31.979128038901401</v>
      </c>
      <c r="AE153" s="43">
        <v>44.458495112125298</v>
      </c>
      <c r="AF153" s="43">
        <v>48.085467964366998</v>
      </c>
      <c r="AG153" s="43">
        <v>364.62376690376698</v>
      </c>
      <c r="AH153" s="43">
        <v>369.82789914561403</v>
      </c>
      <c r="AI153" s="43">
        <v>457.38903557666401</v>
      </c>
      <c r="AJ153" s="43">
        <v>83.701711743776698</v>
      </c>
      <c r="AK153" s="43">
        <v>1.49467342399601</v>
      </c>
      <c r="AL153" s="43">
        <v>0.98625613974520199</v>
      </c>
      <c r="AM153" s="43">
        <v>1023.6365122443</v>
      </c>
      <c r="AN153" s="43">
        <v>18.2792234329339</v>
      </c>
      <c r="AO153" s="43">
        <v>19.291418806824002</v>
      </c>
      <c r="AP153" s="44">
        <v>50</v>
      </c>
      <c r="AQ153" s="44">
        <v>6.891168502091702</v>
      </c>
      <c r="AR153" s="44">
        <v>41.890591416919698</v>
      </c>
      <c r="AS153" s="44">
        <v>78.563471319325004</v>
      </c>
      <c r="AT153" s="44">
        <v>0.90770551990773773</v>
      </c>
      <c r="AU153" s="44">
        <v>1.5712694263865001</v>
      </c>
      <c r="AV153" s="44">
        <f t="shared" si="19"/>
        <v>78.563471319325004</v>
      </c>
      <c r="AW153" s="44">
        <f>+VLOOKUP(C153,'Etape 1 - surface'!$A$5:$B$58,2,FALSE)</f>
        <v>0</v>
      </c>
      <c r="AX153" s="44">
        <f t="shared" si="21"/>
        <v>0</v>
      </c>
      <c r="AY153" s="44">
        <f>17.058316746383+(70.7042249024703-17.058316746383)/(1+EXP(-(0.378583234479568*AU153+-0.73675928557405)))</f>
        <v>41.981328785112794</v>
      </c>
      <c r="AZ153" s="63"/>
      <c r="BA153" s="63">
        <f t="shared" si="22"/>
        <v>0</v>
      </c>
      <c r="BB153" s="45"/>
      <c r="BC153" s="65">
        <v>4.4999999999999998E-2</v>
      </c>
      <c r="BD153" s="63">
        <f t="shared" si="20"/>
        <v>-3503.0716309776817</v>
      </c>
    </row>
    <row r="154" spans="1:56" ht="15" x14ac:dyDescent="0.25">
      <c r="A154" t="str">
        <f>+VLOOKUP(D154,Acronyme!$A$1:$C$50,3,FALSE)</f>
        <v>Pin Laricio</v>
      </c>
      <c r="B154" t="str">
        <f>+VLOOKUP(E154,Acronyme!$E$2:$I$50,5,FALSE)</f>
        <v>GS Pineraies des plaines du Centre et du Nord Ouest</v>
      </c>
      <c r="C154" t="s">
        <v>264</v>
      </c>
      <c r="D154" s="43" t="s">
        <v>88</v>
      </c>
      <c r="E154" s="43" t="s">
        <v>89</v>
      </c>
      <c r="F154" s="43" t="s">
        <v>61</v>
      </c>
      <c r="G154" s="43" t="s">
        <v>100</v>
      </c>
      <c r="H154" s="43">
        <v>26</v>
      </c>
      <c r="I154" s="43" t="s">
        <v>101</v>
      </c>
      <c r="J154" s="43">
        <v>1600</v>
      </c>
      <c r="K154" s="43" t="s">
        <v>102</v>
      </c>
      <c r="L154" s="43" t="s">
        <v>103</v>
      </c>
      <c r="M154" s="43" t="s">
        <v>117</v>
      </c>
      <c r="N154" s="43"/>
      <c r="O154" s="43"/>
      <c r="P154" s="43">
        <v>15</v>
      </c>
      <c r="Q154" s="43">
        <v>8.23</v>
      </c>
      <c r="R154" s="43">
        <v>1600</v>
      </c>
      <c r="S154" s="43">
        <v>14.07</v>
      </c>
      <c r="T154" s="43">
        <v>109</v>
      </c>
      <c r="U154" s="43">
        <v>1278</v>
      </c>
      <c r="V154" s="43">
        <v>213</v>
      </c>
      <c r="W154" s="43">
        <v>0</v>
      </c>
      <c r="X154" s="43">
        <v>0</v>
      </c>
      <c r="Y154" s="43">
        <v>0</v>
      </c>
      <c r="Z154" s="32">
        <v>56</v>
      </c>
      <c r="AA154" s="43" t="s">
        <v>63</v>
      </c>
      <c r="AB154" s="43">
        <v>27.77</v>
      </c>
      <c r="AC154" s="43">
        <v>247.2</v>
      </c>
      <c r="AD154" s="43">
        <v>36.020000000000003</v>
      </c>
      <c r="AE154" s="43">
        <v>43.07</v>
      </c>
      <c r="AF154" s="43">
        <v>46.24</v>
      </c>
      <c r="AG154" s="43">
        <v>379.19212339763101</v>
      </c>
      <c r="AH154" s="43">
        <v>387.97736570669201</v>
      </c>
      <c r="AI154" s="43">
        <v>475.767032239993</v>
      </c>
      <c r="AJ154" s="43">
        <v>79.108943284376494</v>
      </c>
      <c r="AK154" s="43">
        <v>1.4126597015067199</v>
      </c>
      <c r="AL154" s="43">
        <v>0.95880029308939596</v>
      </c>
      <c r="AM154" s="43">
        <v>893.78321562177803</v>
      </c>
      <c r="AN154" s="43">
        <v>15.960414564674601</v>
      </c>
      <c r="AO154" s="43">
        <v>15.7583773668185</v>
      </c>
      <c r="AP154" s="44">
        <v>48</v>
      </c>
      <c r="AQ154" s="44">
        <v>6.029999999999994</v>
      </c>
      <c r="AR154" s="44">
        <v>39.993839251484054</v>
      </c>
      <c r="AS154" s="44">
        <v>62.93386507311601</v>
      </c>
      <c r="AT154" s="44">
        <v>0.88180166242906477</v>
      </c>
      <c r="AU154" s="44">
        <v>1.3111221890232503</v>
      </c>
      <c r="AV154" s="44">
        <f t="shared" si="19"/>
        <v>62.93386507311601</v>
      </c>
      <c r="AW154" s="44">
        <f>+VLOOKUP(C154,'Etape 1 - surface'!$A$5:$B$58,2,FALSE)</f>
        <v>0</v>
      </c>
      <c r="AX154" s="44">
        <f t="shared" si="21"/>
        <v>0</v>
      </c>
      <c r="AY154" s="44">
        <f>10.0046474463505+(37.1112351801373-10.0046474463505)/(1+EXP(-(0.581180949782075*AU154+-0.955447614584994)))</f>
        <v>22.251082900883603</v>
      </c>
      <c r="AZ154" s="63"/>
      <c r="BA154" s="63">
        <f t="shared" si="22"/>
        <v>0</v>
      </c>
      <c r="BB154" s="45"/>
      <c r="BC154" s="65">
        <v>4.4999999999999998E-2</v>
      </c>
      <c r="BD154" s="63">
        <f t="shared" si="20"/>
        <v>-3503.0716309776817</v>
      </c>
    </row>
    <row r="155" spans="1:56" ht="15" x14ac:dyDescent="0.25">
      <c r="C155" t="s">
        <v>262</v>
      </c>
      <c r="D155" s="43" t="s">
        <v>207</v>
      </c>
      <c r="E155" s="43" t="s">
        <v>208</v>
      </c>
      <c r="F155" s="43" t="s">
        <v>259</v>
      </c>
      <c r="G155" s="43" t="s">
        <v>62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2">
        <v>56</v>
      </c>
      <c r="AA155" s="43" t="s">
        <v>63</v>
      </c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44">
        <v>142</v>
      </c>
      <c r="AQ155" s="1"/>
      <c r="AR155" s="1"/>
      <c r="AS155" s="1"/>
      <c r="AT155" s="1"/>
      <c r="AU155" s="44">
        <f>AV155/AP155</f>
        <v>0.55633802816901412</v>
      </c>
      <c r="AV155" s="44">
        <v>79</v>
      </c>
      <c r="AW155" s="44">
        <f>+VLOOKUP(C155,'Etape 1 - surface'!$A$5:$B$58,2,FALSE)</f>
        <v>0</v>
      </c>
      <c r="AX155" s="44">
        <f t="shared" si="21"/>
        <v>0</v>
      </c>
      <c r="AY155" s="44">
        <f>82.5251889/(1+EXP(-(0.26195064*AU155+(-0.34406779))))</f>
        <v>37.184053483398074</v>
      </c>
      <c r="AZ155" s="63"/>
      <c r="BA155" s="63">
        <f t="shared" si="22"/>
        <v>0</v>
      </c>
      <c r="BB155" s="45"/>
      <c r="BC155" s="65">
        <v>4.4999999999999998E-2</v>
      </c>
      <c r="BD155" s="63">
        <f t="shared" si="20"/>
        <v>-3503.0716309776817</v>
      </c>
    </row>
    <row r="156" spans="1:56" ht="15" x14ac:dyDescent="0.25">
      <c r="A156" t="str">
        <f>+VLOOKUP(D156,Acronyme!$A$1:$C$50,3,FALSE)</f>
        <v>Hêtre commun</v>
      </c>
      <c r="B156" t="str">
        <f>+VLOOKUP(E156,Acronyme!$E$2:$I$50,5,FALSE)</f>
        <v>GS Hêtraies et hêtraies sapinières des Pyrénées</v>
      </c>
      <c r="C156" t="s">
        <v>264</v>
      </c>
      <c r="D156" s="43" t="s">
        <v>126</v>
      </c>
      <c r="E156" s="43" t="s">
        <v>127</v>
      </c>
      <c r="F156" s="43" t="s">
        <v>113</v>
      </c>
      <c r="G156" s="43" t="s">
        <v>62</v>
      </c>
      <c r="H156" s="43">
        <v>18</v>
      </c>
      <c r="I156" s="43">
        <v>55</v>
      </c>
      <c r="J156" s="43">
        <v>1666</v>
      </c>
      <c r="K156" s="43" t="s">
        <v>109</v>
      </c>
      <c r="L156" s="43" t="s">
        <v>103</v>
      </c>
      <c r="M156" s="43" t="s">
        <v>128</v>
      </c>
      <c r="N156" s="43"/>
      <c r="O156" s="43"/>
      <c r="P156" s="43">
        <v>57</v>
      </c>
      <c r="Q156" s="43">
        <v>19.899999999999999</v>
      </c>
      <c r="R156" s="43">
        <v>1402</v>
      </c>
      <c r="S156" s="43">
        <v>28.51</v>
      </c>
      <c r="T156" s="43">
        <v>50</v>
      </c>
      <c r="U156" s="43">
        <v>303</v>
      </c>
      <c r="V156" s="43">
        <v>595</v>
      </c>
      <c r="W156" s="43">
        <v>375</v>
      </c>
      <c r="X156" s="43">
        <v>75</v>
      </c>
      <c r="Y156" s="43">
        <v>4</v>
      </c>
      <c r="Z156" s="32">
        <v>57</v>
      </c>
      <c r="AA156" s="43" t="s">
        <v>63</v>
      </c>
      <c r="AB156" s="43">
        <v>19.899999999999999</v>
      </c>
      <c r="AC156" s="43">
        <v>838</v>
      </c>
      <c r="AD156" s="43">
        <v>17.59</v>
      </c>
      <c r="AE156" s="43">
        <v>16.350000000000001</v>
      </c>
      <c r="AF156" s="43">
        <v>23.52</v>
      </c>
      <c r="AG156" s="43">
        <v>145.98700543912599</v>
      </c>
      <c r="AH156" s="43">
        <v>153.929246023583</v>
      </c>
      <c r="AI156" s="43">
        <v>196.18460625957999</v>
      </c>
      <c r="AJ156" s="43">
        <v>28.5147442601241</v>
      </c>
      <c r="AK156" s="43">
        <v>0.50025867123024703</v>
      </c>
      <c r="AL156" s="43">
        <v>0.78702663151138097</v>
      </c>
      <c r="AM156" s="43">
        <v>317.19946886168498</v>
      </c>
      <c r="AN156" s="43">
        <v>5.5649029624857</v>
      </c>
      <c r="AO156" s="43">
        <v>12.064387564922001</v>
      </c>
      <c r="AP156" s="44">
        <v>564</v>
      </c>
      <c r="AQ156" s="44">
        <v>10.920000000000002</v>
      </c>
      <c r="AR156" s="44">
        <v>15.700982390385358</v>
      </c>
      <c r="AS156" s="44">
        <v>89.446210669727009</v>
      </c>
      <c r="AT156" s="44">
        <v>0.95</v>
      </c>
      <c r="AU156" s="44">
        <v>0.15859257210944505</v>
      </c>
      <c r="AV156" s="44">
        <f>+AU156*AP156</f>
        <v>89.446210669727009</v>
      </c>
      <c r="AW156" s="44">
        <f>+VLOOKUP(C156,'Etape 1 - surface'!$A$5:$B$58,2,FALSE)</f>
        <v>0</v>
      </c>
      <c r="AX156" s="44">
        <f t="shared" si="21"/>
        <v>0</v>
      </c>
      <c r="AY156" s="44">
        <f>5.93488073153274+(78.4394250513347-5.93488073153274)/(1+EXP(-(1.03516193614659*AU156+-2.09091784316379)))</f>
        <v>15.150996455153733</v>
      </c>
      <c r="AZ156" s="63"/>
      <c r="BA156" s="63">
        <f t="shared" si="22"/>
        <v>0</v>
      </c>
      <c r="BB156" s="45"/>
      <c r="BC156" s="65">
        <v>4.4999999999999998E-2</v>
      </c>
      <c r="BD156" s="63">
        <f t="shared" si="20"/>
        <v>-3503.0716309776817</v>
      </c>
    </row>
    <row r="157" spans="1:56" ht="14.45" customHeight="1" x14ac:dyDescent="0.25">
      <c r="A157" t="str">
        <f>+VLOOKUP(D157,Acronyme!$A$1:$C$50,3,FALSE)</f>
        <v>Sapin pectiné</v>
      </c>
      <c r="B157" t="str">
        <f>+VLOOKUP(E157,Acronyme!$E$2:$I$50,5,FALSE)</f>
        <v>GS Arc Jurassien</v>
      </c>
      <c r="C157" t="s">
        <v>264</v>
      </c>
      <c r="D157" s="43" t="s">
        <v>129</v>
      </c>
      <c r="E157" s="43" t="s">
        <v>119</v>
      </c>
      <c r="F157" s="43" t="s">
        <v>130</v>
      </c>
      <c r="G157" s="43" t="s">
        <v>62</v>
      </c>
      <c r="H157" s="43">
        <v>15.5</v>
      </c>
      <c r="I157" s="43" t="s">
        <v>101</v>
      </c>
      <c r="J157" s="43">
        <v>2000</v>
      </c>
      <c r="K157" s="43" t="s">
        <v>102</v>
      </c>
      <c r="L157" s="43" t="s">
        <v>103</v>
      </c>
      <c r="M157" s="43" t="s">
        <v>123</v>
      </c>
      <c r="N157" s="43"/>
      <c r="O157" s="43"/>
      <c r="P157" s="43">
        <v>57</v>
      </c>
      <c r="Q157" s="43">
        <v>18.22</v>
      </c>
      <c r="R157" s="43">
        <v>1862</v>
      </c>
      <c r="S157" s="43">
        <v>45.64</v>
      </c>
      <c r="T157" s="43">
        <v>0</v>
      </c>
      <c r="U157" s="43">
        <v>0</v>
      </c>
      <c r="V157" s="43">
        <v>1085</v>
      </c>
      <c r="W157" s="43">
        <v>663</v>
      </c>
      <c r="X157" s="43">
        <v>114</v>
      </c>
      <c r="Y157" s="43">
        <v>0</v>
      </c>
      <c r="Z157" s="32">
        <v>57</v>
      </c>
      <c r="AA157" s="43" t="s">
        <v>63</v>
      </c>
      <c r="AB157" s="43">
        <v>18.227320776572299</v>
      </c>
      <c r="AC157" s="43">
        <v>949</v>
      </c>
      <c r="AD157" s="43">
        <v>27.76</v>
      </c>
      <c r="AE157" s="43">
        <v>19.299207980744001</v>
      </c>
      <c r="AF157" s="43">
        <v>23.5980423479126</v>
      </c>
      <c r="AG157" s="43">
        <v>229.03193531813699</v>
      </c>
      <c r="AH157" s="43">
        <v>229.784966538547</v>
      </c>
      <c r="AI157" s="43">
        <v>287.28549903763098</v>
      </c>
      <c r="AJ157" s="43">
        <v>45.642138804328397</v>
      </c>
      <c r="AK157" s="43">
        <v>0.80073927726891903</v>
      </c>
      <c r="AL157" s="43">
        <v>1.1691035002233601</v>
      </c>
      <c r="AM157" s="43">
        <v>459.62107973484899</v>
      </c>
      <c r="AN157" s="43">
        <v>8.0635277146464706</v>
      </c>
      <c r="AO157" s="43">
        <v>17.7083418785463</v>
      </c>
      <c r="AP157" s="44">
        <v>913</v>
      </c>
      <c r="AQ157" s="44">
        <v>17.88</v>
      </c>
      <c r="AR157" s="44">
        <v>15.790774359497377</v>
      </c>
      <c r="AS157" s="44">
        <v>133.61809430836601</v>
      </c>
      <c r="AT157" s="44">
        <v>0.79893312156085883</v>
      </c>
      <c r="AU157" s="44">
        <v>0.14635059617564733</v>
      </c>
      <c r="AV157" s="44">
        <f>+AU157*AP157</f>
        <v>133.61809430836601</v>
      </c>
      <c r="AW157" s="44">
        <f>+VLOOKUP(C157,'Etape 1 - surface'!$A$5:$B$58,2,FALSE)</f>
        <v>0</v>
      </c>
      <c r="AX157" s="44">
        <f t="shared" si="21"/>
        <v>0</v>
      </c>
      <c r="AY157" s="44">
        <f>12.60067150914+(56.0435691950881-12.60067150914)/(1+EXP(-(0.12255140894824*AU157+-0.18958347271504)))</f>
        <v>32.462462406515478</v>
      </c>
      <c r="AZ157" s="63"/>
      <c r="BA157" s="63">
        <f t="shared" si="22"/>
        <v>0</v>
      </c>
      <c r="BB157" s="45"/>
      <c r="BC157" s="65">
        <v>4.4999999999999998E-2</v>
      </c>
      <c r="BD157" s="63">
        <f t="shared" si="20"/>
        <v>-3503.0716309776817</v>
      </c>
    </row>
    <row r="158" spans="1:56" ht="14.45" customHeight="1" x14ac:dyDescent="0.25">
      <c r="A158" t="str">
        <f>+VLOOKUP(D158,Acronyme!$A$1:$C$50,3,FALSE)</f>
        <v>Chene_pedoncule</v>
      </c>
      <c r="B158" t="str">
        <f>+VLOOKUP(E158,Acronyme!$E$2:$I$50,5,FALSE)</f>
        <v>Guide chênaie continentale</v>
      </c>
      <c r="C158" t="s">
        <v>264</v>
      </c>
      <c r="D158" s="43" t="s">
        <v>145</v>
      </c>
      <c r="E158" s="43" t="s">
        <v>65</v>
      </c>
      <c r="F158" s="43" t="s">
        <v>66</v>
      </c>
      <c r="G158" s="43" t="s">
        <v>100</v>
      </c>
      <c r="H158" s="43">
        <v>26</v>
      </c>
      <c r="I158" s="43" t="s">
        <v>144</v>
      </c>
      <c r="J158" s="43">
        <v>1600</v>
      </c>
      <c r="K158" s="43" t="s">
        <v>109</v>
      </c>
      <c r="L158" s="43" t="s">
        <v>103</v>
      </c>
      <c r="M158" s="43" t="s">
        <v>143</v>
      </c>
      <c r="N158" s="43"/>
      <c r="O158" s="43"/>
      <c r="P158" s="43">
        <v>31</v>
      </c>
      <c r="Q158" s="43">
        <v>16.22</v>
      </c>
      <c r="R158" s="43">
        <v>1446</v>
      </c>
      <c r="S158" s="43">
        <v>21.44</v>
      </c>
      <c r="T158" s="43">
        <v>65</v>
      </c>
      <c r="U158" s="43">
        <v>525</v>
      </c>
      <c r="V158" s="43">
        <v>696</v>
      </c>
      <c r="W158" s="43">
        <v>155</v>
      </c>
      <c r="X158" s="43">
        <v>5</v>
      </c>
      <c r="Y158" s="43">
        <v>0</v>
      </c>
      <c r="Z158" s="32">
        <v>58</v>
      </c>
      <c r="AA158" s="43" t="s">
        <v>63</v>
      </c>
      <c r="AB158" s="43">
        <v>25.94</v>
      </c>
      <c r="AC158" s="43">
        <v>153</v>
      </c>
      <c r="AD158" s="43">
        <v>17.39</v>
      </c>
      <c r="AE158" s="43">
        <v>38.04</v>
      </c>
      <c r="AF158" s="43">
        <v>39.71</v>
      </c>
      <c r="AG158" s="43">
        <v>218.97805999575601</v>
      </c>
      <c r="AH158" s="43">
        <v>244.095670091269</v>
      </c>
      <c r="AI158" s="43">
        <v>268.51804618023198</v>
      </c>
      <c r="AJ158" s="43">
        <v>46.250788010396697</v>
      </c>
      <c r="AK158" s="43">
        <v>0.79742737948959797</v>
      </c>
      <c r="AL158" s="43">
        <v>0.72161497847428102</v>
      </c>
      <c r="AM158" s="43">
        <v>599.54384842503998</v>
      </c>
      <c r="AN158" s="43">
        <v>10.33696290388</v>
      </c>
      <c r="AO158" s="43">
        <v>14.3426910975243</v>
      </c>
      <c r="AP158" s="44">
        <v>39</v>
      </c>
      <c r="AQ158" s="44">
        <v>3.879999999999999</v>
      </c>
      <c r="AR158" s="44">
        <v>35.5908711774862</v>
      </c>
      <c r="AS158" s="44">
        <v>48.559331145898994</v>
      </c>
      <c r="AT158" s="44">
        <v>0.9</v>
      </c>
      <c r="AU158" s="44">
        <v>1.2451110550230511</v>
      </c>
      <c r="AV158" s="44">
        <f>+AU158*AP158</f>
        <v>48.559331145898994</v>
      </c>
      <c r="AW158" s="44">
        <f>+VLOOKUP(C158,'Etape 1 - surface'!$A$5:$B$58,2,FALSE)</f>
        <v>0</v>
      </c>
      <c r="AX158" s="44">
        <f t="shared" si="21"/>
        <v>0</v>
      </c>
      <c r="AY158" s="44">
        <f>10.8374384236453+(405.147848531042-10.8374384236453)/(1+EXP(-(1.16387919746889*AU158+-2.8965970117006)))</f>
        <v>85.912622180305377</v>
      </c>
      <c r="AZ158" s="63"/>
      <c r="BA158" s="63">
        <f t="shared" si="22"/>
        <v>0</v>
      </c>
      <c r="BB158" s="45"/>
      <c r="BC158" s="65">
        <v>4.4999999999999998E-2</v>
      </c>
      <c r="BD158" s="63">
        <f t="shared" si="20"/>
        <v>-3503.0716309776817</v>
      </c>
    </row>
    <row r="159" spans="1:56" ht="14.45" customHeight="1" x14ac:dyDescent="0.25">
      <c r="A159" t="str">
        <f>+VLOOKUP(D159,Acronyme!$A$1:$C$50,3,FALSE)</f>
        <v>Chêne sessile</v>
      </c>
      <c r="B159" t="str">
        <f>+VLOOKUP(E159,Acronyme!$E$2:$I$50,5,FALSE)</f>
        <v>Guide chênaie atlantique</v>
      </c>
      <c r="C159" t="s">
        <v>264</v>
      </c>
      <c r="D159" s="43" t="s">
        <v>60</v>
      </c>
      <c r="E159" s="43" t="s">
        <v>150</v>
      </c>
      <c r="F159" s="43" t="s">
        <v>61</v>
      </c>
      <c r="G159" s="43" t="s">
        <v>100</v>
      </c>
      <c r="H159" s="43">
        <v>21.5</v>
      </c>
      <c r="I159" s="43" t="s">
        <v>151</v>
      </c>
      <c r="J159" s="43">
        <v>1666</v>
      </c>
      <c r="K159" s="43" t="s">
        <v>109</v>
      </c>
      <c r="L159" s="43" t="s">
        <v>103</v>
      </c>
      <c r="M159" s="43" t="s">
        <v>143</v>
      </c>
      <c r="N159" s="43"/>
      <c r="O159" s="43"/>
      <c r="P159" s="43">
        <v>34</v>
      </c>
      <c r="Q159" s="43">
        <v>16.2</v>
      </c>
      <c r="R159" s="43">
        <v>1451</v>
      </c>
      <c r="S159" s="43">
        <v>23.57</v>
      </c>
      <c r="T159" s="43">
        <v>44</v>
      </c>
      <c r="U159" s="43">
        <v>444</v>
      </c>
      <c r="V159" s="43">
        <v>742</v>
      </c>
      <c r="W159" s="43">
        <v>211</v>
      </c>
      <c r="X159" s="43">
        <v>10</v>
      </c>
      <c r="Y159" s="43">
        <v>0</v>
      </c>
      <c r="Z159" s="32">
        <v>58</v>
      </c>
      <c r="AA159" s="43" t="s">
        <v>63</v>
      </c>
      <c r="AB159" s="43">
        <v>23.99</v>
      </c>
      <c r="AC159" s="43">
        <v>365</v>
      </c>
      <c r="AD159" s="43">
        <v>22.43</v>
      </c>
      <c r="AE159" s="43">
        <v>27.97</v>
      </c>
      <c r="AF159" s="43">
        <v>32.74</v>
      </c>
      <c r="AG159" s="43">
        <v>259.49008032550699</v>
      </c>
      <c r="AH159" s="43">
        <v>279.66171741042302</v>
      </c>
      <c r="AI159" s="43">
        <v>311.68847244219</v>
      </c>
      <c r="AJ159" s="43">
        <v>46.917065988886897</v>
      </c>
      <c r="AK159" s="43">
        <v>0.80891493084287802</v>
      </c>
      <c r="AL159" s="43">
        <v>0.77244340030131797</v>
      </c>
      <c r="AM159" s="43">
        <v>588.34146323808295</v>
      </c>
      <c r="AN159" s="43">
        <v>10.143818331691101</v>
      </c>
      <c r="AO159" s="43">
        <v>14.2976433183092</v>
      </c>
      <c r="AP159" s="44">
        <v>120</v>
      </c>
      <c r="AQ159" s="44">
        <v>5.6099999999999994</v>
      </c>
      <c r="AR159" s="44">
        <v>24.3975303496827</v>
      </c>
      <c r="AS159" s="44">
        <v>62.973877419112</v>
      </c>
      <c r="AT159" s="44">
        <v>0.81</v>
      </c>
      <c r="AU159" s="44">
        <v>0.52478231182593338</v>
      </c>
      <c r="AV159" s="44">
        <f>+AU159*AP159</f>
        <v>62.973877419112007</v>
      </c>
      <c r="AW159" s="44">
        <f>+VLOOKUP(C159,'Etape 1 - surface'!$A$5:$B$58,2,FALSE)</f>
        <v>0</v>
      </c>
      <c r="AX159" s="44">
        <f t="shared" si="21"/>
        <v>0</v>
      </c>
      <c r="AY159" s="44">
        <f>10.8374384236453+(405.147848531042-10.8374384236453)/(1+EXP(-(1.16387919746889*AU159+-2.8965970117006)))</f>
        <v>47.234138990858519</v>
      </c>
      <c r="AZ159" s="63"/>
      <c r="BA159" s="63">
        <f t="shared" si="22"/>
        <v>0</v>
      </c>
      <c r="BB159" s="45"/>
      <c r="BC159" s="65">
        <v>4.4999999999999998E-2</v>
      </c>
      <c r="BD159" s="63">
        <f t="shared" si="20"/>
        <v>-3503.0716309776817</v>
      </c>
    </row>
    <row r="160" spans="1:56" ht="14.45" customHeight="1" x14ac:dyDescent="0.25">
      <c r="A160" t="str">
        <f>+VLOOKUP(D160,Acronyme!$A$1:$C$50,3,FALSE)</f>
        <v>Chêne sessile</v>
      </c>
      <c r="B160" t="str">
        <f>+VLOOKUP(E160,Acronyme!$E$2:$I$50,5,FALSE)</f>
        <v>Guide chênaie atlantique</v>
      </c>
      <c r="C160" t="s">
        <v>264</v>
      </c>
      <c r="D160" s="43" t="s">
        <v>60</v>
      </c>
      <c r="E160" s="43" t="s">
        <v>150</v>
      </c>
      <c r="F160" s="43" t="s">
        <v>61</v>
      </c>
      <c r="G160" s="43" t="s">
        <v>62</v>
      </c>
      <c r="H160" s="43">
        <v>18.18</v>
      </c>
      <c r="I160" s="43" t="s">
        <v>142</v>
      </c>
      <c r="J160" s="43">
        <v>1666</v>
      </c>
      <c r="K160" s="43" t="s">
        <v>109</v>
      </c>
      <c r="L160" s="43" t="s">
        <v>103</v>
      </c>
      <c r="M160" s="43" t="s">
        <v>143</v>
      </c>
      <c r="N160" s="43"/>
      <c r="O160" s="43"/>
      <c r="P160" s="43">
        <v>42</v>
      </c>
      <c r="Q160" s="43">
        <v>16.02</v>
      </c>
      <c r="R160" s="43">
        <v>1451</v>
      </c>
      <c r="S160" s="43">
        <v>23.57</v>
      </c>
      <c r="T160" s="43">
        <v>44</v>
      </c>
      <c r="U160" s="43">
        <v>444</v>
      </c>
      <c r="V160" s="43">
        <v>742</v>
      </c>
      <c r="W160" s="43">
        <v>211</v>
      </c>
      <c r="X160" s="43">
        <v>10</v>
      </c>
      <c r="Y160" s="43">
        <v>0</v>
      </c>
      <c r="Z160" s="32">
        <v>58</v>
      </c>
      <c r="AA160" s="43" t="s">
        <v>63</v>
      </c>
      <c r="AB160" s="43">
        <v>20.100000000000001</v>
      </c>
      <c r="AC160" s="43">
        <v>500</v>
      </c>
      <c r="AD160" s="43">
        <v>19.8</v>
      </c>
      <c r="AE160" s="43">
        <v>22.45</v>
      </c>
      <c r="AF160" s="43">
        <v>27.32</v>
      </c>
      <c r="AG160" s="43">
        <v>189.03131843758501</v>
      </c>
      <c r="AH160" s="43">
        <v>203.69055593670799</v>
      </c>
      <c r="AI160" s="43">
        <v>234.86178620891201</v>
      </c>
      <c r="AJ160" s="43">
        <v>36.167340168168003</v>
      </c>
      <c r="AK160" s="43">
        <v>0.62357483048565499</v>
      </c>
      <c r="AL160" s="43">
        <v>0.68253362869547596</v>
      </c>
      <c r="AM160" s="43">
        <v>399.34330641434099</v>
      </c>
      <c r="AN160" s="43">
        <v>6.8852294209369198</v>
      </c>
      <c r="AO160" s="43">
        <v>10.782338358226299</v>
      </c>
      <c r="AP160" s="44">
        <v>163</v>
      </c>
      <c r="AQ160" s="44">
        <v>4.8900000000000006</v>
      </c>
      <c r="AR160" s="44">
        <v>19.5441004761168</v>
      </c>
      <c r="AS160" s="44">
        <v>45.187366158566988</v>
      </c>
      <c r="AT160" s="44">
        <v>0.81</v>
      </c>
      <c r="AU160" s="44">
        <v>0.27722310526728211</v>
      </c>
      <c r="AV160" s="44">
        <f>+AU160*AP160</f>
        <v>45.187366158566981</v>
      </c>
      <c r="AW160" s="44">
        <f>+VLOOKUP(C160,'Etape 1 - surface'!$A$5:$B$58,2,FALSE)</f>
        <v>0</v>
      </c>
      <c r="AX160" s="44">
        <f t="shared" si="21"/>
        <v>0</v>
      </c>
      <c r="AY160" s="44">
        <f>10.8374384236453+(405.147848531042-10.8374384236453)/(1+EXP(-(1.16387919746889*AU160+-2.8965970117006)))</f>
        <v>38.768164536815853</v>
      </c>
      <c r="AZ160" s="63"/>
      <c r="BA160" s="63">
        <f t="shared" si="22"/>
        <v>0</v>
      </c>
      <c r="BB160" s="45"/>
      <c r="BC160" s="65">
        <v>4.4999999999999998E-2</v>
      </c>
      <c r="BD160" s="63">
        <f t="shared" si="20"/>
        <v>-3503.0716309776817</v>
      </c>
    </row>
    <row r="161" spans="1:56" ht="15" x14ac:dyDescent="0.25">
      <c r="C161" t="s">
        <v>261</v>
      </c>
      <c r="D161" s="43" t="s">
        <v>207</v>
      </c>
      <c r="E161" s="43" t="s">
        <v>208</v>
      </c>
      <c r="F161" s="43" t="s">
        <v>258</v>
      </c>
      <c r="G161" s="43" t="s">
        <v>62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32">
        <v>58</v>
      </c>
      <c r="AA161" s="43" t="s">
        <v>63</v>
      </c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4">
        <v>101</v>
      </c>
      <c r="AQ161" s="44"/>
      <c r="AR161" s="44"/>
      <c r="AS161" s="44"/>
      <c r="AT161" s="44"/>
      <c r="AU161" s="44">
        <f>AV161/AP161</f>
        <v>0.86138613861386137</v>
      </c>
      <c r="AV161" s="44">
        <v>87</v>
      </c>
      <c r="AW161" s="44">
        <f>+VLOOKUP(C161,'Etape 1 - surface'!$A$5:$B$58,2,FALSE)</f>
        <v>0</v>
      </c>
      <c r="AX161" s="44">
        <f t="shared" si="21"/>
        <v>0</v>
      </c>
      <c r="AY161" s="44">
        <f>82.5251889/(1+EXP(-(0.26195064*AU161+(-0.34406779))))</f>
        <v>38.822140542729962</v>
      </c>
      <c r="AZ161" s="63"/>
      <c r="BA161" s="63">
        <f t="shared" si="22"/>
        <v>0</v>
      </c>
      <c r="BB161" s="45"/>
      <c r="BC161" s="65">
        <v>4.4999999999999998E-2</v>
      </c>
      <c r="BD161" s="63">
        <f t="shared" si="20"/>
        <v>-3503.0716309776817</v>
      </c>
    </row>
    <row r="162" spans="1:56" ht="14.45" customHeight="1" x14ac:dyDescent="0.25">
      <c r="A162" t="str">
        <f>+VLOOKUP(D162,Acronyme!$A$1:$C$50,3,FALSE)</f>
        <v>Pin Laricio</v>
      </c>
      <c r="B162" t="str">
        <f>+VLOOKUP(E162,Acronyme!$E$2:$I$50,5,FALSE)</f>
        <v>GS Pineraies des plaines du Centre et du Nord Ouest</v>
      </c>
      <c r="C162" t="s">
        <v>264</v>
      </c>
      <c r="D162" s="43" t="s">
        <v>88</v>
      </c>
      <c r="E162" s="43" t="s">
        <v>89</v>
      </c>
      <c r="F162" s="43" t="s">
        <v>61</v>
      </c>
      <c r="G162" s="43" t="s">
        <v>62</v>
      </c>
      <c r="H162" s="43">
        <v>23.3</v>
      </c>
      <c r="I162" s="43" t="s">
        <v>101</v>
      </c>
      <c r="J162" s="43">
        <v>1666</v>
      </c>
      <c r="K162" s="43" t="s">
        <v>102</v>
      </c>
      <c r="L162" s="43" t="s">
        <v>103</v>
      </c>
      <c r="M162" s="43" t="s">
        <v>117</v>
      </c>
      <c r="N162" s="43"/>
      <c r="O162" s="43"/>
      <c r="P162" s="43">
        <v>22</v>
      </c>
      <c r="Q162" s="43">
        <v>11.13</v>
      </c>
      <c r="R162" s="43">
        <v>1444</v>
      </c>
      <c r="S162" s="43">
        <v>25.27</v>
      </c>
      <c r="T162" s="43">
        <v>1</v>
      </c>
      <c r="U162" s="43">
        <v>272</v>
      </c>
      <c r="V162" s="43">
        <v>985</v>
      </c>
      <c r="W162" s="43">
        <v>187</v>
      </c>
      <c r="X162" s="43">
        <v>0</v>
      </c>
      <c r="Y162" s="43">
        <v>0</v>
      </c>
      <c r="Z162" s="32">
        <v>59</v>
      </c>
      <c r="AA162" s="43" t="s">
        <v>63</v>
      </c>
      <c r="AB162" s="43">
        <v>25.45</v>
      </c>
      <c r="AC162" s="43">
        <v>224</v>
      </c>
      <c r="AD162" s="43">
        <v>30.47</v>
      </c>
      <c r="AE162" s="43">
        <v>41.62</v>
      </c>
      <c r="AF162" s="43">
        <v>43.37</v>
      </c>
      <c r="AG162" s="43">
        <v>299.25497665199498</v>
      </c>
      <c r="AH162" s="43">
        <v>306.01285958604097</v>
      </c>
      <c r="AI162" s="43">
        <v>375.597714064782</v>
      </c>
      <c r="AJ162" s="43">
        <v>71.046193906920294</v>
      </c>
      <c r="AK162" s="43">
        <v>1.20417277808339</v>
      </c>
      <c r="AL162" s="43">
        <v>0.79827893934750005</v>
      </c>
      <c r="AM162" s="43">
        <v>744.43497109599502</v>
      </c>
      <c r="AN162" s="43">
        <v>12.617541882983</v>
      </c>
      <c r="AO162" s="43">
        <v>12.3692152465539</v>
      </c>
      <c r="AP162" s="44">
        <v>51</v>
      </c>
      <c r="AQ162" s="44">
        <v>6.0900000000000034</v>
      </c>
      <c r="AR162" s="44">
        <v>38.992278842116953</v>
      </c>
      <c r="AS162" s="44">
        <v>59.238931150311032</v>
      </c>
      <c r="AT162" s="44">
        <v>0.89831501839137884</v>
      </c>
      <c r="AU162" s="44">
        <v>1.1615476696139417</v>
      </c>
      <c r="AV162" s="44">
        <f t="shared" ref="AV162:AV170" si="23">+AU162*AP162</f>
        <v>59.238931150311032</v>
      </c>
      <c r="AW162" s="44">
        <f>+VLOOKUP(C162,'Etape 1 - surface'!$A$5:$B$58,2,FALSE)</f>
        <v>0</v>
      </c>
      <c r="AX162" s="44">
        <f t="shared" si="21"/>
        <v>0</v>
      </c>
      <c r="AY162" s="44">
        <f>10.0046474463505+(37.1112351801373-10.0046474463505)/(1+EXP(-(0.581180949782075*AU162+-0.955447614584994)))</f>
        <v>21.670266970811348</v>
      </c>
      <c r="AZ162" s="63"/>
      <c r="BA162" s="63">
        <f t="shared" si="22"/>
        <v>0</v>
      </c>
      <c r="BB162" s="45"/>
      <c r="BC162" s="65">
        <v>4.4999999999999998E-2</v>
      </c>
      <c r="BD162" s="63">
        <f t="shared" si="20"/>
        <v>-3503.0716309776817</v>
      </c>
    </row>
    <row r="163" spans="1:56" ht="15" x14ac:dyDescent="0.25">
      <c r="A163" t="str">
        <f>+VLOOKUP(D163,Acronyme!$A$1:$C$50,3,FALSE)</f>
        <v>Sapin pectiné</v>
      </c>
      <c r="B163" t="str">
        <f>+VLOOKUP(E163,Acronyme!$E$2:$I$50,5,FALSE)</f>
        <v>GS Arc Jurassien</v>
      </c>
      <c r="C163" t="s">
        <v>264</v>
      </c>
      <c r="D163" s="43" t="s">
        <v>129</v>
      </c>
      <c r="E163" s="43" t="s">
        <v>119</v>
      </c>
      <c r="F163" s="43" t="s">
        <v>130</v>
      </c>
      <c r="G163" s="43" t="s">
        <v>100</v>
      </c>
      <c r="H163" s="43">
        <v>20</v>
      </c>
      <c r="I163" s="43" t="s">
        <v>122</v>
      </c>
      <c r="J163" s="43">
        <v>2000</v>
      </c>
      <c r="K163" s="43" t="s">
        <v>102</v>
      </c>
      <c r="L163" s="43" t="s">
        <v>103</v>
      </c>
      <c r="M163" s="43" t="s">
        <v>123</v>
      </c>
      <c r="N163" s="43"/>
      <c r="O163" s="43"/>
      <c r="P163" s="43">
        <v>45</v>
      </c>
      <c r="Q163" s="43">
        <v>17.7</v>
      </c>
      <c r="R163" s="43">
        <v>1853</v>
      </c>
      <c r="S163" s="43">
        <v>45.68</v>
      </c>
      <c r="T163" s="43">
        <v>0</v>
      </c>
      <c r="U163" s="43">
        <v>0</v>
      </c>
      <c r="V163" s="43">
        <v>1079</v>
      </c>
      <c r="W163" s="43">
        <v>672</v>
      </c>
      <c r="X163" s="43">
        <v>94</v>
      </c>
      <c r="Y163" s="43">
        <v>8</v>
      </c>
      <c r="Z163" s="32">
        <v>59</v>
      </c>
      <c r="AA163" s="43" t="s">
        <v>63</v>
      </c>
      <c r="AB163" s="43">
        <v>23.888299467318401</v>
      </c>
      <c r="AC163" s="43">
        <v>513</v>
      </c>
      <c r="AD163" s="43">
        <v>28.33</v>
      </c>
      <c r="AE163" s="43">
        <v>26.518038945588302</v>
      </c>
      <c r="AF163" s="43">
        <v>30.726209898679599</v>
      </c>
      <c r="AG163" s="43">
        <v>320.05693231631801</v>
      </c>
      <c r="AH163" s="43">
        <v>321.21112796470499</v>
      </c>
      <c r="AI163" s="43">
        <v>372.93809956024199</v>
      </c>
      <c r="AJ163" s="43">
        <v>66.116549504496504</v>
      </c>
      <c r="AK163" s="43">
        <v>1.1206194831270599</v>
      </c>
      <c r="AL163" s="43">
        <v>1.19516465571752</v>
      </c>
      <c r="AM163" s="43">
        <v>783.36387883186103</v>
      </c>
      <c r="AN163" s="43">
        <v>13.2773538785061</v>
      </c>
      <c r="AO163" s="43">
        <v>21.8093760075968</v>
      </c>
      <c r="AP163" s="44">
        <v>203</v>
      </c>
      <c r="AQ163" s="44">
        <v>9.480000000000004</v>
      </c>
      <c r="AR163" s="44">
        <v>24.384351442581721</v>
      </c>
      <c r="AS163" s="44">
        <v>104.48033882330299</v>
      </c>
      <c r="AT163" s="44">
        <v>0.88431037476848651</v>
      </c>
      <c r="AU163" s="44">
        <v>0.51468147203597525</v>
      </c>
      <c r="AV163" s="44">
        <f t="shared" si="23"/>
        <v>104.48033882330297</v>
      </c>
      <c r="AW163" s="44">
        <f>+VLOOKUP(C163,'Etape 1 - surface'!$A$5:$B$58,2,FALSE)</f>
        <v>0</v>
      </c>
      <c r="AX163" s="44">
        <f t="shared" si="21"/>
        <v>0</v>
      </c>
      <c r="AY163" s="44">
        <f>12.60067150914+(56.0435691950881-12.60067150914)/(1+EXP(-(0.12255140894824*AU163+-0.18958347271504)))</f>
        <v>32.949975579075989</v>
      </c>
      <c r="AZ163" s="63"/>
      <c r="BA163" s="63">
        <f t="shared" si="22"/>
        <v>0</v>
      </c>
      <c r="BB163" s="45"/>
      <c r="BC163" s="65">
        <v>4.4999999999999998E-2</v>
      </c>
      <c r="BD163" s="63">
        <f t="shared" si="20"/>
        <v>-3503.0716309776817</v>
      </c>
    </row>
    <row r="164" spans="1:56" ht="14.45" customHeight="1" x14ac:dyDescent="0.25">
      <c r="A164" t="str">
        <f>+VLOOKUP(D164,Acronyme!$A$1:$C$50,3,FALSE)</f>
        <v>Sapin pectiné</v>
      </c>
      <c r="B164" t="str">
        <f>+VLOOKUP(E164,Acronyme!$E$2:$I$50,5,FALSE)</f>
        <v>GS Arc Jurassien</v>
      </c>
      <c r="C164" t="s">
        <v>264</v>
      </c>
      <c r="D164" s="43" t="s">
        <v>129</v>
      </c>
      <c r="E164" s="43" t="s">
        <v>119</v>
      </c>
      <c r="F164" s="43" t="s">
        <v>130</v>
      </c>
      <c r="G164" s="43" t="s">
        <v>100</v>
      </c>
      <c r="H164" s="43">
        <v>20</v>
      </c>
      <c r="I164" s="43" t="s">
        <v>101</v>
      </c>
      <c r="J164" s="43">
        <v>2000</v>
      </c>
      <c r="K164" s="43" t="s">
        <v>102</v>
      </c>
      <c r="L164" s="43" t="s">
        <v>103</v>
      </c>
      <c r="M164" s="43" t="s">
        <v>123</v>
      </c>
      <c r="N164" s="43"/>
      <c r="O164" s="43"/>
      <c r="P164" s="43">
        <v>45</v>
      </c>
      <c r="Q164" s="43">
        <v>17.7</v>
      </c>
      <c r="R164" s="43">
        <v>1853</v>
      </c>
      <c r="S164" s="43">
        <v>45.68</v>
      </c>
      <c r="T164" s="43">
        <v>0</v>
      </c>
      <c r="U164" s="43">
        <v>0</v>
      </c>
      <c r="V164" s="43">
        <v>1079</v>
      </c>
      <c r="W164" s="43">
        <v>672</v>
      </c>
      <c r="X164" s="43">
        <v>94</v>
      </c>
      <c r="Y164" s="43">
        <v>8</v>
      </c>
      <c r="Z164" s="32">
        <v>59</v>
      </c>
      <c r="AA164" s="43" t="s">
        <v>63</v>
      </c>
      <c r="AB164" s="43">
        <v>23.888299467318401</v>
      </c>
      <c r="AC164" s="43">
        <v>513</v>
      </c>
      <c r="AD164" s="43">
        <v>28.33</v>
      </c>
      <c r="AE164" s="43">
        <v>26.518038945588302</v>
      </c>
      <c r="AF164" s="43">
        <v>30.726209898679599</v>
      </c>
      <c r="AG164" s="43">
        <v>320.05693231631801</v>
      </c>
      <c r="AH164" s="43">
        <v>321.21112796470499</v>
      </c>
      <c r="AI164" s="43">
        <v>372.93809956024199</v>
      </c>
      <c r="AJ164" s="43">
        <v>66.116549504496504</v>
      </c>
      <c r="AK164" s="43">
        <v>1.1206194831270599</v>
      </c>
      <c r="AL164" s="43">
        <v>1.19516465571752</v>
      </c>
      <c r="AM164" s="43">
        <v>783.36387883186103</v>
      </c>
      <c r="AN164" s="43">
        <v>13.2773538785061</v>
      </c>
      <c r="AO164" s="43">
        <v>21.8093760075968</v>
      </c>
      <c r="AP164" s="44">
        <v>203</v>
      </c>
      <c r="AQ164" s="44">
        <v>9.480000000000004</v>
      </c>
      <c r="AR164" s="44">
        <v>24.384351442581721</v>
      </c>
      <c r="AS164" s="44">
        <v>104.48033882330299</v>
      </c>
      <c r="AT164" s="44">
        <v>0.88431037476848651</v>
      </c>
      <c r="AU164" s="44">
        <v>0.51468147203597525</v>
      </c>
      <c r="AV164" s="44">
        <f t="shared" si="23"/>
        <v>104.48033882330297</v>
      </c>
      <c r="AW164" s="44">
        <f>+VLOOKUP(C164,'Etape 1 - surface'!$A$5:$B$58,2,FALSE)</f>
        <v>0</v>
      </c>
      <c r="AX164" s="44">
        <f t="shared" si="21"/>
        <v>0</v>
      </c>
      <c r="AY164" s="44">
        <f>12.60067150914+(56.0435691950881-12.60067150914)/(1+EXP(-(0.12255140894824*AU164+-0.18958347271504)))</f>
        <v>32.949975579075989</v>
      </c>
      <c r="AZ164" s="63"/>
      <c r="BA164" s="63">
        <f t="shared" si="22"/>
        <v>0</v>
      </c>
      <c r="BB164" s="45"/>
      <c r="BC164" s="65">
        <v>4.4999999999999998E-2</v>
      </c>
      <c r="BD164" s="63">
        <f t="shared" si="20"/>
        <v>-3503.0716309776817</v>
      </c>
    </row>
    <row r="165" spans="1:56" ht="15" x14ac:dyDescent="0.25">
      <c r="A165" t="str">
        <f>+VLOOKUP(D165,Acronyme!$A$1:$C$50,3,FALSE)</f>
        <v>Chêne sessile</v>
      </c>
      <c r="B165" t="str">
        <f>+VLOOKUP(E165,Acronyme!$E$2:$I$50,5,FALSE)</f>
        <v>Guide chênaie continentale</v>
      </c>
      <c r="C165" t="s">
        <v>264</v>
      </c>
      <c r="D165" s="43" t="s">
        <v>60</v>
      </c>
      <c r="E165" s="43" t="s">
        <v>65</v>
      </c>
      <c r="F165" s="43" t="s">
        <v>66</v>
      </c>
      <c r="G165" s="43" t="s">
        <v>62</v>
      </c>
      <c r="H165" s="43">
        <v>18</v>
      </c>
      <c r="I165" s="43" t="s">
        <v>142</v>
      </c>
      <c r="J165" s="43">
        <v>1666</v>
      </c>
      <c r="K165" s="43" t="s">
        <v>109</v>
      </c>
      <c r="L165" s="43" t="s">
        <v>103</v>
      </c>
      <c r="M165" s="43" t="s">
        <v>143</v>
      </c>
      <c r="N165" s="43"/>
      <c r="O165" s="43"/>
      <c r="P165" s="43">
        <v>44</v>
      </c>
      <c r="Q165" s="43">
        <v>16.579999999999998</v>
      </c>
      <c r="R165" s="43">
        <v>1453</v>
      </c>
      <c r="S165" s="43">
        <v>26.19</v>
      </c>
      <c r="T165" s="43">
        <v>41</v>
      </c>
      <c r="U165" s="43">
        <v>369</v>
      </c>
      <c r="V165" s="43">
        <v>713</v>
      </c>
      <c r="W165" s="43">
        <v>301</v>
      </c>
      <c r="X165" s="43">
        <v>28</v>
      </c>
      <c r="Y165" s="43">
        <v>0</v>
      </c>
      <c r="Z165" s="32">
        <v>59</v>
      </c>
      <c r="AA165" s="43" t="s">
        <v>63</v>
      </c>
      <c r="AB165" s="43">
        <v>20.21</v>
      </c>
      <c r="AC165" s="43">
        <v>298</v>
      </c>
      <c r="AD165" s="43">
        <v>15.59</v>
      </c>
      <c r="AE165" s="43">
        <v>25.81</v>
      </c>
      <c r="AF165" s="43">
        <v>28.98</v>
      </c>
      <c r="AG165" s="43">
        <v>152.77380704681801</v>
      </c>
      <c r="AH165" s="43">
        <v>167.28524372616999</v>
      </c>
      <c r="AI165" s="43">
        <v>190.71191720833701</v>
      </c>
      <c r="AJ165" s="43">
        <v>36.844034953185201</v>
      </c>
      <c r="AK165" s="43">
        <v>0.62447516869805497</v>
      </c>
      <c r="AL165" s="43">
        <v>0.55789184860817698</v>
      </c>
      <c r="AM165" s="43">
        <v>405.82161687596198</v>
      </c>
      <c r="AN165" s="43">
        <v>6.8783324894230899</v>
      </c>
      <c r="AO165" s="43">
        <v>8.7386325717478304</v>
      </c>
      <c r="AP165" s="44">
        <v>126</v>
      </c>
      <c r="AQ165" s="44">
        <v>4.7600000000000016</v>
      </c>
      <c r="AR165" s="44">
        <v>21.931748808265141</v>
      </c>
      <c r="AS165" s="44">
        <v>45.428143164683007</v>
      </c>
      <c r="AT165" s="44">
        <v>0.79</v>
      </c>
      <c r="AU165" s="44">
        <v>0.36054081876732547</v>
      </c>
      <c r="AV165" s="44">
        <f t="shared" si="23"/>
        <v>45.428143164683007</v>
      </c>
      <c r="AW165" s="44">
        <f>+VLOOKUP(C165,'Etape 1 - surface'!$A$5:$B$58,2,FALSE)</f>
        <v>0</v>
      </c>
      <c r="AX165" s="44">
        <f t="shared" si="21"/>
        <v>0</v>
      </c>
      <c r="AY165" s="44">
        <f>10.8374384236453+(405.147848531042-10.8374384236453)/(1+EXP(-(1.16387919746889*AU165+-2.8965970117006)))</f>
        <v>41.391939519935413</v>
      </c>
      <c r="AZ165" s="63"/>
      <c r="BA165" s="63">
        <f t="shared" si="22"/>
        <v>0</v>
      </c>
      <c r="BB165" s="45"/>
      <c r="BC165" s="65">
        <v>4.4999999999999998E-2</v>
      </c>
      <c r="BD165" s="63">
        <f t="shared" si="20"/>
        <v>-3503.0716309776817</v>
      </c>
    </row>
    <row r="166" spans="1:56" ht="14.45" customHeight="1" x14ac:dyDescent="0.25">
      <c r="A166" t="str">
        <f>+VLOOKUP(D166,Acronyme!$A$1:$C$50,3,FALSE)</f>
        <v>Chene_pedoncule</v>
      </c>
      <c r="B166" t="str">
        <f>+VLOOKUP(E166,Acronyme!$E$2:$I$50,5,FALSE)</f>
        <v>Guide chênaie continentale</v>
      </c>
      <c r="C166" t="s">
        <v>264</v>
      </c>
      <c r="D166" s="43" t="s">
        <v>145</v>
      </c>
      <c r="E166" s="43" t="s">
        <v>65</v>
      </c>
      <c r="F166" s="43" t="s">
        <v>66</v>
      </c>
      <c r="G166" s="43" t="s">
        <v>62</v>
      </c>
      <c r="H166" s="43">
        <v>21.9</v>
      </c>
      <c r="I166" s="43" t="s">
        <v>144</v>
      </c>
      <c r="J166" s="43">
        <v>1600</v>
      </c>
      <c r="K166" s="43" t="s">
        <v>109</v>
      </c>
      <c r="L166" s="43" t="s">
        <v>103</v>
      </c>
      <c r="M166" s="43" t="s">
        <v>143</v>
      </c>
      <c r="N166" s="43"/>
      <c r="O166" s="43"/>
      <c r="P166" s="43">
        <v>38</v>
      </c>
      <c r="Q166" s="43">
        <v>16.27</v>
      </c>
      <c r="R166" s="43">
        <v>1446</v>
      </c>
      <c r="S166" s="43">
        <v>21.44</v>
      </c>
      <c r="T166" s="43">
        <v>65</v>
      </c>
      <c r="U166" s="43">
        <v>525</v>
      </c>
      <c r="V166" s="43">
        <v>696</v>
      </c>
      <c r="W166" s="43">
        <v>155</v>
      </c>
      <c r="X166" s="43">
        <v>5</v>
      </c>
      <c r="Y166" s="43">
        <v>0</v>
      </c>
      <c r="Z166" s="32">
        <v>59</v>
      </c>
      <c r="AA166" s="43" t="s">
        <v>63</v>
      </c>
      <c r="AB166" s="43">
        <v>22.29</v>
      </c>
      <c r="AC166" s="43">
        <v>179</v>
      </c>
      <c r="AD166" s="43">
        <v>13.59</v>
      </c>
      <c r="AE166" s="43">
        <v>31.09</v>
      </c>
      <c r="AF166" s="43">
        <v>32.82</v>
      </c>
      <c r="AG166" s="43">
        <v>146.274402534167</v>
      </c>
      <c r="AH166" s="43">
        <v>162.936777289551</v>
      </c>
      <c r="AI166" s="43">
        <v>183.072173128797</v>
      </c>
      <c r="AJ166" s="43">
        <v>36.978844243950498</v>
      </c>
      <c r="AK166" s="43">
        <v>0.62676007193136396</v>
      </c>
      <c r="AL166" s="43">
        <v>0.60369555740318304</v>
      </c>
      <c r="AM166" s="43">
        <v>427.53602107386899</v>
      </c>
      <c r="AN166" s="43">
        <v>7.2463732385401496</v>
      </c>
      <c r="AO166" s="43">
        <v>10.271750124741599</v>
      </c>
      <c r="AP166" s="44">
        <v>60</v>
      </c>
      <c r="AQ166" s="44">
        <v>3.4400000000000013</v>
      </c>
      <c r="AR166" s="44">
        <v>27.018339555102695</v>
      </c>
      <c r="AS166" s="44">
        <v>36.437316388261991</v>
      </c>
      <c r="AT166" s="44">
        <v>0.8</v>
      </c>
      <c r="AU166" s="44">
        <v>0.60728860647103322</v>
      </c>
      <c r="AV166" s="44">
        <f t="shared" si="23"/>
        <v>36.437316388261991</v>
      </c>
      <c r="AW166" s="44">
        <f>+VLOOKUP(C166,'Etape 1 - surface'!$A$5:$B$58,2,FALSE)</f>
        <v>0</v>
      </c>
      <c r="AX166" s="44">
        <f t="shared" si="21"/>
        <v>0</v>
      </c>
      <c r="AY166" s="44">
        <f>10.8374384236453+(405.147848531042-10.8374384236453)/(1+EXP(-(1.16387919746889*AU166+-2.8965970117006)))</f>
        <v>50.533230213924362</v>
      </c>
      <c r="AZ166" s="63"/>
      <c r="BA166" s="63">
        <f t="shared" si="22"/>
        <v>0</v>
      </c>
      <c r="BB166" s="45"/>
      <c r="BC166" s="65">
        <v>4.4999999999999998E-2</v>
      </c>
      <c r="BD166" s="63">
        <f t="shared" si="20"/>
        <v>-3503.0716309776817</v>
      </c>
    </row>
    <row r="167" spans="1:56" ht="15" x14ac:dyDescent="0.25">
      <c r="A167" t="e">
        <f>+VLOOKUP(D167,Acronyme!$A$1:$C$34,3,FALSE)</f>
        <v>#N/A</v>
      </c>
      <c r="B167" t="e">
        <f>+VLOOKUP(E167,Acronyme!$E$2:$I$35,5,FALSE)</f>
        <v>#N/A</v>
      </c>
      <c r="C167" t="s">
        <v>240</v>
      </c>
      <c r="D167" s="43" t="s">
        <v>78</v>
      </c>
      <c r="E167" s="43" t="s">
        <v>68</v>
      </c>
      <c r="F167" s="43" t="s">
        <v>79</v>
      </c>
      <c r="G167" s="43" t="s">
        <v>62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32">
        <v>60</v>
      </c>
      <c r="AA167" s="43" t="s">
        <v>152</v>
      </c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4">
        <v>60</v>
      </c>
      <c r="AQ167" s="44"/>
      <c r="AR167" s="44"/>
      <c r="AS167" s="44"/>
      <c r="AT167" s="44"/>
      <c r="AU167" s="44">
        <v>2.95</v>
      </c>
      <c r="AV167" s="44">
        <f t="shared" si="23"/>
        <v>177</v>
      </c>
      <c r="AW167" s="44">
        <f>+VLOOKUP(C167,'Etape 1 - surface'!$A$5:$B$58,2,FALSE)</f>
        <v>0</v>
      </c>
      <c r="AX167" s="44">
        <f t="shared" si="21"/>
        <v>0</v>
      </c>
      <c r="AY167" s="44">
        <v>30</v>
      </c>
      <c r="AZ167" s="63"/>
      <c r="BA167" s="63">
        <f t="shared" si="22"/>
        <v>0</v>
      </c>
      <c r="BB167" s="45"/>
      <c r="BC167" s="65">
        <v>4.4999999999999998E-2</v>
      </c>
      <c r="BD167" s="63">
        <f t="shared" si="20"/>
        <v>-3503.0716309776817</v>
      </c>
    </row>
    <row r="168" spans="1:56" ht="15" x14ac:dyDescent="0.25">
      <c r="A168" t="str">
        <f>+VLOOKUP(D168,Acronyme!$A$1:$C$50,3,FALSE)</f>
        <v>Pin Maritime</v>
      </c>
      <c r="B168" t="str">
        <f>+VLOOKUP(E168,Acronyme!$E$2:$I$50,5,FALSE)</f>
        <v>GS Pineraies des plaines du Centre et du Nord Ouest</v>
      </c>
      <c r="C168" t="s">
        <v>264</v>
      </c>
      <c r="D168" s="43" t="s">
        <v>124</v>
      </c>
      <c r="E168" s="43" t="s">
        <v>89</v>
      </c>
      <c r="F168" s="43" t="s">
        <v>61</v>
      </c>
      <c r="G168" s="43" t="s">
        <v>62</v>
      </c>
      <c r="H168" s="43">
        <v>23</v>
      </c>
      <c r="I168" s="43">
        <v>50</v>
      </c>
      <c r="J168" s="43">
        <v>1250</v>
      </c>
      <c r="K168" s="43" t="s">
        <v>102</v>
      </c>
      <c r="L168" s="43" t="s">
        <v>103</v>
      </c>
      <c r="M168" s="43" t="s">
        <v>125</v>
      </c>
      <c r="N168" s="43"/>
      <c r="O168" s="43"/>
      <c r="P168" s="43">
        <v>17</v>
      </c>
      <c r="Q168" s="43">
        <v>11</v>
      </c>
      <c r="R168" s="43">
        <v>1251</v>
      </c>
      <c r="S168" s="43">
        <v>25.56</v>
      </c>
      <c r="T168" s="43">
        <v>13</v>
      </c>
      <c r="U168" s="43">
        <v>239</v>
      </c>
      <c r="V168" s="43">
        <v>629</v>
      </c>
      <c r="W168" s="43">
        <v>324</v>
      </c>
      <c r="X168" s="43">
        <v>46</v>
      </c>
      <c r="Y168" s="43">
        <v>0</v>
      </c>
      <c r="Z168" s="32">
        <v>60</v>
      </c>
      <c r="AA168" s="43" t="s">
        <v>63</v>
      </c>
      <c r="AB168" s="43">
        <v>25.97</v>
      </c>
      <c r="AC168" s="43">
        <v>0</v>
      </c>
      <c r="AD168" s="43">
        <v>0</v>
      </c>
      <c r="AE168" s="43">
        <v>0</v>
      </c>
      <c r="AF168" s="43">
        <v>0</v>
      </c>
      <c r="AG168" s="43">
        <v>0</v>
      </c>
      <c r="AH168" s="43">
        <v>0</v>
      </c>
      <c r="AI168" s="43">
        <v>0</v>
      </c>
      <c r="AJ168" s="43">
        <v>83.311394488586203</v>
      </c>
      <c r="AK168" s="43">
        <v>1.3885232414764399</v>
      </c>
      <c r="AL168" s="43" t="s">
        <v>105</v>
      </c>
      <c r="AM168" s="43">
        <v>894.595350096895</v>
      </c>
      <c r="AN168" s="43">
        <v>14.909922501614901</v>
      </c>
      <c r="AO168" s="43" t="s">
        <v>105</v>
      </c>
      <c r="AP168" s="44">
        <v>218.2</v>
      </c>
      <c r="AQ168" s="44">
        <v>36.33</v>
      </c>
      <c r="AR168" s="44">
        <v>46.042657790348123</v>
      </c>
      <c r="AS168" s="44">
        <v>397.55603582321203</v>
      </c>
      <c r="AT168" s="44">
        <v>1</v>
      </c>
      <c r="AU168" s="44">
        <v>1.8219799991897894</v>
      </c>
      <c r="AV168" s="44">
        <f t="shared" si="23"/>
        <v>397.55603582321203</v>
      </c>
      <c r="AW168" s="44">
        <f>+VLOOKUP(C168,'Etape 1 - surface'!$A$5:$B$58,2,FALSE)</f>
        <v>0</v>
      </c>
      <c r="AX168" s="44">
        <f t="shared" si="21"/>
        <v>0</v>
      </c>
      <c r="AY168" s="44">
        <f>14.9665006012713+(52.588398731357-14.9665006012713)/(1+EXP(-(0.927907412957439*AU168+-0.605044532722853)))</f>
        <v>43.090723791673405</v>
      </c>
      <c r="AZ168" s="63"/>
      <c r="BA168" s="63">
        <f t="shared" si="22"/>
        <v>0</v>
      </c>
      <c r="BB168" s="45"/>
      <c r="BC168" s="65">
        <v>4.4999999999999998E-2</v>
      </c>
      <c r="BD168" s="63">
        <f t="shared" si="20"/>
        <v>-3503.0716309776817</v>
      </c>
    </row>
    <row r="169" spans="1:56" ht="14.45" customHeight="1" x14ac:dyDescent="0.25">
      <c r="A169" t="str">
        <f>+VLOOKUP(D169,Acronyme!$A$1:$C$50,3,FALSE)</f>
        <v>Pin Noir d'Autriche</v>
      </c>
      <c r="B169" t="str">
        <f>+VLOOKUP(E169,Acronyme!$E$2:$I$50,5,FALSE)</f>
        <v>GSM Alpes du Sud</v>
      </c>
      <c r="C169" s="1" t="s">
        <v>264</v>
      </c>
      <c r="D169" s="43" t="s">
        <v>131</v>
      </c>
      <c r="E169" s="43" t="s">
        <v>132</v>
      </c>
      <c r="F169" s="43" t="s">
        <v>136</v>
      </c>
      <c r="G169" s="43" t="s">
        <v>62</v>
      </c>
      <c r="H169" s="43">
        <v>15.2</v>
      </c>
      <c r="I169" s="43" t="s">
        <v>108</v>
      </c>
      <c r="J169" s="43">
        <v>1100</v>
      </c>
      <c r="K169" s="43" t="s">
        <v>109</v>
      </c>
      <c r="L169" s="43" t="s">
        <v>134</v>
      </c>
      <c r="M169" s="43" t="s">
        <v>135</v>
      </c>
      <c r="N169" s="43"/>
      <c r="O169" s="43"/>
      <c r="P169" s="43">
        <v>15</v>
      </c>
      <c r="Q169" s="43">
        <v>3.96</v>
      </c>
      <c r="R169" s="43">
        <v>6000</v>
      </c>
      <c r="S169" s="43">
        <v>9.57</v>
      </c>
      <c r="T169" s="43">
        <v>6000</v>
      </c>
      <c r="U169" s="43">
        <v>0</v>
      </c>
      <c r="V169" s="43">
        <v>0</v>
      </c>
      <c r="W169" s="43">
        <v>0</v>
      </c>
      <c r="X169" s="43">
        <v>0</v>
      </c>
      <c r="Y169" s="43">
        <v>0</v>
      </c>
      <c r="Z169" s="32">
        <v>60</v>
      </c>
      <c r="AA169" s="43" t="s">
        <v>63</v>
      </c>
      <c r="AB169" s="43">
        <v>17.03</v>
      </c>
      <c r="AC169" s="43">
        <v>398</v>
      </c>
      <c r="AD169" s="43">
        <v>21.06</v>
      </c>
      <c r="AE169" s="43">
        <v>25.95</v>
      </c>
      <c r="AF169" s="43">
        <v>29.41</v>
      </c>
      <c r="AG169" s="43">
        <v>170.92473580854599</v>
      </c>
      <c r="AH169" s="43">
        <v>171.949359287383</v>
      </c>
      <c r="AI169" s="43">
        <v>196.764441641503</v>
      </c>
      <c r="AJ169" s="43">
        <v>41.4561084190792</v>
      </c>
      <c r="AK169" s="43">
        <v>0.69093514031798697</v>
      </c>
      <c r="AL169" s="43">
        <v>0.63633704698397897</v>
      </c>
      <c r="AM169" s="43">
        <v>373.64546534105199</v>
      </c>
      <c r="AN169" s="43">
        <v>6.2274244223508601</v>
      </c>
      <c r="AO169" s="43">
        <v>7.3362933080018102</v>
      </c>
      <c r="AP169" s="44">
        <v>215</v>
      </c>
      <c r="AQ169" s="44">
        <v>8.82</v>
      </c>
      <c r="AR169" s="44">
        <v>22.85441566877444</v>
      </c>
      <c r="AS169" s="44">
        <v>71.686382118409</v>
      </c>
      <c r="AT169" s="44">
        <v>0.84</v>
      </c>
      <c r="AU169" s="44">
        <v>0.33342503310887905</v>
      </c>
      <c r="AV169" s="44">
        <f t="shared" si="23"/>
        <v>71.686382118409</v>
      </c>
      <c r="AW169" s="44">
        <f>+VLOOKUP(C169,'Etape 1 - surface'!$A$5:$B$58,2,FALSE)</f>
        <v>0</v>
      </c>
      <c r="AX169" s="44">
        <f t="shared" si="21"/>
        <v>0</v>
      </c>
      <c r="AY169" s="44">
        <f>10.0046474463505+(37.1112351801373-10.0046474463505)/(1+EXP(-(0.581180949782075*AU169+-0.955447614584994)))</f>
        <v>18.63225088398363</v>
      </c>
      <c r="AZ169" s="63"/>
      <c r="BA169" s="63">
        <f t="shared" si="22"/>
        <v>0</v>
      </c>
      <c r="BB169" s="45"/>
      <c r="BC169" s="65">
        <v>4.4999999999999998E-2</v>
      </c>
      <c r="BD169" s="63">
        <f t="shared" si="20"/>
        <v>-3503.0716309776817</v>
      </c>
    </row>
    <row r="170" spans="1:56" ht="14.45" customHeight="1" x14ac:dyDescent="0.25">
      <c r="A170" t="str">
        <f>+VLOOKUP(D170,Acronyme!$A$1:$C$50,3,FALSE)</f>
        <v>Sapin pectiné</v>
      </c>
      <c r="B170" t="str">
        <f>+VLOOKUP(E170,Acronyme!$E$2:$I$50,5,FALSE)</f>
        <v>GSM Alpes du Sud</v>
      </c>
      <c r="C170" t="s">
        <v>264</v>
      </c>
      <c r="D170" s="43" t="s">
        <v>129</v>
      </c>
      <c r="E170" s="43" t="s">
        <v>132</v>
      </c>
      <c r="F170" s="43" t="s">
        <v>141</v>
      </c>
      <c r="G170" s="43" t="s">
        <v>100</v>
      </c>
      <c r="H170" s="43">
        <v>20.399999999999999</v>
      </c>
      <c r="I170" s="43" t="s">
        <v>101</v>
      </c>
      <c r="J170" s="43">
        <v>1600</v>
      </c>
      <c r="K170" s="43" t="s">
        <v>109</v>
      </c>
      <c r="L170" s="43" t="s">
        <v>134</v>
      </c>
      <c r="M170" s="43" t="s">
        <v>135</v>
      </c>
      <c r="N170" s="43"/>
      <c r="O170" s="43"/>
      <c r="P170" s="43">
        <v>40</v>
      </c>
      <c r="Q170" s="43">
        <v>16.829999999999998</v>
      </c>
      <c r="R170" s="43">
        <v>1499</v>
      </c>
      <c r="S170" s="43">
        <v>24.88</v>
      </c>
      <c r="T170" s="43">
        <v>27</v>
      </c>
      <c r="U170" s="43">
        <v>516</v>
      </c>
      <c r="V170" s="43">
        <v>633</v>
      </c>
      <c r="W170" s="43">
        <v>307</v>
      </c>
      <c r="X170" s="43">
        <v>15</v>
      </c>
      <c r="Y170" s="43">
        <v>0</v>
      </c>
      <c r="Z170" s="32">
        <v>60</v>
      </c>
      <c r="AA170" s="43" t="s">
        <v>63</v>
      </c>
      <c r="AB170" s="43">
        <v>22.74</v>
      </c>
      <c r="AC170" s="43">
        <v>490</v>
      </c>
      <c r="AD170" s="43">
        <v>29.06</v>
      </c>
      <c r="AE170" s="43">
        <v>27.48</v>
      </c>
      <c r="AF170" s="43">
        <v>33.549999999999997</v>
      </c>
      <c r="AG170" s="43">
        <v>288.83921256516402</v>
      </c>
      <c r="AH170" s="43">
        <v>290.65747695669103</v>
      </c>
      <c r="AI170" s="43">
        <v>350.34558621820401</v>
      </c>
      <c r="AJ170" s="43">
        <v>59.551285454122002</v>
      </c>
      <c r="AK170" s="43">
        <v>0.99252142423536605</v>
      </c>
      <c r="AL170" s="43">
        <v>1.14638014192656</v>
      </c>
      <c r="AM170" s="43">
        <v>677.15294605577606</v>
      </c>
      <c r="AN170" s="43">
        <v>11.2858824342629</v>
      </c>
      <c r="AO170" s="43">
        <v>16.9106693244042</v>
      </c>
      <c r="AP170" s="44">
        <v>215</v>
      </c>
      <c r="AQ170" s="44">
        <v>14.059999999999999</v>
      </c>
      <c r="AR170" s="44">
        <v>28.855492402883289</v>
      </c>
      <c r="AS170" s="44">
        <v>143.424192458606</v>
      </c>
      <c r="AT170" s="44">
        <v>1.07</v>
      </c>
      <c r="AU170" s="44">
        <v>0.66708926724933026</v>
      </c>
      <c r="AV170" s="44">
        <f t="shared" si="23"/>
        <v>143.424192458606</v>
      </c>
      <c r="AW170" s="44">
        <f>+VLOOKUP(C170,'Etape 1 - surface'!$A$5:$B$58,2,FALSE)</f>
        <v>0</v>
      </c>
      <c r="AX170" s="44">
        <f t="shared" si="21"/>
        <v>0</v>
      </c>
      <c r="AY170" s="44">
        <f>12.60067150914+(56.0435691950881-12.60067150914)/(1+EXP(-(0.12255140894824*AU170+-0.18958347271504)))</f>
        <v>33.15213381249751</v>
      </c>
      <c r="AZ170" s="63"/>
      <c r="BA170" s="63">
        <f t="shared" si="22"/>
        <v>0</v>
      </c>
      <c r="BB170" s="45"/>
      <c r="BC170" s="65">
        <v>4.4999999999999998E-2</v>
      </c>
      <c r="BD170" s="63">
        <f t="shared" si="20"/>
        <v>-3503.0716309776817</v>
      </c>
    </row>
    <row r="171" spans="1:56" ht="14.45" customHeight="1" x14ac:dyDescent="0.25">
      <c r="C171" t="s">
        <v>267</v>
      </c>
      <c r="D171" s="43" t="s">
        <v>78</v>
      </c>
      <c r="E171" s="43" t="s">
        <v>68</v>
      </c>
      <c r="F171" s="43" t="s">
        <v>79</v>
      </c>
      <c r="G171" s="43" t="s">
        <v>114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2">
        <v>60</v>
      </c>
      <c r="AA171" s="43" t="s">
        <v>152</v>
      </c>
      <c r="AB171" s="44">
        <v>60</v>
      </c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44">
        <v>60</v>
      </c>
      <c r="AQ171" s="1"/>
      <c r="AR171" s="1"/>
      <c r="AS171" s="1"/>
      <c r="AT171" s="1"/>
      <c r="AU171" s="44">
        <v>2.4</v>
      </c>
      <c r="AV171" s="44">
        <v>141.6</v>
      </c>
      <c r="AW171" s="44">
        <f>+VLOOKUP(C171,'Etape 1 - surface'!$A$5:$B$58,2,FALSE)</f>
        <v>0</v>
      </c>
      <c r="AX171" s="44">
        <f t="shared" si="21"/>
        <v>0</v>
      </c>
      <c r="AY171" s="44">
        <v>30</v>
      </c>
      <c r="AZ171" s="63"/>
      <c r="BA171" s="63">
        <f t="shared" si="22"/>
        <v>0</v>
      </c>
      <c r="BB171" s="45"/>
      <c r="BC171" s="65">
        <v>4.4999999999999998E-2</v>
      </c>
      <c r="BD171" s="63">
        <f t="shared" si="20"/>
        <v>-3503.0716309776817</v>
      </c>
    </row>
    <row r="172" spans="1:56" ht="15" x14ac:dyDescent="0.25">
      <c r="A172" t="str">
        <f>+VLOOKUP(D172,Acronyme!$A$1:$C$50,3,FALSE)</f>
        <v>Pin d'Alep</v>
      </c>
      <c r="B172" t="str">
        <f>+VLOOKUP(E172,Acronyme!$E$2:$I$50,5,FALSE)</f>
        <v>Pin d'Alep</v>
      </c>
      <c r="C172" t="s">
        <v>264</v>
      </c>
      <c r="D172" s="43" t="s">
        <v>146</v>
      </c>
      <c r="E172" s="43" t="s">
        <v>147</v>
      </c>
      <c r="F172" s="43" t="s">
        <v>66</v>
      </c>
      <c r="G172" s="43" t="s">
        <v>100</v>
      </c>
      <c r="H172" s="43">
        <v>15.5</v>
      </c>
      <c r="I172" s="43" t="s">
        <v>148</v>
      </c>
      <c r="J172" s="43">
        <v>1100</v>
      </c>
      <c r="K172" s="43" t="s">
        <v>109</v>
      </c>
      <c r="L172" s="43" t="s">
        <v>103</v>
      </c>
      <c r="M172" s="43" t="s">
        <v>149</v>
      </c>
      <c r="N172" s="43"/>
      <c r="O172" s="43"/>
      <c r="P172" s="43">
        <v>15</v>
      </c>
      <c r="Q172" s="43">
        <v>4.33</v>
      </c>
      <c r="R172" s="43">
        <v>1101</v>
      </c>
      <c r="S172" s="43">
        <v>4.92</v>
      </c>
      <c r="T172" s="43">
        <v>569</v>
      </c>
      <c r="U172" s="43">
        <v>532</v>
      </c>
      <c r="V172" s="43">
        <v>0</v>
      </c>
      <c r="W172" s="43">
        <v>0</v>
      </c>
      <c r="X172" s="43">
        <v>0</v>
      </c>
      <c r="Y172" s="43">
        <v>0</v>
      </c>
      <c r="Z172" s="32">
        <v>61</v>
      </c>
      <c r="AA172" s="43" t="s">
        <v>63</v>
      </c>
      <c r="AB172" s="43">
        <v>17.8</v>
      </c>
      <c r="AC172" s="43">
        <v>311</v>
      </c>
      <c r="AD172" s="43">
        <v>14.54</v>
      </c>
      <c r="AE172" s="43">
        <v>24.4</v>
      </c>
      <c r="AF172" s="43">
        <v>28.07</v>
      </c>
      <c r="AG172" s="43">
        <v>106.042298130497</v>
      </c>
      <c r="AH172" s="43">
        <v>108.694101760593</v>
      </c>
      <c r="AI172" s="43">
        <v>148.82180432194599</v>
      </c>
      <c r="AJ172" s="43">
        <v>36.369588740374901</v>
      </c>
      <c r="AK172" s="43">
        <v>0.59622276623565396</v>
      </c>
      <c r="AL172" s="43">
        <v>0.45879089478131602</v>
      </c>
      <c r="AM172" s="43">
        <v>347.48493845518902</v>
      </c>
      <c r="AN172" s="43">
        <v>5.6964744009047399</v>
      </c>
      <c r="AO172" s="43">
        <v>6.4387046878834404</v>
      </c>
      <c r="AP172" s="44">
        <v>214</v>
      </c>
      <c r="AQ172" s="44">
        <v>9.9700000000000024</v>
      </c>
      <c r="AR172" s="44">
        <v>24.355427210923967</v>
      </c>
      <c r="AS172" s="44">
        <v>72.642253772779</v>
      </c>
      <c r="AT172" s="44">
        <v>1</v>
      </c>
      <c r="AU172" s="44">
        <v>0.33944978398494857</v>
      </c>
      <c r="AV172" s="44">
        <f>+AU172*AP172</f>
        <v>72.642253772779</v>
      </c>
      <c r="AW172" s="44">
        <f>+VLOOKUP(C172,'Etape 1 - surface'!$A$5:$B$58,2,FALSE)</f>
        <v>0</v>
      </c>
      <c r="AX172" s="44">
        <f t="shared" si="21"/>
        <v>0</v>
      </c>
      <c r="AY172" s="44">
        <f>10.0046474463505+(37.1112351801373-10.0046474463505)/(1+EXP(-(0.581180949782075*AU172+-0.955447614584994)))</f>
        <v>18.652858125344856</v>
      </c>
      <c r="AZ172" s="63"/>
      <c r="BA172" s="63">
        <f t="shared" si="22"/>
        <v>0</v>
      </c>
      <c r="BB172" s="45"/>
      <c r="BC172" s="65">
        <v>4.4999999999999998E-2</v>
      </c>
      <c r="BD172" s="63">
        <f t="shared" si="20"/>
        <v>-3503.0716309776817</v>
      </c>
    </row>
    <row r="173" spans="1:56" ht="14.45" customHeight="1" x14ac:dyDescent="0.25">
      <c r="C173" t="s">
        <v>263</v>
      </c>
      <c r="D173" s="43" t="s">
        <v>207</v>
      </c>
      <c r="E173" s="43" t="s">
        <v>208</v>
      </c>
      <c r="F173" s="43" t="s">
        <v>259</v>
      </c>
      <c r="G173" s="43" t="s">
        <v>114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2">
        <v>61</v>
      </c>
      <c r="AA173" s="43" t="s">
        <v>63</v>
      </c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44">
        <v>258</v>
      </c>
      <c r="AQ173" s="1"/>
      <c r="AR173" s="1"/>
      <c r="AS173" s="1"/>
      <c r="AT173" s="1"/>
      <c r="AU173" s="44">
        <f>AV173/AP173</f>
        <v>0.38759689922480622</v>
      </c>
      <c r="AV173" s="44">
        <v>100</v>
      </c>
      <c r="AW173" s="44">
        <f>+VLOOKUP(C173,'Etape 1 - surface'!$A$5:$B$58,2,FALSE)</f>
        <v>0</v>
      </c>
      <c r="AX173" s="44">
        <f t="shared" si="21"/>
        <v>0</v>
      </c>
      <c r="AY173" s="44">
        <f>82.5251889/(1+EXP(-(0.26195064*AU173+(-0.34406779))))</f>
        <v>36.283136518401818</v>
      </c>
      <c r="AZ173" s="63"/>
      <c r="BA173" s="63">
        <f t="shared" si="22"/>
        <v>0</v>
      </c>
      <c r="BB173" s="45"/>
      <c r="BC173" s="65">
        <v>4.4999999999999998E-2</v>
      </c>
      <c r="BD173" s="63">
        <f t="shared" si="20"/>
        <v>-3503.0716309776817</v>
      </c>
    </row>
    <row r="174" spans="1:56" ht="15" x14ac:dyDescent="0.25">
      <c r="A174" t="str">
        <f>+VLOOKUP(D174,Acronyme!$A$1:$C$50,3,FALSE)</f>
        <v>Pin sylvestre</v>
      </c>
      <c r="B174" t="str">
        <f>+VLOOKUP(E174,Acronyme!$E$2:$I$50,5,FALSE)</f>
        <v>GS Pineraies des plaines du Centre et du Nord Ouest</v>
      </c>
      <c r="C174" t="s">
        <v>264</v>
      </c>
      <c r="D174" s="43" t="s">
        <v>106</v>
      </c>
      <c r="E174" s="43" t="s">
        <v>89</v>
      </c>
      <c r="F174" s="43" t="s">
        <v>115</v>
      </c>
      <c r="G174" s="43" t="s">
        <v>62</v>
      </c>
      <c r="H174" s="43">
        <v>23</v>
      </c>
      <c r="I174" s="43">
        <v>45</v>
      </c>
      <c r="J174" s="43">
        <v>2500</v>
      </c>
      <c r="K174" s="43" t="s">
        <v>109</v>
      </c>
      <c r="L174" s="43" t="s">
        <v>110</v>
      </c>
      <c r="M174" s="43" t="s">
        <v>111</v>
      </c>
      <c r="N174" s="43">
        <v>2003</v>
      </c>
      <c r="O174" s="43" t="s">
        <v>58</v>
      </c>
      <c r="P174" s="43">
        <v>28</v>
      </c>
      <c r="Q174" s="43">
        <v>13.5</v>
      </c>
      <c r="R174" s="43">
        <v>2157</v>
      </c>
      <c r="S174" s="43">
        <v>40.299999999999997</v>
      </c>
      <c r="T174" s="43">
        <v>0</v>
      </c>
      <c r="U174" s="43">
        <v>600</v>
      </c>
      <c r="V174" s="43">
        <v>1043</v>
      </c>
      <c r="W174" s="43">
        <v>457</v>
      </c>
      <c r="X174" s="43">
        <v>57</v>
      </c>
      <c r="Y174" s="43">
        <v>0</v>
      </c>
      <c r="Z174" s="32">
        <v>62</v>
      </c>
      <c r="AA174" s="43" t="s">
        <v>63</v>
      </c>
      <c r="AB174" s="43">
        <v>24.86</v>
      </c>
      <c r="AC174" s="43">
        <v>360</v>
      </c>
      <c r="AD174" s="43">
        <v>23.04</v>
      </c>
      <c r="AE174" s="43">
        <v>28.55</v>
      </c>
      <c r="AF174" s="43">
        <v>33.17</v>
      </c>
      <c r="AG174" s="43">
        <v>247.72438318323901</v>
      </c>
      <c r="AH174" s="43">
        <v>249.462900076355</v>
      </c>
      <c r="AI174" s="43">
        <v>285.08552487244299</v>
      </c>
      <c r="AJ174" s="43">
        <v>66.664213164738896</v>
      </c>
      <c r="AK174" s="43">
        <v>1.07522924459256</v>
      </c>
      <c r="AL174" s="43">
        <v>0.41230690027711597</v>
      </c>
      <c r="AM174" s="43">
        <v>680.73705101606299</v>
      </c>
      <c r="AN174" s="43">
        <v>10.9796298550978</v>
      </c>
      <c r="AO174" s="43">
        <v>7.0305892466353699</v>
      </c>
      <c r="AP174" s="44">
        <v>110</v>
      </c>
      <c r="AQ174" s="44">
        <v>4.91</v>
      </c>
      <c r="AR174" s="44">
        <v>23.839627370199562</v>
      </c>
      <c r="AS174" s="44">
        <v>50.944611468624998</v>
      </c>
      <c r="AT174" s="44">
        <v>0.75</v>
      </c>
      <c r="AU174" s="44">
        <v>0.46313283153295454</v>
      </c>
      <c r="AV174" s="44">
        <f t="shared" ref="AV174:AV181" si="24">+AU174*AP174</f>
        <v>50.944611468624998</v>
      </c>
      <c r="AW174" s="44">
        <f>+VLOOKUP(C174,'Etape 1 - surface'!$A$5:$B$58,2,FALSE)</f>
        <v>0</v>
      </c>
      <c r="AX174" s="44">
        <f t="shared" si="21"/>
        <v>0</v>
      </c>
      <c r="AY174" s="44">
        <f>10.0046474463505+(37.1112351801373-10.0046474463505)/(1+EXP(-(0.581180949782075*AU174+-0.955447614584994)))</f>
        <v>19.081567716978586</v>
      </c>
      <c r="AZ174" s="63"/>
      <c r="BA174" s="63">
        <f t="shared" si="22"/>
        <v>0</v>
      </c>
      <c r="BB174" s="45"/>
      <c r="BC174" s="65">
        <v>4.4999999999999998E-2</v>
      </c>
      <c r="BD174" s="63">
        <f t="shared" si="20"/>
        <v>-3503.0716309776817</v>
      </c>
    </row>
    <row r="175" spans="1:56" ht="15" x14ac:dyDescent="0.25">
      <c r="A175" t="str">
        <f>+VLOOKUP(D175,Acronyme!$A$1:$C$50,3,FALSE)</f>
        <v>Epicéa</v>
      </c>
      <c r="B175" t="str">
        <f>+VLOOKUP(E175,Acronyme!$E$2:$I$50,5,FALSE)</f>
        <v>GS Arc Jurassien</v>
      </c>
      <c r="C175" t="s">
        <v>264</v>
      </c>
      <c r="D175" s="43" t="s">
        <v>118</v>
      </c>
      <c r="E175" s="43" t="s">
        <v>119</v>
      </c>
      <c r="F175" s="43" t="s">
        <v>120</v>
      </c>
      <c r="G175" s="43" t="s">
        <v>121</v>
      </c>
      <c r="H175" s="43">
        <v>28.5</v>
      </c>
      <c r="I175" s="43" t="s">
        <v>122</v>
      </c>
      <c r="J175" s="43">
        <v>1666</v>
      </c>
      <c r="K175" s="43" t="s">
        <v>102</v>
      </c>
      <c r="L175" s="43" t="s">
        <v>103</v>
      </c>
      <c r="M175" s="43" t="s">
        <v>123</v>
      </c>
      <c r="N175" s="43"/>
      <c r="O175" s="43"/>
      <c r="P175" s="43">
        <v>25</v>
      </c>
      <c r="Q175" s="43">
        <v>16.53</v>
      </c>
      <c r="R175" s="43">
        <v>1255</v>
      </c>
      <c r="S175" s="43">
        <v>35.83</v>
      </c>
      <c r="T175" s="43">
        <v>3</v>
      </c>
      <c r="U175" s="43">
        <v>181</v>
      </c>
      <c r="V175" s="43">
        <v>304</v>
      </c>
      <c r="W175" s="43">
        <v>527</v>
      </c>
      <c r="X175" s="43">
        <v>194</v>
      </c>
      <c r="Y175" s="43">
        <v>46</v>
      </c>
      <c r="Z175" s="32">
        <v>62</v>
      </c>
      <c r="AA175" s="43" t="s">
        <v>63</v>
      </c>
      <c r="AB175" s="43">
        <v>32.022767410850598</v>
      </c>
      <c r="AC175" s="43">
        <v>174</v>
      </c>
      <c r="AD175" s="43">
        <v>31.126256428454901</v>
      </c>
      <c r="AE175" s="43">
        <v>47.724774021656202</v>
      </c>
      <c r="AF175" s="43">
        <v>51.491013241449501</v>
      </c>
      <c r="AG175" s="43">
        <v>439.21112748372002</v>
      </c>
      <c r="AH175" s="43">
        <v>441.07068583159798</v>
      </c>
      <c r="AI175" s="43">
        <v>481.72370825801698</v>
      </c>
      <c r="AJ175" s="43">
        <v>88.914906523897301</v>
      </c>
      <c r="AK175" s="43">
        <v>1.43411139554673</v>
      </c>
      <c r="AL175" s="43">
        <v>0.89163184850324395</v>
      </c>
      <c r="AM175" s="43">
        <v>1189.1830513505199</v>
      </c>
      <c r="AN175" s="43">
        <v>19.1803717959762</v>
      </c>
      <c r="AO175" s="43">
        <v>17.535129320840401</v>
      </c>
      <c r="AP175" s="44">
        <v>47</v>
      </c>
      <c r="AQ175" s="44">
        <v>8.134738739205801</v>
      </c>
      <c r="AR175" s="44">
        <v>46.943766832618948</v>
      </c>
      <c r="AS175" s="44">
        <v>114.96592230337797</v>
      </c>
      <c r="AT175" s="44">
        <v>0.97426414856999499</v>
      </c>
      <c r="AU175" s="44">
        <v>2.4460834532633609</v>
      </c>
      <c r="AV175" s="44">
        <f t="shared" si="24"/>
        <v>114.96592230337797</v>
      </c>
      <c r="AW175" s="44">
        <f>+VLOOKUP(C175,'Etape 1 - surface'!$A$5:$B$58,2,FALSE)</f>
        <v>0</v>
      </c>
      <c r="AX175" s="44">
        <f t="shared" si="21"/>
        <v>0</v>
      </c>
      <c r="AY175" s="44">
        <f>5.9476406705017+(63.9669421487603-5.9476406705017)/(1+EXP(-(0.302428574792357*AU175+-0.378232364909735)))</f>
        <v>40.144885343572255</v>
      </c>
      <c r="AZ175" s="63"/>
      <c r="BA175" s="63">
        <f t="shared" si="22"/>
        <v>0</v>
      </c>
      <c r="BB175" s="45"/>
      <c r="BC175" s="65">
        <v>4.4999999999999998E-2</v>
      </c>
      <c r="BD175" s="63">
        <f t="shared" si="20"/>
        <v>-3503.0716309776817</v>
      </c>
    </row>
    <row r="176" spans="1:56" ht="15" x14ac:dyDescent="0.25">
      <c r="A176" t="str">
        <f>+VLOOKUP(D176,Acronyme!$A$1:$C$50,3,FALSE)</f>
        <v>Douglas</v>
      </c>
      <c r="B176" t="str">
        <f>+VLOOKUP(E176,Acronyme!$E$2:$I$50,5,FALSE)</f>
        <v>National</v>
      </c>
      <c r="C176" t="s">
        <v>264</v>
      </c>
      <c r="D176" s="43" t="s">
        <v>97</v>
      </c>
      <c r="E176" s="43" t="s">
        <v>98</v>
      </c>
      <c r="F176" s="43" t="s">
        <v>99</v>
      </c>
      <c r="G176" s="43" t="s">
        <v>62</v>
      </c>
      <c r="H176" s="43">
        <v>33</v>
      </c>
      <c r="I176" s="43" t="s">
        <v>101</v>
      </c>
      <c r="J176" s="43">
        <v>1666</v>
      </c>
      <c r="K176" s="43" t="s">
        <v>102</v>
      </c>
      <c r="L176" s="43" t="s">
        <v>103</v>
      </c>
      <c r="M176" s="43" t="s">
        <v>104</v>
      </c>
      <c r="N176" s="43"/>
      <c r="O176" s="43" t="s">
        <v>112</v>
      </c>
      <c r="P176" s="43">
        <v>19</v>
      </c>
      <c r="Q176" s="43">
        <v>15.33</v>
      </c>
      <c r="R176" s="43">
        <v>1600</v>
      </c>
      <c r="S176" s="43">
        <v>14.8</v>
      </c>
      <c r="T176" s="43">
        <v>30</v>
      </c>
      <c r="U176" s="43">
        <v>428</v>
      </c>
      <c r="V176" s="43">
        <v>890</v>
      </c>
      <c r="W176" s="43">
        <v>240</v>
      </c>
      <c r="X176" s="43">
        <v>12</v>
      </c>
      <c r="Y176" s="43">
        <v>0</v>
      </c>
      <c r="Z176" s="32">
        <v>63</v>
      </c>
      <c r="AA176" s="43" t="s">
        <v>63</v>
      </c>
      <c r="AB176" s="43">
        <v>39.854387659523603</v>
      </c>
      <c r="AC176" s="43">
        <v>166</v>
      </c>
      <c r="AD176" s="43">
        <v>32.072669230199601</v>
      </c>
      <c r="AE176" s="43">
        <v>49.598502922109503</v>
      </c>
      <c r="AF176" s="43">
        <v>52.137674771704901</v>
      </c>
      <c r="AG176" s="43">
        <v>390.03905474432997</v>
      </c>
      <c r="AH176" s="43">
        <v>396.08165738866597</v>
      </c>
      <c r="AI176" s="43">
        <v>488.79403890447702</v>
      </c>
      <c r="AJ176" s="43">
        <v>90.6055047219931</v>
      </c>
      <c r="AK176" s="43">
        <v>1.43818261463481</v>
      </c>
      <c r="AL176" s="43">
        <v>0.84800705420259703</v>
      </c>
      <c r="AM176" s="43">
        <v>1158.67644389207</v>
      </c>
      <c r="AN176" s="43">
        <v>18.391689585588399</v>
      </c>
      <c r="AO176" s="43">
        <v>17.383945377236</v>
      </c>
      <c r="AP176" s="44">
        <v>40</v>
      </c>
      <c r="AQ176" s="44">
        <v>6.8102517864987959</v>
      </c>
      <c r="AR176" s="44">
        <v>46.55932206382937</v>
      </c>
      <c r="AS176" s="44">
        <v>82.647510835412049</v>
      </c>
      <c r="AT176" s="44">
        <v>0.90201033727396707</v>
      </c>
      <c r="AU176" s="44">
        <v>2.0661877708853011</v>
      </c>
      <c r="AV176" s="44">
        <f t="shared" si="24"/>
        <v>82.647510835412049</v>
      </c>
      <c r="AW176" s="44">
        <f>+VLOOKUP(C176,'Etape 1 - surface'!$A$5:$B$58,2,FALSE)</f>
        <v>0</v>
      </c>
      <c r="AX176" s="44">
        <f t="shared" si="21"/>
        <v>0</v>
      </c>
      <c r="AY176" s="44">
        <f>17.058316746383+(70.7042249024703-17.058316746383)/(1+EXP(-(0.378583234479568*AU176+-0.73675928557405)))</f>
        <v>44.490915449868041</v>
      </c>
      <c r="AZ176" s="63"/>
      <c r="BA176" s="63">
        <f t="shared" si="22"/>
        <v>0</v>
      </c>
      <c r="BB176" s="45"/>
      <c r="BC176" s="65">
        <v>4.4999999999999998E-2</v>
      </c>
      <c r="BD176" s="63">
        <f t="shared" si="20"/>
        <v>-3503.0716309776817</v>
      </c>
    </row>
    <row r="177" spans="1:56" ht="14.45" customHeight="1" x14ac:dyDescent="0.25">
      <c r="A177" t="str">
        <f>+VLOOKUP(D177,Acronyme!$A$1:$C$50,3,FALSE)</f>
        <v>Douglas</v>
      </c>
      <c r="B177" t="str">
        <f>+VLOOKUP(E177,Acronyme!$E$2:$I$50,5,FALSE)</f>
        <v>National</v>
      </c>
      <c r="C177" t="s">
        <v>264</v>
      </c>
      <c r="D177" s="43" t="s">
        <v>97</v>
      </c>
      <c r="E177" s="43" t="s">
        <v>98</v>
      </c>
      <c r="F177" s="43" t="s">
        <v>113</v>
      </c>
      <c r="G177" s="43" t="s">
        <v>114</v>
      </c>
      <c r="H177" s="43">
        <v>26</v>
      </c>
      <c r="I177" s="43" t="s">
        <v>101</v>
      </c>
      <c r="J177" s="43">
        <v>1666</v>
      </c>
      <c r="K177" s="43" t="s">
        <v>102</v>
      </c>
      <c r="L177" s="43" t="s">
        <v>103</v>
      </c>
      <c r="M177" s="43" t="s">
        <v>104</v>
      </c>
      <c r="N177" s="43"/>
      <c r="O177" s="43" t="s">
        <v>112</v>
      </c>
      <c r="P177" s="43">
        <v>25</v>
      </c>
      <c r="Q177" s="43">
        <v>14.76</v>
      </c>
      <c r="R177" s="43">
        <v>1600</v>
      </c>
      <c r="S177" s="43">
        <v>26.34</v>
      </c>
      <c r="T177" s="43">
        <v>40</v>
      </c>
      <c r="U177" s="43">
        <v>465</v>
      </c>
      <c r="V177" s="43">
        <v>873</v>
      </c>
      <c r="W177" s="43">
        <v>210</v>
      </c>
      <c r="X177" s="43">
        <v>12</v>
      </c>
      <c r="Y177" s="43">
        <v>0</v>
      </c>
      <c r="Z177" s="32">
        <v>63</v>
      </c>
      <c r="AA177" s="43" t="s">
        <v>63</v>
      </c>
      <c r="AB177" s="43">
        <v>31.925512399373002</v>
      </c>
      <c r="AC177" s="43">
        <v>355</v>
      </c>
      <c r="AD177" s="43">
        <v>28.8659686334273</v>
      </c>
      <c r="AE177" s="43">
        <v>32.176140561621899</v>
      </c>
      <c r="AF177" s="43">
        <v>37.673124087700401</v>
      </c>
      <c r="AG177" s="43">
        <v>287.56585097720898</v>
      </c>
      <c r="AH177" s="43">
        <v>290.60914120000001</v>
      </c>
      <c r="AI177" s="43">
        <v>362.76313927058999</v>
      </c>
      <c r="AJ177" s="43">
        <v>62.3606908139352</v>
      </c>
      <c r="AK177" s="43">
        <v>0.98985223514182796</v>
      </c>
      <c r="AL177" s="43">
        <v>0.55651535626844195</v>
      </c>
      <c r="AM177" s="43">
        <v>699.24649866445202</v>
      </c>
      <c r="AN177" s="43">
        <v>11.099150772451599</v>
      </c>
      <c r="AO177" s="43">
        <v>10.661258620359</v>
      </c>
      <c r="AP177" s="44">
        <v>75</v>
      </c>
      <c r="AQ177" s="44">
        <v>5.7365269334278963</v>
      </c>
      <c r="AR177" s="44">
        <v>31.206779052162656</v>
      </c>
      <c r="AS177" s="44">
        <v>57.267513332768999</v>
      </c>
      <c r="AT177" s="44">
        <v>0.9504927475950754</v>
      </c>
      <c r="AU177" s="44">
        <v>0.76356684443692002</v>
      </c>
      <c r="AV177" s="44">
        <f t="shared" si="24"/>
        <v>57.267513332768999</v>
      </c>
      <c r="AW177" s="44">
        <f>+VLOOKUP(C177,'Etape 1 - surface'!$A$5:$B$58,2,FALSE)</f>
        <v>0</v>
      </c>
      <c r="AX177" s="44">
        <f t="shared" si="21"/>
        <v>0</v>
      </c>
      <c r="AY177" s="44">
        <f>17.058316746383+(70.7042249024703-17.058316746383)/(1+EXP(-(0.378583234479568*AU177+-0.73675928557405)))</f>
        <v>37.975454868307082</v>
      </c>
      <c r="AZ177" s="63"/>
      <c r="BA177" s="63">
        <f t="shared" si="22"/>
        <v>0</v>
      </c>
      <c r="BB177" s="45"/>
      <c r="BC177" s="65">
        <v>4.4999999999999998E-2</v>
      </c>
      <c r="BD177" s="63">
        <f t="shared" si="20"/>
        <v>-3503.0716309776817</v>
      </c>
    </row>
    <row r="178" spans="1:56" ht="15" x14ac:dyDescent="0.25">
      <c r="A178" t="str">
        <f>+VLOOKUP(D178,Acronyme!$A$1:$C$50,3,FALSE)</f>
        <v>Pin sylvestre</v>
      </c>
      <c r="B178" t="str">
        <f>+VLOOKUP(E178,Acronyme!$E$2:$I$50,5,FALSE)</f>
        <v>GS Pineraies des plaines du Centre et du Nord Ouest</v>
      </c>
      <c r="C178" t="s">
        <v>264</v>
      </c>
      <c r="D178" s="43" t="s">
        <v>106</v>
      </c>
      <c r="E178" s="43" t="s">
        <v>89</v>
      </c>
      <c r="F178" s="43" t="s">
        <v>115</v>
      </c>
      <c r="G178" s="43" t="s">
        <v>100</v>
      </c>
      <c r="H178" s="43">
        <v>28</v>
      </c>
      <c r="I178" s="43">
        <v>45</v>
      </c>
      <c r="J178" s="43">
        <v>2500</v>
      </c>
      <c r="K178" s="43" t="s">
        <v>109</v>
      </c>
      <c r="L178" s="43" t="s">
        <v>116</v>
      </c>
      <c r="M178" s="43" t="s">
        <v>111</v>
      </c>
      <c r="N178" s="43">
        <v>1997</v>
      </c>
      <c r="O178" s="43" t="s">
        <v>96</v>
      </c>
      <c r="P178" s="43">
        <v>21</v>
      </c>
      <c r="Q178" s="43">
        <v>12.5</v>
      </c>
      <c r="R178" s="43">
        <v>2024</v>
      </c>
      <c r="S178" s="43">
        <v>28.8</v>
      </c>
      <c r="T178" s="43">
        <v>0</v>
      </c>
      <c r="U178" s="43">
        <v>1100</v>
      </c>
      <c r="V178" s="43">
        <v>712</v>
      </c>
      <c r="W178" s="43">
        <v>162</v>
      </c>
      <c r="X178" s="43">
        <v>50</v>
      </c>
      <c r="Y178" s="43">
        <v>0</v>
      </c>
      <c r="Z178" s="32">
        <v>63</v>
      </c>
      <c r="AA178" s="43" t="s">
        <v>63</v>
      </c>
      <c r="AB178" s="43">
        <v>31.99</v>
      </c>
      <c r="AC178" s="43">
        <v>312</v>
      </c>
      <c r="AD178" s="43">
        <v>25.98</v>
      </c>
      <c r="AE178" s="43">
        <v>32.56</v>
      </c>
      <c r="AF178" s="43">
        <v>36.96</v>
      </c>
      <c r="AG178" s="43">
        <v>358.50542809206303</v>
      </c>
      <c r="AH178" s="43">
        <v>360.26830779097202</v>
      </c>
      <c r="AI178" s="43">
        <v>396.45026163523602</v>
      </c>
      <c r="AJ178" s="43">
        <v>63.789473870679899</v>
      </c>
      <c r="AK178" s="43">
        <v>1.0125313312806301</v>
      </c>
      <c r="AL178" s="43">
        <v>0.38384089782701403</v>
      </c>
      <c r="AM178" s="43">
        <v>790.53561310615498</v>
      </c>
      <c r="AN178" s="43">
        <v>12.5481843350183</v>
      </c>
      <c r="AO178" s="43">
        <v>8.7094242454306805</v>
      </c>
      <c r="AP178" s="44">
        <v>68</v>
      </c>
      <c r="AQ178" s="44">
        <v>4.0999999999999979</v>
      </c>
      <c r="AR178" s="44">
        <v>27.707193091893931</v>
      </c>
      <c r="AS178" s="44">
        <v>54.815870045950987</v>
      </c>
      <c r="AT178" s="44">
        <v>0.76</v>
      </c>
      <c r="AU178" s="44">
        <v>0.80611573596986741</v>
      </c>
      <c r="AV178" s="44">
        <f t="shared" si="24"/>
        <v>54.815870045950987</v>
      </c>
      <c r="AW178" s="44">
        <f>+VLOOKUP(C178,'Etape 1 - surface'!$A$5:$B$58,2,FALSE)</f>
        <v>0</v>
      </c>
      <c r="AX178" s="44">
        <f t="shared" si="21"/>
        <v>0</v>
      </c>
      <c r="AY178" s="44">
        <f>10.0046474463505+(37.1112351801373-10.0046474463505)/(1+EXP(-(0.581180949782075*AU178+-0.955447614584994)))</f>
        <v>20.321758578839869</v>
      </c>
      <c r="AZ178" s="63"/>
      <c r="BA178" s="63">
        <f t="shared" si="22"/>
        <v>0</v>
      </c>
      <c r="BB178" s="45"/>
      <c r="BC178" s="65">
        <v>4.4999999999999998E-2</v>
      </c>
      <c r="BD178" s="63">
        <f t="shared" si="20"/>
        <v>-3503.0716309776817</v>
      </c>
    </row>
    <row r="179" spans="1:56" ht="14.45" customHeight="1" x14ac:dyDescent="0.25">
      <c r="A179" t="str">
        <f>+VLOOKUP(D179,Acronyme!$A$1:$C$50,3,FALSE)</f>
        <v>Hêtre commun</v>
      </c>
      <c r="B179" t="str">
        <f>+VLOOKUP(E179,Acronyme!$E$2:$I$50,5,FALSE)</f>
        <v>GS Hêtraies et hêtraies sapinières des Pyrénées</v>
      </c>
      <c r="C179" t="s">
        <v>264</v>
      </c>
      <c r="D179" s="43" t="s">
        <v>126</v>
      </c>
      <c r="E179" s="43" t="s">
        <v>127</v>
      </c>
      <c r="F179" s="43" t="s">
        <v>113</v>
      </c>
      <c r="G179" s="43" t="s">
        <v>100</v>
      </c>
      <c r="H179" s="43">
        <v>22</v>
      </c>
      <c r="I179" s="43">
        <v>55</v>
      </c>
      <c r="J179" s="43">
        <v>1666</v>
      </c>
      <c r="K179" s="43" t="s">
        <v>109</v>
      </c>
      <c r="L179" s="43" t="s">
        <v>103</v>
      </c>
      <c r="M179" s="43" t="s">
        <v>128</v>
      </c>
      <c r="N179" s="43"/>
      <c r="O179" s="43"/>
      <c r="P179" s="43">
        <v>42</v>
      </c>
      <c r="Q179" s="43">
        <v>19.510000000000002</v>
      </c>
      <c r="R179" s="43">
        <v>1402</v>
      </c>
      <c r="S179" s="43">
        <v>28.51</v>
      </c>
      <c r="T179" s="43">
        <v>50</v>
      </c>
      <c r="U179" s="43">
        <v>303</v>
      </c>
      <c r="V179" s="43">
        <v>595</v>
      </c>
      <c r="W179" s="43">
        <v>375</v>
      </c>
      <c r="X179" s="43">
        <v>75</v>
      </c>
      <c r="Y179" s="43">
        <v>4</v>
      </c>
      <c r="Z179" s="32">
        <v>63</v>
      </c>
      <c r="AA179" s="43" t="s">
        <v>63</v>
      </c>
      <c r="AB179" s="43">
        <v>27.18</v>
      </c>
      <c r="AC179" s="43">
        <v>351</v>
      </c>
      <c r="AD179" s="43">
        <v>18.62</v>
      </c>
      <c r="AE179" s="43">
        <v>25.99</v>
      </c>
      <c r="AF179" s="43">
        <v>33.4</v>
      </c>
      <c r="AG179" s="43">
        <v>226.97184333420199</v>
      </c>
      <c r="AH179" s="43">
        <v>242.976611482094</v>
      </c>
      <c r="AI179" s="43">
        <v>280.03928153009298</v>
      </c>
      <c r="AJ179" s="43">
        <v>47.319122689149502</v>
      </c>
      <c r="AK179" s="43">
        <v>0.75109718554205496</v>
      </c>
      <c r="AL179" s="43">
        <v>0.70994364760692996</v>
      </c>
      <c r="AM179" s="43">
        <v>642.15884156073298</v>
      </c>
      <c r="AN179" s="43">
        <v>10.192997485091</v>
      </c>
      <c r="AO179" s="43">
        <v>14.2494644404048</v>
      </c>
      <c r="AP179" s="44">
        <v>150</v>
      </c>
      <c r="AQ179" s="44">
        <v>6.6899999999999977</v>
      </c>
      <c r="AR179" s="44">
        <v>23.829914749152636</v>
      </c>
      <c r="AS179" s="44">
        <v>80.063609447632018</v>
      </c>
      <c r="AT179" s="44">
        <v>0.88</v>
      </c>
      <c r="AU179" s="44">
        <v>0.53375739631754682</v>
      </c>
      <c r="AV179" s="44">
        <f t="shared" si="24"/>
        <v>80.063609447632018</v>
      </c>
      <c r="AW179" s="44">
        <f>+VLOOKUP(C179,'Etape 1 - surface'!$A$5:$B$58,2,FALSE)</f>
        <v>0</v>
      </c>
      <c r="AX179" s="44">
        <f t="shared" si="21"/>
        <v>0</v>
      </c>
      <c r="AY179" s="44">
        <f>5.93488073153274+(78.4394250513347-5.93488073153274)/(1+EXP(-(1.03516193614659*AU179+-2.09091784316379)))</f>
        <v>18.751442254622617</v>
      </c>
      <c r="AZ179" s="63"/>
      <c r="BA179" s="63">
        <f t="shared" si="22"/>
        <v>0</v>
      </c>
      <c r="BB179" s="45"/>
      <c r="BC179" s="65">
        <v>4.4999999999999998E-2</v>
      </c>
      <c r="BD179" s="63">
        <f t="shared" si="20"/>
        <v>-3503.0716309776817</v>
      </c>
    </row>
    <row r="180" spans="1:56" ht="15" x14ac:dyDescent="0.25">
      <c r="A180" t="str">
        <f>+VLOOKUP(D180,Acronyme!$A$1:$C$50,3,FALSE)</f>
        <v>Chêne sessile</v>
      </c>
      <c r="B180" t="str">
        <f>+VLOOKUP(E180,Acronyme!$E$2:$I$50,5,FALSE)</f>
        <v>Guide chênaie continentale</v>
      </c>
      <c r="C180" t="s">
        <v>264</v>
      </c>
      <c r="D180" s="43" t="s">
        <v>60</v>
      </c>
      <c r="E180" s="43" t="s">
        <v>65</v>
      </c>
      <c r="F180" s="43" t="s">
        <v>66</v>
      </c>
      <c r="G180" s="43" t="s">
        <v>100</v>
      </c>
      <c r="H180" s="43">
        <v>21.5</v>
      </c>
      <c r="I180" s="43" t="s">
        <v>144</v>
      </c>
      <c r="J180" s="43">
        <v>1666</v>
      </c>
      <c r="K180" s="43" t="s">
        <v>109</v>
      </c>
      <c r="L180" s="43" t="s">
        <v>103</v>
      </c>
      <c r="M180" s="43" t="s">
        <v>143</v>
      </c>
      <c r="N180" s="43"/>
      <c r="O180" s="43"/>
      <c r="P180" s="43">
        <v>35</v>
      </c>
      <c r="Q180" s="43">
        <v>16.59</v>
      </c>
      <c r="R180" s="43">
        <v>1453</v>
      </c>
      <c r="S180" s="43">
        <v>26.19</v>
      </c>
      <c r="T180" s="43">
        <v>41</v>
      </c>
      <c r="U180" s="43">
        <v>369</v>
      </c>
      <c r="V180" s="43">
        <v>713</v>
      </c>
      <c r="W180" s="43">
        <v>301</v>
      </c>
      <c r="X180" s="43">
        <v>28</v>
      </c>
      <c r="Y180" s="43">
        <v>0</v>
      </c>
      <c r="Z180" s="32">
        <v>63</v>
      </c>
      <c r="AA180" s="43" t="s">
        <v>63</v>
      </c>
      <c r="AB180" s="43">
        <v>25.12</v>
      </c>
      <c r="AC180" s="43">
        <v>176</v>
      </c>
      <c r="AD180" s="43">
        <v>18.3</v>
      </c>
      <c r="AE180" s="43">
        <v>36.39</v>
      </c>
      <c r="AF180" s="43">
        <v>38.47</v>
      </c>
      <c r="AG180" s="43">
        <v>226.272365964225</v>
      </c>
      <c r="AH180" s="43">
        <v>249.756844386632</v>
      </c>
      <c r="AI180" s="43">
        <v>274.43878755611502</v>
      </c>
      <c r="AJ180" s="43">
        <v>50.187754467908498</v>
      </c>
      <c r="AK180" s="43">
        <v>0.79663102330013602</v>
      </c>
      <c r="AL180" s="43">
        <v>0.62067449910302996</v>
      </c>
      <c r="AM180" s="43">
        <v>642.86938166951495</v>
      </c>
      <c r="AN180" s="43">
        <v>10.2042758995161</v>
      </c>
      <c r="AO180" s="43">
        <v>11.967459576816401</v>
      </c>
      <c r="AP180" s="44">
        <v>52</v>
      </c>
      <c r="AQ180" s="44">
        <v>4.5999999999999979</v>
      </c>
      <c r="AR180" s="44">
        <v>33.560799894719622</v>
      </c>
      <c r="AS180" s="44">
        <v>56.488305978343021</v>
      </c>
      <c r="AT180" s="44">
        <v>0.88</v>
      </c>
      <c r="AU180" s="44">
        <v>1.0863135765065965</v>
      </c>
      <c r="AV180" s="44">
        <f t="shared" si="24"/>
        <v>56.488305978343021</v>
      </c>
      <c r="AW180" s="44">
        <f>+VLOOKUP(C180,'Etape 1 - surface'!$A$5:$B$58,2,FALSE)</f>
        <v>0</v>
      </c>
      <c r="AX180" s="44">
        <f t="shared" si="21"/>
        <v>0</v>
      </c>
      <c r="AY180" s="44">
        <f>10.8374384236453+(405.147848531042-10.8374384236453)/(1+EXP(-(1.16387919746889*AU180+-2.8965970117006)))</f>
        <v>75.315511714105114</v>
      </c>
      <c r="AZ180" s="63"/>
      <c r="BA180" s="63">
        <f t="shared" si="22"/>
        <v>0</v>
      </c>
      <c r="BB180" s="45"/>
      <c r="BC180" s="65">
        <v>4.4999999999999998E-2</v>
      </c>
      <c r="BD180" s="63">
        <f t="shared" si="20"/>
        <v>-3503.0716309776817</v>
      </c>
    </row>
    <row r="181" spans="1:56" ht="15" x14ac:dyDescent="0.25">
      <c r="A181" t="str">
        <f>+VLOOKUP(D181,Acronyme!$A$1:$C$50,3,FALSE)</f>
        <v>Pin d'Alep</v>
      </c>
      <c r="B181" t="str">
        <f>+VLOOKUP(E181,Acronyme!$E$2:$I$50,5,FALSE)</f>
        <v>Pin d'Alep</v>
      </c>
      <c r="C181" t="s">
        <v>264</v>
      </c>
      <c r="D181" s="43" t="s">
        <v>146</v>
      </c>
      <c r="E181" s="43" t="s">
        <v>147</v>
      </c>
      <c r="F181" s="43" t="s">
        <v>61</v>
      </c>
      <c r="G181" s="43" t="s">
        <v>62</v>
      </c>
      <c r="H181" s="43">
        <v>12</v>
      </c>
      <c r="I181" s="43" t="s">
        <v>148</v>
      </c>
      <c r="J181" s="43">
        <v>1100</v>
      </c>
      <c r="K181" s="43" t="s">
        <v>109</v>
      </c>
      <c r="L181" s="43" t="s">
        <v>103</v>
      </c>
      <c r="M181" s="43" t="s">
        <v>149</v>
      </c>
      <c r="N181" s="43"/>
      <c r="O181" s="43"/>
      <c r="P181" s="43">
        <v>18</v>
      </c>
      <c r="Q181" s="43">
        <v>4.34</v>
      </c>
      <c r="R181" s="43">
        <v>1101</v>
      </c>
      <c r="S181" s="43">
        <v>4.92</v>
      </c>
      <c r="T181" s="43">
        <v>569</v>
      </c>
      <c r="U181" s="43">
        <v>532</v>
      </c>
      <c r="V181" s="43">
        <v>0</v>
      </c>
      <c r="W181" s="43">
        <v>0</v>
      </c>
      <c r="X181" s="43">
        <v>0</v>
      </c>
      <c r="Y181" s="43">
        <v>0</v>
      </c>
      <c r="Z181" s="32">
        <v>63</v>
      </c>
      <c r="AA181" s="43" t="s">
        <v>63</v>
      </c>
      <c r="AB181" s="43">
        <v>14.01</v>
      </c>
      <c r="AC181" s="43">
        <v>351</v>
      </c>
      <c r="AD181" s="43">
        <v>18</v>
      </c>
      <c r="AE181" s="43">
        <v>25.55</v>
      </c>
      <c r="AF181" s="43">
        <v>27.3</v>
      </c>
      <c r="AG181" s="43">
        <v>107.780150337462</v>
      </c>
      <c r="AH181" s="43">
        <v>111.53860669171</v>
      </c>
      <c r="AI181" s="43">
        <v>160.54068991813901</v>
      </c>
      <c r="AJ181" s="43">
        <v>38.941312807177297</v>
      </c>
      <c r="AK181" s="43">
        <v>0.61811607630440202</v>
      </c>
      <c r="AL181" s="43">
        <v>0.497685249111399</v>
      </c>
      <c r="AM181" s="43">
        <v>330.33475197931801</v>
      </c>
      <c r="AN181" s="43">
        <v>5.2434087615764797</v>
      </c>
      <c r="AO181" s="43">
        <v>5.6312083832668201</v>
      </c>
      <c r="AP181" s="44">
        <v>344</v>
      </c>
      <c r="AQ181" s="44">
        <v>12.010000000000002</v>
      </c>
      <c r="AR181" s="44">
        <v>21.083724939711438</v>
      </c>
      <c r="AS181" s="44">
        <v>68.701856206366983</v>
      </c>
      <c r="AT181" s="44">
        <v>0.81</v>
      </c>
      <c r="AU181" s="44">
        <v>0.19971469827432262</v>
      </c>
      <c r="AV181" s="44">
        <f t="shared" si="24"/>
        <v>68.701856206366983</v>
      </c>
      <c r="AW181" s="44">
        <f>+VLOOKUP(C181,'Etape 1 - surface'!$A$5:$B$58,2,FALSE)</f>
        <v>0</v>
      </c>
      <c r="AX181" s="44">
        <f t="shared" si="21"/>
        <v>0</v>
      </c>
      <c r="AY181" s="44">
        <f>10.0046474463505+(37.1112351801373-10.0046474463505)/(1+EXP(-(0.581180949782075*AU181+-0.955447614584994)))</f>
        <v>18.181782294942757</v>
      </c>
      <c r="AZ181" s="63"/>
      <c r="BA181" s="63">
        <f t="shared" si="22"/>
        <v>0</v>
      </c>
      <c r="BB181" s="45"/>
      <c r="BC181" s="65">
        <v>4.4999999999999998E-2</v>
      </c>
      <c r="BD181" s="63">
        <f t="shared" si="20"/>
        <v>-3503.0716309776817</v>
      </c>
    </row>
    <row r="182" spans="1:56" ht="15" x14ac:dyDescent="0.25">
      <c r="C182" t="s">
        <v>262</v>
      </c>
      <c r="D182" s="43" t="s">
        <v>207</v>
      </c>
      <c r="E182" s="43" t="s">
        <v>208</v>
      </c>
      <c r="F182" s="43" t="s">
        <v>259</v>
      </c>
      <c r="G182" s="43" t="s">
        <v>62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2">
        <v>63</v>
      </c>
      <c r="AA182" s="43" t="s">
        <v>63</v>
      </c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44">
        <v>99</v>
      </c>
      <c r="AQ182" s="1"/>
      <c r="AR182" s="1"/>
      <c r="AS182" s="1"/>
      <c r="AT182" s="1"/>
      <c r="AU182" s="44">
        <f>AV182/AP182</f>
        <v>0.79797979797979801</v>
      </c>
      <c r="AV182" s="44">
        <v>79</v>
      </c>
      <c r="AW182" s="44">
        <f>+VLOOKUP(C182,'Etape 1 - surface'!$A$5:$B$58,2,FALSE)</f>
        <v>0</v>
      </c>
      <c r="AX182" s="44">
        <f t="shared" si="21"/>
        <v>0</v>
      </c>
      <c r="AY182" s="44">
        <f>82.5251889/(1+EXP(-(0.26195064*AU182+(-0.34406779))))</f>
        <v>38.480842660649429</v>
      </c>
      <c r="AZ182" s="63"/>
      <c r="BA182" s="63">
        <f t="shared" si="22"/>
        <v>0</v>
      </c>
      <c r="BB182" s="45"/>
      <c r="BC182" s="65">
        <v>4.4999999999999998E-2</v>
      </c>
      <c r="BD182" s="63">
        <f t="shared" si="20"/>
        <v>-3503.0716309776817</v>
      </c>
    </row>
    <row r="183" spans="1:56" ht="15" x14ac:dyDescent="0.25">
      <c r="C183" t="s">
        <v>264</v>
      </c>
      <c r="D183" s="43" t="s">
        <v>207</v>
      </c>
      <c r="E183" s="43" t="s">
        <v>208</v>
      </c>
      <c r="F183" s="43" t="s">
        <v>258</v>
      </c>
      <c r="G183" s="43" t="s">
        <v>114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2">
        <v>63</v>
      </c>
      <c r="AA183" s="43" t="s">
        <v>63</v>
      </c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44">
        <v>203</v>
      </c>
      <c r="AQ183" s="1"/>
      <c r="AR183" s="1"/>
      <c r="AS183" s="1"/>
      <c r="AT183" s="1"/>
      <c r="AU183" s="44">
        <f>AV183/AP183</f>
        <v>0.55665024630541871</v>
      </c>
      <c r="AV183" s="44">
        <v>113</v>
      </c>
      <c r="AW183" s="44">
        <f>+VLOOKUP(C183,'Etape 1 - surface'!$A$5:$B$58,2,FALSE)</f>
        <v>0</v>
      </c>
      <c r="AX183" s="44">
        <f t="shared" si="21"/>
        <v>0</v>
      </c>
      <c r="AY183" s="44">
        <f>82.5251889/(1+EXP(-(0.26195064*AU183+(-0.34406779))))</f>
        <v>37.185724350628135</v>
      </c>
      <c r="AZ183" s="63"/>
      <c r="BA183" s="63">
        <f t="shared" si="22"/>
        <v>0</v>
      </c>
      <c r="BB183" s="45"/>
      <c r="BC183" s="65">
        <v>4.4999999999999998E-2</v>
      </c>
      <c r="BD183" s="63">
        <f t="shared" si="20"/>
        <v>-3503.0716309776817</v>
      </c>
    </row>
    <row r="184" spans="1:56" ht="14.45" customHeight="1" x14ac:dyDescent="0.25">
      <c r="A184" t="str">
        <f>+VLOOKUP(D184,Acronyme!$A$1:$C$50,3,FALSE)</f>
        <v>Pin sylvestre</v>
      </c>
      <c r="B184" t="str">
        <f>+VLOOKUP(E184,Acronyme!$E$2:$I$50,5,FALSE)</f>
        <v>GS Pineraies des plaines du Centre et du Nord Ouest</v>
      </c>
      <c r="C184" t="s">
        <v>264</v>
      </c>
      <c r="D184" s="43" t="s">
        <v>106</v>
      </c>
      <c r="E184" s="43" t="s">
        <v>89</v>
      </c>
      <c r="F184" s="43" t="s">
        <v>107</v>
      </c>
      <c r="G184" s="43" t="s">
        <v>62</v>
      </c>
      <c r="H184" s="43">
        <v>23</v>
      </c>
      <c r="I184" s="43" t="s">
        <v>108</v>
      </c>
      <c r="J184" s="43">
        <v>2500</v>
      </c>
      <c r="K184" s="43" t="s">
        <v>109</v>
      </c>
      <c r="L184" s="43" t="s">
        <v>110</v>
      </c>
      <c r="M184" s="43" t="s">
        <v>111</v>
      </c>
      <c r="N184" s="43">
        <v>2003</v>
      </c>
      <c r="O184" s="43"/>
      <c r="P184" s="43">
        <v>24</v>
      </c>
      <c r="Q184" s="43">
        <v>11.4</v>
      </c>
      <c r="R184" s="43">
        <v>2157</v>
      </c>
      <c r="S184" s="43">
        <v>40.299999999999997</v>
      </c>
      <c r="T184" s="43">
        <v>0</v>
      </c>
      <c r="U184" s="43">
        <v>600</v>
      </c>
      <c r="V184" s="43">
        <v>1043</v>
      </c>
      <c r="W184" s="43">
        <v>457</v>
      </c>
      <c r="X184" s="43">
        <v>57</v>
      </c>
      <c r="Y184" s="43">
        <v>0</v>
      </c>
      <c r="Z184" s="32">
        <v>65</v>
      </c>
      <c r="AA184" s="43" t="s">
        <v>63</v>
      </c>
      <c r="AB184" s="43">
        <v>24.98</v>
      </c>
      <c r="AC184" s="43">
        <v>250</v>
      </c>
      <c r="AD184" s="43">
        <v>22.97</v>
      </c>
      <c r="AE184" s="43">
        <v>34.200000000000003</v>
      </c>
      <c r="AF184" s="43">
        <v>37.72</v>
      </c>
      <c r="AG184" s="43">
        <v>248.015712236334</v>
      </c>
      <c r="AH184" s="43">
        <v>250.58542109999999</v>
      </c>
      <c r="AI184" s="43">
        <v>288.67065945012399</v>
      </c>
      <c r="AJ184" s="43">
        <v>73.062555278511795</v>
      </c>
      <c r="AK184" s="43">
        <v>1.1240393119770999</v>
      </c>
      <c r="AL184" s="43">
        <v>0.40921814921196598</v>
      </c>
      <c r="AM184" s="43">
        <v>718.11005095670703</v>
      </c>
      <c r="AN184" s="43">
        <v>11.0478469377955</v>
      </c>
      <c r="AO184" s="43">
        <v>8.5077376912892095</v>
      </c>
      <c r="AP184" s="44">
        <v>50</v>
      </c>
      <c r="AQ184" s="44">
        <v>4.5063651948437986</v>
      </c>
      <c r="AR184" s="44">
        <v>33.875307730242987</v>
      </c>
      <c r="AS184" s="44">
        <v>47.785858243370029</v>
      </c>
      <c r="AT184" s="44">
        <v>1.0019322789631395</v>
      </c>
      <c r="AU184" s="44">
        <v>0.95571716486740055</v>
      </c>
      <c r="AV184" s="44">
        <f>+AU184*AP184</f>
        <v>47.785858243370029</v>
      </c>
      <c r="AW184" s="44">
        <f>+VLOOKUP(C184,'Etape 1 - surface'!$A$5:$B$58,2,FALSE)</f>
        <v>0</v>
      </c>
      <c r="AX184" s="44">
        <f t="shared" si="21"/>
        <v>0</v>
      </c>
      <c r="AY184" s="44">
        <f>10.0046474463505+(37.1112351801373-10.0046474463505)/(1+EXP(-(0.581180949782075*AU184+-0.955447614584994)))</f>
        <v>20.882836025761272</v>
      </c>
      <c r="AZ184" s="63"/>
      <c r="BA184" s="63">
        <f t="shared" si="22"/>
        <v>0</v>
      </c>
      <c r="BB184" s="45"/>
      <c r="BC184" s="65">
        <v>4.4999999999999998E-2</v>
      </c>
      <c r="BD184" s="63">
        <f t="shared" si="20"/>
        <v>-3503.0716309776817</v>
      </c>
    </row>
    <row r="185" spans="1:56" ht="14.45" customHeight="1" x14ac:dyDescent="0.25">
      <c r="A185" t="str">
        <f>+VLOOKUP(D185,Acronyme!$A$1:$C$50,3,FALSE)</f>
        <v>Sapin pectiné</v>
      </c>
      <c r="B185" t="str">
        <f>+VLOOKUP(E185,Acronyme!$E$2:$I$50,5,FALSE)</f>
        <v>GS Arc Jurassien</v>
      </c>
      <c r="C185" t="s">
        <v>264</v>
      </c>
      <c r="D185" s="43" t="s">
        <v>129</v>
      </c>
      <c r="E185" s="43" t="s">
        <v>119</v>
      </c>
      <c r="F185" s="43" t="s">
        <v>130</v>
      </c>
      <c r="G185" s="43" t="s">
        <v>62</v>
      </c>
      <c r="H185" s="43">
        <v>15.5</v>
      </c>
      <c r="I185" s="43" t="s">
        <v>101</v>
      </c>
      <c r="J185" s="43">
        <v>2000</v>
      </c>
      <c r="K185" s="43" t="s">
        <v>102</v>
      </c>
      <c r="L185" s="43" t="s">
        <v>103</v>
      </c>
      <c r="M185" s="43" t="s">
        <v>123</v>
      </c>
      <c r="N185" s="43"/>
      <c r="O185" s="43"/>
      <c r="P185" s="43">
        <v>57</v>
      </c>
      <c r="Q185" s="43">
        <v>18.22</v>
      </c>
      <c r="R185" s="43">
        <v>1862</v>
      </c>
      <c r="S185" s="43">
        <v>45.64</v>
      </c>
      <c r="T185" s="43">
        <v>0</v>
      </c>
      <c r="U185" s="43">
        <v>0</v>
      </c>
      <c r="V185" s="43">
        <v>1085</v>
      </c>
      <c r="W185" s="43">
        <v>663</v>
      </c>
      <c r="X185" s="43">
        <v>114</v>
      </c>
      <c r="Y185" s="43">
        <v>0</v>
      </c>
      <c r="Z185" s="32">
        <v>65</v>
      </c>
      <c r="AA185" s="43" t="s">
        <v>63</v>
      </c>
      <c r="AB185" s="43">
        <v>20.985549170888799</v>
      </c>
      <c r="AC185" s="43">
        <v>708</v>
      </c>
      <c r="AD185" s="43">
        <v>27.96</v>
      </c>
      <c r="AE185" s="43">
        <v>22.424282401316699</v>
      </c>
      <c r="AF185" s="43">
        <v>27.072166547776298</v>
      </c>
      <c r="AG185" s="43">
        <v>270.560210693908</v>
      </c>
      <c r="AH185" s="43">
        <v>271.50782795358299</v>
      </c>
      <c r="AI185" s="43">
        <v>326.09113275527699</v>
      </c>
      <c r="AJ185" s="43">
        <v>54.8358277226884</v>
      </c>
      <c r="AK185" s="43">
        <v>0.84362811881058997</v>
      </c>
      <c r="AL185" s="43">
        <v>1.0347290169282199</v>
      </c>
      <c r="AM185" s="43">
        <v>602.29624875395598</v>
      </c>
      <c r="AN185" s="43">
        <v>9.2660961346762498</v>
      </c>
      <c r="AO185" s="43">
        <v>17.085119556749401</v>
      </c>
      <c r="AP185" s="44">
        <v>241</v>
      </c>
      <c r="AQ185" s="44">
        <v>8.990000000000002</v>
      </c>
      <c r="AR185" s="44">
        <v>21.793469945093211</v>
      </c>
      <c r="AS185" s="44">
        <v>86.062887575906018</v>
      </c>
      <c r="AT185" s="44">
        <v>0.95794227713689428</v>
      </c>
      <c r="AU185" s="44">
        <v>0.35710741732741086</v>
      </c>
      <c r="AV185" s="44">
        <f>+AU185*AP185</f>
        <v>86.062887575906018</v>
      </c>
      <c r="AW185" s="44">
        <f>+VLOOKUP(C185,'Etape 1 - surface'!$A$5:$B$58,2,FALSE)</f>
        <v>0</v>
      </c>
      <c r="AX185" s="44">
        <f t="shared" si="21"/>
        <v>0</v>
      </c>
      <c r="AY185" s="44">
        <f>12.60067150914+(56.0435691950881-12.60067150914)/(1+EXP(-(0.12255140894824*AU185+-0.18958347271504)))</f>
        <v>32.741215710179461</v>
      </c>
      <c r="AZ185" s="63"/>
      <c r="BA185" s="63">
        <f t="shared" si="22"/>
        <v>0</v>
      </c>
      <c r="BB185" s="45"/>
      <c r="BC185" s="65">
        <v>4.4999999999999998E-2</v>
      </c>
      <c r="BD185" s="63">
        <f t="shared" si="20"/>
        <v>-3503.0716309776817</v>
      </c>
    </row>
    <row r="186" spans="1:56" ht="15" x14ac:dyDescent="0.25">
      <c r="A186" t="str">
        <f>+VLOOKUP(D186,Acronyme!$A$1:$C$50,3,FALSE)</f>
        <v>Pin sylvestre</v>
      </c>
      <c r="B186" t="str">
        <f>+VLOOKUP(E186,Acronyme!$E$2:$I$50,5,FALSE)</f>
        <v>GSM Alpes du Sud</v>
      </c>
      <c r="C186" t="s">
        <v>264</v>
      </c>
      <c r="D186" s="43" t="s">
        <v>106</v>
      </c>
      <c r="E186" s="43" t="s">
        <v>132</v>
      </c>
      <c r="F186" s="43" t="s">
        <v>138</v>
      </c>
      <c r="G186" s="43" t="s">
        <v>62</v>
      </c>
      <c r="H186" s="43">
        <v>11</v>
      </c>
      <c r="I186" s="43" t="s">
        <v>139</v>
      </c>
      <c r="J186" s="43">
        <v>1100</v>
      </c>
      <c r="K186" s="43" t="s">
        <v>109</v>
      </c>
      <c r="L186" s="43" t="s">
        <v>134</v>
      </c>
      <c r="M186" s="43" t="s">
        <v>135</v>
      </c>
      <c r="N186" s="43"/>
      <c r="O186" s="43"/>
      <c r="P186" s="43">
        <v>20</v>
      </c>
      <c r="Q186" s="43">
        <v>4.46</v>
      </c>
      <c r="R186" s="43">
        <v>6000</v>
      </c>
      <c r="S186" s="43">
        <v>7.1</v>
      </c>
      <c r="T186" s="43">
        <v>6000</v>
      </c>
      <c r="U186" s="43">
        <v>0</v>
      </c>
      <c r="V186" s="43">
        <v>0</v>
      </c>
      <c r="W186" s="43">
        <v>0</v>
      </c>
      <c r="X186" s="43">
        <v>0</v>
      </c>
      <c r="Y186" s="43">
        <v>0</v>
      </c>
      <c r="Z186" s="32">
        <v>65</v>
      </c>
      <c r="AA186" s="43" t="e">
        <f>IF(#REF!=Z186,"ap","av")</f>
        <v>#REF!</v>
      </c>
      <c r="AB186" s="43">
        <v>12.07</v>
      </c>
      <c r="AC186" s="43">
        <v>522</v>
      </c>
      <c r="AD186" s="43">
        <v>20.07</v>
      </c>
      <c r="AE186" s="43">
        <v>22.13</v>
      </c>
      <c r="AF186" s="43">
        <v>25.31</v>
      </c>
      <c r="AG186" s="43">
        <v>112.021506308429</v>
      </c>
      <c r="AH186" s="43">
        <v>114.25619127596001</v>
      </c>
      <c r="AI186" s="43">
        <v>153.41576830888499</v>
      </c>
      <c r="AJ186" s="43">
        <v>35.232468592020403</v>
      </c>
      <c r="AK186" s="43">
        <v>4.0923799044492499</v>
      </c>
      <c r="AL186" s="43">
        <v>0.61431247343381301</v>
      </c>
      <c r="AM186" s="43">
        <v>266.00469378920099</v>
      </c>
      <c r="AN186" s="43">
        <v>3.96634240676745</v>
      </c>
      <c r="AO186" s="43">
        <v>5.2876241900693204</v>
      </c>
      <c r="AP186" s="44">
        <v>474</v>
      </c>
      <c r="AQ186" s="44">
        <v>13.07</v>
      </c>
      <c r="AR186" s="44">
        <v>18.737156416707077</v>
      </c>
      <c r="AS186" s="44">
        <v>72.476372736098995</v>
      </c>
      <c r="AT186" s="44">
        <v>0.83</v>
      </c>
      <c r="AU186" s="44">
        <v>0.15290373994957593</v>
      </c>
      <c r="AV186" s="44">
        <f>+AU186*AP186</f>
        <v>72.476372736098995</v>
      </c>
      <c r="AW186" s="44">
        <f>+VLOOKUP(C186,'Etape 1 - surface'!$A$5:$B$58,2,FALSE)</f>
        <v>0</v>
      </c>
      <c r="AX186" s="44">
        <f t="shared" si="21"/>
        <v>0</v>
      </c>
      <c r="AY186" s="44">
        <f>10.0046474463505+(37.1112351801373-10.0046474463505)/(1+EXP(-(0.581180949782075*AU186+-0.955447614584994)))</f>
        <v>18.027271238037596</v>
      </c>
      <c r="AZ186" s="63"/>
      <c r="BA186" s="63">
        <f t="shared" si="22"/>
        <v>0</v>
      </c>
      <c r="BB186" s="45"/>
      <c r="BC186" s="65">
        <v>4.4999999999999998E-2</v>
      </c>
      <c r="BD186" s="63">
        <f t="shared" si="20"/>
        <v>-3503.0716309776817</v>
      </c>
    </row>
    <row r="187" spans="1:56" ht="15" x14ac:dyDescent="0.25">
      <c r="A187" t="str">
        <f>+VLOOKUP(D187,Acronyme!$A$1:$C$50,3,FALSE)</f>
        <v>Chene_pedoncule</v>
      </c>
      <c r="B187" t="str">
        <f>+VLOOKUP(E187,Acronyme!$E$2:$I$50,5,FALSE)</f>
        <v>Guide chênaie continentale</v>
      </c>
      <c r="C187" t="s">
        <v>264</v>
      </c>
      <c r="D187" s="43" t="s">
        <v>145</v>
      </c>
      <c r="E187" s="43" t="s">
        <v>65</v>
      </c>
      <c r="F187" s="43" t="s">
        <v>66</v>
      </c>
      <c r="G187" s="43" t="s">
        <v>100</v>
      </c>
      <c r="H187" s="43">
        <v>26</v>
      </c>
      <c r="I187" s="43" t="s">
        <v>144</v>
      </c>
      <c r="J187" s="43">
        <v>1600</v>
      </c>
      <c r="K187" s="43" t="s">
        <v>109</v>
      </c>
      <c r="L187" s="43" t="s">
        <v>103</v>
      </c>
      <c r="M187" s="43" t="s">
        <v>143</v>
      </c>
      <c r="N187" s="43"/>
      <c r="O187" s="43"/>
      <c r="P187" s="43">
        <v>31</v>
      </c>
      <c r="Q187" s="43">
        <v>16.22</v>
      </c>
      <c r="R187" s="43">
        <v>1446</v>
      </c>
      <c r="S187" s="43">
        <v>21.44</v>
      </c>
      <c r="T187" s="43">
        <v>65</v>
      </c>
      <c r="U187" s="43">
        <v>525</v>
      </c>
      <c r="V187" s="43">
        <v>696</v>
      </c>
      <c r="W187" s="43">
        <v>155</v>
      </c>
      <c r="X187" s="43">
        <v>5</v>
      </c>
      <c r="Y187" s="43">
        <v>0</v>
      </c>
      <c r="Z187" s="32">
        <v>65</v>
      </c>
      <c r="AA187" s="43" t="s">
        <v>63</v>
      </c>
      <c r="AB187" s="43">
        <v>27.83</v>
      </c>
      <c r="AC187" s="43">
        <v>124</v>
      </c>
      <c r="AD187" s="43">
        <v>18.7</v>
      </c>
      <c r="AE187" s="43">
        <v>43.83</v>
      </c>
      <c r="AF187" s="43">
        <v>44.77</v>
      </c>
      <c r="AG187" s="43">
        <v>253.66429941736601</v>
      </c>
      <c r="AH187" s="43">
        <v>284.36841080108201</v>
      </c>
      <c r="AI187" s="43">
        <v>309.87141225673798</v>
      </c>
      <c r="AJ187" s="43">
        <v>51.276270227359198</v>
      </c>
      <c r="AK187" s="43">
        <v>0.78886569580552601</v>
      </c>
      <c r="AL187" s="43">
        <v>0.65392814476754102</v>
      </c>
      <c r="AM187" s="43">
        <v>701.65409496838197</v>
      </c>
      <c r="AN187" s="43">
        <v>10.794678384129</v>
      </c>
      <c r="AO187" s="43">
        <v>13.861638544718</v>
      </c>
      <c r="AP187" s="44">
        <v>29</v>
      </c>
      <c r="AQ187" s="44">
        <v>3.7200000000000024</v>
      </c>
      <c r="AR187" s="44">
        <v>40.413599223677203</v>
      </c>
      <c r="AS187" s="44">
        <v>50.124817745227972</v>
      </c>
      <c r="AT187" s="44">
        <v>0.87</v>
      </c>
      <c r="AU187" s="44">
        <v>1.7284419912147577</v>
      </c>
      <c r="AV187" s="44">
        <f>+AU187*AP187</f>
        <v>50.124817745227972</v>
      </c>
      <c r="AW187" s="44">
        <f>+VLOOKUP(C187,'Etape 1 - surface'!$A$5:$B$58,2,FALSE)</f>
        <v>0</v>
      </c>
      <c r="AX187" s="44">
        <f t="shared" si="21"/>
        <v>0</v>
      </c>
      <c r="AY187" s="44">
        <f>10.8374384236453+(405.147848531042-10.8374384236453)/(1+EXP(-(1.16387919746889*AU187+-2.8965970117006)))</f>
        <v>126.04056616502783</v>
      </c>
      <c r="AZ187" s="63"/>
      <c r="BA187" s="63">
        <f t="shared" si="22"/>
        <v>0</v>
      </c>
      <c r="BB187" s="45"/>
      <c r="BC187" s="65">
        <v>4.4999999999999998E-2</v>
      </c>
      <c r="BD187" s="63">
        <f t="shared" si="20"/>
        <v>-3503.0716309776817</v>
      </c>
    </row>
    <row r="188" spans="1:56" ht="14.45" customHeight="1" x14ac:dyDescent="0.25">
      <c r="A188" t="s">
        <v>271</v>
      </c>
      <c r="B188" t="s">
        <v>272</v>
      </c>
      <c r="C188" t="str">
        <f>+_xlfn.CONCAT(A188,"_",G188,"_",F188,"_",B188,"_")</f>
        <v>Sequoia sempervirens_FU_Guide britannique_Hamilton and Christie_</v>
      </c>
      <c r="D188" s="43" t="s">
        <v>268</v>
      </c>
      <c r="E188" s="43" t="s">
        <v>68</v>
      </c>
      <c r="F188" s="43" t="s">
        <v>269</v>
      </c>
      <c r="G188" s="43" t="s">
        <v>270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2">
        <v>65</v>
      </c>
      <c r="AA188" s="43" t="s">
        <v>63</v>
      </c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44">
        <v>12</v>
      </c>
      <c r="AQ188" s="1"/>
      <c r="AR188" s="1"/>
      <c r="AS188" s="1"/>
      <c r="AT188" s="1"/>
      <c r="AU188" s="44">
        <f>AV188/AP188</f>
        <v>13.833333333333334</v>
      </c>
      <c r="AV188" s="44">
        <v>166</v>
      </c>
      <c r="AW188" s="44">
        <f>+VLOOKUP(C188,'Etape 1 - surface'!$A$5:$B$58,2,FALSE)</f>
        <v>0</v>
      </c>
      <c r="AX188" s="44">
        <f t="shared" si="21"/>
        <v>0</v>
      </c>
      <c r="AY188" s="44">
        <v>30</v>
      </c>
      <c r="AZ188" s="63"/>
      <c r="BA188" s="63">
        <f t="shared" si="22"/>
        <v>0</v>
      </c>
      <c r="BB188" s="45"/>
      <c r="BC188" s="65">
        <v>4.4999999999999998E-2</v>
      </c>
      <c r="BD188" s="63">
        <f t="shared" si="20"/>
        <v>-3503.0716309776817</v>
      </c>
    </row>
    <row r="189" spans="1:56" ht="14.45" customHeight="1" x14ac:dyDescent="0.25">
      <c r="A189" t="str">
        <f>+VLOOKUP(D189,Acronyme!$A$1:$C$50,3,FALSE)</f>
        <v>Pin Laricio</v>
      </c>
      <c r="B189" t="str">
        <f>+VLOOKUP(E189,Acronyme!$E$2:$I$50,5,FALSE)</f>
        <v>GS Pineraies des plaines du Centre et du Nord Ouest</v>
      </c>
      <c r="C189" t="s">
        <v>264</v>
      </c>
      <c r="D189" s="43" t="s">
        <v>88</v>
      </c>
      <c r="E189" s="43" t="s">
        <v>89</v>
      </c>
      <c r="F189" s="43" t="s">
        <v>61</v>
      </c>
      <c r="G189" s="43" t="s">
        <v>100</v>
      </c>
      <c r="H189" s="43">
        <v>26</v>
      </c>
      <c r="I189" s="43" t="s">
        <v>101</v>
      </c>
      <c r="J189" s="43">
        <v>1600</v>
      </c>
      <c r="K189" s="43" t="s">
        <v>102</v>
      </c>
      <c r="L189" s="43" t="s">
        <v>103</v>
      </c>
      <c r="M189" s="43" t="s">
        <v>117</v>
      </c>
      <c r="N189" s="43"/>
      <c r="O189" s="43"/>
      <c r="P189" s="43">
        <v>15</v>
      </c>
      <c r="Q189" s="43">
        <v>8.23</v>
      </c>
      <c r="R189" s="43">
        <v>1600</v>
      </c>
      <c r="S189" s="43">
        <v>14.07</v>
      </c>
      <c r="T189" s="43">
        <v>109</v>
      </c>
      <c r="U189" s="43">
        <v>1278</v>
      </c>
      <c r="V189" s="43">
        <v>213</v>
      </c>
      <c r="W189" s="43">
        <v>0</v>
      </c>
      <c r="X189" s="43">
        <v>0</v>
      </c>
      <c r="Y189" s="43">
        <v>0</v>
      </c>
      <c r="Z189" s="32">
        <v>66</v>
      </c>
      <c r="AA189" s="43" t="s">
        <v>63</v>
      </c>
      <c r="AB189" s="43">
        <v>29.66</v>
      </c>
      <c r="AC189" s="43">
        <v>0</v>
      </c>
      <c r="AD189" s="43">
        <v>0</v>
      </c>
      <c r="AE189" s="43">
        <v>0</v>
      </c>
      <c r="AF189" s="43">
        <v>51.99</v>
      </c>
      <c r="AG189" s="43">
        <v>0</v>
      </c>
      <c r="AH189" s="43">
        <v>0</v>
      </c>
      <c r="AI189" s="43">
        <v>0</v>
      </c>
      <c r="AJ189" s="43">
        <v>88.406832839819103</v>
      </c>
      <c r="AK189" s="43">
        <v>1.33949746726999</v>
      </c>
      <c r="AL189" s="43" t="s">
        <v>105</v>
      </c>
      <c r="AM189" s="43">
        <v>1049.18511418307</v>
      </c>
      <c r="AN189" s="43">
        <v>15.896744154288999</v>
      </c>
      <c r="AO189" s="43" t="s">
        <v>105</v>
      </c>
      <c r="AP189" s="44">
        <v>246</v>
      </c>
      <c r="AQ189" s="44">
        <v>45.32</v>
      </c>
      <c r="AR189" s="44">
        <v>48.432005882439448</v>
      </c>
      <c r="AS189" s="44">
        <v>503.59521758272302</v>
      </c>
      <c r="AT189" s="44">
        <v>1.0000828380747242</v>
      </c>
      <c r="AU189" s="44">
        <v>2.0471350308240774</v>
      </c>
      <c r="AV189" s="44">
        <f>+AU189*AP189</f>
        <v>503.59521758272302</v>
      </c>
      <c r="AW189" s="44">
        <f>+VLOOKUP(C189,'Etape 1 - surface'!$A$5:$B$58,2,FALSE)</f>
        <v>0</v>
      </c>
      <c r="AX189" s="44">
        <f t="shared" si="21"/>
        <v>0</v>
      </c>
      <c r="AY189" s="44">
        <f>10.0046474463505+(37.1112351801373-10.0046474463505)/(1+EXP(-(0.581180949782075*AU189+-0.955447614584994)))</f>
        <v>25.138541028430907</v>
      </c>
      <c r="AZ189" s="63"/>
      <c r="BA189" s="63">
        <f t="shared" si="22"/>
        <v>0</v>
      </c>
      <c r="BB189" s="45"/>
      <c r="BC189" s="65">
        <v>4.4999999999999998E-2</v>
      </c>
      <c r="BD189" s="63">
        <f t="shared" si="20"/>
        <v>-3503.0716309776817</v>
      </c>
    </row>
    <row r="190" spans="1:56" ht="15" x14ac:dyDescent="0.25">
      <c r="A190" t="str">
        <f>+VLOOKUP(D190,Acronyme!$A$1:$C$50,3,FALSE)</f>
        <v>Hêtre commun</v>
      </c>
      <c r="B190" t="str">
        <f>+VLOOKUP(E190,Acronyme!$E$2:$I$50,5,FALSE)</f>
        <v>GS Hêtraies et hêtraies sapinières des Pyrénées</v>
      </c>
      <c r="C190" t="s">
        <v>264</v>
      </c>
      <c r="D190" s="43" t="s">
        <v>126</v>
      </c>
      <c r="E190" s="43" t="s">
        <v>127</v>
      </c>
      <c r="F190" s="43" t="s">
        <v>113</v>
      </c>
      <c r="G190" s="43" t="s">
        <v>62</v>
      </c>
      <c r="H190" s="43">
        <v>18</v>
      </c>
      <c r="I190" s="43">
        <v>55</v>
      </c>
      <c r="J190" s="43">
        <v>1666</v>
      </c>
      <c r="K190" s="43" t="s">
        <v>109</v>
      </c>
      <c r="L190" s="43" t="s">
        <v>103</v>
      </c>
      <c r="M190" s="43" t="s">
        <v>128</v>
      </c>
      <c r="N190" s="43"/>
      <c r="O190" s="43"/>
      <c r="P190" s="43">
        <v>57</v>
      </c>
      <c r="Q190" s="43">
        <v>19.899999999999999</v>
      </c>
      <c r="R190" s="43">
        <v>1402</v>
      </c>
      <c r="S190" s="43">
        <v>28.51</v>
      </c>
      <c r="T190" s="43">
        <v>50</v>
      </c>
      <c r="U190" s="43">
        <v>303</v>
      </c>
      <c r="V190" s="43">
        <v>595</v>
      </c>
      <c r="W190" s="43">
        <v>375</v>
      </c>
      <c r="X190" s="43">
        <v>75</v>
      </c>
      <c r="Y190" s="43">
        <v>4</v>
      </c>
      <c r="Z190" s="32">
        <v>66</v>
      </c>
      <c r="AA190" s="43" t="s">
        <v>63</v>
      </c>
      <c r="AB190" s="43">
        <v>22.61</v>
      </c>
      <c r="AC190" s="43">
        <v>600</v>
      </c>
      <c r="AD190" s="43">
        <v>17.420000000000002</v>
      </c>
      <c r="AE190" s="43">
        <v>19.23</v>
      </c>
      <c r="AF190" s="43">
        <v>26.63</v>
      </c>
      <c r="AG190" s="43">
        <v>168.99943704851501</v>
      </c>
      <c r="AH190" s="43">
        <v>179.19233213966001</v>
      </c>
      <c r="AI190" s="43">
        <v>217.85932014056101</v>
      </c>
      <c r="AJ190" s="43">
        <v>35.403320479946402</v>
      </c>
      <c r="AK190" s="43">
        <v>0.53641394666585396</v>
      </c>
      <c r="AL190" s="43">
        <v>0.71020791052696597</v>
      </c>
      <c r="AM190" s="43">
        <v>427.77334596191997</v>
      </c>
      <c r="AN190" s="43">
        <v>6.4814143327563603</v>
      </c>
      <c r="AO190" s="43">
        <v>12.1323212617118</v>
      </c>
      <c r="AP190" s="44">
        <v>238</v>
      </c>
      <c r="AQ190" s="44">
        <v>7.0599999999999987</v>
      </c>
      <c r="AR190" s="44">
        <v>19.434301290026433</v>
      </c>
      <c r="AS190" s="44">
        <v>68.700111072964006</v>
      </c>
      <c r="AT190" s="44">
        <v>1.01</v>
      </c>
      <c r="AU190" s="44">
        <v>0.28865592887800001</v>
      </c>
      <c r="AV190" s="44">
        <f>+AU190*AP190</f>
        <v>68.700111072964006</v>
      </c>
      <c r="AW190" s="44">
        <f>+VLOOKUP(C190,'Etape 1 - surface'!$A$5:$B$58,2,FALSE)</f>
        <v>0</v>
      </c>
      <c r="AX190" s="44">
        <f t="shared" si="21"/>
        <v>0</v>
      </c>
      <c r="AY190" s="44">
        <f>5.93488073153274+(78.4394250513347-5.93488073153274)/(1+EXP(-(1.03516193614659*AU190+-2.09091784316379)))</f>
        <v>16.28954147509365</v>
      </c>
      <c r="AZ190" s="63"/>
      <c r="BA190" s="63">
        <f t="shared" si="22"/>
        <v>0</v>
      </c>
      <c r="BB190" s="45"/>
      <c r="BC190" s="65">
        <v>4.4999999999999998E-2</v>
      </c>
      <c r="BD190" s="63">
        <f t="shared" si="20"/>
        <v>-3503.0716309776817</v>
      </c>
    </row>
    <row r="191" spans="1:56" ht="15" x14ac:dyDescent="0.25">
      <c r="A191" t="str">
        <f>+VLOOKUP(D191,Acronyme!$A$1:$C$50,3,FALSE)</f>
        <v>Chêne sessile</v>
      </c>
      <c r="B191" t="str">
        <f>+VLOOKUP(E191,Acronyme!$E$2:$I$50,5,FALSE)</f>
        <v>Guide chênaie atlantique</v>
      </c>
      <c r="C191" t="s">
        <v>264</v>
      </c>
      <c r="D191" s="43" t="s">
        <v>60</v>
      </c>
      <c r="E191" s="43" t="s">
        <v>150</v>
      </c>
      <c r="F191" s="43" t="s">
        <v>61</v>
      </c>
      <c r="G191" s="43" t="s">
        <v>100</v>
      </c>
      <c r="H191" s="43">
        <v>21.5</v>
      </c>
      <c r="I191" s="43" t="s">
        <v>151</v>
      </c>
      <c r="J191" s="43">
        <v>1666</v>
      </c>
      <c r="K191" s="43" t="s">
        <v>109</v>
      </c>
      <c r="L191" s="43" t="s">
        <v>103</v>
      </c>
      <c r="M191" s="43" t="s">
        <v>143</v>
      </c>
      <c r="N191" s="43"/>
      <c r="O191" s="43"/>
      <c r="P191" s="43">
        <v>34</v>
      </c>
      <c r="Q191" s="43">
        <v>16.2</v>
      </c>
      <c r="R191" s="43">
        <v>1451</v>
      </c>
      <c r="S191" s="43">
        <v>23.57</v>
      </c>
      <c r="T191" s="43">
        <v>44</v>
      </c>
      <c r="U191" s="43">
        <v>444</v>
      </c>
      <c r="V191" s="43">
        <v>742</v>
      </c>
      <c r="W191" s="43">
        <v>211</v>
      </c>
      <c r="X191" s="43">
        <v>10</v>
      </c>
      <c r="Y191" s="43">
        <v>0</v>
      </c>
      <c r="Z191" s="32">
        <v>66</v>
      </c>
      <c r="AA191" s="43" t="s">
        <v>63</v>
      </c>
      <c r="AB191" s="43">
        <v>25.99</v>
      </c>
      <c r="AC191" s="43">
        <v>279</v>
      </c>
      <c r="AD191" s="43">
        <v>22.88</v>
      </c>
      <c r="AE191" s="43">
        <v>32.31</v>
      </c>
      <c r="AF191" s="43">
        <v>36.54</v>
      </c>
      <c r="AG191" s="43">
        <v>289.90681324559898</v>
      </c>
      <c r="AH191" s="43">
        <v>313.76429281758698</v>
      </c>
      <c r="AI191" s="43">
        <v>344.91671595082801</v>
      </c>
      <c r="AJ191" s="43">
        <v>52.936804608923502</v>
      </c>
      <c r="AK191" s="43">
        <v>0.80207279710490098</v>
      </c>
      <c r="AL191" s="43">
        <v>0.68237545474135697</v>
      </c>
      <c r="AM191" s="43">
        <v>703.279790076582</v>
      </c>
      <c r="AN191" s="43">
        <v>10.6557543950997</v>
      </c>
      <c r="AO191" s="43">
        <v>13.5216082205033</v>
      </c>
      <c r="AP191" s="44">
        <v>86</v>
      </c>
      <c r="AQ191" s="44">
        <v>5.57</v>
      </c>
      <c r="AR191" s="44">
        <v>28.716627272031744</v>
      </c>
      <c r="AS191" s="44">
        <v>69.052044100595026</v>
      </c>
      <c r="AT191" s="44">
        <v>0.83</v>
      </c>
      <c r="AU191" s="44">
        <v>0.80293074535575615</v>
      </c>
      <c r="AV191" s="44">
        <f>+AU191*AP191</f>
        <v>69.052044100595026</v>
      </c>
      <c r="AW191" s="44">
        <f>+VLOOKUP(C191,'Etape 1 - surface'!$A$5:$B$58,2,FALSE)</f>
        <v>0</v>
      </c>
      <c r="AX191" s="44">
        <f t="shared" si="21"/>
        <v>0</v>
      </c>
      <c r="AY191" s="44">
        <f>10.8374384236453+(405.147848531042-10.8374384236453)/(1+EXP(-(1.16387919746889*AU191+-2.8965970117006)))</f>
        <v>59.432977706423955</v>
      </c>
      <c r="AZ191" s="63"/>
      <c r="BA191" s="63">
        <f t="shared" si="22"/>
        <v>0</v>
      </c>
      <c r="BB191" s="45"/>
      <c r="BC191" s="65">
        <v>4.4999999999999998E-2</v>
      </c>
      <c r="BD191" s="63">
        <f t="shared" si="20"/>
        <v>-3503.0716309776817</v>
      </c>
    </row>
    <row r="192" spans="1:56" ht="14.45" customHeight="1" x14ac:dyDescent="0.25">
      <c r="A192" t="str">
        <f>+VLOOKUP(D192,Acronyme!$A$1:$C$50,3,FALSE)</f>
        <v>Chêne sessile</v>
      </c>
      <c r="B192" t="str">
        <f>+VLOOKUP(E192,Acronyme!$E$2:$I$50,5,FALSE)</f>
        <v>Guide chênaie atlantique</v>
      </c>
      <c r="C192" t="s">
        <v>264</v>
      </c>
      <c r="D192" s="43" t="s">
        <v>60</v>
      </c>
      <c r="E192" s="43" t="s">
        <v>150</v>
      </c>
      <c r="F192" s="43" t="s">
        <v>61</v>
      </c>
      <c r="G192" s="43" t="s">
        <v>62</v>
      </c>
      <c r="H192" s="43">
        <v>18.18</v>
      </c>
      <c r="I192" s="43" t="s">
        <v>142</v>
      </c>
      <c r="J192" s="43">
        <v>1666</v>
      </c>
      <c r="K192" s="43" t="s">
        <v>109</v>
      </c>
      <c r="L192" s="43" t="s">
        <v>103</v>
      </c>
      <c r="M192" s="43" t="s">
        <v>143</v>
      </c>
      <c r="N192" s="43"/>
      <c r="O192" s="43"/>
      <c r="P192" s="43">
        <v>42</v>
      </c>
      <c r="Q192" s="43">
        <v>16.02</v>
      </c>
      <c r="R192" s="43">
        <v>1451</v>
      </c>
      <c r="S192" s="43">
        <v>23.57</v>
      </c>
      <c r="T192" s="43">
        <v>44</v>
      </c>
      <c r="U192" s="43">
        <v>444</v>
      </c>
      <c r="V192" s="43">
        <v>742</v>
      </c>
      <c r="W192" s="43">
        <v>211</v>
      </c>
      <c r="X192" s="43">
        <v>10</v>
      </c>
      <c r="Y192" s="43">
        <v>0</v>
      </c>
      <c r="Z192" s="32">
        <v>66</v>
      </c>
      <c r="AA192" s="43" t="s">
        <v>63</v>
      </c>
      <c r="AB192" s="43">
        <v>21.8</v>
      </c>
      <c r="AC192" s="43">
        <v>389</v>
      </c>
      <c r="AD192" s="43">
        <v>20.57</v>
      </c>
      <c r="AE192" s="43">
        <v>25.95</v>
      </c>
      <c r="AF192" s="43">
        <v>30.56</v>
      </c>
      <c r="AG192" s="43">
        <v>215.65750771883199</v>
      </c>
      <c r="AH192" s="43">
        <v>233.795588546489</v>
      </c>
      <c r="AI192" s="43">
        <v>264.31845591448598</v>
      </c>
      <c r="AJ192" s="43">
        <v>41.527591637124402</v>
      </c>
      <c r="AK192" s="43">
        <v>0.62920593389582402</v>
      </c>
      <c r="AL192" s="43">
        <v>0.614427196019941</v>
      </c>
      <c r="AM192" s="43">
        <v>486.12843247563899</v>
      </c>
      <c r="AN192" s="43">
        <v>7.3655823102369604</v>
      </c>
      <c r="AO192" s="43">
        <v>10.4183904788033</v>
      </c>
      <c r="AP192" s="44">
        <v>111</v>
      </c>
      <c r="AQ192" s="44">
        <v>4.59</v>
      </c>
      <c r="AR192" s="44">
        <v>22.945626112350553</v>
      </c>
      <c r="AS192" s="44">
        <v>46.934282067853019</v>
      </c>
      <c r="AT192" s="44">
        <v>0.82</v>
      </c>
      <c r="AU192" s="44">
        <v>0.42283136998065785</v>
      </c>
      <c r="AV192" s="44">
        <f>+AU192*AP192</f>
        <v>46.934282067853019</v>
      </c>
      <c r="AW192" s="44">
        <f>+VLOOKUP(C192,'Etape 1 - surface'!$A$5:$B$58,2,FALSE)</f>
        <v>0</v>
      </c>
      <c r="AX192" s="44">
        <f t="shared" si="21"/>
        <v>0</v>
      </c>
      <c r="AY192" s="44">
        <f>10.8374384236453+(405.147848531042-10.8374384236453)/(1+EXP(-(1.16387919746889*AU192+-2.8965970117006)))</f>
        <v>43.499072904340352</v>
      </c>
      <c r="AZ192" s="63"/>
      <c r="BA192" s="63">
        <f t="shared" si="22"/>
        <v>0</v>
      </c>
      <c r="BB192" s="45"/>
      <c r="BC192" s="65">
        <v>4.4999999999999998E-2</v>
      </c>
      <c r="BD192" s="63">
        <f t="shared" si="20"/>
        <v>-3503.0716309776817</v>
      </c>
    </row>
    <row r="193" spans="1:56" ht="14.45" customHeight="1" x14ac:dyDescent="0.25">
      <c r="C193" t="s">
        <v>261</v>
      </c>
      <c r="D193" s="43" t="s">
        <v>207</v>
      </c>
      <c r="E193" s="43" t="s">
        <v>208</v>
      </c>
      <c r="F193" s="43" t="s">
        <v>258</v>
      </c>
      <c r="G193" s="43" t="s">
        <v>62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32">
        <v>66</v>
      </c>
      <c r="AA193" s="43" t="s">
        <v>63</v>
      </c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4">
        <v>71</v>
      </c>
      <c r="AQ193" s="44"/>
      <c r="AR193" s="44"/>
      <c r="AS193" s="44"/>
      <c r="AT193" s="44"/>
      <c r="AU193" s="44">
        <f>AV193/AP193</f>
        <v>1.2352112676056339</v>
      </c>
      <c r="AV193" s="44">
        <v>87.7</v>
      </c>
      <c r="AW193" s="44">
        <f>+VLOOKUP(C193,'Etape 1 - surface'!$A$5:$B$58,2,FALSE)</f>
        <v>0</v>
      </c>
      <c r="AX193" s="44">
        <f t="shared" si="21"/>
        <v>0</v>
      </c>
      <c r="AY193" s="44">
        <f>82.5251889/(1+EXP(-(0.26195064*AU193+(-0.34406779))))</f>
        <v>40.839597365702275</v>
      </c>
      <c r="AZ193" s="63"/>
      <c r="BA193" s="63">
        <f t="shared" si="22"/>
        <v>0</v>
      </c>
      <c r="BB193" s="45"/>
      <c r="BC193" s="65">
        <v>4.4999999999999998E-2</v>
      </c>
      <c r="BD193" s="63">
        <f t="shared" si="20"/>
        <v>-3503.0716309776817</v>
      </c>
    </row>
    <row r="194" spans="1:56" ht="14.45" customHeight="1" x14ac:dyDescent="0.25">
      <c r="A194" t="str">
        <f>+VLOOKUP(D194,Acronyme!$A$1:$C$50,3,FALSE)</f>
        <v>Sapin pectiné</v>
      </c>
      <c r="B194" t="str">
        <f>+VLOOKUP(E194,Acronyme!$E$2:$I$50,5,FALSE)</f>
        <v>GS Arc Jurassien</v>
      </c>
      <c r="C194" t="s">
        <v>264</v>
      </c>
      <c r="D194" s="43" t="s">
        <v>129</v>
      </c>
      <c r="E194" s="43" t="s">
        <v>119</v>
      </c>
      <c r="F194" s="43" t="s">
        <v>130</v>
      </c>
      <c r="G194" s="43" t="s">
        <v>100</v>
      </c>
      <c r="H194" s="43">
        <v>20</v>
      </c>
      <c r="I194" s="43" t="s">
        <v>122</v>
      </c>
      <c r="J194" s="43">
        <v>2000</v>
      </c>
      <c r="K194" s="43" t="s">
        <v>102</v>
      </c>
      <c r="L194" s="43" t="s">
        <v>103</v>
      </c>
      <c r="M194" s="43" t="s">
        <v>123</v>
      </c>
      <c r="N194" s="43"/>
      <c r="O194" s="43"/>
      <c r="P194" s="43">
        <v>45</v>
      </c>
      <c r="Q194" s="43">
        <v>17.7</v>
      </c>
      <c r="R194" s="43">
        <v>1853</v>
      </c>
      <c r="S194" s="43">
        <v>45.68</v>
      </c>
      <c r="T194" s="43">
        <v>0</v>
      </c>
      <c r="U194" s="43">
        <v>0</v>
      </c>
      <c r="V194" s="43">
        <v>1079</v>
      </c>
      <c r="W194" s="43">
        <v>672</v>
      </c>
      <c r="X194" s="43">
        <v>94</v>
      </c>
      <c r="Y194" s="43">
        <v>8</v>
      </c>
      <c r="Z194" s="32">
        <v>67</v>
      </c>
      <c r="AA194" s="43" t="s">
        <v>63</v>
      </c>
      <c r="AB194" s="43">
        <v>26.748183875682699</v>
      </c>
      <c r="AC194" s="43">
        <v>391</v>
      </c>
      <c r="AD194" s="43">
        <v>29.39</v>
      </c>
      <c r="AE194" s="43">
        <v>30.938139891110101</v>
      </c>
      <c r="AF194" s="43">
        <v>35.007677980047902</v>
      </c>
      <c r="AG194" s="43">
        <v>377.13161956023998</v>
      </c>
      <c r="AH194" s="43">
        <v>378.51290820037701</v>
      </c>
      <c r="AI194" s="43">
        <v>428.93610482793298</v>
      </c>
      <c r="AJ194" s="43">
        <v>75.477589891951595</v>
      </c>
      <c r="AK194" s="43">
        <v>1.1265311924171899</v>
      </c>
      <c r="AL194" s="43">
        <v>1.0175408851372501</v>
      </c>
      <c r="AM194" s="43">
        <v>959.10254215987902</v>
      </c>
      <c r="AN194" s="43">
        <v>14.314963315819099</v>
      </c>
      <c r="AO194" s="43">
        <v>20.2801986376709</v>
      </c>
      <c r="AP194" s="44">
        <v>122</v>
      </c>
      <c r="AQ194" s="44">
        <v>8.2999999999999972</v>
      </c>
      <c r="AR194" s="44">
        <v>29.431621532092791</v>
      </c>
      <c r="AS194" s="44">
        <v>105.27007759010104</v>
      </c>
      <c r="AT194" s="44">
        <v>0.92590156811974855</v>
      </c>
      <c r="AU194" s="44">
        <v>0.86286948844345113</v>
      </c>
      <c r="AV194" s="44">
        <f>+AU194*AP194</f>
        <v>105.27007759010104</v>
      </c>
      <c r="AW194" s="44">
        <f>+VLOOKUP(C194,'Etape 1 - surface'!$A$5:$B$58,2,FALSE)</f>
        <v>0</v>
      </c>
      <c r="AX194" s="44">
        <f t="shared" si="21"/>
        <v>0</v>
      </c>
      <c r="AY194" s="44">
        <f>12.60067150914+(56.0435691950881-12.60067150914)/(1+EXP(-(0.12255140894824*AU194+-0.18958347271504)))</f>
        <v>33.412116222699055</v>
      </c>
      <c r="AZ194" s="63"/>
      <c r="BA194" s="63">
        <f t="shared" si="22"/>
        <v>0</v>
      </c>
      <c r="BB194" s="45"/>
      <c r="BC194" s="65">
        <v>4.4999999999999998E-2</v>
      </c>
      <c r="BD194" s="63">
        <f t="shared" si="20"/>
        <v>-3503.0716309776817</v>
      </c>
    </row>
    <row r="195" spans="1:56" ht="14.45" customHeight="1" x14ac:dyDescent="0.25">
      <c r="A195" t="str">
        <f>+VLOOKUP(D195,Acronyme!$A$1:$C$50,3,FALSE)</f>
        <v>Sapin pectiné</v>
      </c>
      <c r="B195" t="str">
        <f>+VLOOKUP(E195,Acronyme!$E$2:$I$50,5,FALSE)</f>
        <v>GS Arc Jurassien</v>
      </c>
      <c r="C195" t="s">
        <v>264</v>
      </c>
      <c r="D195" s="43" t="s">
        <v>129</v>
      </c>
      <c r="E195" s="43" t="s">
        <v>119</v>
      </c>
      <c r="F195" s="43" t="s">
        <v>130</v>
      </c>
      <c r="G195" s="43" t="s">
        <v>100</v>
      </c>
      <c r="H195" s="43">
        <v>20</v>
      </c>
      <c r="I195" s="43" t="s">
        <v>101</v>
      </c>
      <c r="J195" s="43">
        <v>2000</v>
      </c>
      <c r="K195" s="43" t="s">
        <v>102</v>
      </c>
      <c r="L195" s="43" t="s">
        <v>103</v>
      </c>
      <c r="M195" s="43" t="s">
        <v>123</v>
      </c>
      <c r="N195" s="43"/>
      <c r="O195" s="43"/>
      <c r="P195" s="43">
        <v>45</v>
      </c>
      <c r="Q195" s="43">
        <v>17.7</v>
      </c>
      <c r="R195" s="43">
        <v>1853</v>
      </c>
      <c r="S195" s="43">
        <v>45.68</v>
      </c>
      <c r="T195" s="43">
        <v>0</v>
      </c>
      <c r="U195" s="43">
        <v>0</v>
      </c>
      <c r="V195" s="43">
        <v>1079</v>
      </c>
      <c r="W195" s="43">
        <v>672</v>
      </c>
      <c r="X195" s="43">
        <v>94</v>
      </c>
      <c r="Y195" s="43">
        <v>8</v>
      </c>
      <c r="Z195" s="32">
        <v>67</v>
      </c>
      <c r="AA195" s="43" t="s">
        <v>63</v>
      </c>
      <c r="AB195" s="43">
        <v>26.748183875682699</v>
      </c>
      <c r="AC195" s="43">
        <v>391</v>
      </c>
      <c r="AD195" s="43">
        <v>29.39</v>
      </c>
      <c r="AE195" s="43">
        <v>30.938139891110101</v>
      </c>
      <c r="AF195" s="43">
        <v>35.007677980047902</v>
      </c>
      <c r="AG195" s="43">
        <v>377.13161956023998</v>
      </c>
      <c r="AH195" s="43">
        <v>378.51290820037701</v>
      </c>
      <c r="AI195" s="43">
        <v>428.93610482793298</v>
      </c>
      <c r="AJ195" s="43">
        <v>75.477589891951595</v>
      </c>
      <c r="AK195" s="43">
        <v>1.1265311924171899</v>
      </c>
      <c r="AL195" s="43">
        <v>1.0175408851372501</v>
      </c>
      <c r="AM195" s="43">
        <v>959.10254215987902</v>
      </c>
      <c r="AN195" s="43">
        <v>14.314963315819099</v>
      </c>
      <c r="AO195" s="43">
        <v>20.2801986376709</v>
      </c>
      <c r="AP195" s="44">
        <v>122</v>
      </c>
      <c r="AQ195" s="44">
        <v>8.2999999999999972</v>
      </c>
      <c r="AR195" s="44">
        <v>29.431621532092791</v>
      </c>
      <c r="AS195" s="44">
        <v>105.27007759010104</v>
      </c>
      <c r="AT195" s="44">
        <v>0.92590156811974855</v>
      </c>
      <c r="AU195" s="44">
        <v>0.86286948844345113</v>
      </c>
      <c r="AV195" s="44">
        <f>+AU195*AP195</f>
        <v>105.27007759010104</v>
      </c>
      <c r="AW195" s="44">
        <f>+VLOOKUP(C195,'Etape 1 - surface'!$A$5:$B$58,2,FALSE)</f>
        <v>0</v>
      </c>
      <c r="AX195" s="44">
        <f t="shared" si="21"/>
        <v>0</v>
      </c>
      <c r="AY195" s="44">
        <f>12.60067150914+(56.0435691950881-12.60067150914)/(1+EXP(-(0.12255140894824*AU195+-0.18958347271504)))</f>
        <v>33.412116222699055</v>
      </c>
      <c r="AZ195" s="63"/>
      <c r="BA195" s="63">
        <f t="shared" si="22"/>
        <v>0</v>
      </c>
      <c r="BB195" s="45"/>
      <c r="BC195" s="65">
        <v>4.4999999999999998E-2</v>
      </c>
      <c r="BD195" s="63">
        <f t="shared" si="20"/>
        <v>-3503.0716309776817</v>
      </c>
    </row>
    <row r="196" spans="1:56" ht="14.45" customHeight="1" x14ac:dyDescent="0.25">
      <c r="A196" t="str">
        <f>+VLOOKUP(D196,Acronyme!$A$1:$C$50,3,FALSE)</f>
        <v>Chêne sessile</v>
      </c>
      <c r="B196" t="str">
        <f>+VLOOKUP(E196,Acronyme!$E$2:$I$50,5,FALSE)</f>
        <v>Guide chênaie continentale</v>
      </c>
      <c r="C196" s="1" t="s">
        <v>264</v>
      </c>
      <c r="D196" s="43" t="s">
        <v>60</v>
      </c>
      <c r="E196" s="43" t="s">
        <v>65</v>
      </c>
      <c r="F196" s="43" t="s">
        <v>66</v>
      </c>
      <c r="G196" s="43" t="s">
        <v>62</v>
      </c>
      <c r="H196" s="43">
        <v>18</v>
      </c>
      <c r="I196" s="43" t="s">
        <v>142</v>
      </c>
      <c r="J196" s="43">
        <v>1666</v>
      </c>
      <c r="K196" s="43" t="s">
        <v>109</v>
      </c>
      <c r="L196" s="43" t="s">
        <v>103</v>
      </c>
      <c r="M196" s="43" t="s">
        <v>143</v>
      </c>
      <c r="N196" s="43"/>
      <c r="O196" s="43"/>
      <c r="P196" s="43">
        <v>44</v>
      </c>
      <c r="Q196" s="43">
        <v>16.579999999999998</v>
      </c>
      <c r="R196" s="43">
        <v>1453</v>
      </c>
      <c r="S196" s="43">
        <v>26.19</v>
      </c>
      <c r="T196" s="43">
        <v>41</v>
      </c>
      <c r="U196" s="43">
        <v>369</v>
      </c>
      <c r="V196" s="43">
        <v>713</v>
      </c>
      <c r="W196" s="43">
        <v>301</v>
      </c>
      <c r="X196" s="43">
        <v>28</v>
      </c>
      <c r="Y196" s="43">
        <v>0</v>
      </c>
      <c r="Z196" s="32">
        <v>67</v>
      </c>
      <c r="AA196" s="43" t="s">
        <v>63</v>
      </c>
      <c r="AB196" s="43">
        <v>21.77</v>
      </c>
      <c r="AC196" s="43">
        <v>227</v>
      </c>
      <c r="AD196" s="43">
        <v>15.93</v>
      </c>
      <c r="AE196" s="43">
        <v>29.89</v>
      </c>
      <c r="AF196" s="43">
        <v>32.65</v>
      </c>
      <c r="AG196" s="43">
        <v>169.29598681346701</v>
      </c>
      <c r="AH196" s="43">
        <v>186.843304527957</v>
      </c>
      <c r="AI196" s="43">
        <v>209.679639986762</v>
      </c>
      <c r="AJ196" s="43">
        <v>41.489960587886102</v>
      </c>
      <c r="AK196" s="43">
        <v>0.61925314310277801</v>
      </c>
      <c r="AL196" s="43">
        <v>0.49365215100253301</v>
      </c>
      <c r="AM196" s="43">
        <v>480.82805452442</v>
      </c>
      <c r="AN196" s="43">
        <v>7.1765381272301401</v>
      </c>
      <c r="AO196" s="43">
        <v>8.2074874426814599</v>
      </c>
      <c r="AP196" s="44">
        <v>71</v>
      </c>
      <c r="AQ196" s="44">
        <v>4.3099999999999987</v>
      </c>
      <c r="AR196" s="44">
        <v>27.801262606368194</v>
      </c>
      <c r="AS196" s="44">
        <v>45.565927013009997</v>
      </c>
      <c r="AT196" s="44">
        <v>0.89</v>
      </c>
      <c r="AU196" s="44">
        <v>0.64177361990154924</v>
      </c>
      <c r="AV196" s="44">
        <f>+AU196*AP196</f>
        <v>45.565927013009997</v>
      </c>
      <c r="AW196" s="44">
        <f>+VLOOKUP(C196,'Etape 1 - surface'!$A$5:$B$58,2,FALSE)</f>
        <v>0</v>
      </c>
      <c r="AX196" s="44">
        <f t="shared" si="21"/>
        <v>0</v>
      </c>
      <c r="AY196" s="44">
        <f>10.8374384236453+(405.147848531042-10.8374384236453)/(1+EXP(-(1.16387919746889*AU196+-2.8965970117006)))</f>
        <v>51.989222274795047</v>
      </c>
      <c r="AZ196" s="63"/>
      <c r="BA196" s="63">
        <f t="shared" si="22"/>
        <v>0</v>
      </c>
      <c r="BB196" s="45"/>
      <c r="BC196" s="65">
        <v>4.4999999999999998E-2</v>
      </c>
      <c r="BD196" s="63">
        <f t="shared" si="20"/>
        <v>-3503.0716309776817</v>
      </c>
    </row>
    <row r="197" spans="1:56" ht="15" x14ac:dyDescent="0.25">
      <c r="A197" t="str">
        <f>+VLOOKUP(D197,Acronyme!$A$1:$C$50,3,FALSE)</f>
        <v>Chene_pedoncule</v>
      </c>
      <c r="B197" t="str">
        <f>+VLOOKUP(E197,Acronyme!$E$2:$I$50,5,FALSE)</f>
        <v>Guide chênaie continentale</v>
      </c>
      <c r="C197" t="s">
        <v>264</v>
      </c>
      <c r="D197" s="43" t="s">
        <v>145</v>
      </c>
      <c r="E197" s="43" t="s">
        <v>65</v>
      </c>
      <c r="F197" s="43" t="s">
        <v>66</v>
      </c>
      <c r="G197" s="43" t="s">
        <v>62</v>
      </c>
      <c r="H197" s="43">
        <v>21.9</v>
      </c>
      <c r="I197" s="43" t="s">
        <v>144</v>
      </c>
      <c r="J197" s="43">
        <v>1600</v>
      </c>
      <c r="K197" s="43" t="s">
        <v>109</v>
      </c>
      <c r="L197" s="43" t="s">
        <v>103</v>
      </c>
      <c r="M197" s="43" t="s">
        <v>143</v>
      </c>
      <c r="N197" s="43"/>
      <c r="O197" s="43"/>
      <c r="P197" s="43">
        <v>38</v>
      </c>
      <c r="Q197" s="43">
        <v>16.27</v>
      </c>
      <c r="R197" s="43">
        <v>1446</v>
      </c>
      <c r="S197" s="43">
        <v>21.44</v>
      </c>
      <c r="T197" s="43">
        <v>65</v>
      </c>
      <c r="U197" s="43">
        <v>525</v>
      </c>
      <c r="V197" s="43">
        <v>696</v>
      </c>
      <c r="W197" s="43">
        <v>155</v>
      </c>
      <c r="X197" s="43">
        <v>5</v>
      </c>
      <c r="Y197" s="43">
        <v>0</v>
      </c>
      <c r="Z197" s="32">
        <v>67</v>
      </c>
      <c r="AA197" s="43" t="s">
        <v>63</v>
      </c>
      <c r="AB197" s="43">
        <v>24.11</v>
      </c>
      <c r="AC197" s="43">
        <v>143</v>
      </c>
      <c r="AD197" s="43">
        <v>15.17</v>
      </c>
      <c r="AE197" s="43">
        <v>36.76</v>
      </c>
      <c r="AF197" s="43">
        <v>37.9</v>
      </c>
      <c r="AG197" s="43">
        <v>177.36518572139099</v>
      </c>
      <c r="AH197" s="43">
        <v>199.46338597015</v>
      </c>
      <c r="AI197" s="43">
        <v>221.05793630282099</v>
      </c>
      <c r="AJ197" s="43">
        <v>41.7988028254887</v>
      </c>
      <c r="AK197" s="43">
        <v>0.62386272873863702</v>
      </c>
      <c r="AL197" s="43">
        <v>0.55830809130881898</v>
      </c>
      <c r="AM197" s="43">
        <v>512.04961584867499</v>
      </c>
      <c r="AN197" s="43">
        <v>7.6425315798309699</v>
      </c>
      <c r="AO197" s="43">
        <v>10.2316495475383</v>
      </c>
      <c r="AP197" s="44">
        <v>36</v>
      </c>
      <c r="AQ197" s="44">
        <v>3.24</v>
      </c>
      <c r="AR197" s="44">
        <v>33.851375012865383</v>
      </c>
      <c r="AS197" s="44">
        <v>37.648980680822007</v>
      </c>
      <c r="AT197" s="44">
        <v>0.87</v>
      </c>
      <c r="AU197" s="44">
        <v>1.0458050189117225</v>
      </c>
      <c r="AV197" s="44">
        <f>+AU197*AP197</f>
        <v>37.648980680822007</v>
      </c>
      <c r="AW197" s="44">
        <f>+VLOOKUP(C197,'Etape 1 - surface'!$A$5:$B$58,2,FALSE)</f>
        <v>0</v>
      </c>
      <c r="AX197" s="44">
        <f t="shared" si="21"/>
        <v>0</v>
      </c>
      <c r="AY197" s="44">
        <f>10.8374384236453+(405.147848531042-10.8374384236453)/(1+EXP(-(1.16387919746889*AU197+-2.8965970117006)))</f>
        <v>72.812822180975317</v>
      </c>
      <c r="AZ197" s="63"/>
      <c r="BA197" s="63">
        <f t="shared" si="22"/>
        <v>0</v>
      </c>
      <c r="BB197" s="45"/>
      <c r="BC197" s="65">
        <v>4.4999999999999998E-2</v>
      </c>
      <c r="BD197" s="63">
        <f t="shared" si="20"/>
        <v>-3503.0716309776817</v>
      </c>
    </row>
    <row r="198" spans="1:56" ht="14.45" customHeight="1" x14ac:dyDescent="0.25">
      <c r="C198" t="s">
        <v>266</v>
      </c>
      <c r="D198" s="43" t="s">
        <v>207</v>
      </c>
      <c r="E198" s="43" t="s">
        <v>208</v>
      </c>
      <c r="F198" s="43" t="s">
        <v>258</v>
      </c>
      <c r="G198" s="43" t="s">
        <v>260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2">
        <v>67</v>
      </c>
      <c r="AA198" s="43" t="s">
        <v>63</v>
      </c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44">
        <v>400</v>
      </c>
      <c r="AQ198" s="1"/>
      <c r="AR198" s="1"/>
      <c r="AS198" s="1"/>
      <c r="AT198" s="1"/>
      <c r="AU198" s="44">
        <f>AV198/AP198</f>
        <v>0.1825</v>
      </c>
      <c r="AV198" s="44">
        <v>73</v>
      </c>
      <c r="AW198" s="44">
        <f>+VLOOKUP(C198,'Etape 1 - surface'!$A$5:$B$58,2,FALSE)</f>
        <v>0</v>
      </c>
      <c r="AX198" s="44">
        <f t="shared" si="21"/>
        <v>0</v>
      </c>
      <c r="AY198" s="44">
        <f>82.5251889/(1+EXP(-(0.26195064*AU198+(-0.34406779))))</f>
        <v>35.194646957095401</v>
      </c>
      <c r="AZ198" s="63"/>
      <c r="BA198" s="63">
        <f t="shared" si="22"/>
        <v>0</v>
      </c>
      <c r="BB198" s="45"/>
      <c r="BC198" s="65">
        <v>4.4999999999999998E-2</v>
      </c>
      <c r="BD198" s="63">
        <f t="shared" si="20"/>
        <v>-3503.0716309776817</v>
      </c>
    </row>
    <row r="199" spans="1:56" ht="15" x14ac:dyDescent="0.25">
      <c r="C199" t="s">
        <v>265</v>
      </c>
      <c r="D199" s="43" t="s">
        <v>207</v>
      </c>
      <c r="E199" s="43" t="s">
        <v>208</v>
      </c>
      <c r="F199" s="43" t="s">
        <v>259</v>
      </c>
      <c r="G199" s="43" t="s">
        <v>260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2">
        <v>67</v>
      </c>
      <c r="AA199" s="43" t="s">
        <v>63</v>
      </c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44">
        <v>703</v>
      </c>
      <c r="AQ199" s="1"/>
      <c r="AR199" s="1"/>
      <c r="AS199" s="1"/>
      <c r="AT199" s="1"/>
      <c r="AU199" s="44">
        <f>AV199/AP199</f>
        <v>0.17354196301564723</v>
      </c>
      <c r="AV199" s="44">
        <v>122</v>
      </c>
      <c r="AW199" s="44">
        <f>+VLOOKUP(C199,'Etape 1 - surface'!$A$5:$B$58,2,FALSE)</f>
        <v>0</v>
      </c>
      <c r="AX199" s="44">
        <f t="shared" si="21"/>
        <v>0</v>
      </c>
      <c r="AY199" s="44">
        <f>82.5251889/(1+EXP(-(0.26195064*AU199+(-0.34406779))))</f>
        <v>35.147289458761293</v>
      </c>
      <c r="AZ199" s="63"/>
      <c r="BA199" s="63">
        <f t="shared" si="22"/>
        <v>0</v>
      </c>
      <c r="BB199" s="45"/>
      <c r="BC199" s="65">
        <v>4.4999999999999998E-2</v>
      </c>
      <c r="BD199" s="63">
        <f t="shared" si="20"/>
        <v>-3503.0716309776817</v>
      </c>
    </row>
    <row r="200" spans="1:56" ht="15" x14ac:dyDescent="0.25">
      <c r="A200" t="str">
        <f>+VLOOKUP(D200,Acronyme!$A$1:$C$50,3,FALSE)</f>
        <v>Pin Laricio</v>
      </c>
      <c r="B200" t="str">
        <f>+VLOOKUP(E200,Acronyme!$E$2:$I$50,5,FALSE)</f>
        <v>GS Pineraies des plaines du Centre et du Nord Ouest</v>
      </c>
      <c r="C200" t="s">
        <v>264</v>
      </c>
      <c r="D200" s="43" t="s">
        <v>88</v>
      </c>
      <c r="E200" s="43" t="s">
        <v>89</v>
      </c>
      <c r="F200" s="43" t="s">
        <v>61</v>
      </c>
      <c r="G200" s="43" t="s">
        <v>62</v>
      </c>
      <c r="H200" s="43">
        <v>23.3</v>
      </c>
      <c r="I200" s="43" t="s">
        <v>101</v>
      </c>
      <c r="J200" s="43">
        <v>1666</v>
      </c>
      <c r="K200" s="43" t="s">
        <v>102</v>
      </c>
      <c r="L200" s="43" t="s">
        <v>103</v>
      </c>
      <c r="M200" s="43" t="s">
        <v>117</v>
      </c>
      <c r="N200" s="43"/>
      <c r="O200" s="43"/>
      <c r="P200" s="43">
        <v>22</v>
      </c>
      <c r="Q200" s="43">
        <v>11.13</v>
      </c>
      <c r="R200" s="43">
        <v>1444</v>
      </c>
      <c r="S200" s="43">
        <v>25.27</v>
      </c>
      <c r="T200" s="43">
        <v>1</v>
      </c>
      <c r="U200" s="43">
        <v>272</v>
      </c>
      <c r="V200" s="43">
        <v>985</v>
      </c>
      <c r="W200" s="43">
        <v>187</v>
      </c>
      <c r="X200" s="43">
        <v>0</v>
      </c>
      <c r="Y200" s="43">
        <v>0</v>
      </c>
      <c r="Z200" s="32">
        <v>69</v>
      </c>
      <c r="AA200" s="43" t="s">
        <v>63</v>
      </c>
      <c r="AB200" s="43">
        <v>27.18</v>
      </c>
      <c r="AC200" s="43">
        <v>188</v>
      </c>
      <c r="AD200" s="43">
        <v>33.020000000000003</v>
      </c>
      <c r="AE200" s="43">
        <v>47.29</v>
      </c>
      <c r="AF200" s="43">
        <v>48.68</v>
      </c>
      <c r="AG200" s="43">
        <v>342.55958570734401</v>
      </c>
      <c r="AH200" s="43">
        <v>351.02421058649799</v>
      </c>
      <c r="AI200" s="43">
        <v>429.40310572078801</v>
      </c>
      <c r="AJ200" s="43">
        <v>78.977262695999698</v>
      </c>
      <c r="AK200" s="43">
        <v>1.1445980100869499</v>
      </c>
      <c r="AL200" s="43">
        <v>0.64803101603159496</v>
      </c>
      <c r="AM200" s="43">
        <v>867.58839143018201</v>
      </c>
      <c r="AN200" s="43">
        <v>12.573744803336</v>
      </c>
      <c r="AO200" s="43">
        <v>10.263042545205099</v>
      </c>
      <c r="AP200" s="44">
        <v>36</v>
      </c>
      <c r="AQ200" s="44">
        <v>5.3799999999999955</v>
      </c>
      <c r="AR200" s="44">
        <v>43.620932636481264</v>
      </c>
      <c r="AS200" s="44">
        <v>55.281117112412005</v>
      </c>
      <c r="AT200" s="44">
        <v>0.87173448242207496</v>
      </c>
      <c r="AU200" s="44">
        <v>1.5355865864558891</v>
      </c>
      <c r="AV200" s="44">
        <f t="shared" ref="AV200:AV205" si="25">+AU200*AP200</f>
        <v>55.281117112412005</v>
      </c>
      <c r="AW200" s="44">
        <f>+VLOOKUP(C200,'Etape 1 - surface'!$A$5:$B$58,2,FALSE)</f>
        <v>0</v>
      </c>
      <c r="AX200" s="44">
        <f t="shared" si="21"/>
        <v>0</v>
      </c>
      <c r="AY200" s="44">
        <f>10.0046474463505+(37.1112351801373-10.0046474463505)/(1+EXP(-(0.581180949782075*AU200+-0.955447614584994)))</f>
        <v>23.131194707165413</v>
      </c>
      <c r="AZ200" s="63"/>
      <c r="BA200" s="63">
        <f t="shared" si="22"/>
        <v>0</v>
      </c>
      <c r="BB200" s="45"/>
      <c r="BC200" s="65">
        <v>4.4999999999999998E-2</v>
      </c>
      <c r="BD200" s="63">
        <f t="shared" si="20"/>
        <v>-3503.0716309776817</v>
      </c>
    </row>
    <row r="201" spans="1:56" ht="15" x14ac:dyDescent="0.25">
      <c r="A201" t="str">
        <f>+VLOOKUP(D201,Acronyme!$A$1:$C$50,3,FALSE)</f>
        <v>Epicéa</v>
      </c>
      <c r="B201" t="str">
        <f>+VLOOKUP(E201,Acronyme!$E$2:$I$50,5,FALSE)</f>
        <v>GS Arc Jurassien</v>
      </c>
      <c r="C201" t="s">
        <v>264</v>
      </c>
      <c r="D201" s="43" t="s">
        <v>118</v>
      </c>
      <c r="E201" s="43" t="s">
        <v>119</v>
      </c>
      <c r="F201" s="43" t="s">
        <v>120</v>
      </c>
      <c r="G201" s="43" t="s">
        <v>121</v>
      </c>
      <c r="H201" s="43">
        <v>28.5</v>
      </c>
      <c r="I201" s="43" t="s">
        <v>122</v>
      </c>
      <c r="J201" s="43">
        <v>1666</v>
      </c>
      <c r="K201" s="43" t="s">
        <v>102</v>
      </c>
      <c r="L201" s="43" t="s">
        <v>103</v>
      </c>
      <c r="M201" s="43" t="s">
        <v>123</v>
      </c>
      <c r="N201" s="43"/>
      <c r="O201" s="43"/>
      <c r="P201" s="43">
        <v>25</v>
      </c>
      <c r="Q201" s="43">
        <v>16.53</v>
      </c>
      <c r="R201" s="43">
        <v>1255</v>
      </c>
      <c r="S201" s="43">
        <v>35.83</v>
      </c>
      <c r="T201" s="43">
        <v>3</v>
      </c>
      <c r="U201" s="43">
        <v>181</v>
      </c>
      <c r="V201" s="43">
        <v>304</v>
      </c>
      <c r="W201" s="43">
        <v>527</v>
      </c>
      <c r="X201" s="43">
        <v>194</v>
      </c>
      <c r="Y201" s="43">
        <v>46</v>
      </c>
      <c r="Z201" s="32">
        <v>69</v>
      </c>
      <c r="AA201" s="43" t="s">
        <v>63</v>
      </c>
      <c r="AB201" s="43">
        <v>33.590494111844102</v>
      </c>
      <c r="AC201" s="43">
        <v>135</v>
      </c>
      <c r="AD201" s="43">
        <v>29.897399308436299</v>
      </c>
      <c r="AE201" s="43">
        <v>53.101266696364497</v>
      </c>
      <c r="AF201" s="43">
        <v>55.456693798294602</v>
      </c>
      <c r="AG201" s="43">
        <v>445.18767285423303</v>
      </c>
      <c r="AH201" s="43">
        <v>447.049605257552</v>
      </c>
      <c r="AI201" s="43">
        <v>484.48267688077101</v>
      </c>
      <c r="AJ201" s="43">
        <v>95.156329463419993</v>
      </c>
      <c r="AK201" s="43">
        <v>1.3790772386002901</v>
      </c>
      <c r="AL201" s="43">
        <v>0.74496327164977005</v>
      </c>
      <c r="AM201" s="43">
        <v>1311.92895659641</v>
      </c>
      <c r="AN201" s="43">
        <v>19.0134631390784</v>
      </c>
      <c r="AO201" s="43">
        <v>15.082849687085499</v>
      </c>
      <c r="AP201" s="44">
        <v>39</v>
      </c>
      <c r="AQ201" s="44">
        <v>7.4702800589855016</v>
      </c>
      <c r="AR201" s="44">
        <v>49.384561018723417</v>
      </c>
      <c r="AS201" s="44">
        <v>110.370612327971</v>
      </c>
      <c r="AT201" s="44">
        <v>0.89191896221108868</v>
      </c>
      <c r="AU201" s="44">
        <v>2.8300157007172051</v>
      </c>
      <c r="AV201" s="44">
        <f t="shared" si="25"/>
        <v>110.370612327971</v>
      </c>
      <c r="AW201" s="44">
        <f>+VLOOKUP(C201,'Etape 1 - surface'!$A$5:$B$58,2,FALSE)</f>
        <v>0</v>
      </c>
      <c r="AX201" s="44">
        <f t="shared" si="21"/>
        <v>0</v>
      </c>
      <c r="AY201" s="44">
        <f>5.9476406705017+(63.9669421487603-5.9476406705017)/(1+EXP(-(0.302428574792357*AU201+-0.378232364909735)))</f>
        <v>41.756670875251146</v>
      </c>
      <c r="AZ201" s="63"/>
      <c r="BA201" s="63">
        <f t="shared" si="22"/>
        <v>0</v>
      </c>
      <c r="BB201" s="45"/>
      <c r="BC201" s="65">
        <v>4.4999999999999998E-2</v>
      </c>
      <c r="BD201" s="63">
        <f t="shared" si="20"/>
        <v>-3503.0716309776817</v>
      </c>
    </row>
    <row r="202" spans="1:56" ht="15" x14ac:dyDescent="0.25">
      <c r="A202" t="str">
        <f>+VLOOKUP(D202,Acronyme!$A$1:$C$50,3,FALSE)</f>
        <v>Douglas</v>
      </c>
      <c r="B202" t="str">
        <f>+VLOOKUP(E202,Acronyme!$E$2:$I$50,5,FALSE)</f>
        <v>National</v>
      </c>
      <c r="C202" t="s">
        <v>264</v>
      </c>
      <c r="D202" s="43" t="s">
        <v>97</v>
      </c>
      <c r="E202" s="43" t="s">
        <v>98</v>
      </c>
      <c r="F202" s="43" t="s">
        <v>99</v>
      </c>
      <c r="G202" s="43" t="s">
        <v>62</v>
      </c>
      <c r="H202" s="43">
        <v>33</v>
      </c>
      <c r="I202" s="43" t="s">
        <v>101</v>
      </c>
      <c r="J202" s="43">
        <v>1666</v>
      </c>
      <c r="K202" s="43" t="s">
        <v>102</v>
      </c>
      <c r="L202" s="43" t="s">
        <v>103</v>
      </c>
      <c r="M202" s="43" t="s">
        <v>104</v>
      </c>
      <c r="N202" s="43"/>
      <c r="O202" s="43" t="s">
        <v>112</v>
      </c>
      <c r="P202" s="43">
        <v>19</v>
      </c>
      <c r="Q202" s="43">
        <v>15.33</v>
      </c>
      <c r="R202" s="43">
        <v>1600</v>
      </c>
      <c r="S202" s="43">
        <v>14.8</v>
      </c>
      <c r="T202" s="43">
        <v>30</v>
      </c>
      <c r="U202" s="43">
        <v>428</v>
      </c>
      <c r="V202" s="43">
        <v>890</v>
      </c>
      <c r="W202" s="43">
        <v>240</v>
      </c>
      <c r="X202" s="43">
        <v>12</v>
      </c>
      <c r="Y202" s="43">
        <v>0</v>
      </c>
      <c r="Z202" s="32">
        <v>70</v>
      </c>
      <c r="AA202" s="43" t="s">
        <v>63</v>
      </c>
      <c r="AB202" s="43">
        <v>42.5307335501723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96.473110262121693</v>
      </c>
      <c r="AK202" s="43">
        <v>1.37818728945888</v>
      </c>
      <c r="AL202" s="43"/>
      <c r="AM202" s="43">
        <v>1279.6741300947999</v>
      </c>
      <c r="AN202" s="43">
        <v>18.2810590013544</v>
      </c>
      <c r="AO202" s="43"/>
      <c r="AP202" s="44">
        <v>166</v>
      </c>
      <c r="AQ202" s="44">
        <v>37.9402747704913</v>
      </c>
      <c r="AR202" s="44">
        <v>53.945006678436755</v>
      </c>
      <c r="AS202" s="44">
        <v>486.860131382313</v>
      </c>
      <c r="AT202" s="44">
        <v>1</v>
      </c>
      <c r="AU202" s="44">
        <v>2.9328923577247772</v>
      </c>
      <c r="AV202" s="44">
        <f t="shared" si="25"/>
        <v>486.860131382313</v>
      </c>
      <c r="AW202" s="44">
        <f>+VLOOKUP(C202,'Etape 1 - surface'!$A$5:$B$58,2,FALSE)</f>
        <v>0</v>
      </c>
      <c r="AX202" s="44">
        <f t="shared" si="21"/>
        <v>0</v>
      </c>
      <c r="AY202" s="44">
        <f>17.058316746383+(70.7042249024703-17.058316746383)/(1+EXP(-(0.378583234479568*AU202+-0.73675928557405)))</f>
        <v>48.834121615796064</v>
      </c>
      <c r="AZ202" s="63"/>
      <c r="BA202" s="63">
        <f t="shared" si="22"/>
        <v>0</v>
      </c>
      <c r="BB202" s="45"/>
      <c r="BC202" s="65">
        <v>4.4999999999999998E-2</v>
      </c>
      <c r="BD202" s="63">
        <f t="shared" si="20"/>
        <v>-3503.0716309776817</v>
      </c>
    </row>
    <row r="203" spans="1:56" ht="14.45" customHeight="1" x14ac:dyDescent="0.25">
      <c r="A203" t="str">
        <f>+VLOOKUP(D203,Acronyme!$A$1:$C$50,3,FALSE)</f>
        <v>Pin Noir d'Autriche</v>
      </c>
      <c r="B203" t="str">
        <f>+VLOOKUP(E203,Acronyme!$E$2:$I$50,5,FALSE)</f>
        <v>GSM Alpes du Sud</v>
      </c>
      <c r="C203" t="s">
        <v>264</v>
      </c>
      <c r="D203" s="43" t="s">
        <v>131</v>
      </c>
      <c r="E203" s="43" t="s">
        <v>132</v>
      </c>
      <c r="F203" s="43" t="s">
        <v>133</v>
      </c>
      <c r="G203" s="43" t="s">
        <v>100</v>
      </c>
      <c r="H203" s="43">
        <v>18.2</v>
      </c>
      <c r="I203" s="43" t="s">
        <v>108</v>
      </c>
      <c r="J203" s="43">
        <v>1100</v>
      </c>
      <c r="K203" s="43" t="s">
        <v>109</v>
      </c>
      <c r="L203" s="43" t="s">
        <v>134</v>
      </c>
      <c r="M203" s="43" t="s">
        <v>135</v>
      </c>
      <c r="N203" s="43"/>
      <c r="O203" s="43"/>
      <c r="P203" s="43">
        <v>15</v>
      </c>
      <c r="Q203" s="43">
        <v>4.9000000000000004</v>
      </c>
      <c r="R203" s="43">
        <v>6000</v>
      </c>
      <c r="S203" s="43">
        <v>19.7</v>
      </c>
      <c r="T203" s="43">
        <v>5448</v>
      </c>
      <c r="U203" s="43">
        <v>552</v>
      </c>
      <c r="V203" s="43">
        <v>0</v>
      </c>
      <c r="W203" s="43">
        <v>0</v>
      </c>
      <c r="X203" s="43">
        <v>0</v>
      </c>
      <c r="Y203" s="43">
        <v>0</v>
      </c>
      <c r="Z203" s="32">
        <v>70</v>
      </c>
      <c r="AA203" s="43" t="s">
        <v>63</v>
      </c>
      <c r="AB203" s="43">
        <v>22.11</v>
      </c>
      <c r="AC203" s="43">
        <v>381</v>
      </c>
      <c r="AD203" s="43">
        <v>30.77</v>
      </c>
      <c r="AE203" s="43">
        <v>32.07</v>
      </c>
      <c r="AF203" s="43">
        <v>35.51</v>
      </c>
      <c r="AG203" s="43">
        <v>322.70683948306799</v>
      </c>
      <c r="AH203" s="43">
        <v>323.875025367901</v>
      </c>
      <c r="AI203" s="43">
        <v>351.26556492362403</v>
      </c>
      <c r="AJ203" s="43">
        <v>57.3611110352305</v>
      </c>
      <c r="AK203" s="43">
        <v>0.81944444336043598</v>
      </c>
      <c r="AL203" s="43">
        <v>0.59879647247257295</v>
      </c>
      <c r="AM203" s="43">
        <v>614.81826606119103</v>
      </c>
      <c r="AN203" s="43">
        <v>8.7831180865884395</v>
      </c>
      <c r="AO203" s="43">
        <v>8.61843948395037</v>
      </c>
      <c r="AP203" s="44">
        <v>114</v>
      </c>
      <c r="AQ203" s="44">
        <v>7.2099999999999973</v>
      </c>
      <c r="AR203" s="44">
        <v>28.377247368363776</v>
      </c>
      <c r="AS203" s="44">
        <v>74.877612304444995</v>
      </c>
      <c r="AT203" s="44">
        <v>0.82</v>
      </c>
      <c r="AU203" s="44">
        <v>0.65682116056530693</v>
      </c>
      <c r="AV203" s="44">
        <f t="shared" si="25"/>
        <v>74.877612304444995</v>
      </c>
      <c r="AW203" s="44">
        <f>+VLOOKUP(C203,'Etape 1 - surface'!$A$5:$B$58,2,FALSE)</f>
        <v>0</v>
      </c>
      <c r="AX203" s="44">
        <f t="shared" si="21"/>
        <v>0</v>
      </c>
      <c r="AY203" s="44">
        <f>10.0046474463505+(37.1112351801373-10.0046474463505)/(1+EXP(-(0.581180949782075*AU203+-0.955447614584994)))</f>
        <v>19.773316728800204</v>
      </c>
      <c r="AZ203" s="63"/>
      <c r="BA203" s="63">
        <f t="shared" si="22"/>
        <v>0</v>
      </c>
      <c r="BB203" s="45"/>
      <c r="BC203" s="65">
        <v>4.4999999999999998E-2</v>
      </c>
      <c r="BD203" s="63">
        <f t="shared" si="20"/>
        <v>-3503.0716309776817</v>
      </c>
    </row>
    <row r="204" spans="1:56" ht="15" x14ac:dyDescent="0.25">
      <c r="A204" t="str">
        <f>+VLOOKUP(D204,Acronyme!$A$1:$C$50,3,FALSE)</f>
        <v>Pin sylvestre</v>
      </c>
      <c r="B204" t="str">
        <f>+VLOOKUP(E204,Acronyme!$E$2:$I$50,5,FALSE)</f>
        <v>GSM Alpes du Sud</v>
      </c>
      <c r="C204" t="s">
        <v>264</v>
      </c>
      <c r="D204" s="43" t="s">
        <v>106</v>
      </c>
      <c r="E204" s="43" t="s">
        <v>132</v>
      </c>
      <c r="F204" s="43" t="s">
        <v>137</v>
      </c>
      <c r="G204" s="43" t="s">
        <v>100</v>
      </c>
      <c r="H204" s="43">
        <v>15.1</v>
      </c>
      <c r="I204" s="43" t="s">
        <v>108</v>
      </c>
      <c r="J204" s="43">
        <v>1100</v>
      </c>
      <c r="K204" s="43" t="s">
        <v>109</v>
      </c>
      <c r="L204" s="43" t="s">
        <v>134</v>
      </c>
      <c r="M204" s="43" t="s">
        <v>135</v>
      </c>
      <c r="N204" s="43"/>
      <c r="O204" s="43"/>
      <c r="P204" s="43">
        <v>15</v>
      </c>
      <c r="Q204" s="43">
        <v>3.64</v>
      </c>
      <c r="R204" s="43">
        <v>6001</v>
      </c>
      <c r="S204" s="43">
        <v>9.11</v>
      </c>
      <c r="T204" s="43">
        <v>6001</v>
      </c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32">
        <v>70</v>
      </c>
      <c r="AA204" s="43" t="s">
        <v>63</v>
      </c>
      <c r="AB204" s="43">
        <v>16.850000000000001</v>
      </c>
      <c r="AC204" s="43">
        <v>388</v>
      </c>
      <c r="AD204" s="43">
        <v>27.02</v>
      </c>
      <c r="AE204" s="43">
        <v>29.78</v>
      </c>
      <c r="AF204" s="43">
        <v>32.75</v>
      </c>
      <c r="AG204" s="43">
        <v>202.878817123967</v>
      </c>
      <c r="AH204" s="43">
        <v>206.53291381892501</v>
      </c>
      <c r="AI204" s="43">
        <v>257.606190488192</v>
      </c>
      <c r="AJ204" s="43">
        <v>53.7034083356425</v>
      </c>
      <c r="AK204" s="43">
        <v>0.76719154765203601</v>
      </c>
      <c r="AL204" s="43">
        <v>0.62793809798477696</v>
      </c>
      <c r="AM204" s="43">
        <v>493.25252924742102</v>
      </c>
      <c r="AN204" s="43">
        <v>7.0464647035345802</v>
      </c>
      <c r="AO204" s="43">
        <v>6.7539645205122696</v>
      </c>
      <c r="AP204" s="44">
        <v>188</v>
      </c>
      <c r="AQ204" s="44">
        <v>9.41</v>
      </c>
      <c r="AR204" s="44">
        <v>25.244742570376275</v>
      </c>
      <c r="AS204" s="44">
        <v>70.348856072913009</v>
      </c>
      <c r="AT204" s="44">
        <v>0.79</v>
      </c>
      <c r="AU204" s="44">
        <v>0.37419604294102665</v>
      </c>
      <c r="AV204" s="44">
        <f t="shared" si="25"/>
        <v>70.348856072913009</v>
      </c>
      <c r="AW204" s="44">
        <f>+VLOOKUP(C204,'Etape 1 - surface'!$A$5:$B$58,2,FALSE)</f>
        <v>0</v>
      </c>
      <c r="AX204" s="44">
        <f t="shared" si="21"/>
        <v>0</v>
      </c>
      <c r="AY204" s="44">
        <f>10.0046474463505+(37.1112351801373-10.0046474463505)/(1+EXP(-(0.581180949782075*AU204+-0.955447614584994)))</f>
        <v>18.772212800254536</v>
      </c>
      <c r="AZ204" s="63"/>
      <c r="BA204" s="63">
        <f t="shared" si="22"/>
        <v>0</v>
      </c>
      <c r="BB204" s="45"/>
      <c r="BC204" s="65">
        <v>4.4999999999999998E-2</v>
      </c>
      <c r="BD204" s="63">
        <f t="shared" si="20"/>
        <v>-3503.0716309776817</v>
      </c>
    </row>
    <row r="205" spans="1:56" ht="15" x14ac:dyDescent="0.25">
      <c r="A205" t="str">
        <f>+VLOOKUP(D205,Acronyme!$A$1:$C$50,3,FALSE)</f>
        <v>Sapin pectiné</v>
      </c>
      <c r="B205" t="str">
        <f>+VLOOKUP(E205,Acronyme!$E$2:$I$50,5,FALSE)</f>
        <v>GSM Alpes du Sud</v>
      </c>
      <c r="C205" t="s">
        <v>264</v>
      </c>
      <c r="D205" s="43" t="s">
        <v>129</v>
      </c>
      <c r="E205" s="43" t="s">
        <v>132</v>
      </c>
      <c r="F205" s="43" t="s">
        <v>141</v>
      </c>
      <c r="G205" s="43" t="s">
        <v>100</v>
      </c>
      <c r="H205" s="43">
        <v>20.399999999999999</v>
      </c>
      <c r="I205" s="43" t="s">
        <v>101</v>
      </c>
      <c r="J205" s="43">
        <v>1600</v>
      </c>
      <c r="K205" s="43" t="s">
        <v>109</v>
      </c>
      <c r="L205" s="43" t="s">
        <v>134</v>
      </c>
      <c r="M205" s="43" t="s">
        <v>135</v>
      </c>
      <c r="N205" s="43"/>
      <c r="O205" s="43"/>
      <c r="P205" s="43">
        <v>40</v>
      </c>
      <c r="Q205" s="43">
        <v>16.829999999999998</v>
      </c>
      <c r="R205" s="43">
        <v>1499</v>
      </c>
      <c r="S205" s="43">
        <v>24.88</v>
      </c>
      <c r="T205" s="43">
        <v>27</v>
      </c>
      <c r="U205" s="43">
        <v>516</v>
      </c>
      <c r="V205" s="43">
        <v>633</v>
      </c>
      <c r="W205" s="43">
        <v>307</v>
      </c>
      <c r="X205" s="43">
        <v>15</v>
      </c>
      <c r="Y205" s="43">
        <v>0</v>
      </c>
      <c r="Z205" s="32">
        <v>70</v>
      </c>
      <c r="AA205" s="43" t="s">
        <v>63</v>
      </c>
      <c r="AB205" s="43">
        <v>24.41</v>
      </c>
      <c r="AC205" s="43">
        <v>357</v>
      </c>
      <c r="AD205" s="43">
        <v>29.08</v>
      </c>
      <c r="AE205" s="43">
        <v>32.200000000000003</v>
      </c>
      <c r="AF205" s="43">
        <v>38.630000000000003</v>
      </c>
      <c r="AG205" s="43">
        <v>311.80303765482898</v>
      </c>
      <c r="AH205" s="43">
        <v>314.12989591731798</v>
      </c>
      <c r="AI205" s="43">
        <v>374.59611756514403</v>
      </c>
      <c r="AJ205" s="43">
        <v>70.775666120819395</v>
      </c>
      <c r="AK205" s="43">
        <v>1.0110809445831299</v>
      </c>
      <c r="AL205" s="43">
        <v>0.90238225222495905</v>
      </c>
      <c r="AM205" s="43">
        <v>845.90971000312697</v>
      </c>
      <c r="AN205" s="43">
        <v>12.084424428616099</v>
      </c>
      <c r="AO205" s="43">
        <v>13.7117005815946</v>
      </c>
      <c r="AP205" s="44">
        <v>124</v>
      </c>
      <c r="AQ205" s="44">
        <v>10.620000000000005</v>
      </c>
      <c r="AR205" s="44">
        <v>33.02223586767861</v>
      </c>
      <c r="AS205" s="44">
        <v>114.55050751080103</v>
      </c>
      <c r="AT205" s="44">
        <v>1.04</v>
      </c>
      <c r="AU205" s="44">
        <v>0.92379441540968565</v>
      </c>
      <c r="AV205" s="44">
        <f t="shared" si="25"/>
        <v>114.55050751080103</v>
      </c>
      <c r="AW205" s="44">
        <f>+VLOOKUP(C205,'Etape 1 - surface'!$A$5:$B$58,2,FALSE)</f>
        <v>0</v>
      </c>
      <c r="AX205" s="44">
        <f t="shared" si="21"/>
        <v>0</v>
      </c>
      <c r="AY205" s="44">
        <f>12.60067150914+(56.0435691950881-12.60067150914)/(1+EXP(-(0.12255140894824*AU205+-0.18958347271504)))</f>
        <v>33.493077083767005</v>
      </c>
      <c r="AZ205" s="63"/>
      <c r="BA205" s="63">
        <f t="shared" si="22"/>
        <v>0</v>
      </c>
      <c r="BB205" s="45"/>
      <c r="BC205" s="65">
        <v>4.4999999999999998E-2</v>
      </c>
      <c r="BD205" s="63">
        <f t="shared" si="20"/>
        <v>-3503.0716309776817</v>
      </c>
    </row>
    <row r="206" spans="1:56" ht="14.45" customHeight="1" x14ac:dyDescent="0.25">
      <c r="C206" t="s">
        <v>264</v>
      </c>
      <c r="D206" s="43" t="s">
        <v>246</v>
      </c>
      <c r="E206" s="43" t="s">
        <v>238</v>
      </c>
      <c r="F206" s="43" t="s">
        <v>251</v>
      </c>
      <c r="G206" s="43" t="s">
        <v>114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32">
        <v>70</v>
      </c>
      <c r="AA206" s="43" t="s">
        <v>63</v>
      </c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4"/>
      <c r="AQ206" s="44"/>
      <c r="AR206" s="44"/>
      <c r="AS206" s="44"/>
      <c r="AT206" s="44"/>
      <c r="AU206" s="44">
        <v>1.38</v>
      </c>
      <c r="AV206" s="44">
        <v>36</v>
      </c>
      <c r="AW206" s="44">
        <f>+VLOOKUP(C206,'Etape 1 - surface'!$A$5:$B$58,2,FALSE)</f>
        <v>0</v>
      </c>
      <c r="AX206" s="44">
        <f t="shared" si="21"/>
        <v>0</v>
      </c>
      <c r="AY206" s="44">
        <f>(86.135208)/(1+EXP(-(0.50064483*AU206+-0.6204261)))</f>
        <v>44.584329261169898</v>
      </c>
      <c r="AZ206" s="63"/>
      <c r="BA206" s="63">
        <f t="shared" si="22"/>
        <v>0</v>
      </c>
      <c r="BB206" s="45"/>
      <c r="BC206" s="65">
        <v>4.4999999999999998E-2</v>
      </c>
      <c r="BD206" s="63">
        <f t="shared" si="20"/>
        <v>-3503.0716309776817</v>
      </c>
    </row>
    <row r="207" spans="1:56" ht="15" x14ac:dyDescent="0.25">
      <c r="C207" t="s">
        <v>264</v>
      </c>
      <c r="D207" s="43" t="s">
        <v>246</v>
      </c>
      <c r="E207" s="43" t="s">
        <v>238</v>
      </c>
      <c r="F207" s="43" t="s">
        <v>247</v>
      </c>
      <c r="G207" s="43" t="s">
        <v>62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32">
        <v>70</v>
      </c>
      <c r="AA207" s="43" t="s">
        <v>63</v>
      </c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4"/>
      <c r="AQ207" s="44"/>
      <c r="AR207" s="44"/>
      <c r="AS207" s="44"/>
      <c r="AT207" s="44"/>
      <c r="AU207" s="44">
        <v>2.5</v>
      </c>
      <c r="AV207" s="44">
        <v>50</v>
      </c>
      <c r="AW207" s="44">
        <f>+VLOOKUP(C207,'Etape 1 - surface'!$A$5:$B$58,2,FALSE)</f>
        <v>0</v>
      </c>
      <c r="AX207" s="44">
        <f t="shared" si="21"/>
        <v>0</v>
      </c>
      <c r="AY207" s="44">
        <f>(86.135208)/(1+EXP(-(0.50064483*AU207+-0.6204261)))</f>
        <v>56.225474508249036</v>
      </c>
      <c r="AZ207" s="63"/>
      <c r="BA207" s="63">
        <f t="shared" si="22"/>
        <v>0</v>
      </c>
      <c r="BB207" s="45"/>
      <c r="BC207" s="65">
        <v>4.4999999999999998E-2</v>
      </c>
      <c r="BD207" s="63">
        <f t="shared" si="20"/>
        <v>-3503.0716309776817</v>
      </c>
    </row>
    <row r="208" spans="1:56" ht="14.45" customHeight="1" x14ac:dyDescent="0.25">
      <c r="C208" t="s">
        <v>264</v>
      </c>
      <c r="D208" s="43" t="s">
        <v>246</v>
      </c>
      <c r="E208" s="43" t="s">
        <v>238</v>
      </c>
      <c r="F208" s="43" t="s">
        <v>252</v>
      </c>
      <c r="G208" s="43" t="s">
        <v>100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32">
        <v>70</v>
      </c>
      <c r="AA208" s="43" t="s">
        <v>63</v>
      </c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4"/>
      <c r="AQ208" s="44"/>
      <c r="AR208" s="44"/>
      <c r="AS208" s="44"/>
      <c r="AT208" s="44"/>
      <c r="AU208" s="44">
        <v>0.9</v>
      </c>
      <c r="AV208" s="44">
        <v>65</v>
      </c>
      <c r="AW208" s="44">
        <f>+VLOOKUP(C208,'Etape 1 - surface'!$A$5:$B$58,2,FALSE)</f>
        <v>0</v>
      </c>
      <c r="AX208" s="44">
        <f t="shared" si="21"/>
        <v>0</v>
      </c>
      <c r="AY208" s="44">
        <f>(86.135208)/(1+EXP(-(0.50064483*AU208+-0.6204261)))</f>
        <v>39.418946215651552</v>
      </c>
      <c r="AZ208" s="63"/>
      <c r="BA208" s="63">
        <f t="shared" si="22"/>
        <v>0</v>
      </c>
      <c r="BB208" s="45"/>
      <c r="BC208" s="65">
        <v>4.4999999999999998E-2</v>
      </c>
      <c r="BD208" s="63">
        <f t="shared" si="20"/>
        <v>-3503.0716309776817</v>
      </c>
    </row>
    <row r="209" spans="1:56" ht="15" x14ac:dyDescent="0.25">
      <c r="A209" t="str">
        <f>+VLOOKUP(D209,Acronyme!$A$1:$C$50,3,FALSE)</f>
        <v>Chêne sessile</v>
      </c>
      <c r="B209" t="str">
        <f>+VLOOKUP(E209,Acronyme!$E$2:$I$50,5,FALSE)</f>
        <v>Guide chênaie continentale</v>
      </c>
      <c r="C209" t="s">
        <v>264</v>
      </c>
      <c r="D209" s="43" t="s">
        <v>60</v>
      </c>
      <c r="E209" s="43" t="s">
        <v>65</v>
      </c>
      <c r="F209" s="43" t="s">
        <v>66</v>
      </c>
      <c r="G209" s="43" t="s">
        <v>100</v>
      </c>
      <c r="H209" s="43">
        <v>21.5</v>
      </c>
      <c r="I209" s="43" t="s">
        <v>144</v>
      </c>
      <c r="J209" s="43">
        <v>1666</v>
      </c>
      <c r="K209" s="43" t="s">
        <v>109</v>
      </c>
      <c r="L209" s="43" t="s">
        <v>103</v>
      </c>
      <c r="M209" s="43" t="s">
        <v>143</v>
      </c>
      <c r="N209" s="43"/>
      <c r="O209" s="43"/>
      <c r="P209" s="43">
        <v>35</v>
      </c>
      <c r="Q209" s="43">
        <v>16.59</v>
      </c>
      <c r="R209" s="43">
        <v>1453</v>
      </c>
      <c r="S209" s="43">
        <v>26.19</v>
      </c>
      <c r="T209" s="43">
        <v>41</v>
      </c>
      <c r="U209" s="43">
        <v>369</v>
      </c>
      <c r="V209" s="43">
        <v>713</v>
      </c>
      <c r="W209" s="43">
        <v>301</v>
      </c>
      <c r="X209" s="43">
        <v>28</v>
      </c>
      <c r="Y209" s="43">
        <v>0</v>
      </c>
      <c r="Z209" s="32">
        <v>71</v>
      </c>
      <c r="AA209" s="43" t="s">
        <v>63</v>
      </c>
      <c r="AB209" s="43">
        <v>26.92</v>
      </c>
      <c r="AC209" s="43">
        <v>142</v>
      </c>
      <c r="AD209" s="43">
        <v>19.260000000000002</v>
      </c>
      <c r="AE209" s="43">
        <v>41.55</v>
      </c>
      <c r="AF209" s="43">
        <v>43.08</v>
      </c>
      <c r="AG209" s="43">
        <v>256.15226828783301</v>
      </c>
      <c r="AH209" s="43">
        <v>284.10991247357998</v>
      </c>
      <c r="AI209" s="43">
        <v>309.29109539770798</v>
      </c>
      <c r="AJ209" s="43">
        <v>55.256790123208198</v>
      </c>
      <c r="AK209" s="43">
        <v>0.77826464962264996</v>
      </c>
      <c r="AL209" s="43">
        <v>0.56275461253892001</v>
      </c>
      <c r="AM209" s="43">
        <v>743.14083255213905</v>
      </c>
      <c r="AN209" s="43">
        <v>10.4667722894668</v>
      </c>
      <c r="AO209" s="43">
        <v>11.5162138161283</v>
      </c>
      <c r="AP209" s="44">
        <v>34</v>
      </c>
      <c r="AQ209" s="44">
        <v>4.1099999999999994</v>
      </c>
      <c r="AR209" s="44">
        <v>39.231644373558794</v>
      </c>
      <c r="AS209" s="44">
        <v>54.541620907975016</v>
      </c>
      <c r="AT209" s="44">
        <v>0.91</v>
      </c>
      <c r="AU209" s="44">
        <v>1.6041653208227946</v>
      </c>
      <c r="AV209" s="44">
        <f>+AU209*AP209</f>
        <v>54.541620907975016</v>
      </c>
      <c r="AW209" s="44">
        <f>+VLOOKUP(C209,'Etape 1 - surface'!$A$5:$B$58,2,FALSE)</f>
        <v>0</v>
      </c>
      <c r="AX209" s="44">
        <f t="shared" si="21"/>
        <v>0</v>
      </c>
      <c r="AY209" s="44">
        <f>10.8374384236453+(405.147848531042-10.8374384236453)/(1+EXP(-(1.16387919746889*AU209+-2.8965970117006)))</f>
        <v>114.6092272291322</v>
      </c>
      <c r="AZ209" s="63"/>
      <c r="BA209" s="63">
        <f t="shared" si="22"/>
        <v>0</v>
      </c>
      <c r="BB209" s="45"/>
      <c r="BC209" s="65">
        <v>4.4999999999999998E-2</v>
      </c>
      <c r="BD209" s="63">
        <f t="shared" si="20"/>
        <v>-3503.0716309776817</v>
      </c>
    </row>
    <row r="210" spans="1:56" ht="14.45" customHeight="1" x14ac:dyDescent="0.25">
      <c r="C210" t="s">
        <v>262</v>
      </c>
      <c r="D210" s="43" t="s">
        <v>207</v>
      </c>
      <c r="E210" s="43" t="s">
        <v>208</v>
      </c>
      <c r="F210" s="43" t="s">
        <v>259</v>
      </c>
      <c r="G210" s="43" t="s">
        <v>62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2">
        <v>71</v>
      </c>
      <c r="AA210" s="43" t="s">
        <v>63</v>
      </c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44">
        <v>80</v>
      </c>
      <c r="AQ210" s="1"/>
      <c r="AR210" s="1"/>
      <c r="AS210" s="1"/>
      <c r="AT210" s="1"/>
      <c r="AU210" s="44">
        <f>AV210/AP210</f>
        <v>1.125</v>
      </c>
      <c r="AV210" s="44">
        <v>90</v>
      </c>
      <c r="AW210" s="44">
        <f>+VLOOKUP(C210,'Etape 1 - surface'!$A$5:$B$58,2,FALSE)</f>
        <v>0</v>
      </c>
      <c r="AX210" s="44">
        <f t="shared" si="21"/>
        <v>0</v>
      </c>
      <c r="AY210" s="44">
        <f>82.5251889/(1+EXP(-(0.26195064*AU210+(-0.34406779))))</f>
        <v>40.244165689104378</v>
      </c>
      <c r="AZ210" s="63"/>
      <c r="BA210" s="63">
        <f t="shared" si="22"/>
        <v>0</v>
      </c>
      <c r="BB210" s="45"/>
      <c r="BC210" s="65">
        <v>4.4999999999999998E-2</v>
      </c>
      <c r="BD210" s="63">
        <f t="shared" si="20"/>
        <v>-3503.0716309776817</v>
      </c>
    </row>
    <row r="211" spans="1:56" ht="15" x14ac:dyDescent="0.25">
      <c r="A211" t="str">
        <f>+VLOOKUP(D211,Acronyme!$A$1:$C$50,3,FALSE)</f>
        <v>Pin sylvestre</v>
      </c>
      <c r="B211" t="str">
        <f>+VLOOKUP(E211,Acronyme!$E$2:$I$50,5,FALSE)</f>
        <v>GS Pineraies des plaines du Centre et du Nord Ouest</v>
      </c>
      <c r="C211" t="s">
        <v>264</v>
      </c>
      <c r="D211" s="43" t="s">
        <v>106</v>
      </c>
      <c r="E211" s="43" t="s">
        <v>89</v>
      </c>
      <c r="F211" s="43" t="s">
        <v>115</v>
      </c>
      <c r="G211" s="43" t="s">
        <v>62</v>
      </c>
      <c r="H211" s="43">
        <v>23</v>
      </c>
      <c r="I211" s="43">
        <v>45</v>
      </c>
      <c r="J211" s="43">
        <v>2500</v>
      </c>
      <c r="K211" s="43" t="s">
        <v>109</v>
      </c>
      <c r="L211" s="43" t="s">
        <v>110</v>
      </c>
      <c r="M211" s="43" t="s">
        <v>111</v>
      </c>
      <c r="N211" s="43">
        <v>2003</v>
      </c>
      <c r="O211" s="43" t="s">
        <v>58</v>
      </c>
      <c r="P211" s="43">
        <v>28</v>
      </c>
      <c r="Q211" s="43">
        <v>13.5</v>
      </c>
      <c r="R211" s="43">
        <v>2157</v>
      </c>
      <c r="S211" s="43">
        <v>40.299999999999997</v>
      </c>
      <c r="T211" s="43">
        <v>0</v>
      </c>
      <c r="U211" s="43">
        <v>600</v>
      </c>
      <c r="V211" s="43">
        <v>1043</v>
      </c>
      <c r="W211" s="43">
        <v>457</v>
      </c>
      <c r="X211" s="43">
        <v>57</v>
      </c>
      <c r="Y211" s="43">
        <v>0</v>
      </c>
      <c r="Z211" s="32">
        <v>72</v>
      </c>
      <c r="AA211" s="43" t="s">
        <v>63</v>
      </c>
      <c r="AB211" s="43">
        <v>27.1</v>
      </c>
      <c r="AC211" s="43">
        <v>304</v>
      </c>
      <c r="AD211" s="43">
        <v>24</v>
      </c>
      <c r="AE211" s="43">
        <v>31.71</v>
      </c>
      <c r="AF211" s="43">
        <v>36.03</v>
      </c>
      <c r="AG211" s="43">
        <v>281.19022392042302</v>
      </c>
      <c r="AH211" s="43">
        <v>283.22803487074901</v>
      </c>
      <c r="AI211" s="43">
        <v>320.05811007919402</v>
      </c>
      <c r="AJ211" s="43">
        <v>70.549423147773894</v>
      </c>
      <c r="AK211" s="43">
        <v>0.97985309927463804</v>
      </c>
      <c r="AL211" s="43">
        <v>0.336909791856357</v>
      </c>
      <c r="AM211" s="43">
        <v>752.98797781338999</v>
      </c>
      <c r="AN211" s="43">
        <v>10.4581663585193</v>
      </c>
      <c r="AO211" s="43">
        <v>6.3559838521313203</v>
      </c>
      <c r="AP211" s="44">
        <v>56</v>
      </c>
      <c r="AQ211" s="44">
        <v>2.9299999999999997</v>
      </c>
      <c r="AR211" s="44">
        <v>25.810407182797224</v>
      </c>
      <c r="AS211" s="44">
        <v>32.918454129057977</v>
      </c>
      <c r="AT211" s="44">
        <v>0.7</v>
      </c>
      <c r="AU211" s="44">
        <v>0.58782953801889248</v>
      </c>
      <c r="AV211" s="44">
        <f t="shared" ref="AV211:AV216" si="26">+AU211*AP211</f>
        <v>32.918454129057977</v>
      </c>
      <c r="AW211" s="44">
        <f>+VLOOKUP(C211,'Etape 1 - surface'!$A$5:$B$58,2,FALSE)</f>
        <v>0</v>
      </c>
      <c r="AX211" s="44">
        <f t="shared" si="21"/>
        <v>0</v>
      </c>
      <c r="AY211" s="44">
        <f>10.0046474463505+(37.1112351801373-10.0046474463505)/(1+EXP(-(0.581180949782075*AU211+-0.955447614584994)))</f>
        <v>19.524211492403737</v>
      </c>
      <c r="AZ211" s="63"/>
      <c r="BA211" s="63">
        <f t="shared" si="22"/>
        <v>0</v>
      </c>
      <c r="BB211" s="45"/>
      <c r="BC211" s="65">
        <v>4.4999999999999998E-2</v>
      </c>
      <c r="BD211" s="63">
        <f t="shared" ref="BD211:BD274" si="27">+(+BA211+BB211)/(1+BC211)^Z211+BD210</f>
        <v>-3503.0716309776817</v>
      </c>
    </row>
    <row r="212" spans="1:56" ht="15" x14ac:dyDescent="0.25">
      <c r="A212" t="str">
        <f>+VLOOKUP(D212,Acronyme!$A$1:$C$50,3,FALSE)</f>
        <v>Pin sylvestre</v>
      </c>
      <c r="B212" t="str">
        <f>+VLOOKUP(E212,Acronyme!$E$2:$I$50,5,FALSE)</f>
        <v>GS Pineraies des plaines du Centre et du Nord Ouest</v>
      </c>
      <c r="C212" t="s">
        <v>264</v>
      </c>
      <c r="D212" s="43" t="s">
        <v>106</v>
      </c>
      <c r="E212" s="43" t="s">
        <v>89</v>
      </c>
      <c r="F212" s="43" t="s">
        <v>115</v>
      </c>
      <c r="G212" s="43" t="s">
        <v>100</v>
      </c>
      <c r="H212" s="43">
        <v>28</v>
      </c>
      <c r="I212" s="43">
        <v>45</v>
      </c>
      <c r="J212" s="43">
        <v>2500</v>
      </c>
      <c r="K212" s="43" t="s">
        <v>109</v>
      </c>
      <c r="L212" s="43" t="s">
        <v>116</v>
      </c>
      <c r="M212" s="43" t="s">
        <v>111</v>
      </c>
      <c r="N212" s="43">
        <v>1997</v>
      </c>
      <c r="O212" s="43" t="s">
        <v>96</v>
      </c>
      <c r="P212" s="43">
        <v>21</v>
      </c>
      <c r="Q212" s="43">
        <v>12.5</v>
      </c>
      <c r="R212" s="43">
        <v>2024</v>
      </c>
      <c r="S212" s="43">
        <v>28.8</v>
      </c>
      <c r="T212" s="43">
        <v>0</v>
      </c>
      <c r="U212" s="43">
        <v>1100</v>
      </c>
      <c r="V212" s="43">
        <v>712</v>
      </c>
      <c r="W212" s="43">
        <v>162</v>
      </c>
      <c r="X212" s="43">
        <v>50</v>
      </c>
      <c r="Y212" s="43">
        <v>0</v>
      </c>
      <c r="Z212" s="32">
        <v>72</v>
      </c>
      <c r="AA212" s="43" t="s">
        <v>63</v>
      </c>
      <c r="AB212" s="43">
        <v>34.450000000000003</v>
      </c>
      <c r="AC212" s="43">
        <v>281</v>
      </c>
      <c r="AD212" s="43">
        <v>27</v>
      </c>
      <c r="AE212" s="43">
        <v>34.979999999999997</v>
      </c>
      <c r="AF212" s="43">
        <v>39.36</v>
      </c>
      <c r="AG212" s="43">
        <v>400.89527148330302</v>
      </c>
      <c r="AH212" s="43">
        <v>402.82401714514202</v>
      </c>
      <c r="AI212" s="43">
        <v>439.61966664803202</v>
      </c>
      <c r="AJ212" s="43">
        <v>67.044621872591904</v>
      </c>
      <c r="AK212" s="43">
        <v>0.931175303785998</v>
      </c>
      <c r="AL212" s="43">
        <v>0.32011704449908501</v>
      </c>
      <c r="AM212" s="43">
        <v>869.11103284861599</v>
      </c>
      <c r="AN212" s="43">
        <v>12.070986567341899</v>
      </c>
      <c r="AO212" s="43">
        <v>7.8195757631123097</v>
      </c>
      <c r="AP212" s="44">
        <v>31</v>
      </c>
      <c r="AQ212" s="44">
        <v>2.2399999999999984</v>
      </c>
      <c r="AR212" s="44">
        <v>30.331802644742382</v>
      </c>
      <c r="AS212" s="44">
        <v>32.420633728550968</v>
      </c>
      <c r="AT212" s="44">
        <v>0.77</v>
      </c>
      <c r="AU212" s="44">
        <v>1.045826894469386</v>
      </c>
      <c r="AV212" s="44">
        <f t="shared" si="26"/>
        <v>32.420633728550968</v>
      </c>
      <c r="AW212" s="44">
        <f>+VLOOKUP(C212,'Etape 1 - surface'!$A$5:$B$58,2,FALSE)</f>
        <v>0</v>
      </c>
      <c r="AX212" s="44">
        <f t="shared" si="21"/>
        <v>0</v>
      </c>
      <c r="AY212" s="44">
        <f>10.0046474463505+(37.1112351801373-10.0046474463505)/(1+EXP(-(0.581180949782075*AU212+-0.955447614584994)))</f>
        <v>21.225596791000864</v>
      </c>
      <c r="AZ212" s="63"/>
      <c r="BA212" s="63">
        <f t="shared" si="22"/>
        <v>0</v>
      </c>
      <c r="BB212" s="45"/>
      <c r="BC212" s="65">
        <v>4.4999999999999998E-2</v>
      </c>
      <c r="BD212" s="63">
        <f t="shared" si="27"/>
        <v>-3503.0716309776817</v>
      </c>
    </row>
    <row r="213" spans="1:56" ht="15" x14ac:dyDescent="0.25">
      <c r="A213" t="str">
        <f>+VLOOKUP(D213,Acronyme!$A$1:$C$50,3,FALSE)</f>
        <v>Hêtre commun</v>
      </c>
      <c r="B213" t="str">
        <f>+VLOOKUP(E213,Acronyme!$E$2:$I$50,5,FALSE)</f>
        <v>GS Hêtraies et hêtraies sapinières des Pyrénées</v>
      </c>
      <c r="C213" t="s">
        <v>264</v>
      </c>
      <c r="D213" s="43" t="s">
        <v>126</v>
      </c>
      <c r="E213" s="43" t="s">
        <v>127</v>
      </c>
      <c r="F213" s="43" t="s">
        <v>113</v>
      </c>
      <c r="G213" s="43" t="s">
        <v>100</v>
      </c>
      <c r="H213" s="43">
        <v>22</v>
      </c>
      <c r="I213" s="43">
        <v>55</v>
      </c>
      <c r="J213" s="43">
        <v>1666</v>
      </c>
      <c r="K213" s="43" t="s">
        <v>109</v>
      </c>
      <c r="L213" s="43" t="s">
        <v>103</v>
      </c>
      <c r="M213" s="43" t="s">
        <v>128</v>
      </c>
      <c r="N213" s="43"/>
      <c r="O213" s="43"/>
      <c r="P213" s="43">
        <v>42</v>
      </c>
      <c r="Q213" s="43">
        <v>19.510000000000002</v>
      </c>
      <c r="R213" s="43">
        <v>1402</v>
      </c>
      <c r="S213" s="43">
        <v>28.51</v>
      </c>
      <c r="T213" s="43">
        <v>50</v>
      </c>
      <c r="U213" s="43">
        <v>303</v>
      </c>
      <c r="V213" s="43">
        <v>595</v>
      </c>
      <c r="W213" s="43">
        <v>375</v>
      </c>
      <c r="X213" s="43">
        <v>75</v>
      </c>
      <c r="Y213" s="43">
        <v>4</v>
      </c>
      <c r="Z213" s="32">
        <v>72</v>
      </c>
      <c r="AA213" s="43" t="s">
        <v>63</v>
      </c>
      <c r="AB213" s="43">
        <v>29.51</v>
      </c>
      <c r="AC213" s="43">
        <v>261</v>
      </c>
      <c r="AD213" s="43">
        <v>18.88</v>
      </c>
      <c r="AE213" s="43">
        <v>30.34</v>
      </c>
      <c r="AF213" s="43">
        <v>35.78</v>
      </c>
      <c r="AG213" s="43">
        <v>254.82470460522401</v>
      </c>
      <c r="AH213" s="43">
        <v>273.32388447795398</v>
      </c>
      <c r="AI213" s="43">
        <v>309.329682477245</v>
      </c>
      <c r="AJ213" s="43">
        <v>53.398136227493502</v>
      </c>
      <c r="AK213" s="43">
        <v>0.74164078093740904</v>
      </c>
      <c r="AL213" s="43">
        <v>0.60239388037507002</v>
      </c>
      <c r="AM213" s="43">
        <v>766.89620034401901</v>
      </c>
      <c r="AN213" s="43">
        <v>10.651336115889199</v>
      </c>
      <c r="AO213" s="43">
        <v>13.161563660579599</v>
      </c>
      <c r="AP213" s="44">
        <v>90</v>
      </c>
      <c r="AQ213" s="44">
        <v>5.82</v>
      </c>
      <c r="AR213" s="44">
        <v>28.694277691938368</v>
      </c>
      <c r="AS213" s="44">
        <v>77.707333884679002</v>
      </c>
      <c r="AT213" s="44">
        <v>0.92</v>
      </c>
      <c r="AU213" s="44">
        <v>0.86341482094087785</v>
      </c>
      <c r="AV213" s="44">
        <f t="shared" si="26"/>
        <v>77.707333884679002</v>
      </c>
      <c r="AW213" s="44">
        <f>+VLOOKUP(C213,'Etape 1 - surface'!$A$5:$B$58,2,FALSE)</f>
        <v>0</v>
      </c>
      <c r="AX213" s="44">
        <f t="shared" si="21"/>
        <v>0</v>
      </c>
      <c r="AY213" s="44">
        <f>5.93488073153274+(78.4394250513347-5.93488073153274)/(1+EXP(-(1.03516193614659*AU213+-2.09091784316379)))</f>
        <v>22.754755267923606</v>
      </c>
      <c r="AZ213" s="63"/>
      <c r="BA213" s="63">
        <f t="shared" si="22"/>
        <v>0</v>
      </c>
      <c r="BB213" s="45"/>
      <c r="BC213" s="65">
        <v>4.4999999999999998E-2</v>
      </c>
      <c r="BD213" s="63">
        <f t="shared" si="27"/>
        <v>-3503.0716309776817</v>
      </c>
    </row>
    <row r="214" spans="1:56" ht="14.45" customHeight="1" x14ac:dyDescent="0.25">
      <c r="A214" t="str">
        <f>+VLOOKUP(D214,Acronyme!$A$1:$C$50,3,FALSE)</f>
        <v>Chene_pedoncule</v>
      </c>
      <c r="B214" t="str">
        <f>+VLOOKUP(E214,Acronyme!$E$2:$I$50,5,FALSE)</f>
        <v>Guide chênaie continentale</v>
      </c>
      <c r="C214" t="s">
        <v>264</v>
      </c>
      <c r="D214" s="43" t="s">
        <v>145</v>
      </c>
      <c r="E214" s="43" t="s">
        <v>65</v>
      </c>
      <c r="F214" s="43" t="s">
        <v>66</v>
      </c>
      <c r="G214" s="43" t="s">
        <v>100</v>
      </c>
      <c r="H214" s="43">
        <v>26</v>
      </c>
      <c r="I214" s="43" t="s">
        <v>144</v>
      </c>
      <c r="J214" s="43">
        <v>1600</v>
      </c>
      <c r="K214" s="43" t="s">
        <v>109</v>
      </c>
      <c r="L214" s="43" t="s">
        <v>103</v>
      </c>
      <c r="M214" s="43" t="s">
        <v>143</v>
      </c>
      <c r="N214" s="43"/>
      <c r="O214" s="43"/>
      <c r="P214" s="43">
        <v>31</v>
      </c>
      <c r="Q214" s="43">
        <v>16.22</v>
      </c>
      <c r="R214" s="43">
        <v>1446</v>
      </c>
      <c r="S214" s="43">
        <v>21.44</v>
      </c>
      <c r="T214" s="43">
        <v>65</v>
      </c>
      <c r="U214" s="43">
        <v>525</v>
      </c>
      <c r="V214" s="43">
        <v>696</v>
      </c>
      <c r="W214" s="43">
        <v>155</v>
      </c>
      <c r="X214" s="43">
        <v>5</v>
      </c>
      <c r="Y214" s="43">
        <v>0</v>
      </c>
      <c r="Z214" s="32">
        <v>72</v>
      </c>
      <c r="AA214" s="43" t="s">
        <v>63</v>
      </c>
      <c r="AB214" s="43">
        <v>29.52</v>
      </c>
      <c r="AC214" s="43">
        <v>101</v>
      </c>
      <c r="AD214" s="43">
        <v>19.38</v>
      </c>
      <c r="AE214" s="43">
        <v>49.42</v>
      </c>
      <c r="AF214" s="43">
        <v>49.48</v>
      </c>
      <c r="AG214" s="43">
        <v>279.55501920471301</v>
      </c>
      <c r="AH214" s="43">
        <v>314.81341763306801</v>
      </c>
      <c r="AI214" s="43">
        <v>340.64094840189301</v>
      </c>
      <c r="AJ214" s="43">
        <v>55.825375141631099</v>
      </c>
      <c r="AK214" s="43">
        <v>0.77535243252265396</v>
      </c>
      <c r="AL214" s="43">
        <v>0.59072590839386196</v>
      </c>
      <c r="AM214" s="43">
        <v>799.92370752221404</v>
      </c>
      <c r="AN214" s="43">
        <v>11.1100514933641</v>
      </c>
      <c r="AO214" s="43">
        <v>13.213169964897499</v>
      </c>
      <c r="AP214" s="44">
        <v>23</v>
      </c>
      <c r="AQ214" s="44">
        <v>3.870000000000001</v>
      </c>
      <c r="AR214" s="44">
        <v>46.28567737021465</v>
      </c>
      <c r="AS214" s="44">
        <v>55.754201840341011</v>
      </c>
      <c r="AT214" s="44">
        <v>0.9</v>
      </c>
      <c r="AU214" s="44">
        <v>2.4240957321887397</v>
      </c>
      <c r="AV214" s="44">
        <f t="shared" si="26"/>
        <v>55.754201840341011</v>
      </c>
      <c r="AW214" s="44">
        <f>+VLOOKUP(C214,'Etape 1 - surface'!$A$5:$B$58,2,FALSE)</f>
        <v>0</v>
      </c>
      <c r="AX214" s="44">
        <f t="shared" ref="AX214:AX277" si="28">+AW214*AV214</f>
        <v>0</v>
      </c>
      <c r="AY214" s="44">
        <f>10.8374384236453+(405.147848531042-10.8374384236453)/(1+EXP(-(1.16387919746889*AU214+-2.8965970117006)))</f>
        <v>200.57892381940204</v>
      </c>
      <c r="AZ214" s="63"/>
      <c r="BA214" s="63">
        <f t="shared" ref="BA214:BA277" si="29">+AX214*AY214</f>
        <v>0</v>
      </c>
      <c r="BB214" s="45"/>
      <c r="BC214" s="65">
        <v>4.4999999999999998E-2</v>
      </c>
      <c r="BD214" s="63">
        <f t="shared" si="27"/>
        <v>-3503.0716309776817</v>
      </c>
    </row>
    <row r="215" spans="1:56" ht="14.45" customHeight="1" x14ac:dyDescent="0.25">
      <c r="A215" t="str">
        <f>+VLOOKUP(D215,Acronyme!$A$1:$C$50,3,FALSE)</f>
        <v>Douglas</v>
      </c>
      <c r="B215" t="str">
        <f>+VLOOKUP(E215,Acronyme!$E$2:$I$50,5,FALSE)</f>
        <v>National</v>
      </c>
      <c r="C215" t="s">
        <v>264</v>
      </c>
      <c r="D215" s="43" t="s">
        <v>97</v>
      </c>
      <c r="E215" s="43" t="s">
        <v>98</v>
      </c>
      <c r="F215" s="43" t="s">
        <v>113</v>
      </c>
      <c r="G215" s="43" t="s">
        <v>114</v>
      </c>
      <c r="H215" s="43">
        <v>26</v>
      </c>
      <c r="I215" s="43" t="s">
        <v>101</v>
      </c>
      <c r="J215" s="43">
        <v>1666</v>
      </c>
      <c r="K215" s="43" t="s">
        <v>102</v>
      </c>
      <c r="L215" s="43" t="s">
        <v>103</v>
      </c>
      <c r="M215" s="43" t="s">
        <v>104</v>
      </c>
      <c r="N215" s="43"/>
      <c r="O215" s="43" t="s">
        <v>112</v>
      </c>
      <c r="P215" s="43">
        <v>25</v>
      </c>
      <c r="Q215" s="43">
        <v>14.76</v>
      </c>
      <c r="R215" s="43">
        <v>1600</v>
      </c>
      <c r="S215" s="43">
        <v>26.34</v>
      </c>
      <c r="T215" s="43">
        <v>40</v>
      </c>
      <c r="U215" s="43">
        <v>465</v>
      </c>
      <c r="V215" s="43">
        <v>873</v>
      </c>
      <c r="W215" s="43">
        <v>210</v>
      </c>
      <c r="X215" s="43">
        <v>12</v>
      </c>
      <c r="Y215" s="43">
        <v>0</v>
      </c>
      <c r="Z215" s="32">
        <v>73</v>
      </c>
      <c r="AA215" s="43" t="s">
        <v>63</v>
      </c>
      <c r="AB215" s="43">
        <v>35.298363303907003</v>
      </c>
      <c r="AC215" s="43">
        <v>300</v>
      </c>
      <c r="AD215" s="43">
        <v>28.371230092179498</v>
      </c>
      <c r="AE215" s="43">
        <v>34.700322806444298</v>
      </c>
      <c r="AF215" s="43">
        <v>39.201863173627103</v>
      </c>
      <c r="AG215" s="43">
        <v>306.66236530682801</v>
      </c>
      <c r="AH215" s="43">
        <v>310.15693060000001</v>
      </c>
      <c r="AI215" s="43">
        <v>386.16431551314201</v>
      </c>
      <c r="AJ215" s="43">
        <v>67.925844376619594</v>
      </c>
      <c r="AK215" s="43">
        <v>0.93049101885780305</v>
      </c>
      <c r="AL215" s="43">
        <v>0.43617633838269299</v>
      </c>
      <c r="AM215" s="43">
        <v>805.85908486804203</v>
      </c>
      <c r="AN215" s="43">
        <v>11.0391655461376</v>
      </c>
      <c r="AO215" s="43">
        <v>8.9805853798290194</v>
      </c>
      <c r="AP215" s="44">
        <v>55</v>
      </c>
      <c r="AQ215" s="44">
        <v>6.0598921038645024</v>
      </c>
      <c r="AR215" s="44">
        <v>37.454685987855306</v>
      </c>
      <c r="AS215" s="44">
        <v>66.166764750303003</v>
      </c>
      <c r="AT215" s="44">
        <v>1.136002736458257</v>
      </c>
      <c r="AU215" s="44">
        <v>1.2030320863691455</v>
      </c>
      <c r="AV215" s="44">
        <f t="shared" si="26"/>
        <v>66.166764750303003</v>
      </c>
      <c r="AW215" s="44">
        <f>+VLOOKUP(C215,'Etape 1 - surface'!$A$5:$B$58,2,FALSE)</f>
        <v>0</v>
      </c>
      <c r="AX215" s="44">
        <f t="shared" si="28"/>
        <v>0</v>
      </c>
      <c r="AY215" s="44">
        <f>17.058316746383+(70.7042249024703-17.058316746383)/(1+EXP(-(0.378583234479568*AU215+-0.73675928557405)))</f>
        <v>40.133153104241579</v>
      </c>
      <c r="AZ215" s="63"/>
      <c r="BA215" s="63">
        <f t="shared" si="29"/>
        <v>0</v>
      </c>
      <c r="BB215" s="45"/>
      <c r="BC215" s="65">
        <v>4.4999999999999998E-2</v>
      </c>
      <c r="BD215" s="63">
        <f t="shared" si="27"/>
        <v>-3503.0716309776817</v>
      </c>
    </row>
    <row r="216" spans="1:56" ht="14.45" customHeight="1" x14ac:dyDescent="0.25">
      <c r="A216" t="str">
        <f>+VLOOKUP(D216,Acronyme!$A$1:$C$50,3,FALSE)</f>
        <v>Sapin pectiné</v>
      </c>
      <c r="B216" t="str">
        <f>+VLOOKUP(E216,Acronyme!$E$2:$I$50,5,FALSE)</f>
        <v>GS Arc Jurassien</v>
      </c>
      <c r="C216" t="s">
        <v>264</v>
      </c>
      <c r="D216" s="43" t="s">
        <v>129</v>
      </c>
      <c r="E216" s="43" t="s">
        <v>119</v>
      </c>
      <c r="F216" s="43" t="s">
        <v>130</v>
      </c>
      <c r="G216" s="43" t="s">
        <v>62</v>
      </c>
      <c r="H216" s="43">
        <v>15.5</v>
      </c>
      <c r="I216" s="43" t="s">
        <v>101</v>
      </c>
      <c r="J216" s="43">
        <v>2000</v>
      </c>
      <c r="K216" s="43" t="s">
        <v>102</v>
      </c>
      <c r="L216" s="43" t="s">
        <v>103</v>
      </c>
      <c r="M216" s="43" t="s">
        <v>123</v>
      </c>
      <c r="N216" s="43"/>
      <c r="O216" s="43"/>
      <c r="P216" s="43">
        <v>57</v>
      </c>
      <c r="Q216" s="43">
        <v>18.22</v>
      </c>
      <c r="R216" s="43">
        <v>1862</v>
      </c>
      <c r="S216" s="43">
        <v>45.64</v>
      </c>
      <c r="T216" s="43">
        <v>0</v>
      </c>
      <c r="U216" s="43">
        <v>0</v>
      </c>
      <c r="V216" s="43">
        <v>1085</v>
      </c>
      <c r="W216" s="43">
        <v>663</v>
      </c>
      <c r="X216" s="43">
        <v>114</v>
      </c>
      <c r="Y216" s="43">
        <v>0</v>
      </c>
      <c r="Z216" s="32">
        <v>73</v>
      </c>
      <c r="AA216" s="43" t="s">
        <v>63</v>
      </c>
      <c r="AB216" s="43">
        <v>23.452147228414201</v>
      </c>
      <c r="AC216" s="43">
        <v>549</v>
      </c>
      <c r="AD216" s="43">
        <v>28.57</v>
      </c>
      <c r="AE216" s="43">
        <v>25.7427785345945</v>
      </c>
      <c r="AF216" s="43">
        <v>30.475212301659599</v>
      </c>
      <c r="AG216" s="43">
        <v>313.60349657180598</v>
      </c>
      <c r="AH216" s="43">
        <v>314.74997184111203</v>
      </c>
      <c r="AI216" s="43">
        <v>367.59616538185401</v>
      </c>
      <c r="AJ216" s="43">
        <v>63.009581908135601</v>
      </c>
      <c r="AK216" s="43">
        <v>0.86314495764569299</v>
      </c>
      <c r="AL216" s="43">
        <v>0.93446108970283104</v>
      </c>
      <c r="AM216" s="43">
        <v>740.67987963836697</v>
      </c>
      <c r="AN216" s="43">
        <v>10.1462997210735</v>
      </c>
      <c r="AO216" s="43">
        <v>16.6187180690386</v>
      </c>
      <c r="AP216" s="44">
        <v>159</v>
      </c>
      <c r="AQ216" s="44">
        <v>7.509999999999998</v>
      </c>
      <c r="AR216" s="44">
        <v>24.523161918902225</v>
      </c>
      <c r="AS216" s="44">
        <v>82.529674349780009</v>
      </c>
      <c r="AT216" s="44">
        <v>0.92684386841852207</v>
      </c>
      <c r="AU216" s="44">
        <v>0.51905455565899372</v>
      </c>
      <c r="AV216" s="44">
        <f t="shared" si="26"/>
        <v>82.529674349779995</v>
      </c>
      <c r="AW216" s="44">
        <f>+VLOOKUP(C216,'Etape 1 - surface'!$A$5:$B$58,2,FALSE)</f>
        <v>0</v>
      </c>
      <c r="AX216" s="44">
        <f t="shared" si="28"/>
        <v>0</v>
      </c>
      <c r="AY216" s="44">
        <f>12.60067150914+(56.0435691950881-12.60067150914)/(1+EXP(-(0.12255140894824*AU216+-0.18958347271504)))</f>
        <v>32.955773011922943</v>
      </c>
      <c r="AZ216" s="63"/>
      <c r="BA216" s="63">
        <f t="shared" si="29"/>
        <v>0</v>
      </c>
      <c r="BB216" s="45"/>
      <c r="BC216" s="65">
        <v>4.4999999999999998E-2</v>
      </c>
      <c r="BD216" s="63">
        <f t="shared" si="27"/>
        <v>-3503.0716309776817</v>
      </c>
    </row>
    <row r="217" spans="1:56" ht="14.45" customHeight="1" x14ac:dyDescent="0.25">
      <c r="C217" t="s">
        <v>263</v>
      </c>
      <c r="D217" s="43" t="s">
        <v>207</v>
      </c>
      <c r="E217" s="43" t="s">
        <v>208</v>
      </c>
      <c r="F217" s="43" t="s">
        <v>259</v>
      </c>
      <c r="G217" s="43" t="s">
        <v>114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2">
        <v>73</v>
      </c>
      <c r="AA217" s="43" t="s">
        <v>63</v>
      </c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44">
        <v>165</v>
      </c>
      <c r="AQ217" s="1"/>
      <c r="AR217" s="1"/>
      <c r="AS217" s="1"/>
      <c r="AT217" s="1"/>
      <c r="AU217" s="44">
        <f>AV217/AP217</f>
        <v>0.61818181818181817</v>
      </c>
      <c r="AV217" s="44">
        <v>102</v>
      </c>
      <c r="AW217" s="44">
        <f>+VLOOKUP(C217,'Etape 1 - surface'!$A$5:$B$58,2,FALSE)</f>
        <v>0</v>
      </c>
      <c r="AX217" s="44">
        <f t="shared" si="28"/>
        <v>0</v>
      </c>
      <c r="AY217" s="44">
        <f>82.5251889/(1+EXP(-(0.26195064*AU217+(-0.34406779))))</f>
        <v>37.51527344355933</v>
      </c>
      <c r="AZ217" s="63"/>
      <c r="BA217" s="63">
        <f t="shared" si="29"/>
        <v>0</v>
      </c>
      <c r="BB217" s="45"/>
      <c r="BC217" s="65">
        <v>4.4999999999999998E-2</v>
      </c>
      <c r="BD217" s="63">
        <f t="shared" si="27"/>
        <v>-3503.0716309776817</v>
      </c>
    </row>
    <row r="218" spans="1:56" ht="15" x14ac:dyDescent="0.25">
      <c r="A218" t="str">
        <f>+VLOOKUP(D218,Acronyme!$A$1:$C$50,3,FALSE)</f>
        <v>Pin sylvestre</v>
      </c>
      <c r="B218" t="str">
        <f>+VLOOKUP(E218,Acronyme!$E$2:$I$50,5,FALSE)</f>
        <v>GS Pineraies des plaines du Centre et du Nord Ouest</v>
      </c>
      <c r="C218" t="s">
        <v>264</v>
      </c>
      <c r="D218" s="43" t="s">
        <v>106</v>
      </c>
      <c r="E218" s="43" t="s">
        <v>89</v>
      </c>
      <c r="F218" s="43" t="s">
        <v>107</v>
      </c>
      <c r="G218" s="43" t="s">
        <v>62</v>
      </c>
      <c r="H218" s="43">
        <v>23</v>
      </c>
      <c r="I218" s="43" t="s">
        <v>108</v>
      </c>
      <c r="J218" s="43">
        <v>2500</v>
      </c>
      <c r="K218" s="43" t="s">
        <v>109</v>
      </c>
      <c r="L218" s="43" t="s">
        <v>110</v>
      </c>
      <c r="M218" s="43" t="s">
        <v>111</v>
      </c>
      <c r="N218" s="43">
        <v>2003</v>
      </c>
      <c r="O218" s="43"/>
      <c r="P218" s="43">
        <v>24</v>
      </c>
      <c r="Q218" s="43">
        <v>11.4</v>
      </c>
      <c r="R218" s="43">
        <v>2157</v>
      </c>
      <c r="S218" s="43">
        <v>40.299999999999997</v>
      </c>
      <c r="T218" s="43">
        <v>0</v>
      </c>
      <c r="U218" s="43">
        <v>600</v>
      </c>
      <c r="V218" s="43">
        <v>1043</v>
      </c>
      <c r="W218" s="43">
        <v>457</v>
      </c>
      <c r="X218" s="43">
        <v>57</v>
      </c>
      <c r="Y218" s="43">
        <v>0</v>
      </c>
      <c r="Z218" s="32">
        <v>74</v>
      </c>
      <c r="AA218" s="43" t="s">
        <v>63</v>
      </c>
      <c r="AB218" s="43">
        <v>26.87</v>
      </c>
      <c r="AC218" s="43">
        <v>214</v>
      </c>
      <c r="AD218" s="43">
        <v>23.84</v>
      </c>
      <c r="AE218" s="43">
        <v>37.659999999999997</v>
      </c>
      <c r="AF218" s="43">
        <v>40.6</v>
      </c>
      <c r="AG218" s="43">
        <v>278.31368016116602</v>
      </c>
      <c r="AH218" s="43">
        <v>281.21435500000001</v>
      </c>
      <c r="AI218" s="43">
        <v>320.740918355541</v>
      </c>
      <c r="AJ218" s="43">
        <v>76.591099540726404</v>
      </c>
      <c r="AK218" s="43">
        <v>1.03501485865846</v>
      </c>
      <c r="AL218" s="43">
        <v>0.34495995809756202</v>
      </c>
      <c r="AM218" s="43">
        <v>784.45922341559901</v>
      </c>
      <c r="AN218" s="43">
        <v>10.600800316427</v>
      </c>
      <c r="AO218" s="43">
        <v>6.4878109152120897</v>
      </c>
      <c r="AP218" s="44">
        <v>36</v>
      </c>
      <c r="AQ218" s="44">
        <v>2.560567168047502</v>
      </c>
      <c r="AR218" s="44">
        <v>30.093444170286798</v>
      </c>
      <c r="AS218" s="44">
        <v>30.016290118648953</v>
      </c>
      <c r="AT218" s="44">
        <v>0.65298995898531709</v>
      </c>
      <c r="AU218" s="44">
        <v>0.83378583662913763</v>
      </c>
      <c r="AV218" s="44">
        <f t="shared" ref="AV218:AV228" si="30">+AU218*AP218</f>
        <v>30.016290118648953</v>
      </c>
      <c r="AW218" s="44">
        <f>+VLOOKUP(C218,'Etape 1 - surface'!$A$5:$B$58,2,FALSE)</f>
        <v>0</v>
      </c>
      <c r="AX218" s="44">
        <f t="shared" si="28"/>
        <v>0</v>
      </c>
      <c r="AY218" s="44">
        <f>10.0046474463505+(37.1112351801373-10.0046474463505)/(1+EXP(-(0.581180949782075*AU218+-0.955447614584994)))</f>
        <v>20.424718394040241</v>
      </c>
      <c r="AZ218" s="63"/>
      <c r="BA218" s="63">
        <f t="shared" si="29"/>
        <v>0</v>
      </c>
      <c r="BB218" s="45"/>
      <c r="BC218" s="65">
        <v>4.4999999999999998E-2</v>
      </c>
      <c r="BD218" s="63">
        <f t="shared" si="27"/>
        <v>-3503.0716309776817</v>
      </c>
    </row>
    <row r="219" spans="1:56" ht="14.45" customHeight="1" x14ac:dyDescent="0.25">
      <c r="A219" t="str">
        <f>+VLOOKUP(D219,Acronyme!$A$1:$C$50,3,FALSE)</f>
        <v>Pin d'Alep</v>
      </c>
      <c r="B219" t="str">
        <f>+VLOOKUP(E219,Acronyme!$E$2:$I$50,5,FALSE)</f>
        <v>Pin d'Alep</v>
      </c>
      <c r="C219" t="s">
        <v>264</v>
      </c>
      <c r="D219" s="43" t="s">
        <v>146</v>
      </c>
      <c r="E219" s="43" t="s">
        <v>147</v>
      </c>
      <c r="F219" s="43" t="s">
        <v>61</v>
      </c>
      <c r="G219" s="43" t="s">
        <v>100</v>
      </c>
      <c r="H219" s="43">
        <v>15.5</v>
      </c>
      <c r="I219" s="43" t="s">
        <v>148</v>
      </c>
      <c r="J219" s="43">
        <v>1100</v>
      </c>
      <c r="K219" s="43" t="s">
        <v>109</v>
      </c>
      <c r="L219" s="43" t="s">
        <v>103</v>
      </c>
      <c r="M219" s="43" t="s">
        <v>149</v>
      </c>
      <c r="N219" s="43"/>
      <c r="O219" s="43"/>
      <c r="P219" s="43">
        <v>15</v>
      </c>
      <c r="Q219" s="43">
        <v>4.33</v>
      </c>
      <c r="R219" s="43">
        <v>1101</v>
      </c>
      <c r="S219" s="43">
        <v>4.92</v>
      </c>
      <c r="T219" s="43">
        <v>569</v>
      </c>
      <c r="U219" s="43">
        <v>532</v>
      </c>
      <c r="V219" s="43">
        <v>0</v>
      </c>
      <c r="W219" s="43">
        <v>0</v>
      </c>
      <c r="X219" s="43">
        <v>0</v>
      </c>
      <c r="Y219" s="43">
        <v>0</v>
      </c>
      <c r="Z219" s="32">
        <v>74</v>
      </c>
      <c r="AA219" s="43" t="s">
        <v>63</v>
      </c>
      <c r="AB219" s="43">
        <v>19.96</v>
      </c>
      <c r="AC219" s="43">
        <v>151</v>
      </c>
      <c r="AD219" s="43">
        <v>12.67</v>
      </c>
      <c r="AE219" s="43">
        <v>32.68</v>
      </c>
      <c r="AF219" s="43">
        <v>33.24</v>
      </c>
      <c r="AG219" s="43">
        <v>105.85294560856001</v>
      </c>
      <c r="AH219" s="43">
        <v>109.14198528393401</v>
      </c>
      <c r="AI219" s="43">
        <v>146.26334590780101</v>
      </c>
      <c r="AJ219" s="43">
        <v>43.201992859435997</v>
      </c>
      <c r="AK219" s="43">
        <v>0.58381071431670195</v>
      </c>
      <c r="AL219" s="43">
        <v>0.31154567232869801</v>
      </c>
      <c r="AM219" s="43">
        <v>443.51832009186899</v>
      </c>
      <c r="AN219" s="43">
        <v>5.9934908120522801</v>
      </c>
      <c r="AO219" s="43">
        <v>4.5582321459567696</v>
      </c>
      <c r="AP219" s="44">
        <v>198</v>
      </c>
      <c r="AQ219" s="44">
        <v>13.270000000000001</v>
      </c>
      <c r="AR219" s="44">
        <v>29.211773569617549</v>
      </c>
      <c r="AS219" s="44">
        <v>108.407223793732</v>
      </c>
      <c r="AT219" s="44">
        <v>0.9</v>
      </c>
      <c r="AU219" s="44">
        <v>0.54751123128147472</v>
      </c>
      <c r="AV219" s="44">
        <f t="shared" si="30"/>
        <v>108.407223793732</v>
      </c>
      <c r="AW219" s="44">
        <f>+VLOOKUP(C219,'Etape 1 - surface'!$A$5:$B$58,2,FALSE)</f>
        <v>0</v>
      </c>
      <c r="AX219" s="44">
        <f t="shared" si="28"/>
        <v>0</v>
      </c>
      <c r="AY219" s="44">
        <f>10.0046474463505+(37.1112351801373-10.0046474463505)/(1+EXP(-(0.581180949782075*AU219+-0.955447614584994)))</f>
        <v>19.379994417559743</v>
      </c>
      <c r="AZ219" s="63"/>
      <c r="BA219" s="63">
        <f t="shared" si="29"/>
        <v>0</v>
      </c>
      <c r="BB219" s="45"/>
      <c r="BC219" s="65">
        <v>4.4999999999999998E-2</v>
      </c>
      <c r="BD219" s="63">
        <f t="shared" si="27"/>
        <v>-3503.0716309776817</v>
      </c>
    </row>
    <row r="220" spans="1:56" ht="15" x14ac:dyDescent="0.25">
      <c r="A220" t="str">
        <f>+VLOOKUP(D220,Acronyme!$A$1:$C$50,3,FALSE)</f>
        <v>Chêne sessile</v>
      </c>
      <c r="B220" t="str">
        <f>+VLOOKUP(E220,Acronyme!$E$2:$I$50,5,FALSE)</f>
        <v>Guide chênaie atlantique</v>
      </c>
      <c r="C220" s="1" t="s">
        <v>264</v>
      </c>
      <c r="D220" s="43" t="s">
        <v>60</v>
      </c>
      <c r="E220" s="43" t="s">
        <v>150</v>
      </c>
      <c r="F220" s="43" t="s">
        <v>61</v>
      </c>
      <c r="G220" s="43" t="s">
        <v>100</v>
      </c>
      <c r="H220" s="43">
        <v>21.5</v>
      </c>
      <c r="I220" s="43" t="s">
        <v>151</v>
      </c>
      <c r="J220" s="43">
        <v>1666</v>
      </c>
      <c r="K220" s="43" t="s">
        <v>109</v>
      </c>
      <c r="L220" s="43" t="s">
        <v>103</v>
      </c>
      <c r="M220" s="43" t="s">
        <v>143</v>
      </c>
      <c r="N220" s="43"/>
      <c r="O220" s="43"/>
      <c r="P220" s="43">
        <v>34</v>
      </c>
      <c r="Q220" s="43">
        <v>16.2</v>
      </c>
      <c r="R220" s="43">
        <v>1451</v>
      </c>
      <c r="S220" s="43">
        <v>23.57</v>
      </c>
      <c r="T220" s="43">
        <v>44</v>
      </c>
      <c r="U220" s="43">
        <v>444</v>
      </c>
      <c r="V220" s="43">
        <v>742</v>
      </c>
      <c r="W220" s="43">
        <v>211</v>
      </c>
      <c r="X220" s="43">
        <v>10</v>
      </c>
      <c r="Y220" s="43">
        <v>0</v>
      </c>
      <c r="Z220" s="32">
        <v>74</v>
      </c>
      <c r="AA220" s="43" t="s">
        <v>63</v>
      </c>
      <c r="AB220" s="43">
        <v>27.76</v>
      </c>
      <c r="AC220" s="43">
        <v>217</v>
      </c>
      <c r="AD220" s="43">
        <v>22.91</v>
      </c>
      <c r="AE220" s="43">
        <v>36.67</v>
      </c>
      <c r="AF220" s="43">
        <v>40.31</v>
      </c>
      <c r="AG220" s="43">
        <v>312.338298650875</v>
      </c>
      <c r="AH220" s="43">
        <v>339.47625349344901</v>
      </c>
      <c r="AI220" s="43">
        <v>369.610514061836</v>
      </c>
      <c r="AJ220" s="43">
        <v>58.266907705439898</v>
      </c>
      <c r="AK220" s="43">
        <v>0.78739064466810604</v>
      </c>
      <c r="AL220" s="43">
        <v>0.60559244581143001</v>
      </c>
      <c r="AM220" s="43">
        <v>811.52511709948601</v>
      </c>
      <c r="AN220" s="43">
        <v>10.9665556364795</v>
      </c>
      <c r="AO220" s="43">
        <v>12.707204954068599</v>
      </c>
      <c r="AP220" s="44">
        <v>62</v>
      </c>
      <c r="AQ220" s="44">
        <v>5.3000000000000007</v>
      </c>
      <c r="AR220" s="44">
        <v>32.99112683028077</v>
      </c>
      <c r="AS220" s="44">
        <v>71.176257734040973</v>
      </c>
      <c r="AT220" s="44">
        <v>0.84</v>
      </c>
      <c r="AU220" s="44">
        <v>1.1480041570006609</v>
      </c>
      <c r="AV220" s="44">
        <f t="shared" si="30"/>
        <v>71.176257734040973</v>
      </c>
      <c r="AW220" s="44">
        <f>+VLOOKUP(C220,'Etape 1 - surface'!$A$5:$B$58,2,FALSE)</f>
        <v>0</v>
      </c>
      <c r="AX220" s="44">
        <f t="shared" si="28"/>
        <v>0</v>
      </c>
      <c r="AY220" s="44">
        <f>10.8374384236453+(405.147848531042-10.8374384236453)/(1+EXP(-(1.16387919746889*AU220+-2.8965970117006)))</f>
        <v>79.282160460828109</v>
      </c>
      <c r="AZ220" s="63"/>
      <c r="BA220" s="63">
        <f t="shared" si="29"/>
        <v>0</v>
      </c>
      <c r="BB220" s="45"/>
      <c r="BC220" s="65">
        <v>4.4999999999999998E-2</v>
      </c>
      <c r="BD220" s="63">
        <f t="shared" si="27"/>
        <v>-3503.0716309776817</v>
      </c>
    </row>
    <row r="221" spans="1:56" ht="15" x14ac:dyDescent="0.25">
      <c r="A221" t="str">
        <f>+VLOOKUP(D221,Acronyme!$A$1:$C$50,3,FALSE)</f>
        <v>Chêne sessile</v>
      </c>
      <c r="B221" t="str">
        <f>+VLOOKUP(E221,Acronyme!$E$2:$I$50,5,FALSE)</f>
        <v>Guide chênaie atlantique</v>
      </c>
      <c r="C221" t="s">
        <v>264</v>
      </c>
      <c r="D221" s="43" t="s">
        <v>60</v>
      </c>
      <c r="E221" s="43" t="s">
        <v>150</v>
      </c>
      <c r="F221" s="43" t="s">
        <v>61</v>
      </c>
      <c r="G221" s="43" t="s">
        <v>62</v>
      </c>
      <c r="H221" s="43">
        <v>18.18</v>
      </c>
      <c r="I221" s="43" t="s">
        <v>142</v>
      </c>
      <c r="J221" s="43">
        <v>1666</v>
      </c>
      <c r="K221" s="43" t="s">
        <v>109</v>
      </c>
      <c r="L221" s="43" t="s">
        <v>103</v>
      </c>
      <c r="M221" s="43" t="s">
        <v>143</v>
      </c>
      <c r="N221" s="43"/>
      <c r="O221" s="43"/>
      <c r="P221" s="43">
        <v>42</v>
      </c>
      <c r="Q221" s="43">
        <v>16.02</v>
      </c>
      <c r="R221" s="43">
        <v>1451</v>
      </c>
      <c r="S221" s="43">
        <v>23.57</v>
      </c>
      <c r="T221" s="43">
        <v>44</v>
      </c>
      <c r="U221" s="43">
        <v>444</v>
      </c>
      <c r="V221" s="43">
        <v>742</v>
      </c>
      <c r="W221" s="43">
        <v>211</v>
      </c>
      <c r="X221" s="43">
        <v>10</v>
      </c>
      <c r="Y221" s="43">
        <v>0</v>
      </c>
      <c r="Z221" s="32">
        <v>74</v>
      </c>
      <c r="AA221" s="43" t="s">
        <v>63</v>
      </c>
      <c r="AB221" s="43">
        <v>23.33</v>
      </c>
      <c r="AC221" s="43">
        <v>315</v>
      </c>
      <c r="AD221" s="43">
        <v>21.1</v>
      </c>
      <c r="AE221" s="43">
        <v>29.2</v>
      </c>
      <c r="AF221" s="43">
        <v>33.869999999999997</v>
      </c>
      <c r="AG221" s="43">
        <v>238.88184460424301</v>
      </c>
      <c r="AH221" s="43">
        <v>260.07376443855202</v>
      </c>
      <c r="AI221" s="43">
        <v>290.09891475959103</v>
      </c>
      <c r="AJ221" s="43">
        <v>46.366018126054499</v>
      </c>
      <c r="AK221" s="43">
        <v>0.62656781251425098</v>
      </c>
      <c r="AL221" s="43">
        <v>0.55897168468905101</v>
      </c>
      <c r="AM221" s="43">
        <v>570.28688987173496</v>
      </c>
      <c r="AN221" s="43">
        <v>7.7065795928612904</v>
      </c>
      <c r="AO221" s="43">
        <v>9.9259320452122193</v>
      </c>
      <c r="AP221" s="44">
        <v>74</v>
      </c>
      <c r="AQ221" s="44">
        <v>4.3099999999999987</v>
      </c>
      <c r="AR221" s="44">
        <v>27.231893160580359</v>
      </c>
      <c r="AS221" s="44">
        <v>48.290220373795961</v>
      </c>
      <c r="AT221" s="44">
        <v>0.89</v>
      </c>
      <c r="AU221" s="44">
        <v>0.65257054559183736</v>
      </c>
      <c r="AV221" s="44">
        <f t="shared" si="30"/>
        <v>48.290220373795961</v>
      </c>
      <c r="AW221" s="44">
        <f>+VLOOKUP(C221,'Etape 1 - surface'!$A$5:$B$58,2,FALSE)</f>
        <v>0</v>
      </c>
      <c r="AX221" s="44">
        <f t="shared" si="28"/>
        <v>0</v>
      </c>
      <c r="AY221" s="44">
        <f>10.8374384236453+(405.147848531042-10.8374384236453)/(1+EXP(-(1.16387919746889*AU221+-2.8965970117006)))</f>
        <v>52.454687326312502</v>
      </c>
      <c r="AZ221" s="63"/>
      <c r="BA221" s="63">
        <f t="shared" si="29"/>
        <v>0</v>
      </c>
      <c r="BB221" s="45"/>
      <c r="BC221" s="65">
        <v>4.4999999999999998E-2</v>
      </c>
      <c r="BD221" s="63">
        <f t="shared" si="27"/>
        <v>-3503.0716309776817</v>
      </c>
    </row>
    <row r="222" spans="1:56" ht="15" x14ac:dyDescent="0.25">
      <c r="A222" t="str">
        <f>+VLOOKUP(D222,Acronyme!$A$1:$C$50,3,FALSE)</f>
        <v>Hêtre commun</v>
      </c>
      <c r="B222" t="str">
        <f>+VLOOKUP(E222,Acronyme!$E$2:$I$50,5,FALSE)</f>
        <v>GS Hêtraies et hêtraies sapinières des Pyrénées</v>
      </c>
      <c r="C222" t="s">
        <v>264</v>
      </c>
      <c r="D222" s="43" t="s">
        <v>126</v>
      </c>
      <c r="E222" s="43" t="s">
        <v>127</v>
      </c>
      <c r="F222" s="43" t="s">
        <v>113</v>
      </c>
      <c r="G222" s="43" t="s">
        <v>62</v>
      </c>
      <c r="H222" s="43">
        <v>18</v>
      </c>
      <c r="I222" s="43">
        <v>55</v>
      </c>
      <c r="J222" s="43">
        <v>1666</v>
      </c>
      <c r="K222" s="43" t="s">
        <v>109</v>
      </c>
      <c r="L222" s="43" t="s">
        <v>103</v>
      </c>
      <c r="M222" s="43" t="s">
        <v>128</v>
      </c>
      <c r="N222" s="43"/>
      <c r="O222" s="43"/>
      <c r="P222" s="43">
        <v>57</v>
      </c>
      <c r="Q222" s="43">
        <v>19.899999999999999</v>
      </c>
      <c r="R222" s="43">
        <v>1402</v>
      </c>
      <c r="S222" s="43">
        <v>28.51</v>
      </c>
      <c r="T222" s="43">
        <v>50</v>
      </c>
      <c r="U222" s="43">
        <v>303</v>
      </c>
      <c r="V222" s="43">
        <v>595</v>
      </c>
      <c r="W222" s="43">
        <v>375</v>
      </c>
      <c r="X222" s="43">
        <v>75</v>
      </c>
      <c r="Y222" s="43">
        <v>4</v>
      </c>
      <c r="Z222" s="32">
        <v>75</v>
      </c>
      <c r="AA222" s="43" t="s">
        <v>63</v>
      </c>
      <c r="AB222" s="43">
        <v>24.96</v>
      </c>
      <c r="AC222" s="43">
        <v>371</v>
      </c>
      <c r="AD222" s="43">
        <v>16.809999999999999</v>
      </c>
      <c r="AE222" s="43">
        <v>24.02</v>
      </c>
      <c r="AF222" s="43">
        <v>30.85</v>
      </c>
      <c r="AG222" s="43">
        <v>187.867987985616</v>
      </c>
      <c r="AH222" s="43">
        <v>201.31630124694701</v>
      </c>
      <c r="AI222" s="43">
        <v>235.70100143984499</v>
      </c>
      <c r="AJ222" s="43">
        <v>41.570714889325501</v>
      </c>
      <c r="AK222" s="43">
        <v>0.55427619852433896</v>
      </c>
      <c r="AL222" s="43">
        <v>0.62837301117056199</v>
      </c>
      <c r="AM222" s="43">
        <v>535.68666020920705</v>
      </c>
      <c r="AN222" s="43">
        <v>7.1424888027894298</v>
      </c>
      <c r="AO222" s="43">
        <v>11.446013323557301</v>
      </c>
      <c r="AP222" s="44">
        <v>229</v>
      </c>
      <c r="AQ222" s="44">
        <v>6.7800000000000011</v>
      </c>
      <c r="AR222" s="44">
        <v>19.415660308364465</v>
      </c>
      <c r="AS222" s="44">
        <v>71.293166610815007</v>
      </c>
      <c r="AT222" s="44">
        <v>0.75</v>
      </c>
      <c r="AU222" s="44">
        <v>0.31132387166294762</v>
      </c>
      <c r="AV222" s="44">
        <f t="shared" si="30"/>
        <v>71.293166610815007</v>
      </c>
      <c r="AW222" s="44">
        <f>+VLOOKUP(C222,'Etape 1 - surface'!$A$5:$B$58,2,FALSE)</f>
        <v>0</v>
      </c>
      <c r="AX222" s="44">
        <f t="shared" si="28"/>
        <v>0</v>
      </c>
      <c r="AY222" s="44">
        <f>5.93488073153274+(78.4394250513347-5.93488073153274)/(1+EXP(-(1.03516193614659*AU222+-2.09091784316379)))</f>
        <v>16.49956434803866</v>
      </c>
      <c r="AZ222" s="63"/>
      <c r="BA222" s="63">
        <f t="shared" si="29"/>
        <v>0</v>
      </c>
      <c r="BB222" s="45"/>
      <c r="BC222" s="65">
        <v>4.4999999999999998E-2</v>
      </c>
      <c r="BD222" s="63">
        <f t="shared" si="27"/>
        <v>-3503.0716309776817</v>
      </c>
    </row>
    <row r="223" spans="1:56" ht="14.45" customHeight="1" x14ac:dyDescent="0.25">
      <c r="A223" t="str">
        <f>+VLOOKUP(D223,Acronyme!$A$1:$C$50,3,FALSE)</f>
        <v>Sapin pectiné</v>
      </c>
      <c r="B223" t="str">
        <f>+VLOOKUP(E223,Acronyme!$E$2:$I$50,5,FALSE)</f>
        <v>GS Arc Jurassien</v>
      </c>
      <c r="C223" t="s">
        <v>264</v>
      </c>
      <c r="D223" s="43" t="s">
        <v>129</v>
      </c>
      <c r="E223" s="43" t="s">
        <v>119</v>
      </c>
      <c r="F223" s="43" t="s">
        <v>130</v>
      </c>
      <c r="G223" s="43" t="s">
        <v>100</v>
      </c>
      <c r="H223" s="43">
        <v>20</v>
      </c>
      <c r="I223" s="43" t="s">
        <v>122</v>
      </c>
      <c r="J223" s="43">
        <v>2000</v>
      </c>
      <c r="K223" s="43" t="s">
        <v>102</v>
      </c>
      <c r="L223" s="43" t="s">
        <v>103</v>
      </c>
      <c r="M223" s="43" t="s">
        <v>123</v>
      </c>
      <c r="N223" s="43"/>
      <c r="O223" s="43"/>
      <c r="P223" s="43">
        <v>45</v>
      </c>
      <c r="Q223" s="43">
        <v>17.7</v>
      </c>
      <c r="R223" s="43">
        <v>1853</v>
      </c>
      <c r="S223" s="43">
        <v>45.68</v>
      </c>
      <c r="T223" s="43">
        <v>0</v>
      </c>
      <c r="U223" s="43">
        <v>0</v>
      </c>
      <c r="V223" s="43">
        <v>1079</v>
      </c>
      <c r="W223" s="43">
        <v>672</v>
      </c>
      <c r="X223" s="43">
        <v>94</v>
      </c>
      <c r="Y223" s="43">
        <v>8</v>
      </c>
      <c r="Z223" s="32">
        <v>75</v>
      </c>
      <c r="AA223" s="43" t="s">
        <v>63</v>
      </c>
      <c r="AB223" s="43">
        <v>29.208897085223398</v>
      </c>
      <c r="AC223" s="43">
        <v>311</v>
      </c>
      <c r="AD223" s="43">
        <v>30.2</v>
      </c>
      <c r="AE223" s="43">
        <v>35.1620204224253</v>
      </c>
      <c r="AF223" s="43">
        <v>38.965713570818501</v>
      </c>
      <c r="AG223" s="43">
        <v>427.60401591287803</v>
      </c>
      <c r="AH223" s="43">
        <v>429.14771607593099</v>
      </c>
      <c r="AI223" s="43">
        <v>477.95532907777198</v>
      </c>
      <c r="AJ223" s="43">
        <v>83.479974472999004</v>
      </c>
      <c r="AK223" s="43">
        <v>1.11306632630665</v>
      </c>
      <c r="AL223" s="43">
        <v>0.89534729093806198</v>
      </c>
      <c r="AM223" s="43">
        <v>1121.16008705285</v>
      </c>
      <c r="AN223" s="43">
        <v>14.948801160704599</v>
      </c>
      <c r="AO223" s="43">
        <v>19.198193358429801</v>
      </c>
      <c r="AP223" s="44">
        <v>80</v>
      </c>
      <c r="AQ223" s="44">
        <v>7.1999999999999993</v>
      </c>
      <c r="AR223" s="44">
        <v>33.851375012865375</v>
      </c>
      <c r="AS223" s="44">
        <v>101.20134646371901</v>
      </c>
      <c r="AT223" s="44">
        <v>0.94100627841905438</v>
      </c>
      <c r="AU223" s="44">
        <v>1.2650168307964875</v>
      </c>
      <c r="AV223" s="44">
        <f t="shared" si="30"/>
        <v>101.20134646371901</v>
      </c>
      <c r="AW223" s="44">
        <f>+VLOOKUP(C223,'Etape 1 - surface'!$A$5:$B$58,2,FALSE)</f>
        <v>0</v>
      </c>
      <c r="AX223" s="44">
        <f t="shared" si="28"/>
        <v>0</v>
      </c>
      <c r="AY223" s="44">
        <f>12.60067150914+(56.0435691950881-12.60067150914)/(1+EXP(-(0.12255140894824*AU223+-0.18958347271504)))</f>
        <v>33.946877543087083</v>
      </c>
      <c r="AZ223" s="63"/>
      <c r="BA223" s="63">
        <f t="shared" si="29"/>
        <v>0</v>
      </c>
      <c r="BB223" s="45"/>
      <c r="BC223" s="65">
        <v>4.4999999999999998E-2</v>
      </c>
      <c r="BD223" s="63">
        <f t="shared" si="27"/>
        <v>-3503.0716309776817</v>
      </c>
    </row>
    <row r="224" spans="1:56" ht="14.45" customHeight="1" x14ac:dyDescent="0.25">
      <c r="A224" t="str">
        <f>+VLOOKUP(D224,Acronyme!$A$1:$C$50,3,FALSE)</f>
        <v>Sapin pectiné</v>
      </c>
      <c r="B224" t="str">
        <f>+VLOOKUP(E224,Acronyme!$E$2:$I$50,5,FALSE)</f>
        <v>GS Arc Jurassien</v>
      </c>
      <c r="C224" t="s">
        <v>264</v>
      </c>
      <c r="D224" s="43" t="s">
        <v>129</v>
      </c>
      <c r="E224" s="43" t="s">
        <v>119</v>
      </c>
      <c r="F224" s="43" t="s">
        <v>130</v>
      </c>
      <c r="G224" s="43" t="s">
        <v>100</v>
      </c>
      <c r="H224" s="43">
        <v>20</v>
      </c>
      <c r="I224" s="43" t="s">
        <v>101</v>
      </c>
      <c r="J224" s="43">
        <v>2000</v>
      </c>
      <c r="K224" s="43" t="s">
        <v>102</v>
      </c>
      <c r="L224" s="43" t="s">
        <v>103</v>
      </c>
      <c r="M224" s="43" t="s">
        <v>123</v>
      </c>
      <c r="N224" s="43"/>
      <c r="O224" s="43"/>
      <c r="P224" s="43">
        <v>45</v>
      </c>
      <c r="Q224" s="43">
        <v>17.7</v>
      </c>
      <c r="R224" s="43">
        <v>1853</v>
      </c>
      <c r="S224" s="43">
        <v>45.68</v>
      </c>
      <c r="T224" s="43">
        <v>0</v>
      </c>
      <c r="U224" s="43">
        <v>0</v>
      </c>
      <c r="V224" s="43">
        <v>1079</v>
      </c>
      <c r="W224" s="43">
        <v>672</v>
      </c>
      <c r="X224" s="43">
        <v>94</v>
      </c>
      <c r="Y224" s="43">
        <v>8</v>
      </c>
      <c r="Z224" s="32">
        <v>75</v>
      </c>
      <c r="AA224" s="43" t="s">
        <v>63</v>
      </c>
      <c r="AB224" s="43">
        <v>29.208897085223398</v>
      </c>
      <c r="AC224" s="43">
        <v>311</v>
      </c>
      <c r="AD224" s="43">
        <v>30.2</v>
      </c>
      <c r="AE224" s="43">
        <v>35.1620204224253</v>
      </c>
      <c r="AF224" s="43">
        <v>38.965713570818501</v>
      </c>
      <c r="AG224" s="43">
        <v>427.60401591287803</v>
      </c>
      <c r="AH224" s="43">
        <v>429.14771607593099</v>
      </c>
      <c r="AI224" s="43">
        <v>477.95532907777198</v>
      </c>
      <c r="AJ224" s="43">
        <v>83.479974472999004</v>
      </c>
      <c r="AK224" s="43">
        <v>1.11306632630665</v>
      </c>
      <c r="AL224" s="43">
        <v>0.89534729093806198</v>
      </c>
      <c r="AM224" s="43">
        <v>1121.16008705285</v>
      </c>
      <c r="AN224" s="43">
        <v>14.948801160704599</v>
      </c>
      <c r="AO224" s="43">
        <v>19.198193358429801</v>
      </c>
      <c r="AP224" s="44">
        <v>80</v>
      </c>
      <c r="AQ224" s="44">
        <v>7.1999999999999993</v>
      </c>
      <c r="AR224" s="44">
        <v>33.851375012865375</v>
      </c>
      <c r="AS224" s="44">
        <v>101.20134646371901</v>
      </c>
      <c r="AT224" s="44">
        <v>0.94100627841905438</v>
      </c>
      <c r="AU224" s="44">
        <v>1.2650168307964875</v>
      </c>
      <c r="AV224" s="44">
        <f t="shared" si="30"/>
        <v>101.20134646371901</v>
      </c>
      <c r="AW224" s="44">
        <f>+VLOOKUP(C224,'Etape 1 - surface'!$A$5:$B$58,2,FALSE)</f>
        <v>0</v>
      </c>
      <c r="AX224" s="44">
        <f t="shared" si="28"/>
        <v>0</v>
      </c>
      <c r="AY224" s="44">
        <f>12.60067150914+(56.0435691950881-12.60067150914)/(1+EXP(-(0.12255140894824*AU224+-0.18958347271504)))</f>
        <v>33.946877543087083</v>
      </c>
      <c r="AZ224" s="63"/>
      <c r="BA224" s="63">
        <f t="shared" si="29"/>
        <v>0</v>
      </c>
      <c r="BB224" s="45"/>
      <c r="BC224" s="65">
        <v>4.4999999999999998E-2</v>
      </c>
      <c r="BD224" s="63">
        <f t="shared" si="27"/>
        <v>-3503.0716309776817</v>
      </c>
    </row>
    <row r="225" spans="1:56" ht="15" x14ac:dyDescent="0.25">
      <c r="A225" t="str">
        <f>+VLOOKUP(D225,Acronyme!$A$1:$C$50,3,FALSE)</f>
        <v>Pin Noir d'Autriche</v>
      </c>
      <c r="B225" t="str">
        <f>+VLOOKUP(E225,Acronyme!$E$2:$I$50,5,FALSE)</f>
        <v>GSM Alpes du Sud</v>
      </c>
      <c r="C225" t="s">
        <v>264</v>
      </c>
      <c r="D225" s="43" t="s">
        <v>131</v>
      </c>
      <c r="E225" s="43" t="s">
        <v>132</v>
      </c>
      <c r="F225" s="43" t="s">
        <v>136</v>
      </c>
      <c r="G225" s="43" t="s">
        <v>62</v>
      </c>
      <c r="H225" s="43">
        <v>15.2</v>
      </c>
      <c r="I225" s="43" t="s">
        <v>108</v>
      </c>
      <c r="J225" s="43">
        <v>1100</v>
      </c>
      <c r="K225" s="43" t="s">
        <v>109</v>
      </c>
      <c r="L225" s="43" t="s">
        <v>134</v>
      </c>
      <c r="M225" s="43" t="s">
        <v>135</v>
      </c>
      <c r="N225" s="43"/>
      <c r="O225" s="43"/>
      <c r="P225" s="43">
        <v>15</v>
      </c>
      <c r="Q225" s="43">
        <v>3.96</v>
      </c>
      <c r="R225" s="43">
        <v>6000</v>
      </c>
      <c r="S225" s="43">
        <v>9.57</v>
      </c>
      <c r="T225" s="43">
        <v>6000</v>
      </c>
      <c r="U225" s="43">
        <v>0</v>
      </c>
      <c r="V225" s="43">
        <v>0</v>
      </c>
      <c r="W225" s="43">
        <v>0</v>
      </c>
      <c r="X225" s="43">
        <v>0</v>
      </c>
      <c r="Y225" s="43">
        <v>0</v>
      </c>
      <c r="Z225" s="32">
        <v>75</v>
      </c>
      <c r="AA225" s="43" t="s">
        <v>63</v>
      </c>
      <c r="AB225" s="43">
        <v>18.940000000000001</v>
      </c>
      <c r="AC225" s="43">
        <v>275</v>
      </c>
      <c r="AD225" s="43">
        <v>22.16</v>
      </c>
      <c r="AE225" s="43">
        <v>32.03</v>
      </c>
      <c r="AF225" s="43">
        <v>35.619999999999997</v>
      </c>
      <c r="AG225" s="43">
        <v>197.65071843395799</v>
      </c>
      <c r="AH225" s="43">
        <v>199.03759909271099</v>
      </c>
      <c r="AI225" s="43">
        <v>223.60570890380299</v>
      </c>
      <c r="AJ225" s="43">
        <v>51.044547389956001</v>
      </c>
      <c r="AK225" s="43">
        <v>0.68059396519941295</v>
      </c>
      <c r="AL225" s="43">
        <v>0.60417860659520395</v>
      </c>
      <c r="AM225" s="43">
        <v>486.02192613034902</v>
      </c>
      <c r="AN225" s="43">
        <v>6.4802923484046504</v>
      </c>
      <c r="AO225" s="43">
        <v>7.0426113605479497</v>
      </c>
      <c r="AP225" s="44">
        <v>121</v>
      </c>
      <c r="AQ225" s="44">
        <v>8.379999999999999</v>
      </c>
      <c r="AR225" s="44">
        <v>29.695072058097313</v>
      </c>
      <c r="AS225" s="44">
        <v>75.065403766544023</v>
      </c>
      <c r="AT225" s="44">
        <v>0.9</v>
      </c>
      <c r="AU225" s="44">
        <v>0.62037523774003323</v>
      </c>
      <c r="AV225" s="44">
        <f t="shared" si="30"/>
        <v>75.065403766544023</v>
      </c>
      <c r="AW225" s="44">
        <f>+VLOOKUP(C225,'Etape 1 - surface'!$A$5:$B$58,2,FALSE)</f>
        <v>0</v>
      </c>
      <c r="AX225" s="44">
        <f t="shared" si="28"/>
        <v>0</v>
      </c>
      <c r="AY225" s="44">
        <f>10.0046474463505+(37.1112351801373-10.0046474463505)/(1+EXP(-(0.581180949782075*AU225+-0.955447614584994)))</f>
        <v>19.641363760973423</v>
      </c>
      <c r="AZ225" s="63"/>
      <c r="BA225" s="63">
        <f t="shared" si="29"/>
        <v>0</v>
      </c>
      <c r="BB225" s="45"/>
      <c r="BC225" s="65">
        <v>4.4999999999999998E-2</v>
      </c>
      <c r="BD225" s="63">
        <f t="shared" si="27"/>
        <v>-3503.0716309776817</v>
      </c>
    </row>
    <row r="226" spans="1:56" ht="15" x14ac:dyDescent="0.25">
      <c r="A226" t="str">
        <f>+VLOOKUP(D226,Acronyme!$A$1:$C$50,3,FALSE)</f>
        <v>Sapin pectiné</v>
      </c>
      <c r="B226" t="str">
        <f>+VLOOKUP(E226,Acronyme!$E$2:$I$50,5,FALSE)</f>
        <v>GSM Alpes du Sud</v>
      </c>
      <c r="C226" t="s">
        <v>264</v>
      </c>
      <c r="D226" s="43" t="s">
        <v>129</v>
      </c>
      <c r="E226" s="43" t="s">
        <v>132</v>
      </c>
      <c r="F226" s="43" t="s">
        <v>140</v>
      </c>
      <c r="G226" s="43" t="s">
        <v>62</v>
      </c>
      <c r="H226" s="43">
        <v>14</v>
      </c>
      <c r="I226" s="43" t="s">
        <v>108</v>
      </c>
      <c r="J226" s="43">
        <v>3000</v>
      </c>
      <c r="K226" s="43" t="s">
        <v>109</v>
      </c>
      <c r="L226" s="43" t="s">
        <v>134</v>
      </c>
      <c r="M226" s="43" t="s">
        <v>135</v>
      </c>
      <c r="N226" s="43"/>
      <c r="O226" s="43"/>
      <c r="P226" s="43">
        <v>70</v>
      </c>
      <c r="Q226" s="43">
        <v>16.989999999999998</v>
      </c>
      <c r="R226" s="43">
        <v>2299</v>
      </c>
      <c r="S226" s="43">
        <v>46.07</v>
      </c>
      <c r="T226" s="43">
        <v>0</v>
      </c>
      <c r="U226" s="43">
        <v>582</v>
      </c>
      <c r="V226" s="43">
        <v>948</v>
      </c>
      <c r="W226" s="43">
        <v>642</v>
      </c>
      <c r="X226" s="43">
        <v>127</v>
      </c>
      <c r="Y226" s="43">
        <v>0</v>
      </c>
      <c r="Z226" s="32">
        <v>75</v>
      </c>
      <c r="AA226" s="43" t="s">
        <v>63</v>
      </c>
      <c r="AB226" s="43">
        <v>17.41</v>
      </c>
      <c r="AC226" s="43">
        <v>877</v>
      </c>
      <c r="AD226" s="43">
        <v>23.03</v>
      </c>
      <c r="AE226" s="43">
        <v>18.28</v>
      </c>
      <c r="AF226" s="43">
        <v>26.23</v>
      </c>
      <c r="AG226" s="43">
        <v>162.552888779634</v>
      </c>
      <c r="AH226" s="43">
        <v>163.516638617322</v>
      </c>
      <c r="AI226" s="43">
        <v>215.58428396691201</v>
      </c>
      <c r="AJ226" s="43">
        <v>54.000097117861102</v>
      </c>
      <c r="AK226" s="43">
        <v>0.72000129490481402</v>
      </c>
      <c r="AL226" s="43">
        <v>0.968165183917851</v>
      </c>
      <c r="AM226" s="43">
        <v>492.89982723666299</v>
      </c>
      <c r="AN226" s="43">
        <v>6.5719976964888396</v>
      </c>
      <c r="AO226" s="43">
        <v>9.9978964902969807</v>
      </c>
      <c r="AP226" s="44">
        <v>1363</v>
      </c>
      <c r="AQ226" s="44">
        <v>29.9</v>
      </c>
      <c r="AR226" s="44">
        <v>16.712550230251797</v>
      </c>
      <c r="AS226" s="44">
        <v>198.54640254396801</v>
      </c>
      <c r="AT226" s="44">
        <v>0.93</v>
      </c>
      <c r="AU226" s="44">
        <v>0.1456686739134028</v>
      </c>
      <c r="AV226" s="44">
        <f t="shared" si="30"/>
        <v>198.54640254396801</v>
      </c>
      <c r="AW226" s="44">
        <f>+VLOOKUP(C226,'Etape 1 - surface'!$A$5:$B$58,2,FALSE)</f>
        <v>0</v>
      </c>
      <c r="AX226" s="44">
        <f t="shared" si="28"/>
        <v>0</v>
      </c>
      <c r="AY226" s="44">
        <f>12.60067150914+(56.0435691950881-12.60067150914)/(1+EXP(-(0.12255140894824*AU226+-0.18958347271504)))</f>
        <v>32.46156142593901</v>
      </c>
      <c r="AZ226" s="63"/>
      <c r="BA226" s="63">
        <f t="shared" si="29"/>
        <v>0</v>
      </c>
      <c r="BB226" s="45"/>
      <c r="BC226" s="65">
        <v>4.4999999999999998E-2</v>
      </c>
      <c r="BD226" s="63">
        <f t="shared" si="27"/>
        <v>-3503.0716309776817</v>
      </c>
    </row>
    <row r="227" spans="1:56" ht="15" x14ac:dyDescent="0.25">
      <c r="A227" t="str">
        <f>+VLOOKUP(D227,Acronyme!$A$1:$C$50,3,FALSE)</f>
        <v>Chêne sessile</v>
      </c>
      <c r="B227" t="str">
        <f>+VLOOKUP(E227,Acronyme!$E$2:$I$50,5,FALSE)</f>
        <v>Guide chênaie continentale</v>
      </c>
      <c r="C227" t="s">
        <v>264</v>
      </c>
      <c r="D227" s="43" t="s">
        <v>60</v>
      </c>
      <c r="E227" s="43" t="s">
        <v>65</v>
      </c>
      <c r="F227" s="43" t="s">
        <v>66</v>
      </c>
      <c r="G227" s="43" t="s">
        <v>62</v>
      </c>
      <c r="H227" s="43">
        <v>18</v>
      </c>
      <c r="I227" s="43" t="s">
        <v>142</v>
      </c>
      <c r="J227" s="43">
        <v>1666</v>
      </c>
      <c r="K227" s="43" t="s">
        <v>109</v>
      </c>
      <c r="L227" s="43" t="s">
        <v>103</v>
      </c>
      <c r="M227" s="43" t="s">
        <v>143</v>
      </c>
      <c r="N227" s="43"/>
      <c r="O227" s="43"/>
      <c r="P227" s="43">
        <v>44</v>
      </c>
      <c r="Q227" s="43">
        <v>16.579999999999998</v>
      </c>
      <c r="R227" s="43">
        <v>1453</v>
      </c>
      <c r="S227" s="43">
        <v>26.19</v>
      </c>
      <c r="T227" s="43">
        <v>41</v>
      </c>
      <c r="U227" s="43">
        <v>369</v>
      </c>
      <c r="V227" s="43">
        <v>713</v>
      </c>
      <c r="W227" s="43">
        <v>301</v>
      </c>
      <c r="X227" s="43">
        <v>28</v>
      </c>
      <c r="Y227" s="43">
        <v>0</v>
      </c>
      <c r="Z227" s="32">
        <v>75</v>
      </c>
      <c r="AA227" s="43" t="s">
        <v>63</v>
      </c>
      <c r="AB227" s="43">
        <v>23.15</v>
      </c>
      <c r="AC227" s="43">
        <v>180</v>
      </c>
      <c r="AD227" s="43">
        <v>16.579999999999998</v>
      </c>
      <c r="AE227" s="43">
        <v>34.24</v>
      </c>
      <c r="AF227" s="43">
        <v>36.369999999999997</v>
      </c>
      <c r="AG227" s="43">
        <v>188.335543894854</v>
      </c>
      <c r="AH227" s="43">
        <v>209.464506860065</v>
      </c>
      <c r="AI227" s="43">
        <v>232.407355825808</v>
      </c>
      <c r="AJ227" s="43">
        <v>45.596962166357898</v>
      </c>
      <c r="AK227" s="43">
        <v>0.60795949555143902</v>
      </c>
      <c r="AL227" s="43">
        <v>0.45028723702256701</v>
      </c>
      <c r="AM227" s="43">
        <v>551.09233542868299</v>
      </c>
      <c r="AN227" s="43">
        <v>7.34789780571578</v>
      </c>
      <c r="AO227" s="43">
        <v>7.8899708361552303</v>
      </c>
      <c r="AP227" s="44">
        <v>47</v>
      </c>
      <c r="AQ227" s="44">
        <v>3.4500000000000028</v>
      </c>
      <c r="AR227" s="44">
        <v>30.571424668172877</v>
      </c>
      <c r="AS227" s="44">
        <v>38.968449772060012</v>
      </c>
      <c r="AT227" s="44">
        <v>0.83</v>
      </c>
      <c r="AU227" s="44">
        <v>0.82911595259702153</v>
      </c>
      <c r="AV227" s="44">
        <f t="shared" si="30"/>
        <v>38.968449772060012</v>
      </c>
      <c r="AW227" s="44">
        <f>+VLOOKUP(C227,'Etape 1 - surface'!$A$5:$B$58,2,FALSE)</f>
        <v>0</v>
      </c>
      <c r="AX227" s="44">
        <f t="shared" si="28"/>
        <v>0</v>
      </c>
      <c r="AY227" s="44">
        <f>10.8374384236453+(405.147848531042-10.8374384236453)/(1+EXP(-(1.16387919746889*AU227+-2.8965970117006)))</f>
        <v>60.746452265570419</v>
      </c>
      <c r="AZ227" s="63"/>
      <c r="BA227" s="63">
        <f t="shared" si="29"/>
        <v>0</v>
      </c>
      <c r="BB227" s="45"/>
      <c r="BC227" s="65">
        <v>4.4999999999999998E-2</v>
      </c>
      <c r="BD227" s="63">
        <f t="shared" si="27"/>
        <v>-3503.0716309776817</v>
      </c>
    </row>
    <row r="228" spans="1:56" ht="14.45" customHeight="1" x14ac:dyDescent="0.25">
      <c r="A228" t="str">
        <f>+VLOOKUP(D228,Acronyme!$A$1:$C$50,3,FALSE)</f>
        <v>Chene_pedoncule</v>
      </c>
      <c r="B228" t="str">
        <f>+VLOOKUP(E228,Acronyme!$E$2:$I$50,5,FALSE)</f>
        <v>Guide chênaie continentale</v>
      </c>
      <c r="C228" t="s">
        <v>264</v>
      </c>
      <c r="D228" s="43" t="s">
        <v>145</v>
      </c>
      <c r="E228" s="43" t="s">
        <v>65</v>
      </c>
      <c r="F228" s="43" t="s">
        <v>66</v>
      </c>
      <c r="G228" s="43" t="s">
        <v>62</v>
      </c>
      <c r="H228" s="43">
        <v>21.9</v>
      </c>
      <c r="I228" s="43" t="s">
        <v>144</v>
      </c>
      <c r="J228" s="43">
        <v>1600</v>
      </c>
      <c r="K228" s="43" t="s">
        <v>109</v>
      </c>
      <c r="L228" s="43" t="s">
        <v>103</v>
      </c>
      <c r="M228" s="43" t="s">
        <v>143</v>
      </c>
      <c r="N228" s="43"/>
      <c r="O228" s="43"/>
      <c r="P228" s="43">
        <v>38</v>
      </c>
      <c r="Q228" s="43">
        <v>16.27</v>
      </c>
      <c r="R228" s="43">
        <v>1446</v>
      </c>
      <c r="S228" s="43">
        <v>21.44</v>
      </c>
      <c r="T228" s="43">
        <v>65</v>
      </c>
      <c r="U228" s="43">
        <v>525</v>
      </c>
      <c r="V228" s="43">
        <v>696</v>
      </c>
      <c r="W228" s="43">
        <v>155</v>
      </c>
      <c r="X228" s="43">
        <v>5</v>
      </c>
      <c r="Y228" s="43">
        <v>0</v>
      </c>
      <c r="Z228" s="32">
        <v>75</v>
      </c>
      <c r="AA228" s="43" t="s">
        <v>63</v>
      </c>
      <c r="AB228" s="43">
        <v>25.74</v>
      </c>
      <c r="AC228" s="43">
        <v>119</v>
      </c>
      <c r="AD228" s="43">
        <v>16.559999999999999</v>
      </c>
      <c r="AE228" s="43">
        <v>42.1</v>
      </c>
      <c r="AF228" s="43">
        <v>42.78</v>
      </c>
      <c r="AG228" s="43">
        <v>207.21338354308901</v>
      </c>
      <c r="AH228" s="43">
        <v>234.58925195844199</v>
      </c>
      <c r="AI228" s="43">
        <v>257.494361844808</v>
      </c>
      <c r="AJ228" s="43">
        <v>46.223296145142598</v>
      </c>
      <c r="AK228" s="43">
        <v>0.61631061526856801</v>
      </c>
      <c r="AL228" s="43">
        <v>0.51523915986271596</v>
      </c>
      <c r="AM228" s="43">
        <v>595.35369818981803</v>
      </c>
      <c r="AN228" s="43">
        <v>7.9380493091975799</v>
      </c>
      <c r="AO228" s="43">
        <v>10.074845376350201</v>
      </c>
      <c r="AP228" s="44">
        <v>24</v>
      </c>
      <c r="AQ228" s="44">
        <v>3.0400000000000027</v>
      </c>
      <c r="AR228" s="44">
        <v>40.159308883469023</v>
      </c>
      <c r="AS228" s="44">
        <v>37.924106610498001</v>
      </c>
      <c r="AT228" s="44">
        <v>0.92</v>
      </c>
      <c r="AU228" s="44">
        <v>1.58017110877075</v>
      </c>
      <c r="AV228" s="44">
        <f t="shared" si="30"/>
        <v>37.924106610498001</v>
      </c>
      <c r="AW228" s="44">
        <f>+VLOOKUP(C228,'Etape 1 - surface'!$A$5:$B$58,2,FALSE)</f>
        <v>0</v>
      </c>
      <c r="AX228" s="44">
        <f t="shared" si="28"/>
        <v>0</v>
      </c>
      <c r="AY228" s="44">
        <f>10.8374384236453+(405.147848531042-10.8374384236453)/(1+EXP(-(1.16387919746889*AU228+-2.8965970117006)))</f>
        <v>112.48809156678342</v>
      </c>
      <c r="AZ228" s="63"/>
      <c r="BA228" s="63">
        <f t="shared" si="29"/>
        <v>0</v>
      </c>
      <c r="BB228" s="45"/>
      <c r="BC228" s="65">
        <v>4.4999999999999998E-2</v>
      </c>
      <c r="BD228" s="63">
        <f t="shared" si="27"/>
        <v>-3503.0716309776817</v>
      </c>
    </row>
    <row r="229" spans="1:56" ht="14.45" customHeight="1" x14ac:dyDescent="0.25">
      <c r="C229" t="s">
        <v>261</v>
      </c>
      <c r="D229" s="43" t="s">
        <v>207</v>
      </c>
      <c r="E229" s="43" t="s">
        <v>208</v>
      </c>
      <c r="F229" s="43" t="s">
        <v>258</v>
      </c>
      <c r="G229" s="43" t="s">
        <v>62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32">
        <v>75</v>
      </c>
      <c r="AA229" s="43" t="s">
        <v>63</v>
      </c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4">
        <v>50</v>
      </c>
      <c r="AQ229" s="44"/>
      <c r="AR229" s="44"/>
      <c r="AS229" s="44"/>
      <c r="AT229" s="44"/>
      <c r="AU229" s="44">
        <f>AV229/AP229</f>
        <v>1.758</v>
      </c>
      <c r="AV229" s="44">
        <v>87.9</v>
      </c>
      <c r="AW229" s="44">
        <f>+VLOOKUP(C229,'Etape 1 - surface'!$A$5:$B$58,2,FALSE)</f>
        <v>0</v>
      </c>
      <c r="AX229" s="44">
        <f t="shared" si="28"/>
        <v>0</v>
      </c>
      <c r="AY229" s="44">
        <f>82.5251889/(1+EXP(-(0.26195064*AU229+(-0.34406779))))</f>
        <v>43.662221619452211</v>
      </c>
      <c r="AZ229" s="63"/>
      <c r="BA229" s="63">
        <f t="shared" si="29"/>
        <v>0</v>
      </c>
      <c r="BB229" s="45"/>
      <c r="BC229" s="65">
        <v>4.4999999999999998E-2</v>
      </c>
      <c r="BD229" s="63">
        <f t="shared" si="27"/>
        <v>-3503.0716309776817</v>
      </c>
    </row>
    <row r="230" spans="1:56" ht="15" x14ac:dyDescent="0.25">
      <c r="C230" t="s">
        <v>264</v>
      </c>
      <c r="D230" s="43" t="s">
        <v>207</v>
      </c>
      <c r="E230" s="43" t="s">
        <v>208</v>
      </c>
      <c r="F230" s="43" t="s">
        <v>258</v>
      </c>
      <c r="G230" s="43" t="s">
        <v>114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2">
        <v>75</v>
      </c>
      <c r="AA230" s="43" t="s">
        <v>63</v>
      </c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44">
        <v>106</v>
      </c>
      <c r="AQ230" s="1"/>
      <c r="AR230" s="1"/>
      <c r="AS230" s="1"/>
      <c r="AT230" s="1"/>
      <c r="AU230" s="44">
        <f>AV230/AP230</f>
        <v>0.86792452830188682</v>
      </c>
      <c r="AV230" s="44">
        <v>92</v>
      </c>
      <c r="AW230" s="44">
        <f>+VLOOKUP(C230,'Etape 1 - surface'!$A$5:$B$58,2,FALSE)</f>
        <v>0</v>
      </c>
      <c r="AX230" s="44">
        <f t="shared" si="28"/>
        <v>0</v>
      </c>
      <c r="AY230" s="44">
        <f>82.5251889/(1+EXP(-(0.26195064*AU230+(-0.34406779))))</f>
        <v>38.857354662506729</v>
      </c>
      <c r="AZ230" s="63"/>
      <c r="BA230" s="63">
        <f t="shared" si="29"/>
        <v>0</v>
      </c>
      <c r="BB230" s="45"/>
      <c r="BC230" s="65">
        <v>4.4999999999999998E-2</v>
      </c>
      <c r="BD230" s="63">
        <f t="shared" si="27"/>
        <v>-3503.0716309776817</v>
      </c>
    </row>
    <row r="231" spans="1:56" ht="15" x14ac:dyDescent="0.25">
      <c r="A231" t="str">
        <f>+VLOOKUP(D231,Acronyme!$A$1:$C$50,3,FALSE)</f>
        <v>Epicéa</v>
      </c>
      <c r="B231" t="str">
        <f>+VLOOKUP(E231,Acronyme!$E$2:$I$50,5,FALSE)</f>
        <v>GS Arc Jurassien</v>
      </c>
      <c r="C231" t="s">
        <v>264</v>
      </c>
      <c r="D231" s="43" t="s">
        <v>118</v>
      </c>
      <c r="E231" s="43" t="s">
        <v>119</v>
      </c>
      <c r="F231" s="43" t="s">
        <v>120</v>
      </c>
      <c r="G231" s="43" t="s">
        <v>121</v>
      </c>
      <c r="H231" s="43">
        <v>28.5</v>
      </c>
      <c r="I231" s="43" t="s">
        <v>122</v>
      </c>
      <c r="J231" s="43">
        <v>1666</v>
      </c>
      <c r="K231" s="43" t="s">
        <v>102</v>
      </c>
      <c r="L231" s="43" t="s">
        <v>103</v>
      </c>
      <c r="M231" s="43" t="s">
        <v>123</v>
      </c>
      <c r="N231" s="43"/>
      <c r="O231" s="43"/>
      <c r="P231" s="43">
        <v>25</v>
      </c>
      <c r="Q231" s="43">
        <v>16.53</v>
      </c>
      <c r="R231" s="43">
        <v>1255</v>
      </c>
      <c r="S231" s="43">
        <v>35.83</v>
      </c>
      <c r="T231" s="43">
        <v>3</v>
      </c>
      <c r="U231" s="43">
        <v>181</v>
      </c>
      <c r="V231" s="43">
        <v>304</v>
      </c>
      <c r="W231" s="43">
        <v>527</v>
      </c>
      <c r="X231" s="43">
        <v>194</v>
      </c>
      <c r="Y231" s="43">
        <v>46</v>
      </c>
      <c r="Z231" s="32">
        <v>77</v>
      </c>
      <c r="AA231" s="43" t="s">
        <v>63</v>
      </c>
      <c r="AB231" s="43">
        <v>35.035451600000002</v>
      </c>
      <c r="AC231" s="43">
        <v>0</v>
      </c>
      <c r="AD231" s="43">
        <v>0</v>
      </c>
      <c r="AE231" s="43">
        <v>0</v>
      </c>
      <c r="AF231" s="43">
        <v>0</v>
      </c>
      <c r="AG231" s="43">
        <v>0</v>
      </c>
      <c r="AH231" s="43">
        <v>0</v>
      </c>
      <c r="AI231" s="43">
        <v>0</v>
      </c>
      <c r="AJ231" s="43">
        <v>101.11603563661799</v>
      </c>
      <c r="AK231" s="43">
        <v>1.3131952680080301</v>
      </c>
      <c r="AL231" s="43"/>
      <c r="AM231" s="43">
        <v>1432.59175409309</v>
      </c>
      <c r="AN231" s="43">
        <v>18.605087715494701</v>
      </c>
      <c r="AO231" s="43"/>
      <c r="AP231" s="44">
        <v>135</v>
      </c>
      <c r="AQ231" s="44">
        <v>35.857105482318097</v>
      </c>
      <c r="AR231" s="44">
        <v>58.153490809413569</v>
      </c>
      <c r="AS231" s="44">
        <v>559.95895888144798</v>
      </c>
      <c r="AT231" s="44">
        <v>0.99999999999999889</v>
      </c>
      <c r="AU231" s="44">
        <v>4.1478441398625776</v>
      </c>
      <c r="AV231" s="44">
        <f>+AU231*AP231</f>
        <v>559.95895888144798</v>
      </c>
      <c r="AW231" s="44">
        <f>+VLOOKUP(C231,'Etape 1 - surface'!$A$5:$B$58,2,FALSE)</f>
        <v>0</v>
      </c>
      <c r="AX231" s="44">
        <f t="shared" si="28"/>
        <v>0</v>
      </c>
      <c r="AY231" s="44">
        <f>5.9476406705017+(63.9669421487603-5.9476406705017)/(1+EXP(-(0.302428574792357*AU231+-0.378232364909735)))</f>
        <v>46.911179312818589</v>
      </c>
      <c r="AZ231" s="63"/>
      <c r="BA231" s="63">
        <f t="shared" si="29"/>
        <v>0</v>
      </c>
      <c r="BB231" s="45"/>
      <c r="BC231" s="65">
        <v>4.4999999999999998E-2</v>
      </c>
      <c r="BD231" s="63">
        <f t="shared" si="27"/>
        <v>-3503.0716309776817</v>
      </c>
    </row>
    <row r="232" spans="1:56" ht="15" x14ac:dyDescent="0.25">
      <c r="A232" t="str">
        <f>+VLOOKUP(D232,Acronyme!$A$1:$C$50,3,FALSE)</f>
        <v>Pin Laricio</v>
      </c>
      <c r="B232" t="str">
        <f>+VLOOKUP(E232,Acronyme!$E$2:$I$50,5,FALSE)</f>
        <v>GS Pineraies des plaines du Centre et du Nord Ouest</v>
      </c>
      <c r="C232" t="s">
        <v>264</v>
      </c>
      <c r="D232" s="43" t="s">
        <v>88</v>
      </c>
      <c r="E232" s="43" t="s">
        <v>89</v>
      </c>
      <c r="F232" s="43" t="s">
        <v>61</v>
      </c>
      <c r="G232" s="43" t="s">
        <v>62</v>
      </c>
      <c r="H232" s="43">
        <v>23.3</v>
      </c>
      <c r="I232" s="43" t="s">
        <v>101</v>
      </c>
      <c r="J232" s="43">
        <v>1666</v>
      </c>
      <c r="K232" s="43" t="s">
        <v>102</v>
      </c>
      <c r="L232" s="43" t="s">
        <v>103</v>
      </c>
      <c r="M232" s="43" t="s">
        <v>117</v>
      </c>
      <c r="N232" s="43"/>
      <c r="O232" s="43"/>
      <c r="P232" s="43">
        <v>22</v>
      </c>
      <c r="Q232" s="43">
        <v>11.13</v>
      </c>
      <c r="R232" s="43">
        <v>1444</v>
      </c>
      <c r="S232" s="43">
        <v>25.27</v>
      </c>
      <c r="T232" s="43">
        <v>1</v>
      </c>
      <c r="U232" s="43">
        <v>272</v>
      </c>
      <c r="V232" s="43">
        <v>985</v>
      </c>
      <c r="W232" s="43">
        <v>187</v>
      </c>
      <c r="X232" s="43">
        <v>0</v>
      </c>
      <c r="Y232" s="43">
        <v>0</v>
      </c>
      <c r="Z232" s="32">
        <v>79</v>
      </c>
      <c r="AA232" s="43" t="s">
        <v>63</v>
      </c>
      <c r="AB232" s="43">
        <v>28.41</v>
      </c>
      <c r="AC232" s="43">
        <v>0</v>
      </c>
      <c r="AD232" s="43">
        <v>0</v>
      </c>
      <c r="AE232" s="43">
        <v>0</v>
      </c>
      <c r="AF232" s="43">
        <v>0</v>
      </c>
      <c r="AG232" s="43">
        <v>0</v>
      </c>
      <c r="AH232" s="43">
        <v>0</v>
      </c>
      <c r="AI232" s="43">
        <v>0</v>
      </c>
      <c r="AJ232" s="43">
        <v>85.356116809019994</v>
      </c>
      <c r="AK232" s="43">
        <v>1.0804571747977201</v>
      </c>
      <c r="AL232" s="43" t="s">
        <v>105</v>
      </c>
      <c r="AM232" s="43">
        <v>968.88013638491395</v>
      </c>
      <c r="AN232" s="43">
        <v>12.264305523859701</v>
      </c>
      <c r="AO232" s="43" t="s">
        <v>105</v>
      </c>
      <c r="AP232" s="44">
        <v>188</v>
      </c>
      <c r="AQ232" s="44">
        <v>39.4</v>
      </c>
      <c r="AR232" s="44">
        <v>51.656412993237801</v>
      </c>
      <c r="AS232" s="44">
        <v>423.63675567542202</v>
      </c>
      <c r="AT232" s="44">
        <v>1.000248340420695</v>
      </c>
      <c r="AU232" s="44">
        <v>2.2533869982735215</v>
      </c>
      <c r="AV232" s="44">
        <f>+AU232*AP232</f>
        <v>423.63675567542202</v>
      </c>
      <c r="AW232" s="44">
        <f>+VLOOKUP(C232,'Etape 1 - surface'!$A$5:$B$58,2,FALSE)</f>
        <v>0</v>
      </c>
      <c r="AX232" s="44">
        <f t="shared" si="28"/>
        <v>0</v>
      </c>
      <c r="AY232" s="44">
        <f>10.0046474463505+(37.1112351801373-10.0046474463505)/(1+EXP(-(0.581180949782075*AU232+-0.955447614584994)))</f>
        <v>25.933301368639981</v>
      </c>
      <c r="AZ232" s="63"/>
      <c r="BA232" s="63">
        <f t="shared" si="29"/>
        <v>0</v>
      </c>
      <c r="BB232" s="45"/>
      <c r="BC232" s="65">
        <v>4.4999999999999998E-2</v>
      </c>
      <c r="BD232" s="63">
        <f t="shared" si="27"/>
        <v>-3503.0716309776817</v>
      </c>
    </row>
    <row r="233" spans="1:56" ht="14.45" customHeight="1" x14ac:dyDescent="0.25">
      <c r="A233" t="str">
        <f>+VLOOKUP(D233,Acronyme!$A$1:$C$50,3,FALSE)</f>
        <v>Pin d'Alep</v>
      </c>
      <c r="B233" t="str">
        <f>+VLOOKUP(E233,Acronyme!$E$2:$I$50,5,FALSE)</f>
        <v>Pin d'Alep</v>
      </c>
      <c r="C233" t="s">
        <v>264</v>
      </c>
      <c r="D233" s="43" t="s">
        <v>146</v>
      </c>
      <c r="E233" s="43" t="s">
        <v>147</v>
      </c>
      <c r="F233" s="43" t="s">
        <v>66</v>
      </c>
      <c r="G233" s="43" t="s">
        <v>100</v>
      </c>
      <c r="H233" s="43">
        <v>15.5</v>
      </c>
      <c r="I233" s="43" t="s">
        <v>148</v>
      </c>
      <c r="J233" s="43">
        <v>1100</v>
      </c>
      <c r="K233" s="43" t="s">
        <v>109</v>
      </c>
      <c r="L233" s="43" t="s">
        <v>103</v>
      </c>
      <c r="M233" s="43" t="s">
        <v>149</v>
      </c>
      <c r="N233" s="43"/>
      <c r="O233" s="43"/>
      <c r="P233" s="43">
        <v>15</v>
      </c>
      <c r="Q233" s="43">
        <v>4.33</v>
      </c>
      <c r="R233" s="43">
        <v>1101</v>
      </c>
      <c r="S233" s="43">
        <v>4.92</v>
      </c>
      <c r="T233" s="43">
        <v>569</v>
      </c>
      <c r="U233" s="43">
        <v>532</v>
      </c>
      <c r="V233" s="43">
        <v>0</v>
      </c>
      <c r="W233" s="43">
        <v>0</v>
      </c>
      <c r="X233" s="43">
        <v>0</v>
      </c>
      <c r="Y233" s="43">
        <v>0</v>
      </c>
      <c r="Z233" s="32">
        <v>79</v>
      </c>
      <c r="AA233" s="43" t="s">
        <v>63</v>
      </c>
      <c r="AB233" s="43">
        <v>20.67</v>
      </c>
      <c r="AC233" s="43">
        <v>151</v>
      </c>
      <c r="AD233" s="43">
        <v>11.09</v>
      </c>
      <c r="AE233" s="43">
        <v>30.58</v>
      </c>
      <c r="AF233" s="43">
        <v>32.61</v>
      </c>
      <c r="AG233" s="43">
        <v>93.619699807736893</v>
      </c>
      <c r="AH233" s="43">
        <v>96.312510729899103</v>
      </c>
      <c r="AI233" s="43">
        <v>128.61748036725999</v>
      </c>
      <c r="AJ233" s="43">
        <v>44.631486254866601</v>
      </c>
      <c r="AK233" s="43">
        <v>0.56495552221350098</v>
      </c>
      <c r="AL233" s="43">
        <v>0.30314042757781601</v>
      </c>
      <c r="AM233" s="43">
        <v>463.05757607590198</v>
      </c>
      <c r="AN233" s="43">
        <v>5.86148830475826</v>
      </c>
      <c r="AO233" s="43">
        <v>5.8651712810468002</v>
      </c>
      <c r="AP233" s="44">
        <v>157</v>
      </c>
      <c r="AQ233" s="44">
        <v>11.55</v>
      </c>
      <c r="AR233" s="44">
        <v>30.605270706402418</v>
      </c>
      <c r="AS233" s="44">
        <v>97.60237778023712</v>
      </c>
      <c r="AT233" s="44">
        <v>1</v>
      </c>
      <c r="AU233" s="44">
        <v>0.62167119605246568</v>
      </c>
      <c r="AV233" s="44">
        <f>+AU233*AP233</f>
        <v>97.602377780237106</v>
      </c>
      <c r="AW233" s="44">
        <f>+VLOOKUP(C233,'Etape 1 - surface'!$A$5:$B$58,2,FALSE)</f>
        <v>0</v>
      </c>
      <c r="AX233" s="44">
        <f t="shared" si="28"/>
        <v>0</v>
      </c>
      <c r="AY233" s="44">
        <f>10.0046474463505+(37.1112351801373-10.0046474463505)/(1+EXP(-(0.581180949782075*AU233+-0.955447614584994)))</f>
        <v>19.646042120341637</v>
      </c>
      <c r="AZ233" s="63"/>
      <c r="BA233" s="63">
        <f t="shared" si="29"/>
        <v>0</v>
      </c>
      <c r="BB233" s="45"/>
      <c r="BC233" s="65">
        <v>4.4999999999999998E-2</v>
      </c>
      <c r="BD233" s="63">
        <f t="shared" si="27"/>
        <v>-3503.0716309776817</v>
      </c>
    </row>
    <row r="234" spans="1:56" ht="14.45" customHeight="1" x14ac:dyDescent="0.25">
      <c r="C234" t="s">
        <v>262</v>
      </c>
      <c r="D234" s="43" t="s">
        <v>207</v>
      </c>
      <c r="E234" s="43" t="s">
        <v>208</v>
      </c>
      <c r="F234" s="43" t="s">
        <v>259</v>
      </c>
      <c r="G234" s="43" t="s">
        <v>62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2">
        <v>79</v>
      </c>
      <c r="AA234" s="43" t="s">
        <v>63</v>
      </c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44">
        <v>49</v>
      </c>
      <c r="AQ234" s="1"/>
      <c r="AR234" s="1"/>
      <c r="AS234" s="1"/>
      <c r="AT234" s="1"/>
      <c r="AU234" s="44">
        <f>AV234/AP234</f>
        <v>1.7755102040816326</v>
      </c>
      <c r="AV234" s="44">
        <v>87</v>
      </c>
      <c r="AW234" s="44">
        <f>+VLOOKUP(C234,'Etape 1 - surface'!$A$5:$B$58,2,FALSE)</f>
        <v>0</v>
      </c>
      <c r="AX234" s="44">
        <f t="shared" si="28"/>
        <v>0</v>
      </c>
      <c r="AY234" s="44">
        <f>82.5251889/(1+EXP(-(0.26195064*AU234+(-0.34406779))))</f>
        <v>43.756520654920138</v>
      </c>
      <c r="AZ234" s="63"/>
      <c r="BA234" s="63">
        <f t="shared" si="29"/>
        <v>0</v>
      </c>
      <c r="BB234" s="45"/>
      <c r="BC234" s="65">
        <v>4.4999999999999998E-2</v>
      </c>
      <c r="BD234" s="63">
        <f t="shared" si="27"/>
        <v>-3503.0716309776817</v>
      </c>
    </row>
    <row r="235" spans="1:56" ht="15" x14ac:dyDescent="0.25">
      <c r="A235" t="str">
        <f>+VLOOKUP(D235,Acronyme!$A$1:$C$50,3,FALSE)</f>
        <v>Pin Noir d'Autriche</v>
      </c>
      <c r="B235" t="str">
        <f>+VLOOKUP(E235,Acronyme!$E$2:$I$50,5,FALSE)</f>
        <v>GSM Alpes du Sud</v>
      </c>
      <c r="C235" t="s">
        <v>264</v>
      </c>
      <c r="D235" s="43" t="s">
        <v>131</v>
      </c>
      <c r="E235" s="43" t="s">
        <v>132</v>
      </c>
      <c r="F235" s="43" t="s">
        <v>133</v>
      </c>
      <c r="G235" s="43" t="s">
        <v>100</v>
      </c>
      <c r="H235" s="43">
        <v>18.2</v>
      </c>
      <c r="I235" s="43" t="s">
        <v>108</v>
      </c>
      <c r="J235" s="43">
        <v>1100</v>
      </c>
      <c r="K235" s="43" t="s">
        <v>109</v>
      </c>
      <c r="L235" s="43" t="s">
        <v>134</v>
      </c>
      <c r="M235" s="43" t="s">
        <v>135</v>
      </c>
      <c r="N235" s="43"/>
      <c r="O235" s="43"/>
      <c r="P235" s="43">
        <v>15</v>
      </c>
      <c r="Q235" s="43">
        <v>4.9000000000000004</v>
      </c>
      <c r="R235" s="43">
        <v>6000</v>
      </c>
      <c r="S235" s="43">
        <v>19.7</v>
      </c>
      <c r="T235" s="43">
        <v>5448</v>
      </c>
      <c r="U235" s="43">
        <v>552</v>
      </c>
      <c r="V235" s="43">
        <v>0</v>
      </c>
      <c r="W235" s="43">
        <v>0</v>
      </c>
      <c r="X235" s="43">
        <v>0</v>
      </c>
      <c r="Y235" s="43">
        <v>0</v>
      </c>
      <c r="Z235" s="32">
        <v>80</v>
      </c>
      <c r="AA235" s="43" t="s">
        <v>63</v>
      </c>
      <c r="AB235" s="43">
        <v>23.43</v>
      </c>
      <c r="AC235" s="43">
        <v>301</v>
      </c>
      <c r="AD235" s="43">
        <v>30.34</v>
      </c>
      <c r="AE235" s="43">
        <v>35.83</v>
      </c>
      <c r="AF235" s="43">
        <v>39</v>
      </c>
      <c r="AG235" s="43">
        <v>333.62334021866297</v>
      </c>
      <c r="AH235" s="43">
        <v>335.00652298007498</v>
      </c>
      <c r="AI235" s="43">
        <v>361.71049478168902</v>
      </c>
      <c r="AJ235" s="43">
        <v>63.348095378844803</v>
      </c>
      <c r="AK235" s="43">
        <v>0.79185119223556</v>
      </c>
      <c r="AL235" s="43">
        <v>0.57864195236980698</v>
      </c>
      <c r="AM235" s="43">
        <v>701.202262117852</v>
      </c>
      <c r="AN235" s="43">
        <v>8.7650282764731404</v>
      </c>
      <c r="AO235" s="43">
        <v>8.1996437848806192</v>
      </c>
      <c r="AP235" s="44">
        <v>78</v>
      </c>
      <c r="AQ235" s="44">
        <v>6.2500000000000036</v>
      </c>
      <c r="AR235" s="44">
        <v>31.940945417736415</v>
      </c>
      <c r="AS235" s="44">
        <v>67.66198370485705</v>
      </c>
      <c r="AT235" s="44">
        <v>0.83</v>
      </c>
      <c r="AU235" s="44">
        <v>0.86746132954944932</v>
      </c>
      <c r="AV235" s="44">
        <f>+AU235*AP235</f>
        <v>67.66198370485705</v>
      </c>
      <c r="AW235" s="44">
        <f>+VLOOKUP(C235,'Etape 1 - surface'!$A$5:$B$58,2,FALSE)</f>
        <v>0</v>
      </c>
      <c r="AX235" s="44">
        <f t="shared" si="28"/>
        <v>0</v>
      </c>
      <c r="AY235" s="44">
        <f>10.0046474463505+(37.1112351801373-10.0046474463505)/(1+EXP(-(0.581180949782075*AU235+-0.955447614584994)))</f>
        <v>20.550540384448809</v>
      </c>
      <c r="AZ235" s="63"/>
      <c r="BA235" s="63">
        <f t="shared" si="29"/>
        <v>0</v>
      </c>
      <c r="BB235" s="45"/>
      <c r="BC235" s="65">
        <v>4.4999999999999998E-2</v>
      </c>
      <c r="BD235" s="63">
        <f t="shared" si="27"/>
        <v>-3503.0716309776817</v>
      </c>
    </row>
    <row r="236" spans="1:56" ht="14.45" customHeight="1" x14ac:dyDescent="0.25">
      <c r="A236" t="str">
        <f>+VLOOKUP(D236,Acronyme!$A$1:$C$50,3,FALSE)</f>
        <v>Sapin pectiné</v>
      </c>
      <c r="B236" t="str">
        <f>+VLOOKUP(E236,Acronyme!$E$2:$I$50,5,FALSE)</f>
        <v>GSM Alpes du Sud</v>
      </c>
      <c r="C236" t="s">
        <v>264</v>
      </c>
      <c r="D236" s="43" t="s">
        <v>129</v>
      </c>
      <c r="E236" s="43" t="s">
        <v>132</v>
      </c>
      <c r="F236" s="43" t="s">
        <v>141</v>
      </c>
      <c r="G236" s="43" t="s">
        <v>100</v>
      </c>
      <c r="H236" s="43">
        <v>20.399999999999999</v>
      </c>
      <c r="I236" s="43" t="s">
        <v>101</v>
      </c>
      <c r="J236" s="43">
        <v>1600</v>
      </c>
      <c r="K236" s="43" t="s">
        <v>109</v>
      </c>
      <c r="L236" s="43" t="s">
        <v>134</v>
      </c>
      <c r="M236" s="43" t="s">
        <v>135</v>
      </c>
      <c r="N236" s="43"/>
      <c r="O236" s="43"/>
      <c r="P236" s="43">
        <v>40</v>
      </c>
      <c r="Q236" s="43">
        <v>16.829999999999998</v>
      </c>
      <c r="R236" s="43">
        <v>1499</v>
      </c>
      <c r="S236" s="43">
        <v>24.88</v>
      </c>
      <c r="T236" s="43">
        <v>27</v>
      </c>
      <c r="U236" s="43">
        <v>516</v>
      </c>
      <c r="V236" s="43">
        <v>633</v>
      </c>
      <c r="W236" s="43">
        <v>307</v>
      </c>
      <c r="X236" s="43">
        <v>15</v>
      </c>
      <c r="Y236" s="43">
        <v>0</v>
      </c>
      <c r="Z236" s="32">
        <v>80</v>
      </c>
      <c r="AA236" s="43" t="s">
        <v>63</v>
      </c>
      <c r="AB236" s="43">
        <v>25.54</v>
      </c>
      <c r="AC236" s="43">
        <v>270</v>
      </c>
      <c r="AD236" s="43">
        <v>29.1</v>
      </c>
      <c r="AE236" s="43">
        <v>37.04</v>
      </c>
      <c r="AF236" s="43">
        <v>43.36</v>
      </c>
      <c r="AG236" s="43">
        <v>328.46301354395302</v>
      </c>
      <c r="AH236" s="43">
        <v>331.32377908618298</v>
      </c>
      <c r="AI236" s="43">
        <v>393.39676511066801</v>
      </c>
      <c r="AJ236" s="43">
        <v>79.605679449017202</v>
      </c>
      <c r="AK236" s="43">
        <v>0.99507099311271496</v>
      </c>
      <c r="AL236" s="43">
        <v>0.72560775843022296</v>
      </c>
      <c r="AM236" s="43">
        <v>981.50383281111203</v>
      </c>
      <c r="AN236" s="43">
        <v>12.2687979101389</v>
      </c>
      <c r="AO236" s="43">
        <v>11.3870988882506</v>
      </c>
      <c r="AP236" s="44">
        <v>78</v>
      </c>
      <c r="AQ236" s="44">
        <v>7.9200000000000017</v>
      </c>
      <c r="AR236" s="44">
        <v>35.955915305042595</v>
      </c>
      <c r="AS236" s="44">
        <v>87.338754929805987</v>
      </c>
      <c r="AT236" s="44">
        <v>0.96</v>
      </c>
      <c r="AU236" s="44">
        <v>1.119727627305205</v>
      </c>
      <c r="AV236" s="44">
        <f>+AU236*AP236</f>
        <v>87.338754929805987</v>
      </c>
      <c r="AW236" s="44">
        <f>+VLOOKUP(C236,'Etape 1 - surface'!$A$5:$B$58,2,FALSE)</f>
        <v>0</v>
      </c>
      <c r="AX236" s="44">
        <f t="shared" si="28"/>
        <v>0</v>
      </c>
      <c r="AY236" s="44">
        <f>12.60067150914+(56.0435691950881-12.60067150914)/(1+EXP(-(0.12255140894824*AU236+-0.18958347271504)))</f>
        <v>33.753590581610879</v>
      </c>
      <c r="AZ236" s="63"/>
      <c r="BA236" s="63">
        <f t="shared" si="29"/>
        <v>0</v>
      </c>
      <c r="BB236" s="45"/>
      <c r="BC236" s="65">
        <v>4.4999999999999998E-2</v>
      </c>
      <c r="BD236" s="63">
        <f t="shared" si="27"/>
        <v>-3503.0716309776817</v>
      </c>
    </row>
    <row r="237" spans="1:56" ht="14.45" customHeight="1" x14ac:dyDescent="0.25">
      <c r="A237" t="str">
        <f>+VLOOKUP(D237,Acronyme!$A$1:$C$50,3,FALSE)</f>
        <v>Chêne sessile</v>
      </c>
      <c r="B237" t="str">
        <f>+VLOOKUP(E237,Acronyme!$E$2:$I$50,5,FALSE)</f>
        <v>Guide chênaie continentale</v>
      </c>
      <c r="C237" t="s">
        <v>264</v>
      </c>
      <c r="D237" s="43" t="s">
        <v>60</v>
      </c>
      <c r="E237" s="43" t="s">
        <v>65</v>
      </c>
      <c r="F237" s="43" t="s">
        <v>66</v>
      </c>
      <c r="G237" s="43" t="s">
        <v>100</v>
      </c>
      <c r="H237" s="43">
        <v>21.5</v>
      </c>
      <c r="I237" s="43" t="s">
        <v>144</v>
      </c>
      <c r="J237" s="43">
        <v>1666</v>
      </c>
      <c r="K237" s="43" t="s">
        <v>109</v>
      </c>
      <c r="L237" s="43" t="s">
        <v>103</v>
      </c>
      <c r="M237" s="43" t="s">
        <v>143</v>
      </c>
      <c r="N237" s="43"/>
      <c r="O237" s="43"/>
      <c r="P237" s="43">
        <v>35</v>
      </c>
      <c r="Q237" s="43">
        <v>16.59</v>
      </c>
      <c r="R237" s="43">
        <v>1453</v>
      </c>
      <c r="S237" s="43">
        <v>26.19</v>
      </c>
      <c r="T237" s="43">
        <v>41</v>
      </c>
      <c r="U237" s="43">
        <v>369</v>
      </c>
      <c r="V237" s="43">
        <v>713</v>
      </c>
      <c r="W237" s="43">
        <v>301</v>
      </c>
      <c r="X237" s="43">
        <v>28</v>
      </c>
      <c r="Y237" s="43">
        <v>0</v>
      </c>
      <c r="Z237" s="32">
        <v>80</v>
      </c>
      <c r="AA237" s="43" t="s">
        <v>63</v>
      </c>
      <c r="AB237" s="43">
        <v>28.73</v>
      </c>
      <c r="AC237" s="43">
        <v>115</v>
      </c>
      <c r="AD237" s="43">
        <v>20.309999999999999</v>
      </c>
      <c r="AE237" s="43">
        <v>47.43</v>
      </c>
      <c r="AF237" s="43">
        <v>48.32</v>
      </c>
      <c r="AG237" s="43">
        <v>289.21139014946101</v>
      </c>
      <c r="AH237" s="43">
        <v>322.37342943421402</v>
      </c>
      <c r="AI237" s="43">
        <v>348.22417405179999</v>
      </c>
      <c r="AJ237" s="43">
        <v>60.404561174698202</v>
      </c>
      <c r="AK237" s="43">
        <v>0.75505701468372699</v>
      </c>
      <c r="AL237" s="43">
        <v>0.50969241361542295</v>
      </c>
      <c r="AM237" s="43">
        <v>851.37910641094595</v>
      </c>
      <c r="AN237" s="43">
        <v>10.642238830136799</v>
      </c>
      <c r="AO237" s="43">
        <v>11.112122646961399</v>
      </c>
      <c r="AP237" s="44">
        <v>27</v>
      </c>
      <c r="AQ237" s="44">
        <v>4.1000000000000014</v>
      </c>
      <c r="AR237" s="44">
        <v>43.970874760350554</v>
      </c>
      <c r="AS237" s="44">
        <v>58.094007082676001</v>
      </c>
      <c r="AT237" s="44">
        <v>0.88</v>
      </c>
      <c r="AU237" s="44">
        <v>2.1516298919509631</v>
      </c>
      <c r="AV237" s="44">
        <f>+AU237*AP237</f>
        <v>58.094007082676001</v>
      </c>
      <c r="AW237" s="44">
        <f>+VLOOKUP(C237,'Etape 1 - surface'!$A$5:$B$58,2,FALSE)</f>
        <v>0</v>
      </c>
      <c r="AX237" s="44">
        <f t="shared" si="28"/>
        <v>0</v>
      </c>
      <c r="AY237" s="44">
        <f>10.8374384236453+(405.147848531042-10.8374384236453)/(1+EXP(-(1.16387919746889*AU237+-2.8965970117006)))</f>
        <v>169.80343211228521</v>
      </c>
      <c r="AZ237" s="63"/>
      <c r="BA237" s="63">
        <f t="shared" si="29"/>
        <v>0</v>
      </c>
      <c r="BB237" s="45"/>
      <c r="BC237" s="65">
        <v>4.4999999999999998E-2</v>
      </c>
      <c r="BD237" s="63">
        <f t="shared" si="27"/>
        <v>-3503.0716309776817</v>
      </c>
    </row>
    <row r="238" spans="1:56" ht="14.45" customHeight="1" x14ac:dyDescent="0.25">
      <c r="A238" t="str">
        <f>+VLOOKUP(D238,Acronyme!$A$1:$C$50,3,FALSE)</f>
        <v>Pin d'Alep</v>
      </c>
      <c r="B238" t="str">
        <f>+VLOOKUP(E238,Acronyme!$E$2:$I$50,5,FALSE)</f>
        <v>Pin d'Alep</v>
      </c>
      <c r="C238" t="s">
        <v>264</v>
      </c>
      <c r="D238" s="43" t="s">
        <v>146</v>
      </c>
      <c r="E238" s="43" t="s">
        <v>147</v>
      </c>
      <c r="F238" s="43" t="s">
        <v>61</v>
      </c>
      <c r="G238" s="43" t="s">
        <v>62</v>
      </c>
      <c r="H238" s="43">
        <v>12</v>
      </c>
      <c r="I238" s="43" t="s">
        <v>148</v>
      </c>
      <c r="J238" s="43">
        <v>1100</v>
      </c>
      <c r="K238" s="43" t="s">
        <v>109</v>
      </c>
      <c r="L238" s="43" t="s">
        <v>103</v>
      </c>
      <c r="M238" s="43" t="s">
        <v>149</v>
      </c>
      <c r="N238" s="43"/>
      <c r="O238" s="43"/>
      <c r="P238" s="43">
        <v>18</v>
      </c>
      <c r="Q238" s="43">
        <v>4.34</v>
      </c>
      <c r="R238" s="43">
        <v>1101</v>
      </c>
      <c r="S238" s="43">
        <v>4.92</v>
      </c>
      <c r="T238" s="43">
        <v>569</v>
      </c>
      <c r="U238" s="43">
        <v>532</v>
      </c>
      <c r="V238" s="43">
        <v>0</v>
      </c>
      <c r="W238" s="43">
        <v>0</v>
      </c>
      <c r="X238" s="43">
        <v>0</v>
      </c>
      <c r="Y238" s="43">
        <v>0</v>
      </c>
      <c r="Z238" s="32">
        <v>80</v>
      </c>
      <c r="AA238" s="43" t="s">
        <v>63</v>
      </c>
      <c r="AB238" s="43">
        <v>16.04</v>
      </c>
      <c r="AC238" s="43">
        <v>151</v>
      </c>
      <c r="AD238" s="43">
        <v>12.83</v>
      </c>
      <c r="AE238" s="43">
        <v>32.89</v>
      </c>
      <c r="AF238" s="43">
        <v>33.47</v>
      </c>
      <c r="AG238" s="43">
        <v>87.355877725159203</v>
      </c>
      <c r="AH238" s="43">
        <v>90.930588531599</v>
      </c>
      <c r="AI238" s="43">
        <v>127.936817909179</v>
      </c>
      <c r="AJ238" s="43">
        <v>47.205658297788602</v>
      </c>
      <c r="AK238" s="43">
        <v>0.590070728722357</v>
      </c>
      <c r="AL238" s="43">
        <v>0.31148950850602802</v>
      </c>
      <c r="AM238" s="43">
        <v>428.25752485318998</v>
      </c>
      <c r="AN238" s="43">
        <v>5.3532190606648804</v>
      </c>
      <c r="AO238" s="43">
        <v>3.8145844151509301</v>
      </c>
      <c r="AP238" s="44">
        <v>197</v>
      </c>
      <c r="AQ238" s="44">
        <v>13.24</v>
      </c>
      <c r="AR238" s="44">
        <v>29.252698753796778</v>
      </c>
      <c r="AS238" s="44">
        <v>88.337064589254808</v>
      </c>
      <c r="AT238" s="44">
        <v>0.9</v>
      </c>
      <c r="AU238" s="44">
        <v>0.44841149537692798</v>
      </c>
      <c r="AV238" s="44">
        <f>+AU238*AP238</f>
        <v>88.337064589254808</v>
      </c>
      <c r="AW238" s="44">
        <f>+VLOOKUP(C238,'Etape 1 - surface'!$A$5:$B$58,2,FALSE)</f>
        <v>0</v>
      </c>
      <c r="AX238" s="44">
        <f t="shared" si="28"/>
        <v>0</v>
      </c>
      <c r="AY238" s="44">
        <f>10.0046474463505+(37.1112351801373-10.0046474463505)/(1+EXP(-(0.581180949782075*AU238+-0.955447614584994)))</f>
        <v>19.029986193885208</v>
      </c>
      <c r="AZ238" s="63"/>
      <c r="BA238" s="63">
        <f t="shared" si="29"/>
        <v>0</v>
      </c>
      <c r="BB238" s="45"/>
      <c r="BC238" s="65">
        <v>4.4999999999999998E-2</v>
      </c>
      <c r="BD238" s="63">
        <f t="shared" si="27"/>
        <v>-3503.0716309776817</v>
      </c>
    </row>
    <row r="239" spans="1:56" ht="15" x14ac:dyDescent="0.25">
      <c r="A239" t="s">
        <v>271</v>
      </c>
      <c r="B239" t="s">
        <v>272</v>
      </c>
      <c r="C239" t="str">
        <f>+_xlfn.CONCAT(A239,"_",G239,"_",F239,"_",B239,"_")</f>
        <v>Sequoia sempervirens_FU_Guide britannique_Hamilton and Christie_</v>
      </c>
      <c r="D239" s="43" t="s">
        <v>268</v>
      </c>
      <c r="E239" s="43" t="s">
        <v>68</v>
      </c>
      <c r="F239" s="43" t="s">
        <v>269</v>
      </c>
      <c r="G239" s="43" t="s">
        <v>270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2">
        <v>80</v>
      </c>
      <c r="AA239" s="43" t="s">
        <v>63</v>
      </c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44">
        <v>6</v>
      </c>
      <c r="AQ239" s="1"/>
      <c r="AR239" s="1"/>
      <c r="AS239" s="1"/>
      <c r="AT239" s="1"/>
      <c r="AU239" s="44">
        <f>AV239/AP239</f>
        <v>19.666666666666668</v>
      </c>
      <c r="AV239" s="44">
        <v>118</v>
      </c>
      <c r="AW239" s="44">
        <f>+VLOOKUP(C239,'Etape 1 - surface'!$A$5:$B$58,2,FALSE)</f>
        <v>0</v>
      </c>
      <c r="AX239" s="44">
        <f t="shared" si="28"/>
        <v>0</v>
      </c>
      <c r="AY239" s="44">
        <v>40</v>
      </c>
      <c r="AZ239" s="63"/>
      <c r="BA239" s="63">
        <f t="shared" si="29"/>
        <v>0</v>
      </c>
      <c r="BB239" s="45"/>
      <c r="BC239" s="65">
        <v>4.4999999999999998E-2</v>
      </c>
      <c r="BD239" s="63">
        <f t="shared" si="27"/>
        <v>-3503.0716309776817</v>
      </c>
    </row>
    <row r="240" spans="1:56" ht="14.45" customHeight="1" x14ac:dyDescent="0.25">
      <c r="A240" t="str">
        <f>+VLOOKUP(D240,Acronyme!$A$1:$C$50,3,FALSE)</f>
        <v>Pin sylvestre</v>
      </c>
      <c r="B240" t="str">
        <f>+VLOOKUP(E240,Acronyme!$E$2:$I$50,5,FALSE)</f>
        <v>GS Pineraies des plaines du Centre et du Nord Ouest</v>
      </c>
      <c r="C240" t="s">
        <v>264</v>
      </c>
      <c r="D240" s="43" t="s">
        <v>106</v>
      </c>
      <c r="E240" s="43" t="s">
        <v>89</v>
      </c>
      <c r="F240" s="43" t="s">
        <v>115</v>
      </c>
      <c r="G240" s="43" t="s">
        <v>100</v>
      </c>
      <c r="H240" s="43">
        <v>28</v>
      </c>
      <c r="I240" s="43">
        <v>45</v>
      </c>
      <c r="J240" s="43">
        <v>2500</v>
      </c>
      <c r="K240" s="43" t="s">
        <v>109</v>
      </c>
      <c r="L240" s="43" t="s">
        <v>116</v>
      </c>
      <c r="M240" s="43" t="s">
        <v>111</v>
      </c>
      <c r="N240" s="43">
        <v>1997</v>
      </c>
      <c r="O240" s="43" t="s">
        <v>96</v>
      </c>
      <c r="P240" s="43">
        <v>21</v>
      </c>
      <c r="Q240" s="43">
        <v>12.5</v>
      </c>
      <c r="R240" s="43">
        <v>2024</v>
      </c>
      <c r="S240" s="43">
        <v>28.8</v>
      </c>
      <c r="T240" s="43">
        <v>0</v>
      </c>
      <c r="U240" s="43">
        <v>1100</v>
      </c>
      <c r="V240" s="43">
        <v>712</v>
      </c>
      <c r="W240" s="43">
        <v>162</v>
      </c>
      <c r="X240" s="43">
        <v>50</v>
      </c>
      <c r="Y240" s="43">
        <v>0</v>
      </c>
      <c r="Z240" s="32">
        <v>81</v>
      </c>
      <c r="AA240" s="43" t="s">
        <v>63</v>
      </c>
      <c r="AB240" s="43">
        <v>36.53</v>
      </c>
      <c r="AC240" s="43">
        <v>246</v>
      </c>
      <c r="AD240" s="43">
        <v>27</v>
      </c>
      <c r="AE240" s="43">
        <v>37.380000000000003</v>
      </c>
      <c r="AF240" s="43">
        <v>41.42</v>
      </c>
      <c r="AG240" s="43">
        <v>425.65359145623103</v>
      </c>
      <c r="AH240" s="43">
        <v>427.688505266059</v>
      </c>
      <c r="AI240" s="43">
        <v>463.91279453298802</v>
      </c>
      <c r="AJ240" s="43">
        <v>69.753669980831006</v>
      </c>
      <c r="AK240" s="43">
        <v>0.86115641951643196</v>
      </c>
      <c r="AL240" s="43">
        <v>0.263104332083614</v>
      </c>
      <c r="AM240" s="43">
        <v>938.36081731255501</v>
      </c>
      <c r="AN240" s="43">
        <v>11.5847014483031</v>
      </c>
      <c r="AO240" s="43">
        <v>6.7264311938031396</v>
      </c>
      <c r="AP240" s="44">
        <v>35</v>
      </c>
      <c r="AQ240" s="44">
        <v>2.7100000000000009</v>
      </c>
      <c r="AR240" s="44">
        <v>31.398267314488603</v>
      </c>
      <c r="AS240" s="44">
        <v>41.473291750154999</v>
      </c>
      <c r="AT240" s="44">
        <v>0.73</v>
      </c>
      <c r="AU240" s="44">
        <v>1.1849511928615715</v>
      </c>
      <c r="AV240" s="44">
        <f t="shared" ref="AV240:AV245" si="31">+AU240*AP240</f>
        <v>41.473291750154999</v>
      </c>
      <c r="AW240" s="44">
        <f>+VLOOKUP(C240,'Etape 1 - surface'!$A$5:$B$58,2,FALSE)</f>
        <v>0</v>
      </c>
      <c r="AX240" s="44">
        <f t="shared" si="28"/>
        <v>0</v>
      </c>
      <c r="AY240" s="44">
        <f>10.0046474463505+(37.1112351801373-10.0046474463505)/(1+EXP(-(0.581180949782075*AU240+-0.955447614584994)))</f>
        <v>21.760737047543607</v>
      </c>
      <c r="AZ240" s="63"/>
      <c r="BA240" s="63">
        <f t="shared" si="29"/>
        <v>0</v>
      </c>
      <c r="BB240" s="45"/>
      <c r="BC240" s="65">
        <v>4.4999999999999998E-2</v>
      </c>
      <c r="BD240" s="63">
        <f t="shared" si="27"/>
        <v>-3503.0716309776817</v>
      </c>
    </row>
    <row r="241" spans="1:56" ht="15" x14ac:dyDescent="0.25">
      <c r="A241" t="str">
        <f>+VLOOKUP(D241,Acronyme!$A$1:$C$50,3,FALSE)</f>
        <v>Hêtre commun</v>
      </c>
      <c r="B241" t="str">
        <f>+VLOOKUP(E241,Acronyme!$E$2:$I$50,5,FALSE)</f>
        <v>GS Hêtraies et hêtraies sapinières des Pyrénées</v>
      </c>
      <c r="C241" t="s">
        <v>264</v>
      </c>
      <c r="D241" s="43" t="s">
        <v>126</v>
      </c>
      <c r="E241" s="43" t="s">
        <v>127</v>
      </c>
      <c r="F241" s="43" t="s">
        <v>113</v>
      </c>
      <c r="G241" s="43" t="s">
        <v>100</v>
      </c>
      <c r="H241" s="43">
        <v>22</v>
      </c>
      <c r="I241" s="43">
        <v>55</v>
      </c>
      <c r="J241" s="43">
        <v>1666</v>
      </c>
      <c r="K241" s="43" t="s">
        <v>109</v>
      </c>
      <c r="L241" s="43" t="s">
        <v>103</v>
      </c>
      <c r="M241" s="43" t="s">
        <v>128</v>
      </c>
      <c r="N241" s="43"/>
      <c r="O241" s="43"/>
      <c r="P241" s="43">
        <v>42</v>
      </c>
      <c r="Q241" s="43">
        <v>19.510000000000002</v>
      </c>
      <c r="R241" s="43">
        <v>1402</v>
      </c>
      <c r="S241" s="43">
        <v>28.51</v>
      </c>
      <c r="T241" s="43">
        <v>50</v>
      </c>
      <c r="U241" s="43">
        <v>303</v>
      </c>
      <c r="V241" s="43">
        <v>595</v>
      </c>
      <c r="W241" s="43">
        <v>375</v>
      </c>
      <c r="X241" s="43">
        <v>75</v>
      </c>
      <c r="Y241" s="43">
        <v>4</v>
      </c>
      <c r="Z241" s="32">
        <v>81</v>
      </c>
      <c r="AA241" s="43" t="s">
        <v>63</v>
      </c>
      <c r="AB241" s="43">
        <v>31.42</v>
      </c>
      <c r="AC241" s="43">
        <v>190</v>
      </c>
      <c r="AD241" s="43">
        <v>18.72</v>
      </c>
      <c r="AE241" s="43">
        <v>35.42</v>
      </c>
      <c r="AF241" s="43">
        <v>38.880000000000003</v>
      </c>
      <c r="AG241" s="43">
        <v>274.935195280882</v>
      </c>
      <c r="AH241" s="43">
        <v>295.89558693706499</v>
      </c>
      <c r="AI241" s="43">
        <v>330.47262529310001</v>
      </c>
      <c r="AJ241" s="43">
        <v>58.586256952548403</v>
      </c>
      <c r="AK241" s="43">
        <v>0.72328712287096797</v>
      </c>
      <c r="AL241" s="43">
        <v>0.51581072290415397</v>
      </c>
      <c r="AM241" s="43">
        <v>880.30757935633096</v>
      </c>
      <c r="AN241" s="43">
        <v>10.8679948068683</v>
      </c>
      <c r="AO241" s="43">
        <v>11.7375794130239</v>
      </c>
      <c r="AP241" s="44">
        <v>71</v>
      </c>
      <c r="AQ241" s="44">
        <v>5.34</v>
      </c>
      <c r="AR241" s="44">
        <v>30.945429408097034</v>
      </c>
      <c r="AS241" s="44">
        <v>76.359477359423011</v>
      </c>
      <c r="AT241" s="44">
        <v>0.82</v>
      </c>
      <c r="AU241" s="44">
        <v>1.0754855966115917</v>
      </c>
      <c r="AV241" s="44">
        <f t="shared" si="31"/>
        <v>76.359477359423011</v>
      </c>
      <c r="AW241" s="44">
        <f>+VLOOKUP(C241,'Etape 1 - surface'!$A$5:$B$58,2,FALSE)</f>
        <v>0</v>
      </c>
      <c r="AX241" s="44">
        <f t="shared" si="28"/>
        <v>0</v>
      </c>
      <c r="AY241" s="44">
        <f>5.93488073153274+(78.4394250513347-5.93488073153274)/(1+EXP(-(1.03516193614659*AU241+-2.09091784316379)))</f>
        <v>25.755089795269875</v>
      </c>
      <c r="AZ241" s="63"/>
      <c r="BA241" s="63">
        <f t="shared" si="29"/>
        <v>0</v>
      </c>
      <c r="BB241" s="45"/>
      <c r="BC241" s="65">
        <v>4.4999999999999998E-2</v>
      </c>
      <c r="BD241" s="63">
        <f t="shared" si="27"/>
        <v>-3503.0716309776817</v>
      </c>
    </row>
    <row r="242" spans="1:56" ht="14.45" customHeight="1" x14ac:dyDescent="0.25">
      <c r="A242" t="str">
        <f>+VLOOKUP(D242,Acronyme!$A$1:$C$50,3,FALSE)</f>
        <v>Sapin pectiné</v>
      </c>
      <c r="B242" t="str">
        <f>+VLOOKUP(E242,Acronyme!$E$2:$I$50,5,FALSE)</f>
        <v>GS Arc Jurassien</v>
      </c>
      <c r="C242" t="s">
        <v>264</v>
      </c>
      <c r="D242" s="43" t="s">
        <v>129</v>
      </c>
      <c r="E242" s="43" t="s">
        <v>119</v>
      </c>
      <c r="F242" s="43" t="s">
        <v>130</v>
      </c>
      <c r="G242" s="43" t="s">
        <v>62</v>
      </c>
      <c r="H242" s="43">
        <v>15.5</v>
      </c>
      <c r="I242" s="43" t="s">
        <v>101</v>
      </c>
      <c r="J242" s="43">
        <v>2000</v>
      </c>
      <c r="K242" s="43" t="s">
        <v>102</v>
      </c>
      <c r="L242" s="43" t="s">
        <v>103</v>
      </c>
      <c r="M242" s="43" t="s">
        <v>123</v>
      </c>
      <c r="N242" s="43"/>
      <c r="O242" s="43"/>
      <c r="P242" s="43">
        <v>57</v>
      </c>
      <c r="Q242" s="43">
        <v>18.22</v>
      </c>
      <c r="R242" s="43">
        <v>1862</v>
      </c>
      <c r="S242" s="43">
        <v>45.64</v>
      </c>
      <c r="T242" s="43">
        <v>0</v>
      </c>
      <c r="U242" s="43">
        <v>0</v>
      </c>
      <c r="V242" s="43">
        <v>1085</v>
      </c>
      <c r="W242" s="43">
        <v>663</v>
      </c>
      <c r="X242" s="43">
        <v>114</v>
      </c>
      <c r="Y242" s="43">
        <v>0</v>
      </c>
      <c r="Z242" s="32">
        <v>81</v>
      </c>
      <c r="AA242" s="43" t="s">
        <v>63</v>
      </c>
      <c r="AB242" s="43">
        <v>25.654509606740898</v>
      </c>
      <c r="AC242" s="43">
        <v>429</v>
      </c>
      <c r="AD242" s="43">
        <v>28.12</v>
      </c>
      <c r="AE242" s="43">
        <v>28.890821431893801</v>
      </c>
      <c r="AF242" s="43">
        <v>33.5364032645276</v>
      </c>
      <c r="AG242" s="43">
        <v>342.28704532649601</v>
      </c>
      <c r="AH242" s="43">
        <v>343.54621319184901</v>
      </c>
      <c r="AI242" s="43">
        <v>393.21109654776802</v>
      </c>
      <c r="AJ242" s="43">
        <v>70.257802527146396</v>
      </c>
      <c r="AK242" s="43">
        <v>0.86738027811291796</v>
      </c>
      <c r="AL242" s="43">
        <v>0.80426959294827005</v>
      </c>
      <c r="AM242" s="43">
        <v>872.81851223695105</v>
      </c>
      <c r="AN242" s="43">
        <v>10.7755371881105</v>
      </c>
      <c r="AO242" s="43">
        <v>15.411961478836201</v>
      </c>
      <c r="AP242" s="44">
        <v>120</v>
      </c>
      <c r="AQ242" s="44">
        <v>7.6500000000000021</v>
      </c>
      <c r="AR242" s="44">
        <v>28.490177426065049</v>
      </c>
      <c r="AS242" s="44">
        <v>92.707606913562984</v>
      </c>
      <c r="AT242" s="44">
        <v>0.97851086156752709</v>
      </c>
      <c r="AU242" s="44">
        <v>0.77256339094635817</v>
      </c>
      <c r="AV242" s="44">
        <f t="shared" si="31"/>
        <v>92.707606913562984</v>
      </c>
      <c r="AW242" s="44">
        <f>+VLOOKUP(C242,'Etape 1 - surface'!$A$5:$B$58,2,FALSE)</f>
        <v>0</v>
      </c>
      <c r="AX242" s="44">
        <f t="shared" si="28"/>
        <v>0</v>
      </c>
      <c r="AY242" s="44">
        <f>12.60067150914+(56.0435691950881-12.60067150914)/(1+EXP(-(0.12255140894824*AU242+-0.18958347271504)))</f>
        <v>33.292159065601879</v>
      </c>
      <c r="AZ242" s="63"/>
      <c r="BA242" s="63">
        <f t="shared" si="29"/>
        <v>0</v>
      </c>
      <c r="BB242" s="45"/>
      <c r="BC242" s="65">
        <v>4.4999999999999998E-2</v>
      </c>
      <c r="BD242" s="63">
        <f t="shared" si="27"/>
        <v>-3503.0716309776817</v>
      </c>
    </row>
    <row r="243" spans="1:56" ht="14.45" customHeight="1" x14ac:dyDescent="0.25">
      <c r="A243" t="str">
        <f>+VLOOKUP(D243,Acronyme!$A$1:$C$50,3,FALSE)</f>
        <v>Chene_pedoncule</v>
      </c>
      <c r="B243" t="str">
        <f>+VLOOKUP(E243,Acronyme!$E$2:$I$50,5,FALSE)</f>
        <v>Guide chênaie continentale</v>
      </c>
      <c r="C243" t="s">
        <v>264</v>
      </c>
      <c r="D243" s="43" t="s">
        <v>145</v>
      </c>
      <c r="E243" s="43" t="s">
        <v>65</v>
      </c>
      <c r="F243" s="43" t="s">
        <v>66</v>
      </c>
      <c r="G243" s="43" t="s">
        <v>100</v>
      </c>
      <c r="H243" s="43">
        <v>26</v>
      </c>
      <c r="I243" s="43" t="s">
        <v>144</v>
      </c>
      <c r="J243" s="43">
        <v>1600</v>
      </c>
      <c r="K243" s="43" t="s">
        <v>109</v>
      </c>
      <c r="L243" s="43" t="s">
        <v>103</v>
      </c>
      <c r="M243" s="43" t="s">
        <v>143</v>
      </c>
      <c r="N243" s="43"/>
      <c r="O243" s="43"/>
      <c r="P243" s="43">
        <v>31</v>
      </c>
      <c r="Q243" s="43">
        <v>16.22</v>
      </c>
      <c r="R243" s="43">
        <v>1446</v>
      </c>
      <c r="S243" s="43">
        <v>21.44</v>
      </c>
      <c r="T243" s="43">
        <v>65</v>
      </c>
      <c r="U243" s="43">
        <v>525</v>
      </c>
      <c r="V243" s="43">
        <v>696</v>
      </c>
      <c r="W243" s="43">
        <v>155</v>
      </c>
      <c r="X243" s="43">
        <v>5</v>
      </c>
      <c r="Y243" s="43">
        <v>0</v>
      </c>
      <c r="Z243" s="32">
        <v>81</v>
      </c>
      <c r="AA243" s="43" t="s">
        <v>63</v>
      </c>
      <c r="AB243" s="43">
        <v>31.47</v>
      </c>
      <c r="AC243" s="43">
        <v>79</v>
      </c>
      <c r="AD243" s="43">
        <v>19.47</v>
      </c>
      <c r="AE243" s="43">
        <v>56.01</v>
      </c>
      <c r="AF243" s="43">
        <v>56.01</v>
      </c>
      <c r="AG243" s="43">
        <v>300.02692777926501</v>
      </c>
      <c r="AH243" s="43">
        <v>339.20240556604199</v>
      </c>
      <c r="AI243" s="43">
        <v>364.57219647088499</v>
      </c>
      <c r="AJ243" s="43">
        <v>61.0729364097581</v>
      </c>
      <c r="AK243" s="43">
        <v>0.75398686925627301</v>
      </c>
      <c r="AL243" s="43">
        <v>0.52317912426962698</v>
      </c>
      <c r="AM243" s="43">
        <v>920.13983402213</v>
      </c>
      <c r="AN243" s="43">
        <v>11.3597510373102</v>
      </c>
      <c r="AO243" s="43">
        <v>12.2851011552063</v>
      </c>
      <c r="AP243" s="44">
        <v>22</v>
      </c>
      <c r="AQ243" s="44">
        <v>5.1500000000000021</v>
      </c>
      <c r="AR243" s="44">
        <v>54.594303962734941</v>
      </c>
      <c r="AS243" s="44">
        <v>79.451592925260968</v>
      </c>
      <c r="AT243" s="44">
        <v>0.96</v>
      </c>
      <c r="AU243" s="44">
        <v>3.6114360420573166</v>
      </c>
      <c r="AV243" s="44">
        <f t="shared" si="31"/>
        <v>79.451592925260968</v>
      </c>
      <c r="AW243" s="44">
        <f>+VLOOKUP(C243,'Etape 1 - surface'!$A$5:$B$58,2,FALSE)</f>
        <v>0</v>
      </c>
      <c r="AX243" s="44">
        <f t="shared" si="28"/>
        <v>0</v>
      </c>
      <c r="AY243" s="44">
        <f>10.8374384236453+(405.147848531042-10.8374384236453)/(1+EXP(-(1.16387919746889*AU243+-2.8965970117006)))</f>
        <v>321.1426888879966</v>
      </c>
      <c r="AZ243" s="63"/>
      <c r="BA243" s="63">
        <f t="shared" si="29"/>
        <v>0</v>
      </c>
      <c r="BB243" s="45"/>
      <c r="BC243" s="65">
        <v>4.4999999999999998E-2</v>
      </c>
      <c r="BD243" s="63">
        <f t="shared" si="27"/>
        <v>-3503.0716309776817</v>
      </c>
    </row>
    <row r="244" spans="1:56" ht="15" x14ac:dyDescent="0.25">
      <c r="A244" t="str">
        <f>+VLOOKUP(D244,Acronyme!$A$1:$C$50,3,FALSE)</f>
        <v>Pin sylvestre</v>
      </c>
      <c r="B244" t="str">
        <f>+VLOOKUP(E244,Acronyme!$E$2:$I$50,5,FALSE)</f>
        <v>GS Pineraies des plaines du Centre et du Nord Ouest</v>
      </c>
      <c r="C244" t="s">
        <v>264</v>
      </c>
      <c r="D244" s="43" t="s">
        <v>106</v>
      </c>
      <c r="E244" s="43" t="s">
        <v>89</v>
      </c>
      <c r="F244" s="43" t="s">
        <v>115</v>
      </c>
      <c r="G244" s="43" t="s">
        <v>62</v>
      </c>
      <c r="H244" s="43">
        <v>23</v>
      </c>
      <c r="I244" s="43">
        <v>45</v>
      </c>
      <c r="J244" s="43">
        <v>2500</v>
      </c>
      <c r="K244" s="43" t="s">
        <v>109</v>
      </c>
      <c r="L244" s="43" t="s">
        <v>110</v>
      </c>
      <c r="M244" s="43" t="s">
        <v>111</v>
      </c>
      <c r="N244" s="43">
        <v>2003</v>
      </c>
      <c r="O244" s="43" t="s">
        <v>58</v>
      </c>
      <c r="P244" s="43">
        <v>28</v>
      </c>
      <c r="Q244" s="43">
        <v>13.5</v>
      </c>
      <c r="R244" s="43">
        <v>2157</v>
      </c>
      <c r="S244" s="43">
        <v>40.299999999999997</v>
      </c>
      <c r="T244" s="43">
        <v>0</v>
      </c>
      <c r="U244" s="43">
        <v>600</v>
      </c>
      <c r="V244" s="43">
        <v>1043</v>
      </c>
      <c r="W244" s="43">
        <v>457</v>
      </c>
      <c r="X244" s="43">
        <v>57</v>
      </c>
      <c r="Y244" s="43">
        <v>0</v>
      </c>
      <c r="Z244" s="32">
        <v>82</v>
      </c>
      <c r="AA244" s="43" t="s">
        <v>63</v>
      </c>
      <c r="AB244" s="43">
        <v>28.99</v>
      </c>
      <c r="AC244" s="43">
        <v>260</v>
      </c>
      <c r="AD244" s="43">
        <v>24.03</v>
      </c>
      <c r="AE244" s="43">
        <v>34.299999999999997</v>
      </c>
      <c r="AF244" s="43">
        <v>38.47</v>
      </c>
      <c r="AG244" s="43">
        <v>301.08984403366202</v>
      </c>
      <c r="AH244" s="43">
        <v>303.30556428314702</v>
      </c>
      <c r="AI244" s="43">
        <v>339.98687746774402</v>
      </c>
      <c r="AJ244" s="43">
        <v>73.741933062195002</v>
      </c>
      <c r="AK244" s="43">
        <v>0.89929186661213401</v>
      </c>
      <c r="AL244" s="43">
        <v>0.27478614016247599</v>
      </c>
      <c r="AM244" s="43">
        <v>816.54658817305801</v>
      </c>
      <c r="AN244" s="43">
        <v>9.9578852216226608</v>
      </c>
      <c r="AO244" s="43">
        <v>5.3968209982772404</v>
      </c>
      <c r="AP244" s="44">
        <v>44</v>
      </c>
      <c r="AQ244" s="44">
        <v>3.1699999999999982</v>
      </c>
      <c r="AR244" s="44">
        <v>30.287146076461607</v>
      </c>
      <c r="AS244" s="44">
        <v>38.832132496663974</v>
      </c>
      <c r="AT244" s="44">
        <v>0.8</v>
      </c>
      <c r="AU244" s="44">
        <v>0.88254846583327218</v>
      </c>
      <c r="AV244" s="44">
        <f t="shared" si="31"/>
        <v>38.832132496663974</v>
      </c>
      <c r="AW244" s="44">
        <f>+VLOOKUP(C244,'Etape 1 - surface'!$A$5:$B$58,2,FALSE)</f>
        <v>0</v>
      </c>
      <c r="AX244" s="44">
        <f t="shared" si="28"/>
        <v>0</v>
      </c>
      <c r="AY244" s="44">
        <f>10.0046474463505+(37.1112351801373-10.0046474463505)/(1+EXP(-(0.581180949782075*AU244+-0.955447614584994)))</f>
        <v>20.607089414157347</v>
      </c>
      <c r="AZ244" s="63"/>
      <c r="BA244" s="63">
        <f t="shared" si="29"/>
        <v>0</v>
      </c>
      <c r="BB244" s="45"/>
      <c r="BC244" s="65">
        <v>4.4999999999999998E-2</v>
      </c>
      <c r="BD244" s="63">
        <f t="shared" si="27"/>
        <v>-3503.0716309776817</v>
      </c>
    </row>
    <row r="245" spans="1:56" ht="14.45" customHeight="1" x14ac:dyDescent="0.25">
      <c r="A245" t="str">
        <f>+VLOOKUP(D245,Acronyme!$A$1:$C$50,3,FALSE)</f>
        <v>Chêne sessile</v>
      </c>
      <c r="B245" t="str">
        <f>+VLOOKUP(E245,Acronyme!$E$2:$I$50,5,FALSE)</f>
        <v>Guide chênaie atlantique</v>
      </c>
      <c r="C245" s="1" t="s">
        <v>264</v>
      </c>
      <c r="D245" s="43" t="s">
        <v>60</v>
      </c>
      <c r="E245" s="43" t="s">
        <v>150</v>
      </c>
      <c r="F245" s="43" t="s">
        <v>61</v>
      </c>
      <c r="G245" s="43" t="s">
        <v>100</v>
      </c>
      <c r="H245" s="43">
        <v>21.5</v>
      </c>
      <c r="I245" s="43" t="s">
        <v>151</v>
      </c>
      <c r="J245" s="43">
        <v>1666</v>
      </c>
      <c r="K245" s="43" t="s">
        <v>109</v>
      </c>
      <c r="L245" s="43" t="s">
        <v>103</v>
      </c>
      <c r="M245" s="43" t="s">
        <v>143</v>
      </c>
      <c r="N245" s="43"/>
      <c r="O245" s="43"/>
      <c r="P245" s="43">
        <v>34</v>
      </c>
      <c r="Q245" s="43">
        <v>16.2</v>
      </c>
      <c r="R245" s="43">
        <v>1451</v>
      </c>
      <c r="S245" s="43">
        <v>23.57</v>
      </c>
      <c r="T245" s="43">
        <v>44</v>
      </c>
      <c r="U245" s="43">
        <v>444</v>
      </c>
      <c r="V245" s="43">
        <v>742</v>
      </c>
      <c r="W245" s="43">
        <v>211</v>
      </c>
      <c r="X245" s="43">
        <v>10</v>
      </c>
      <c r="Y245" s="43">
        <v>0</v>
      </c>
      <c r="Z245" s="32">
        <v>82</v>
      </c>
      <c r="AA245" s="43" t="s">
        <v>63</v>
      </c>
      <c r="AB245" s="43">
        <v>29.35</v>
      </c>
      <c r="AC245" s="43">
        <v>182</v>
      </c>
      <c r="AD245" s="43">
        <v>23.9</v>
      </c>
      <c r="AE245" s="43">
        <v>40.89</v>
      </c>
      <c r="AF245" s="43">
        <v>43.89</v>
      </c>
      <c r="AG245" s="43">
        <v>346.24444281248901</v>
      </c>
      <c r="AH245" s="43">
        <v>377.52064696409502</v>
      </c>
      <c r="AI245" s="43">
        <v>408.12237772036099</v>
      </c>
      <c r="AJ245" s="43">
        <v>63.018317190807601</v>
      </c>
      <c r="AK245" s="43">
        <v>0.76851606330253197</v>
      </c>
      <c r="AL245" s="43">
        <v>0.55210914257266097</v>
      </c>
      <c r="AM245" s="43">
        <v>913.24864576986499</v>
      </c>
      <c r="AN245" s="43">
        <v>11.1371786069496</v>
      </c>
      <c r="AO245" s="43">
        <v>12.2824448853139</v>
      </c>
      <c r="AP245" s="44">
        <v>35</v>
      </c>
      <c r="AQ245" s="44">
        <v>3.7700000000000031</v>
      </c>
      <c r="AR245" s="44">
        <v>37.033240217989366</v>
      </c>
      <c r="AS245" s="44">
        <v>53.959585744727008</v>
      </c>
      <c r="AT245" s="44">
        <v>0.84</v>
      </c>
      <c r="AU245" s="44">
        <v>1.541702449849343</v>
      </c>
      <c r="AV245" s="44">
        <f t="shared" si="31"/>
        <v>53.959585744727008</v>
      </c>
      <c r="AW245" s="44">
        <f>+VLOOKUP(C245,'Etape 1 - surface'!$A$5:$B$58,2,FALSE)</f>
        <v>0</v>
      </c>
      <c r="AX245" s="44">
        <f t="shared" si="28"/>
        <v>0</v>
      </c>
      <c r="AY245" s="44">
        <f>10.8374384236453+(405.147848531042-10.8374384236453)/(1+EXP(-(1.16387919746889*AU245+-2.8965970117006)))</f>
        <v>109.14695775595486</v>
      </c>
      <c r="AZ245" s="63"/>
      <c r="BA245" s="63">
        <f t="shared" si="29"/>
        <v>0</v>
      </c>
      <c r="BB245" s="45"/>
      <c r="BC245" s="65">
        <v>4.4999999999999998E-2</v>
      </c>
      <c r="BD245" s="63">
        <f t="shared" si="27"/>
        <v>-3503.0716309776817</v>
      </c>
    </row>
    <row r="246" spans="1:56" ht="15" x14ac:dyDescent="0.25">
      <c r="C246" t="s">
        <v>266</v>
      </c>
      <c r="D246" s="43" t="s">
        <v>207</v>
      </c>
      <c r="E246" s="43" t="s">
        <v>208</v>
      </c>
      <c r="F246" s="43" t="s">
        <v>258</v>
      </c>
      <c r="G246" s="43" t="s">
        <v>260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2">
        <v>82</v>
      </c>
      <c r="AA246" s="43" t="s">
        <v>63</v>
      </c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44">
        <v>170</v>
      </c>
      <c r="AQ246" s="1"/>
      <c r="AR246" s="1"/>
      <c r="AS246" s="1"/>
      <c r="AT246" s="1"/>
      <c r="AU246" s="44">
        <f>AV246/AP246</f>
        <v>0.46470588235294119</v>
      </c>
      <c r="AV246" s="44">
        <v>79</v>
      </c>
      <c r="AW246" s="44">
        <f>+VLOOKUP(C246,'Etape 1 - surface'!$A$5:$B$58,2,FALSE)</f>
        <v>0</v>
      </c>
      <c r="AX246" s="44">
        <f t="shared" si="28"/>
        <v>0</v>
      </c>
      <c r="AY246" s="44">
        <f>82.5251889/(1+EXP(-(0.26195064*AU246+(-0.34406779))))</f>
        <v>36.694281202398606</v>
      </c>
      <c r="AZ246" s="63"/>
      <c r="BA246" s="63">
        <f t="shared" si="29"/>
        <v>0</v>
      </c>
      <c r="BB246" s="45"/>
      <c r="BC246" s="65">
        <v>4.4999999999999998E-2</v>
      </c>
      <c r="BD246" s="63">
        <f t="shared" si="27"/>
        <v>-3503.0716309776817</v>
      </c>
    </row>
    <row r="247" spans="1:56" ht="15" x14ac:dyDescent="0.25">
      <c r="C247" t="s">
        <v>265</v>
      </c>
      <c r="D247" s="43" t="s">
        <v>207</v>
      </c>
      <c r="E247" s="43" t="s">
        <v>208</v>
      </c>
      <c r="F247" s="43" t="s">
        <v>259</v>
      </c>
      <c r="G247" s="43" t="s">
        <v>260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2">
        <v>82</v>
      </c>
      <c r="AA247" s="43" t="s">
        <v>63</v>
      </c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44">
        <v>243</v>
      </c>
      <c r="AQ247" s="1"/>
      <c r="AR247" s="1"/>
      <c r="AS247" s="1"/>
      <c r="AT247" s="1"/>
      <c r="AU247" s="44">
        <f>AV247/AP247</f>
        <v>0.37860082304526749</v>
      </c>
      <c r="AV247" s="44">
        <v>92</v>
      </c>
      <c r="AW247" s="44">
        <f>+VLOOKUP(C247,'Etape 1 - surface'!$A$5:$B$58,2,FALSE)</f>
        <v>0</v>
      </c>
      <c r="AX247" s="44">
        <f t="shared" si="28"/>
        <v>0</v>
      </c>
      <c r="AY247" s="44">
        <f>82.5251889/(1+EXP(-(0.26195064*AU247+(-0.34406779))))</f>
        <v>36.235233151763467</v>
      </c>
      <c r="AZ247" s="63"/>
      <c r="BA247" s="63">
        <f t="shared" si="29"/>
        <v>0</v>
      </c>
      <c r="BB247" s="45"/>
      <c r="BC247" s="65">
        <v>4.4999999999999998E-2</v>
      </c>
      <c r="BD247" s="63">
        <f t="shared" si="27"/>
        <v>-3503.0716309776817</v>
      </c>
    </row>
    <row r="248" spans="1:56" ht="15" x14ac:dyDescent="0.25">
      <c r="A248" t="str">
        <f>+VLOOKUP(D248,Acronyme!$A$1:$C$50,3,FALSE)</f>
        <v>Pin sylvestre</v>
      </c>
      <c r="B248" t="str">
        <f>+VLOOKUP(E248,Acronyme!$E$2:$I$50,5,FALSE)</f>
        <v>GS Pineraies des plaines du Centre et du Nord Ouest</v>
      </c>
      <c r="C248" t="s">
        <v>264</v>
      </c>
      <c r="D248" s="43" t="s">
        <v>106</v>
      </c>
      <c r="E248" s="43" t="s">
        <v>89</v>
      </c>
      <c r="F248" s="43" t="s">
        <v>107</v>
      </c>
      <c r="G248" s="43" t="s">
        <v>62</v>
      </c>
      <c r="H248" s="43">
        <v>23</v>
      </c>
      <c r="I248" s="43" t="s">
        <v>108</v>
      </c>
      <c r="J248" s="43">
        <v>2500</v>
      </c>
      <c r="K248" s="43" t="s">
        <v>109</v>
      </c>
      <c r="L248" s="43" t="s">
        <v>110</v>
      </c>
      <c r="M248" s="43" t="s">
        <v>111</v>
      </c>
      <c r="N248" s="43">
        <v>2003</v>
      </c>
      <c r="O248" s="43"/>
      <c r="P248" s="43">
        <v>24</v>
      </c>
      <c r="Q248" s="43">
        <v>11.4</v>
      </c>
      <c r="R248" s="43">
        <v>2157</v>
      </c>
      <c r="S248" s="43">
        <v>40.299999999999997</v>
      </c>
      <c r="T248" s="43">
        <v>0</v>
      </c>
      <c r="U248" s="43">
        <v>600</v>
      </c>
      <c r="V248" s="43">
        <v>1043</v>
      </c>
      <c r="W248" s="43">
        <v>457</v>
      </c>
      <c r="X248" s="43">
        <v>57</v>
      </c>
      <c r="Y248" s="43">
        <v>0</v>
      </c>
      <c r="Z248" s="32">
        <v>83</v>
      </c>
      <c r="AA248" s="43" t="s">
        <v>63</v>
      </c>
      <c r="AB248" s="43">
        <v>28.51</v>
      </c>
      <c r="AC248" s="43">
        <v>185</v>
      </c>
      <c r="AD248" s="43">
        <v>23.91</v>
      </c>
      <c r="AE248" s="43">
        <v>40.57</v>
      </c>
      <c r="AF248" s="43">
        <v>43.12</v>
      </c>
      <c r="AG248" s="43">
        <v>295.78945958192099</v>
      </c>
      <c r="AH248" s="43">
        <v>298.89986720000002</v>
      </c>
      <c r="AI248" s="43">
        <v>338.626293581482</v>
      </c>
      <c r="AJ248" s="43">
        <v>79.572117571225505</v>
      </c>
      <c r="AK248" s="43">
        <v>0.95870021170151198</v>
      </c>
      <c r="AL248" s="43">
        <v>0.28962330892471799</v>
      </c>
      <c r="AM248" s="43">
        <v>842.63404942391503</v>
      </c>
      <c r="AN248" s="43">
        <v>10.152217462938699</v>
      </c>
      <c r="AO248" s="43">
        <v>5.6840188083722296</v>
      </c>
      <c r="AP248" s="44">
        <v>29</v>
      </c>
      <c r="AQ248" s="44">
        <v>2.963943245412402</v>
      </c>
      <c r="AR248" s="44">
        <v>36.07372598371547</v>
      </c>
      <c r="AS248" s="44">
        <v>35.426863202109985</v>
      </c>
      <c r="AT248" s="44">
        <v>0.75567457753779221</v>
      </c>
      <c r="AU248" s="44">
        <v>1.2216159724865512</v>
      </c>
      <c r="AV248" s="44">
        <f>+AU248*AP248</f>
        <v>35.426863202109985</v>
      </c>
      <c r="AW248" s="44">
        <f>+VLOOKUP(C248,'Etape 1 - surface'!$A$5:$B$58,2,FALSE)</f>
        <v>0</v>
      </c>
      <c r="AX248" s="44">
        <f t="shared" si="28"/>
        <v>0</v>
      </c>
      <c r="AY248" s="44">
        <f>10.0046474463505+(37.1112351801373-10.0046474463505)/(1+EXP(-(0.581180949782075*AU248+-0.955447614584994)))</f>
        <v>21.902795968542801</v>
      </c>
      <c r="AZ248" s="63"/>
      <c r="BA248" s="63">
        <f t="shared" si="29"/>
        <v>0</v>
      </c>
      <c r="BB248" s="45"/>
      <c r="BC248" s="65">
        <v>4.4999999999999998E-2</v>
      </c>
      <c r="BD248" s="63">
        <f t="shared" si="27"/>
        <v>-3503.0716309776817</v>
      </c>
    </row>
    <row r="249" spans="1:56" ht="15" x14ac:dyDescent="0.25">
      <c r="A249" t="str">
        <f>+VLOOKUP(D249,Acronyme!$A$1:$C$50,3,FALSE)</f>
        <v>Douglas</v>
      </c>
      <c r="B249" t="str">
        <f>+VLOOKUP(E249,Acronyme!$E$2:$I$50,5,FALSE)</f>
        <v>National</v>
      </c>
      <c r="C249" t="s">
        <v>264</v>
      </c>
      <c r="D249" s="43" t="s">
        <v>97</v>
      </c>
      <c r="E249" s="43" t="s">
        <v>98</v>
      </c>
      <c r="F249" s="43" t="s">
        <v>113</v>
      </c>
      <c r="G249" s="43" t="s">
        <v>114</v>
      </c>
      <c r="H249" s="43">
        <v>26</v>
      </c>
      <c r="I249" s="43" t="s">
        <v>101</v>
      </c>
      <c r="J249" s="43">
        <v>1666</v>
      </c>
      <c r="K249" s="43" t="s">
        <v>102</v>
      </c>
      <c r="L249" s="43" t="s">
        <v>103</v>
      </c>
      <c r="M249" s="43" t="s">
        <v>104</v>
      </c>
      <c r="N249" s="43"/>
      <c r="O249" s="43" t="s">
        <v>112</v>
      </c>
      <c r="P249" s="43">
        <v>25</v>
      </c>
      <c r="Q249" s="43">
        <v>14.76</v>
      </c>
      <c r="R249" s="43">
        <v>1600</v>
      </c>
      <c r="S249" s="43">
        <v>26.34</v>
      </c>
      <c r="T249" s="43">
        <v>40</v>
      </c>
      <c r="U249" s="43">
        <v>465</v>
      </c>
      <c r="V249" s="43">
        <v>873</v>
      </c>
      <c r="W249" s="43">
        <v>210</v>
      </c>
      <c r="X249" s="43">
        <v>12</v>
      </c>
      <c r="Y249" s="43">
        <v>0</v>
      </c>
      <c r="Z249" s="32">
        <v>83</v>
      </c>
      <c r="AA249" s="43" t="s">
        <v>63</v>
      </c>
      <c r="AB249" s="43">
        <v>38.275845454234499</v>
      </c>
      <c r="AC249" s="43">
        <v>251</v>
      </c>
      <c r="AD249" s="43">
        <v>27.261727457820001</v>
      </c>
      <c r="AE249" s="43">
        <v>37.187320300326498</v>
      </c>
      <c r="AF249" s="43">
        <v>40.6522751594471</v>
      </c>
      <c r="AG249" s="43">
        <v>314.93846591996902</v>
      </c>
      <c r="AH249" s="43">
        <v>318.75963460000003</v>
      </c>
      <c r="AI249" s="43">
        <v>396.04833454406099</v>
      </c>
      <c r="AJ249" s="43">
        <v>72.287607760446505</v>
      </c>
      <c r="AK249" s="43">
        <v>0.87093503325839206</v>
      </c>
      <c r="AL249" s="43">
        <v>0.33909096133434502</v>
      </c>
      <c r="AM249" s="43">
        <v>895.66493866633198</v>
      </c>
      <c r="AN249" s="43">
        <v>10.791143839353399</v>
      </c>
      <c r="AO249" s="43">
        <v>7.4120575382405001</v>
      </c>
      <c r="AP249" s="44">
        <v>49</v>
      </c>
      <c r="AQ249" s="44">
        <v>5.4712660189294979</v>
      </c>
      <c r="AR249" s="44">
        <v>37.705172749298484</v>
      </c>
      <c r="AS249" s="44">
        <v>63.552653680876006</v>
      </c>
      <c r="AT249" s="44">
        <v>1.0233572764575893</v>
      </c>
      <c r="AU249" s="44">
        <v>1.2969929322627756</v>
      </c>
      <c r="AV249" s="44">
        <f>+AU249*AP249</f>
        <v>63.552653680876006</v>
      </c>
      <c r="AW249" s="44">
        <f>+VLOOKUP(C249,'Etape 1 - surface'!$A$5:$B$58,2,FALSE)</f>
        <v>0</v>
      </c>
      <c r="AX249" s="44">
        <f t="shared" si="28"/>
        <v>0</v>
      </c>
      <c r="AY249" s="44">
        <f>17.058316746383+(70.7042249024703-17.058316746383)/(1+EXP(-(0.378583234479568*AU249+-0.73675928557405)))</f>
        <v>40.602026718070121</v>
      </c>
      <c r="AZ249" s="63"/>
      <c r="BA249" s="63">
        <f t="shared" si="29"/>
        <v>0</v>
      </c>
      <c r="BB249" s="45"/>
      <c r="BC249" s="65">
        <v>4.4999999999999998E-2</v>
      </c>
      <c r="BD249" s="63">
        <f t="shared" si="27"/>
        <v>-3503.0716309776817</v>
      </c>
    </row>
    <row r="250" spans="1:56" ht="14.45" customHeight="1" x14ac:dyDescent="0.25">
      <c r="A250" t="str">
        <f>+VLOOKUP(D250,Acronyme!$A$1:$C$50,3,FALSE)</f>
        <v>Sapin pectiné</v>
      </c>
      <c r="B250" t="str">
        <f>+VLOOKUP(E250,Acronyme!$E$2:$I$50,5,FALSE)</f>
        <v>GS Arc Jurassien</v>
      </c>
      <c r="C250" t="s">
        <v>264</v>
      </c>
      <c r="D250" s="43" t="s">
        <v>129</v>
      </c>
      <c r="E250" s="43" t="s">
        <v>119</v>
      </c>
      <c r="F250" s="43" t="s">
        <v>130</v>
      </c>
      <c r="G250" s="43" t="s">
        <v>100</v>
      </c>
      <c r="H250" s="43">
        <v>20</v>
      </c>
      <c r="I250" s="43" t="s">
        <v>122</v>
      </c>
      <c r="J250" s="43">
        <v>2000</v>
      </c>
      <c r="K250" s="43" t="s">
        <v>102</v>
      </c>
      <c r="L250" s="43" t="s">
        <v>103</v>
      </c>
      <c r="M250" s="43" t="s">
        <v>123</v>
      </c>
      <c r="N250" s="43"/>
      <c r="O250" s="43"/>
      <c r="P250" s="43">
        <v>45</v>
      </c>
      <c r="Q250" s="43">
        <v>17.7</v>
      </c>
      <c r="R250" s="43">
        <v>1853</v>
      </c>
      <c r="S250" s="43">
        <v>45.68</v>
      </c>
      <c r="T250" s="43">
        <v>0</v>
      </c>
      <c r="U250" s="43">
        <v>0</v>
      </c>
      <c r="V250" s="43">
        <v>1079</v>
      </c>
      <c r="W250" s="43">
        <v>672</v>
      </c>
      <c r="X250" s="43">
        <v>94</v>
      </c>
      <c r="Y250" s="43">
        <v>8</v>
      </c>
      <c r="Z250" s="32">
        <v>83</v>
      </c>
      <c r="AA250" s="43" t="s">
        <v>63</v>
      </c>
      <c r="AB250" s="43">
        <v>31.337183221901899</v>
      </c>
      <c r="AC250" s="43">
        <v>248</v>
      </c>
      <c r="AD250" s="43">
        <v>30.02</v>
      </c>
      <c r="AE250" s="43">
        <v>39.257156622754003</v>
      </c>
      <c r="AF250" s="43">
        <v>42.824190746140303</v>
      </c>
      <c r="AG250" s="43">
        <v>459.66787046598301</v>
      </c>
      <c r="AH250" s="43">
        <v>461.28819145806801</v>
      </c>
      <c r="AI250" s="43">
        <v>507.11400155607902</v>
      </c>
      <c r="AJ250" s="43">
        <v>90.359215401320597</v>
      </c>
      <c r="AK250" s="43">
        <v>1.08866524579904</v>
      </c>
      <c r="AL250" s="43">
        <v>0.76514511395434703</v>
      </c>
      <c r="AM250" s="43">
        <v>1268.8139055504</v>
      </c>
      <c r="AN250" s="43">
        <v>15.286914524703599</v>
      </c>
      <c r="AO250" s="43">
        <v>16.7674005786291</v>
      </c>
      <c r="AP250" s="44">
        <v>63</v>
      </c>
      <c r="AQ250" s="44">
        <v>7.0599999999999987</v>
      </c>
      <c r="AR250" s="44">
        <v>37.773491977358027</v>
      </c>
      <c r="AS250" s="44">
        <v>107.58095377962502</v>
      </c>
      <c r="AT250" s="44">
        <v>0.93994200790880011</v>
      </c>
      <c r="AU250" s="44">
        <v>1.7076341869781748</v>
      </c>
      <c r="AV250" s="44">
        <f>+AU250*AP250</f>
        <v>107.58095377962502</v>
      </c>
      <c r="AW250" s="44">
        <f>+VLOOKUP(C250,'Etape 1 - surface'!$A$5:$B$58,2,FALSE)</f>
        <v>0</v>
      </c>
      <c r="AX250" s="44">
        <f t="shared" si="28"/>
        <v>0</v>
      </c>
      <c r="AY250" s="44">
        <f>12.60067150914+(56.0435691950881-12.60067150914)/(1+EXP(-(0.12255140894824*AU250+-0.18958347271504)))</f>
        <v>34.535955708551072</v>
      </c>
      <c r="AZ250" s="63"/>
      <c r="BA250" s="63">
        <f t="shared" si="29"/>
        <v>0</v>
      </c>
      <c r="BB250" s="45"/>
      <c r="BC250" s="65">
        <v>4.4999999999999998E-2</v>
      </c>
      <c r="BD250" s="63">
        <f t="shared" si="27"/>
        <v>-3503.0716309776817</v>
      </c>
    </row>
    <row r="251" spans="1:56" ht="15" x14ac:dyDescent="0.25">
      <c r="A251" t="str">
        <f>+VLOOKUP(D251,Acronyme!$A$1:$C$50,3,FALSE)</f>
        <v>Sapin pectiné</v>
      </c>
      <c r="B251" t="str">
        <f>+VLOOKUP(E251,Acronyme!$E$2:$I$50,5,FALSE)</f>
        <v>GS Arc Jurassien</v>
      </c>
      <c r="C251" t="s">
        <v>264</v>
      </c>
      <c r="D251" s="43" t="s">
        <v>129</v>
      </c>
      <c r="E251" s="43" t="s">
        <v>119</v>
      </c>
      <c r="F251" s="43" t="s">
        <v>130</v>
      </c>
      <c r="G251" s="43" t="s">
        <v>100</v>
      </c>
      <c r="H251" s="43">
        <v>20</v>
      </c>
      <c r="I251" s="43" t="s">
        <v>101</v>
      </c>
      <c r="J251" s="43">
        <v>2000</v>
      </c>
      <c r="K251" s="43" t="s">
        <v>102</v>
      </c>
      <c r="L251" s="43" t="s">
        <v>103</v>
      </c>
      <c r="M251" s="43" t="s">
        <v>123</v>
      </c>
      <c r="N251" s="43"/>
      <c r="O251" s="43"/>
      <c r="P251" s="43">
        <v>45</v>
      </c>
      <c r="Q251" s="43">
        <v>17.7</v>
      </c>
      <c r="R251" s="43">
        <v>1853</v>
      </c>
      <c r="S251" s="43">
        <v>45.68</v>
      </c>
      <c r="T251" s="43">
        <v>0</v>
      </c>
      <c r="U251" s="43">
        <v>0</v>
      </c>
      <c r="V251" s="43">
        <v>1079</v>
      </c>
      <c r="W251" s="43">
        <v>672</v>
      </c>
      <c r="X251" s="43">
        <v>94</v>
      </c>
      <c r="Y251" s="43">
        <v>8</v>
      </c>
      <c r="Z251" s="32">
        <v>83</v>
      </c>
      <c r="AA251" s="43" t="s">
        <v>63</v>
      </c>
      <c r="AB251" s="43">
        <v>31.337183221901899</v>
      </c>
      <c r="AC251" s="43">
        <v>248</v>
      </c>
      <c r="AD251" s="43">
        <v>30.02</v>
      </c>
      <c r="AE251" s="43">
        <v>39.257156622754003</v>
      </c>
      <c r="AF251" s="43">
        <v>42.824190746140303</v>
      </c>
      <c r="AG251" s="43">
        <v>459.66787046598301</v>
      </c>
      <c r="AH251" s="43">
        <v>461.28819145806801</v>
      </c>
      <c r="AI251" s="43">
        <v>507.11400155607902</v>
      </c>
      <c r="AJ251" s="43">
        <v>90.359215401320597</v>
      </c>
      <c r="AK251" s="43">
        <v>1.08866524579904</v>
      </c>
      <c r="AL251" s="43">
        <v>0.76514511395434703</v>
      </c>
      <c r="AM251" s="43">
        <v>1268.8139055504</v>
      </c>
      <c r="AN251" s="43">
        <v>15.286914524703599</v>
      </c>
      <c r="AO251" s="43">
        <v>16.7674005786291</v>
      </c>
      <c r="AP251" s="44">
        <v>63</v>
      </c>
      <c r="AQ251" s="44">
        <v>7.0599999999999987</v>
      </c>
      <c r="AR251" s="44">
        <v>37.773491977358027</v>
      </c>
      <c r="AS251" s="44">
        <v>107.58095377962502</v>
      </c>
      <c r="AT251" s="44">
        <v>0.93994200790880011</v>
      </c>
      <c r="AU251" s="44">
        <v>1.7076341869781748</v>
      </c>
      <c r="AV251" s="44">
        <f>+AU251*AP251</f>
        <v>107.58095377962502</v>
      </c>
      <c r="AW251" s="44">
        <f>+VLOOKUP(C251,'Etape 1 - surface'!$A$5:$B$58,2,FALSE)</f>
        <v>0</v>
      </c>
      <c r="AX251" s="44">
        <f t="shared" si="28"/>
        <v>0</v>
      </c>
      <c r="AY251" s="44">
        <f>12.60067150914+(56.0435691950881-12.60067150914)/(1+EXP(-(0.12255140894824*AU251+-0.18958347271504)))</f>
        <v>34.535955708551072</v>
      </c>
      <c r="AZ251" s="63"/>
      <c r="BA251" s="63">
        <f t="shared" si="29"/>
        <v>0</v>
      </c>
      <c r="BB251" s="45"/>
      <c r="BC251" s="65">
        <v>4.4999999999999998E-2</v>
      </c>
      <c r="BD251" s="63">
        <f t="shared" si="27"/>
        <v>-3503.0716309776817</v>
      </c>
    </row>
    <row r="252" spans="1:56" ht="15" x14ac:dyDescent="0.25">
      <c r="A252" t="str">
        <f>+VLOOKUP(D252,Acronyme!$A$1:$C$50,3,FALSE)</f>
        <v>Chene_pedoncule</v>
      </c>
      <c r="B252" t="str">
        <f>+VLOOKUP(E252,Acronyme!$E$2:$I$50,5,FALSE)</f>
        <v>Guide chênaie continentale</v>
      </c>
      <c r="C252" t="s">
        <v>264</v>
      </c>
      <c r="D252" s="43" t="s">
        <v>145</v>
      </c>
      <c r="E252" s="43" t="s">
        <v>65</v>
      </c>
      <c r="F252" s="43" t="s">
        <v>66</v>
      </c>
      <c r="G252" s="43" t="s">
        <v>62</v>
      </c>
      <c r="H252" s="43">
        <v>21.9</v>
      </c>
      <c r="I252" s="43" t="s">
        <v>144</v>
      </c>
      <c r="J252" s="43">
        <v>1600</v>
      </c>
      <c r="K252" s="43" t="s">
        <v>109</v>
      </c>
      <c r="L252" s="43" t="s">
        <v>103</v>
      </c>
      <c r="M252" s="43" t="s">
        <v>143</v>
      </c>
      <c r="N252" s="43"/>
      <c r="O252" s="43"/>
      <c r="P252" s="43">
        <v>38</v>
      </c>
      <c r="Q252" s="43">
        <v>16.27</v>
      </c>
      <c r="R252" s="43">
        <v>1446</v>
      </c>
      <c r="S252" s="43">
        <v>21.44</v>
      </c>
      <c r="T252" s="43">
        <v>65</v>
      </c>
      <c r="U252" s="43">
        <v>525</v>
      </c>
      <c r="V252" s="43">
        <v>696</v>
      </c>
      <c r="W252" s="43">
        <v>155</v>
      </c>
      <c r="X252" s="43">
        <v>5</v>
      </c>
      <c r="Y252" s="43">
        <v>0</v>
      </c>
      <c r="Z252" s="32">
        <v>83</v>
      </c>
      <c r="AA252" s="43" t="s">
        <v>63</v>
      </c>
      <c r="AB252" s="43">
        <v>27.21</v>
      </c>
      <c r="AC252" s="43">
        <v>99</v>
      </c>
      <c r="AD252" s="43">
        <v>17.41</v>
      </c>
      <c r="AE252" s="43">
        <v>47.32</v>
      </c>
      <c r="AF252" s="43">
        <v>47.32</v>
      </c>
      <c r="AG252" s="43">
        <v>230.67042068645</v>
      </c>
      <c r="AH252" s="43">
        <v>262.55716003492699</v>
      </c>
      <c r="AI252" s="43">
        <v>286.09907467014301</v>
      </c>
      <c r="AJ252" s="43">
        <v>50.301953442171701</v>
      </c>
      <c r="AK252" s="43">
        <v>0.60604763183339305</v>
      </c>
      <c r="AL252" s="43">
        <v>0.47502831851315602</v>
      </c>
      <c r="AM252" s="43">
        <v>676.72277268787502</v>
      </c>
      <c r="AN252" s="43">
        <v>8.1532864179261999</v>
      </c>
      <c r="AO252" s="43">
        <v>9.7779088873312094</v>
      </c>
      <c r="AP252" s="44">
        <v>20</v>
      </c>
      <c r="AQ252" s="44">
        <v>3.2300000000000004</v>
      </c>
      <c r="AR252" s="44">
        <v>45.346244218758493</v>
      </c>
      <c r="AS252" s="44">
        <v>42.760727653794021</v>
      </c>
      <c r="AT252" s="44">
        <v>0.93</v>
      </c>
      <c r="AU252" s="44">
        <v>2.1380363826897009</v>
      </c>
      <c r="AV252" s="44">
        <f>+AU252*AP252</f>
        <v>42.760727653794021</v>
      </c>
      <c r="AW252" s="44">
        <f>+VLOOKUP(C252,'Etape 1 - surface'!$A$5:$B$58,2,FALSE)</f>
        <v>0</v>
      </c>
      <c r="AX252" s="44">
        <f t="shared" si="28"/>
        <v>0</v>
      </c>
      <c r="AY252" s="44">
        <f>10.8374384236453+(405.147848531042-10.8374384236453)/(1+EXP(-(1.16387919746889*AU252+-2.8965970117006)))</f>
        <v>168.30466078428194</v>
      </c>
      <c r="AZ252" s="63"/>
      <c r="BA252" s="63">
        <f t="shared" si="29"/>
        <v>0</v>
      </c>
      <c r="BB252" s="45"/>
      <c r="BC252" s="65">
        <v>4.4999999999999998E-2</v>
      </c>
      <c r="BD252" s="63">
        <f t="shared" si="27"/>
        <v>-3503.0716309776817</v>
      </c>
    </row>
    <row r="253" spans="1:56" ht="15" x14ac:dyDescent="0.25">
      <c r="C253" t="s">
        <v>261</v>
      </c>
      <c r="D253" s="43" t="s">
        <v>207</v>
      </c>
      <c r="E253" s="43" t="s">
        <v>208</v>
      </c>
      <c r="F253" s="43" t="s">
        <v>258</v>
      </c>
      <c r="G253" s="43" t="s">
        <v>62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32">
        <v>83</v>
      </c>
      <c r="AA253" s="43" t="s">
        <v>63</v>
      </c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4">
        <v>38</v>
      </c>
      <c r="AQ253" s="44"/>
      <c r="AR253" s="44"/>
      <c r="AS253" s="44"/>
      <c r="AT253" s="44"/>
      <c r="AU253" s="44">
        <f>AV253/AP253</f>
        <v>2.3736842105263158</v>
      </c>
      <c r="AV253" s="44">
        <v>90.2</v>
      </c>
      <c r="AW253" s="44">
        <f>+VLOOKUP(C253,'Etape 1 - surface'!$A$5:$B$58,2,FALSE)</f>
        <v>0</v>
      </c>
      <c r="AX253" s="44">
        <f t="shared" si="28"/>
        <v>0</v>
      </c>
      <c r="AY253" s="44">
        <f>82.5251889/(1+EXP(-(0.26195064*AU253+(-0.34406779))))</f>
        <v>46.955779356880477</v>
      </c>
      <c r="AZ253" s="63"/>
      <c r="BA253" s="63">
        <f t="shared" si="29"/>
        <v>0</v>
      </c>
      <c r="BB253" s="45"/>
      <c r="BC253" s="65">
        <v>4.4999999999999998E-2</v>
      </c>
      <c r="BD253" s="63">
        <f t="shared" si="27"/>
        <v>-3503.0716309776817</v>
      </c>
    </row>
    <row r="254" spans="1:56" ht="14.45" customHeight="1" x14ac:dyDescent="0.25">
      <c r="A254" t="str">
        <f>+VLOOKUP(D254,Acronyme!$A$1:$C$50,3,FALSE)</f>
        <v>Hêtre commun</v>
      </c>
      <c r="B254" t="str">
        <f>+VLOOKUP(E254,Acronyme!$E$2:$I$50,5,FALSE)</f>
        <v>GS Hêtraies et hêtraies sapinières des Pyrénées</v>
      </c>
      <c r="C254" t="s">
        <v>264</v>
      </c>
      <c r="D254" s="43" t="s">
        <v>126</v>
      </c>
      <c r="E254" s="43" t="s">
        <v>127</v>
      </c>
      <c r="F254" s="43" t="s">
        <v>113</v>
      </c>
      <c r="G254" s="43" t="s">
        <v>62</v>
      </c>
      <c r="H254" s="43">
        <v>18</v>
      </c>
      <c r="I254" s="43">
        <v>55</v>
      </c>
      <c r="J254" s="43">
        <v>1666</v>
      </c>
      <c r="K254" s="43" t="s">
        <v>109</v>
      </c>
      <c r="L254" s="43" t="s">
        <v>103</v>
      </c>
      <c r="M254" s="43" t="s">
        <v>128</v>
      </c>
      <c r="N254" s="43"/>
      <c r="O254" s="43"/>
      <c r="P254" s="43">
        <v>57</v>
      </c>
      <c r="Q254" s="43">
        <v>19.899999999999999</v>
      </c>
      <c r="R254" s="43">
        <v>1402</v>
      </c>
      <c r="S254" s="43">
        <v>28.51</v>
      </c>
      <c r="T254" s="43">
        <v>50</v>
      </c>
      <c r="U254" s="43">
        <v>303</v>
      </c>
      <c r="V254" s="43">
        <v>595</v>
      </c>
      <c r="W254" s="43">
        <v>375</v>
      </c>
      <c r="X254" s="43">
        <v>75</v>
      </c>
      <c r="Y254" s="43">
        <v>4</v>
      </c>
      <c r="Z254" s="32">
        <v>84</v>
      </c>
      <c r="AA254" s="43" t="s">
        <v>63</v>
      </c>
      <c r="AB254" s="43">
        <v>27</v>
      </c>
      <c r="AC254" s="43">
        <v>279</v>
      </c>
      <c r="AD254" s="43">
        <v>17.260000000000002</v>
      </c>
      <c r="AE254" s="43">
        <v>28.07</v>
      </c>
      <c r="AF254" s="43">
        <v>33.659999999999997</v>
      </c>
      <c r="AG254" s="43">
        <v>212.46102615409501</v>
      </c>
      <c r="AH254" s="43">
        <v>228.572824507359</v>
      </c>
      <c r="AI254" s="43">
        <v>262.336432684052</v>
      </c>
      <c r="AJ254" s="43">
        <v>47.037176733665802</v>
      </c>
      <c r="AK254" s="43">
        <v>0.55996638968649703</v>
      </c>
      <c r="AL254" s="43">
        <v>0.55981223351148202</v>
      </c>
      <c r="AM254" s="43">
        <v>638.36253906446802</v>
      </c>
      <c r="AN254" s="43">
        <v>7.5995540364817602</v>
      </c>
      <c r="AO254" s="43">
        <v>11.005017454990901</v>
      </c>
      <c r="AP254" s="44">
        <v>92</v>
      </c>
      <c r="AQ254" s="44">
        <v>5.0199999999999996</v>
      </c>
      <c r="AR254" s="44">
        <v>26.358033414820525</v>
      </c>
      <c r="AS254" s="44">
        <v>60.885234569820966</v>
      </c>
      <c r="AT254" s="44">
        <v>0.91</v>
      </c>
      <c r="AU254" s="44">
        <v>0.66179602793283654</v>
      </c>
      <c r="AV254" s="44">
        <f>+AU254*AP254</f>
        <v>60.885234569820959</v>
      </c>
      <c r="AW254" s="44">
        <f>+VLOOKUP(C254,'Etape 1 - surface'!$A$5:$B$58,2,FALSE)</f>
        <v>0</v>
      </c>
      <c r="AX254" s="44">
        <f t="shared" si="28"/>
        <v>0</v>
      </c>
      <c r="AY254" s="44">
        <f>5.93488073153274+(78.4394250513347-5.93488073153274)/(1+EXP(-(1.03516193614659*AU254+-2.09091784316379)))</f>
        <v>20.210239793202732</v>
      </c>
      <c r="AZ254" s="63"/>
      <c r="BA254" s="63">
        <f t="shared" si="29"/>
        <v>0</v>
      </c>
      <c r="BB254" s="45"/>
      <c r="BC254" s="65">
        <v>4.4999999999999998E-2</v>
      </c>
      <c r="BD254" s="63">
        <f t="shared" si="27"/>
        <v>-3503.0716309776817</v>
      </c>
    </row>
    <row r="255" spans="1:56" ht="15" x14ac:dyDescent="0.25">
      <c r="A255" t="str">
        <f>+VLOOKUP(D255,Acronyme!$A$1:$C$50,3,FALSE)</f>
        <v>Chêne sessile</v>
      </c>
      <c r="B255" t="str">
        <f>+VLOOKUP(E255,Acronyme!$E$2:$I$50,5,FALSE)</f>
        <v>Guide chênaie continentale</v>
      </c>
      <c r="C255" t="s">
        <v>264</v>
      </c>
      <c r="D255" s="43" t="s">
        <v>60</v>
      </c>
      <c r="E255" s="43" t="s">
        <v>65</v>
      </c>
      <c r="F255" s="43" t="s">
        <v>66</v>
      </c>
      <c r="G255" s="43" t="s">
        <v>62</v>
      </c>
      <c r="H255" s="43">
        <v>18</v>
      </c>
      <c r="I255" s="43" t="s">
        <v>142</v>
      </c>
      <c r="J255" s="43">
        <v>1666</v>
      </c>
      <c r="K255" s="43" t="s">
        <v>109</v>
      </c>
      <c r="L255" s="43" t="s">
        <v>103</v>
      </c>
      <c r="M255" s="43" t="s">
        <v>143</v>
      </c>
      <c r="N255" s="43"/>
      <c r="O255" s="43"/>
      <c r="P255" s="43">
        <v>44</v>
      </c>
      <c r="Q255" s="43">
        <v>16.579999999999998</v>
      </c>
      <c r="R255" s="43">
        <v>1453</v>
      </c>
      <c r="S255" s="43">
        <v>26.19</v>
      </c>
      <c r="T255" s="43">
        <v>41</v>
      </c>
      <c r="U255" s="43">
        <v>369</v>
      </c>
      <c r="V255" s="43">
        <v>713</v>
      </c>
      <c r="W255" s="43">
        <v>301</v>
      </c>
      <c r="X255" s="43">
        <v>28</v>
      </c>
      <c r="Y255" s="43">
        <v>0</v>
      </c>
      <c r="Z255" s="32">
        <v>84</v>
      </c>
      <c r="AA255" s="43" t="s">
        <v>63</v>
      </c>
      <c r="AB255" s="43">
        <v>24.55</v>
      </c>
      <c r="AC255" s="43">
        <v>143</v>
      </c>
      <c r="AD255" s="43">
        <v>17.170000000000002</v>
      </c>
      <c r="AE255" s="43">
        <v>39.1</v>
      </c>
      <c r="AF255" s="43">
        <v>40.58</v>
      </c>
      <c r="AG255" s="43">
        <v>207.51662815085899</v>
      </c>
      <c r="AH255" s="43">
        <v>232.50876817066199</v>
      </c>
      <c r="AI255" s="43">
        <v>255.56984646457201</v>
      </c>
      <c r="AJ255" s="43">
        <v>49.824329013591303</v>
      </c>
      <c r="AK255" s="43">
        <v>0.59314677397132498</v>
      </c>
      <c r="AL255" s="43">
        <v>0.411831294565289</v>
      </c>
      <c r="AM255" s="43">
        <v>627.56289795571695</v>
      </c>
      <c r="AN255" s="43">
        <v>7.4709868804252002</v>
      </c>
      <c r="AO255" s="43">
        <v>7.61167966532427</v>
      </c>
      <c r="AP255" s="44">
        <v>37</v>
      </c>
      <c r="AQ255" s="44">
        <v>3.629999999999999</v>
      </c>
      <c r="AR255" s="44">
        <v>35.343333586745274</v>
      </c>
      <c r="AS255" s="44">
        <v>43.802840511312013</v>
      </c>
      <c r="AT255" s="44">
        <v>0.85</v>
      </c>
      <c r="AU255" s="44">
        <v>1.1838605543597842</v>
      </c>
      <c r="AV255" s="44">
        <f>+AU255*AP255</f>
        <v>43.802840511312013</v>
      </c>
      <c r="AW255" s="44">
        <f>+VLOOKUP(C255,'Etape 1 - surface'!$A$5:$B$58,2,FALSE)</f>
        <v>0</v>
      </c>
      <c r="AX255" s="44">
        <f t="shared" si="28"/>
        <v>0</v>
      </c>
      <c r="AY255" s="44">
        <f>10.8374384236453+(405.147848531042-10.8374384236453)/(1+EXP(-(1.16387919746889*AU255+-2.8965970117006)))</f>
        <v>81.674968011380315</v>
      </c>
      <c r="AZ255" s="63"/>
      <c r="BA255" s="63">
        <f t="shared" si="29"/>
        <v>0</v>
      </c>
      <c r="BB255" s="45"/>
      <c r="BC255" s="65">
        <v>4.4999999999999998E-2</v>
      </c>
      <c r="BD255" s="63">
        <f t="shared" si="27"/>
        <v>-3503.0716309776817</v>
      </c>
    </row>
    <row r="256" spans="1:56" ht="15" x14ac:dyDescent="0.25">
      <c r="A256" t="str">
        <f>+VLOOKUP(D256,Acronyme!$A$1:$C$50,3,FALSE)</f>
        <v>Chêne sessile</v>
      </c>
      <c r="B256" t="str">
        <f>+VLOOKUP(E256,Acronyme!$E$2:$I$50,5,FALSE)</f>
        <v>Guide chênaie atlantique</v>
      </c>
      <c r="C256" t="s">
        <v>264</v>
      </c>
      <c r="D256" s="43" t="s">
        <v>60</v>
      </c>
      <c r="E256" s="43" t="s">
        <v>150</v>
      </c>
      <c r="F256" s="43" t="s">
        <v>61</v>
      </c>
      <c r="G256" s="43" t="s">
        <v>62</v>
      </c>
      <c r="H256" s="43">
        <v>18.18</v>
      </c>
      <c r="I256" s="43" t="s">
        <v>142</v>
      </c>
      <c r="J256" s="43">
        <v>1666</v>
      </c>
      <c r="K256" s="43" t="s">
        <v>109</v>
      </c>
      <c r="L256" s="43" t="s">
        <v>103</v>
      </c>
      <c r="M256" s="43" t="s">
        <v>143</v>
      </c>
      <c r="N256" s="43"/>
      <c r="O256" s="43"/>
      <c r="P256" s="43">
        <v>42</v>
      </c>
      <c r="Q256" s="43">
        <v>16.02</v>
      </c>
      <c r="R256" s="43">
        <v>1451</v>
      </c>
      <c r="S256" s="43">
        <v>23.57</v>
      </c>
      <c r="T256" s="43">
        <v>44</v>
      </c>
      <c r="U256" s="43">
        <v>444</v>
      </c>
      <c r="V256" s="43">
        <v>742</v>
      </c>
      <c r="W256" s="43">
        <v>211</v>
      </c>
      <c r="X256" s="43">
        <v>10</v>
      </c>
      <c r="Y256" s="43">
        <v>0</v>
      </c>
      <c r="Z256" s="32">
        <v>84</v>
      </c>
      <c r="AA256" s="43" t="s">
        <v>63</v>
      </c>
      <c r="AB256" s="43">
        <v>25.04</v>
      </c>
      <c r="AC256" s="43">
        <v>247</v>
      </c>
      <c r="AD256" s="43">
        <v>21.54</v>
      </c>
      <c r="AE256" s="43">
        <v>33.33</v>
      </c>
      <c r="AF256" s="43">
        <v>37.630000000000003</v>
      </c>
      <c r="AG256" s="43">
        <v>263.53335193554102</v>
      </c>
      <c r="AH256" s="43">
        <v>288.3532144687</v>
      </c>
      <c r="AI256" s="43">
        <v>317.82393206101199</v>
      </c>
      <c r="AJ256" s="43">
        <v>51.856897315998502</v>
      </c>
      <c r="AK256" s="43">
        <v>0.61734401566664898</v>
      </c>
      <c r="AL256" s="43">
        <v>0.50162223804700101</v>
      </c>
      <c r="AM256" s="43">
        <v>671.33363918242605</v>
      </c>
      <c r="AN256" s="43">
        <v>7.9920671331241202</v>
      </c>
      <c r="AO256" s="43">
        <v>9.5826126887673109</v>
      </c>
      <c r="AP256" s="44">
        <v>68</v>
      </c>
      <c r="AQ256" s="44">
        <v>5.0500000000000007</v>
      </c>
      <c r="AR256" s="44">
        <v>30.750082976723466</v>
      </c>
      <c r="AS256" s="44">
        <v>61.125658717687998</v>
      </c>
      <c r="AT256" s="44">
        <v>0.88</v>
      </c>
      <c r="AU256" s="44">
        <v>0.89890674584835295</v>
      </c>
      <c r="AV256" s="44">
        <f>+AU256*AP256</f>
        <v>61.125658717687998</v>
      </c>
      <c r="AW256" s="44">
        <f>+VLOOKUP(C256,'Etape 1 - surface'!$A$5:$B$58,2,FALSE)</f>
        <v>0</v>
      </c>
      <c r="AX256" s="44">
        <f t="shared" si="28"/>
        <v>0</v>
      </c>
      <c r="AY256" s="44">
        <f>10.8374384236453+(405.147848531042-10.8374384236453)/(1+EXP(-(1.16387919746889*AU256+-2.8965970117006)))</f>
        <v>64.396031544710539</v>
      </c>
      <c r="AZ256" s="63"/>
      <c r="BA256" s="63">
        <f t="shared" si="29"/>
        <v>0</v>
      </c>
      <c r="BB256" s="45"/>
      <c r="BC256" s="65">
        <v>4.4999999999999998E-2</v>
      </c>
      <c r="BD256" s="63">
        <f t="shared" si="27"/>
        <v>-3503.0716309776817</v>
      </c>
    </row>
    <row r="257" spans="1:56" ht="14.45" customHeight="1" x14ac:dyDescent="0.25">
      <c r="A257" t="str">
        <f>+VLOOKUP(D257,Acronyme!$A$1:$C$50,3,FALSE)</f>
        <v>Pin sylvestre</v>
      </c>
      <c r="B257" t="str">
        <f>+VLOOKUP(E257,Acronyme!$E$2:$I$50,5,FALSE)</f>
        <v>GSM Alpes du Sud</v>
      </c>
      <c r="C257" t="s">
        <v>264</v>
      </c>
      <c r="D257" s="43" t="s">
        <v>106</v>
      </c>
      <c r="E257" s="43" t="s">
        <v>132</v>
      </c>
      <c r="F257" s="43" t="s">
        <v>137</v>
      </c>
      <c r="G257" s="43" t="s">
        <v>100</v>
      </c>
      <c r="H257" s="43">
        <v>15.1</v>
      </c>
      <c r="I257" s="43" t="s">
        <v>108</v>
      </c>
      <c r="J257" s="43">
        <v>1100</v>
      </c>
      <c r="K257" s="43" t="s">
        <v>109</v>
      </c>
      <c r="L257" s="43" t="s">
        <v>134</v>
      </c>
      <c r="M257" s="43" t="s">
        <v>135</v>
      </c>
      <c r="N257" s="43"/>
      <c r="O257" s="43"/>
      <c r="P257" s="43">
        <v>15</v>
      </c>
      <c r="Q257" s="43">
        <v>3.64</v>
      </c>
      <c r="R257" s="43">
        <v>6001</v>
      </c>
      <c r="S257" s="43">
        <v>9.11</v>
      </c>
      <c r="T257" s="43">
        <v>6001</v>
      </c>
      <c r="U257" s="43">
        <v>0</v>
      </c>
      <c r="V257" s="43">
        <v>0</v>
      </c>
      <c r="W257" s="43">
        <v>0</v>
      </c>
      <c r="X257" s="43">
        <v>0</v>
      </c>
      <c r="Y257" s="43">
        <v>0</v>
      </c>
      <c r="Z257" s="32">
        <v>85</v>
      </c>
      <c r="AA257" s="43" t="s">
        <v>63</v>
      </c>
      <c r="AB257" s="43">
        <v>17.53</v>
      </c>
      <c r="AC257" s="43">
        <v>254</v>
      </c>
      <c r="AD257" s="43">
        <v>26.04</v>
      </c>
      <c r="AE257" s="43">
        <v>36.130000000000003</v>
      </c>
      <c r="AF257" s="43">
        <v>38.53</v>
      </c>
      <c r="AG257" s="43">
        <v>200.76554466892199</v>
      </c>
      <c r="AH257" s="43">
        <v>205.55290006182699</v>
      </c>
      <c r="AI257" s="43">
        <v>258.36989857733801</v>
      </c>
      <c r="AJ257" s="43">
        <v>63.336969287090398</v>
      </c>
      <c r="AK257" s="43">
        <v>0.74514081514223995</v>
      </c>
      <c r="AL257" s="43">
        <v>0.58843940332990596</v>
      </c>
      <c r="AM257" s="43">
        <v>597.45623300377895</v>
      </c>
      <c r="AN257" s="43">
        <v>7.0288968588679799</v>
      </c>
      <c r="AO257" s="43">
        <v>6.3884195386132898</v>
      </c>
      <c r="AP257" s="44">
        <v>120</v>
      </c>
      <c r="AQ257" s="44">
        <v>9.5300000000000011</v>
      </c>
      <c r="AR257" s="44">
        <v>31.798811378894474</v>
      </c>
      <c r="AS257" s="44">
        <v>73.21654053653603</v>
      </c>
      <c r="AT257" s="44">
        <v>0.84</v>
      </c>
      <c r="AU257" s="44">
        <v>0.61013783780446695</v>
      </c>
      <c r="AV257" s="44">
        <f>+AU257*AP257</f>
        <v>73.21654053653603</v>
      </c>
      <c r="AW257" s="44">
        <f>+VLOOKUP(C257,'Etape 1 - surface'!$A$5:$B$58,2,FALSE)</f>
        <v>0</v>
      </c>
      <c r="AX257" s="44">
        <f t="shared" si="28"/>
        <v>0</v>
      </c>
      <c r="AY257" s="44">
        <f>10.0046474463505+(37.1112351801373-10.0046474463505)/(1+EXP(-(0.581180949782075*AU257+-0.955447614584994)))</f>
        <v>19.604443012052212</v>
      </c>
      <c r="AZ257" s="63"/>
      <c r="BA257" s="63">
        <f t="shared" si="29"/>
        <v>0</v>
      </c>
      <c r="BB257" s="45"/>
      <c r="BC257" s="65">
        <v>4.4999999999999998E-2</v>
      </c>
      <c r="BD257" s="63">
        <f t="shared" si="27"/>
        <v>-3503.0716309776817</v>
      </c>
    </row>
    <row r="258" spans="1:56" ht="15" x14ac:dyDescent="0.25">
      <c r="A258" t="str">
        <f>+VLOOKUP(D258,Acronyme!$A$1:$C$50,3,FALSE)</f>
        <v>Pin sylvestre</v>
      </c>
      <c r="B258" t="str">
        <f>+VLOOKUP(E258,Acronyme!$E$2:$I$50,5,FALSE)</f>
        <v>GSM Alpes du Sud</v>
      </c>
      <c r="C258" t="s">
        <v>264</v>
      </c>
      <c r="D258" s="43" t="s">
        <v>106</v>
      </c>
      <c r="E258" s="43" t="s">
        <v>132</v>
      </c>
      <c r="F258" s="43" t="s">
        <v>138</v>
      </c>
      <c r="G258" s="43" t="s">
        <v>62</v>
      </c>
      <c r="H258" s="43">
        <v>11</v>
      </c>
      <c r="I258" s="43" t="s">
        <v>139</v>
      </c>
      <c r="J258" s="43">
        <v>1100</v>
      </c>
      <c r="K258" s="43" t="s">
        <v>109</v>
      </c>
      <c r="L258" s="43" t="s">
        <v>134</v>
      </c>
      <c r="M258" s="43" t="s">
        <v>135</v>
      </c>
      <c r="N258" s="43"/>
      <c r="O258" s="43"/>
      <c r="P258" s="43">
        <v>20</v>
      </c>
      <c r="Q258" s="43">
        <v>4.46</v>
      </c>
      <c r="R258" s="43">
        <v>6000</v>
      </c>
      <c r="S258" s="43">
        <v>7.1</v>
      </c>
      <c r="T258" s="43">
        <v>6000</v>
      </c>
      <c r="U258" s="43">
        <v>0</v>
      </c>
      <c r="V258" s="43">
        <v>0</v>
      </c>
      <c r="W258" s="43">
        <v>0</v>
      </c>
      <c r="X258" s="43">
        <v>0</v>
      </c>
      <c r="Y258" s="43">
        <v>0</v>
      </c>
      <c r="Z258" s="32">
        <v>85</v>
      </c>
      <c r="AA258" s="43" t="e">
        <f>IF(#REF!=Z258,"ap","av")</f>
        <v>#REF!</v>
      </c>
      <c r="AB258" s="43">
        <v>12.73</v>
      </c>
      <c r="AC258" s="43">
        <v>259</v>
      </c>
      <c r="AD258" s="43">
        <v>18.059999999999999</v>
      </c>
      <c r="AE258" s="43">
        <v>29.79</v>
      </c>
      <c r="AF258" s="43">
        <v>32.869999999999997</v>
      </c>
      <c r="AG258" s="43">
        <v>104.24132063487799</v>
      </c>
      <c r="AH258" s="43">
        <v>107.638406955524</v>
      </c>
      <c r="AI258" s="43">
        <v>146.58573922055299</v>
      </c>
      <c r="AJ258" s="43">
        <v>47.7452884034047</v>
      </c>
      <c r="AK258" s="43">
        <v>4.4150494600861796</v>
      </c>
      <c r="AL258" s="43">
        <v>0.56308913979664899</v>
      </c>
      <c r="AM258" s="43">
        <v>375.27920410732497</v>
      </c>
      <c r="AN258" s="43">
        <v>4.2439029868934099</v>
      </c>
      <c r="AO258" s="43">
        <v>5.0061549517695099</v>
      </c>
      <c r="AP258" s="44">
        <v>233</v>
      </c>
      <c r="AQ258" s="44">
        <v>13.16</v>
      </c>
      <c r="AR258" s="44">
        <v>26.816682086758302</v>
      </c>
      <c r="AS258" s="44">
        <v>76.303814701939004</v>
      </c>
      <c r="AT258" s="44">
        <v>0.89</v>
      </c>
      <c r="AU258" s="44">
        <v>0.32748418327012446</v>
      </c>
      <c r="AV258" s="44">
        <f>+AU258*AP258</f>
        <v>76.303814701939004</v>
      </c>
      <c r="AW258" s="44">
        <f>+VLOOKUP(C258,'Etape 1 - surface'!$A$5:$B$58,2,FALSE)</f>
        <v>0</v>
      </c>
      <c r="AX258" s="44">
        <f t="shared" si="28"/>
        <v>0</v>
      </c>
      <c r="AY258" s="44">
        <f>10.0046474463505+(37.1112351801373-10.0046474463505)/(1+EXP(-(0.581180949782075*AU258+-0.955447614584994)))</f>
        <v>18.611956281956864</v>
      </c>
      <c r="AZ258" s="63"/>
      <c r="BA258" s="63">
        <f t="shared" si="29"/>
        <v>0</v>
      </c>
      <c r="BB258" s="45"/>
      <c r="BC258" s="65">
        <v>4.4999999999999998E-2</v>
      </c>
      <c r="BD258" s="63">
        <f t="shared" si="27"/>
        <v>-3503.0716309776817</v>
      </c>
    </row>
    <row r="259" spans="1:56" ht="14.45" customHeight="1" x14ac:dyDescent="0.25">
      <c r="C259" t="s">
        <v>263</v>
      </c>
      <c r="D259" s="43" t="s">
        <v>207</v>
      </c>
      <c r="E259" s="43" t="s">
        <v>208</v>
      </c>
      <c r="F259" s="43" t="s">
        <v>259</v>
      </c>
      <c r="G259" s="43" t="s">
        <v>114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2">
        <v>85</v>
      </c>
      <c r="AA259" s="43" t="s">
        <v>63</v>
      </c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44">
        <v>107</v>
      </c>
      <c r="AQ259" s="1"/>
      <c r="AR259" s="1"/>
      <c r="AS259" s="1"/>
      <c r="AT259" s="1"/>
      <c r="AU259" s="44">
        <f>AV259/AP259</f>
        <v>0.87850467289719625</v>
      </c>
      <c r="AV259" s="44">
        <v>94</v>
      </c>
      <c r="AW259" s="44">
        <f>+VLOOKUP(C259,'Etape 1 - surface'!$A$5:$B$58,2,FALSE)</f>
        <v>0</v>
      </c>
      <c r="AX259" s="44">
        <f t="shared" si="28"/>
        <v>0</v>
      </c>
      <c r="AY259" s="44">
        <f>82.5251889/(1+EXP(-(0.26195064*AU259+(-0.34406779))))</f>
        <v>38.914344081351501</v>
      </c>
      <c r="AZ259" s="63"/>
      <c r="BA259" s="63">
        <f t="shared" si="29"/>
        <v>0</v>
      </c>
      <c r="BB259" s="45"/>
      <c r="BC259" s="65">
        <v>4.4999999999999998E-2</v>
      </c>
      <c r="BD259" s="63">
        <f t="shared" si="27"/>
        <v>-3503.0716309776817</v>
      </c>
    </row>
    <row r="260" spans="1:56" ht="15" x14ac:dyDescent="0.25">
      <c r="C260" t="s">
        <v>262</v>
      </c>
      <c r="D260" s="43" t="s">
        <v>207</v>
      </c>
      <c r="E260" s="43" t="s">
        <v>208</v>
      </c>
      <c r="F260" s="43" t="s">
        <v>259</v>
      </c>
      <c r="G260" s="43" t="s">
        <v>62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2">
        <v>87</v>
      </c>
      <c r="AA260" s="43" t="s">
        <v>63</v>
      </c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44">
        <v>38</v>
      </c>
      <c r="AQ260" s="1"/>
      <c r="AR260" s="1"/>
      <c r="AS260" s="1"/>
      <c r="AT260" s="1"/>
      <c r="AU260" s="44">
        <f>AV260/AP260</f>
        <v>2.3157894736842106</v>
      </c>
      <c r="AV260" s="44">
        <v>88</v>
      </c>
      <c r="AW260" s="44">
        <f>+VLOOKUP(C260,'Etape 1 - surface'!$A$5:$B$58,2,FALSE)</f>
        <v>0</v>
      </c>
      <c r="AX260" s="44">
        <f t="shared" si="28"/>
        <v>0</v>
      </c>
      <c r="AY260" s="44">
        <f>82.5251889/(1+EXP(-(0.26195064*AU260+(-0.34406779))))</f>
        <v>46.648534934471613</v>
      </c>
      <c r="AZ260" s="63"/>
      <c r="BA260" s="63">
        <f t="shared" si="29"/>
        <v>0</v>
      </c>
      <c r="BB260" s="45"/>
      <c r="BC260" s="65">
        <v>4.4999999999999998E-2</v>
      </c>
      <c r="BD260" s="63">
        <f t="shared" si="27"/>
        <v>-3503.0716309776817</v>
      </c>
    </row>
    <row r="261" spans="1:56" ht="14.45" customHeight="1" x14ac:dyDescent="0.25">
      <c r="C261" t="s">
        <v>264</v>
      </c>
      <c r="D261" s="43" t="s">
        <v>207</v>
      </c>
      <c r="E261" s="43" t="s">
        <v>208</v>
      </c>
      <c r="F261" s="43" t="s">
        <v>258</v>
      </c>
      <c r="G261" s="43" t="s">
        <v>114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2">
        <v>87</v>
      </c>
      <c r="AA261" s="43" t="s">
        <v>63</v>
      </c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44">
        <v>70</v>
      </c>
      <c r="AQ261" s="1"/>
      <c r="AR261" s="1"/>
      <c r="AS261" s="1"/>
      <c r="AT261" s="1"/>
      <c r="AU261" s="44">
        <f>AV261/AP261</f>
        <v>1.3</v>
      </c>
      <c r="AV261" s="44">
        <v>91</v>
      </c>
      <c r="AW261" s="44">
        <f>+VLOOKUP(C261,'Etape 1 - surface'!$A$5:$B$58,2,FALSE)</f>
        <v>0</v>
      </c>
      <c r="AX261" s="44">
        <f t="shared" si="28"/>
        <v>0</v>
      </c>
      <c r="AY261" s="44">
        <f>82.5251889/(1+EXP(-(0.26195064*AU261+(-0.34406779))))</f>
        <v>41.189725650467309</v>
      </c>
      <c r="AZ261" s="63"/>
      <c r="BA261" s="63">
        <f t="shared" si="29"/>
        <v>0</v>
      </c>
      <c r="BB261" s="45"/>
      <c r="BC261" s="65">
        <v>4.4999999999999998E-2</v>
      </c>
      <c r="BD261" s="63">
        <f t="shared" si="27"/>
        <v>-3503.0716309776817</v>
      </c>
    </row>
    <row r="262" spans="1:56" ht="14.45" customHeight="1" x14ac:dyDescent="0.25">
      <c r="A262" t="str">
        <f>+VLOOKUP(D262,Acronyme!$A$1:$C$50,3,FALSE)</f>
        <v>Chêne sessile</v>
      </c>
      <c r="B262" t="str">
        <f>+VLOOKUP(E262,Acronyme!$E$2:$I$50,5,FALSE)</f>
        <v>Guide chênaie continentale</v>
      </c>
      <c r="C262" t="s">
        <v>264</v>
      </c>
      <c r="D262" s="43" t="s">
        <v>60</v>
      </c>
      <c r="E262" s="43" t="s">
        <v>65</v>
      </c>
      <c r="F262" s="43" t="s">
        <v>66</v>
      </c>
      <c r="G262" s="43" t="s">
        <v>100</v>
      </c>
      <c r="H262" s="43">
        <v>21.5</v>
      </c>
      <c r="I262" s="43" t="s">
        <v>144</v>
      </c>
      <c r="J262" s="43">
        <v>1666</v>
      </c>
      <c r="K262" s="43" t="s">
        <v>109</v>
      </c>
      <c r="L262" s="43" t="s">
        <v>103</v>
      </c>
      <c r="M262" s="43" t="s">
        <v>143</v>
      </c>
      <c r="N262" s="43"/>
      <c r="O262" s="43"/>
      <c r="P262" s="43">
        <v>35</v>
      </c>
      <c r="Q262" s="43">
        <v>16.59</v>
      </c>
      <c r="R262" s="43">
        <v>1453</v>
      </c>
      <c r="S262" s="43">
        <v>26.19</v>
      </c>
      <c r="T262" s="43">
        <v>41</v>
      </c>
      <c r="U262" s="43">
        <v>369</v>
      </c>
      <c r="V262" s="43">
        <v>713</v>
      </c>
      <c r="W262" s="43">
        <v>301</v>
      </c>
      <c r="X262" s="43">
        <v>28</v>
      </c>
      <c r="Y262" s="43">
        <v>0</v>
      </c>
      <c r="Z262" s="32">
        <v>89</v>
      </c>
      <c r="AA262" s="43" t="s">
        <v>63</v>
      </c>
      <c r="AB262" s="43">
        <v>30.37</v>
      </c>
      <c r="AC262" s="43">
        <v>94</v>
      </c>
      <c r="AD262" s="43">
        <v>20.91</v>
      </c>
      <c r="AE262" s="43">
        <v>53.22</v>
      </c>
      <c r="AF262" s="43">
        <v>53.22</v>
      </c>
      <c r="AG262" s="43">
        <v>315.61488722404101</v>
      </c>
      <c r="AH262" s="43">
        <v>353.20119404350299</v>
      </c>
      <c r="AI262" s="43">
        <v>379.23821486895599</v>
      </c>
      <c r="AJ262" s="43">
        <v>65.065245100623798</v>
      </c>
      <c r="AK262" s="43">
        <v>0.73107016966992999</v>
      </c>
      <c r="AL262" s="43">
        <v>0.46226882110841</v>
      </c>
      <c r="AM262" s="43">
        <v>955.23654658576095</v>
      </c>
      <c r="AN262" s="43">
        <v>10.732994905458</v>
      </c>
      <c r="AO262" s="43">
        <v>10.5651154907108</v>
      </c>
      <c r="AP262" s="44">
        <v>21</v>
      </c>
      <c r="AQ262" s="44">
        <v>4.0599999999999987</v>
      </c>
      <c r="AR262" s="44">
        <v>49.614478261437426</v>
      </c>
      <c r="AS262" s="44">
        <v>61.110807595472977</v>
      </c>
      <c r="AT262" s="44">
        <v>0.89</v>
      </c>
      <c r="AU262" s="44">
        <v>2.9100384569272846</v>
      </c>
      <c r="AV262" s="44">
        <f t="shared" ref="AV262:AV269" si="32">+AU262*AP262</f>
        <v>61.110807595472977</v>
      </c>
      <c r="AW262" s="44">
        <f>+VLOOKUP(C262,'Etape 1 - surface'!$A$5:$B$58,2,FALSE)</f>
        <v>0</v>
      </c>
      <c r="AX262" s="44">
        <f t="shared" si="28"/>
        <v>0</v>
      </c>
      <c r="AY262" s="44">
        <f>10.8374384236453+(405.147848531042-10.8374384236453)/(1+EXP(-(1.16387919746889*AU262+-2.8965970117006)))</f>
        <v>255.38308937356263</v>
      </c>
      <c r="AZ262" s="63"/>
      <c r="BA262" s="63">
        <f t="shared" si="29"/>
        <v>0</v>
      </c>
      <c r="BB262" s="45"/>
      <c r="BC262" s="65">
        <v>4.4999999999999998E-2</v>
      </c>
      <c r="BD262" s="63">
        <f t="shared" si="27"/>
        <v>-3503.0716309776817</v>
      </c>
    </row>
    <row r="263" spans="1:56" ht="14.45" customHeight="1" x14ac:dyDescent="0.25">
      <c r="A263" t="str">
        <f>+VLOOKUP(D263,Acronyme!$A$1:$C$50,3,FALSE)</f>
        <v>Pin d'Alep</v>
      </c>
      <c r="B263" t="str">
        <f>+VLOOKUP(E263,Acronyme!$E$2:$I$50,5,FALSE)</f>
        <v>Pin d'Alep</v>
      </c>
      <c r="C263" t="s">
        <v>264</v>
      </c>
      <c r="D263" s="43" t="s">
        <v>146</v>
      </c>
      <c r="E263" s="43" t="s">
        <v>147</v>
      </c>
      <c r="F263" s="43" t="s">
        <v>61</v>
      </c>
      <c r="G263" s="43" t="s">
        <v>100</v>
      </c>
      <c r="H263" s="43">
        <v>15.5</v>
      </c>
      <c r="I263" s="43" t="s">
        <v>148</v>
      </c>
      <c r="J263" s="43">
        <v>1100</v>
      </c>
      <c r="K263" s="43" t="s">
        <v>109</v>
      </c>
      <c r="L263" s="43" t="s">
        <v>103</v>
      </c>
      <c r="M263" s="43" t="s">
        <v>149</v>
      </c>
      <c r="N263" s="43"/>
      <c r="O263" s="43"/>
      <c r="P263" s="43">
        <v>15</v>
      </c>
      <c r="Q263" s="43">
        <v>4.33</v>
      </c>
      <c r="R263" s="43">
        <v>1101</v>
      </c>
      <c r="S263" s="43">
        <v>4.92</v>
      </c>
      <c r="T263" s="43">
        <v>569</v>
      </c>
      <c r="U263" s="43">
        <v>532</v>
      </c>
      <c r="V263" s="43">
        <v>0</v>
      </c>
      <c r="W263" s="43">
        <v>0</v>
      </c>
      <c r="X263" s="43">
        <v>0</v>
      </c>
      <c r="Y263" s="43">
        <v>0</v>
      </c>
      <c r="Z263" s="32">
        <v>89</v>
      </c>
      <c r="AA263" s="43" t="s">
        <v>63</v>
      </c>
      <c r="AB263" s="43">
        <v>21.94</v>
      </c>
      <c r="AC263" s="43">
        <v>0</v>
      </c>
      <c r="AD263" s="43">
        <v>0</v>
      </c>
      <c r="AE263" s="43">
        <v>0</v>
      </c>
      <c r="AF263" s="43">
        <v>0</v>
      </c>
      <c r="AG263" s="43">
        <v>0</v>
      </c>
      <c r="AH263" s="43">
        <v>0</v>
      </c>
      <c r="AI263" s="43">
        <v>0</v>
      </c>
      <c r="AJ263" s="43">
        <v>47.907868493581702</v>
      </c>
      <c r="AK263" s="43">
        <v>0.53829065723125502</v>
      </c>
      <c r="AL263" s="43"/>
      <c r="AM263" s="43">
        <v>513.92585358487304</v>
      </c>
      <c r="AN263" s="43">
        <v>5.7744477930884601</v>
      </c>
      <c r="AO263" s="43"/>
      <c r="AP263" s="44">
        <v>151</v>
      </c>
      <c r="AQ263" s="44">
        <v>17.37</v>
      </c>
      <c r="AR263" s="44">
        <v>38.270707844821658</v>
      </c>
      <c r="AS263" s="44">
        <v>158.01904603103301</v>
      </c>
      <c r="AT263" s="44">
        <v>1</v>
      </c>
      <c r="AU263" s="44">
        <v>1.0464837485498875</v>
      </c>
      <c r="AV263" s="44">
        <f t="shared" si="32"/>
        <v>158.01904603103301</v>
      </c>
      <c r="AW263" s="44">
        <f>+VLOOKUP(C263,'Etape 1 - surface'!$A$5:$B$58,2,FALSE)</f>
        <v>0</v>
      </c>
      <c r="AX263" s="44">
        <f t="shared" si="28"/>
        <v>0</v>
      </c>
      <c r="AY263" s="44">
        <f>10.0046474463505+(37.1112351801373-10.0046474463505)/(1+EXP(-(0.581180949782075*AU263+-0.955447614584994)))</f>
        <v>21.228107254760271</v>
      </c>
      <c r="AZ263" s="63"/>
      <c r="BA263" s="63">
        <f t="shared" si="29"/>
        <v>0</v>
      </c>
      <c r="BB263" s="45"/>
      <c r="BC263" s="65">
        <v>4.4999999999999998E-2</v>
      </c>
      <c r="BD263" s="63">
        <f t="shared" si="27"/>
        <v>-3503.0716309776817</v>
      </c>
    </row>
    <row r="264" spans="1:56" ht="14.45" customHeight="1" x14ac:dyDescent="0.25">
      <c r="A264" t="str">
        <f>+VLOOKUP(D264,Acronyme!$A$1:$C$50,3,FALSE)</f>
        <v>Hêtre commun</v>
      </c>
      <c r="B264" t="str">
        <f>+VLOOKUP(E264,Acronyme!$E$2:$I$50,5,FALSE)</f>
        <v>GS Hêtraies et hêtraies sapinières des Pyrénées</v>
      </c>
      <c r="C264" t="s">
        <v>264</v>
      </c>
      <c r="D264" s="43" t="s">
        <v>126</v>
      </c>
      <c r="E264" s="43" t="s">
        <v>127</v>
      </c>
      <c r="F264" s="43" t="s">
        <v>113</v>
      </c>
      <c r="G264" s="43" t="s">
        <v>100</v>
      </c>
      <c r="H264" s="43">
        <v>22</v>
      </c>
      <c r="I264" s="43">
        <v>55</v>
      </c>
      <c r="J264" s="43">
        <v>1666</v>
      </c>
      <c r="K264" s="43" t="s">
        <v>109</v>
      </c>
      <c r="L264" s="43" t="s">
        <v>103</v>
      </c>
      <c r="M264" s="43" t="s">
        <v>128</v>
      </c>
      <c r="N264" s="43"/>
      <c r="O264" s="43"/>
      <c r="P264" s="43">
        <v>42</v>
      </c>
      <c r="Q264" s="43">
        <v>19.510000000000002</v>
      </c>
      <c r="R264" s="43">
        <v>1402</v>
      </c>
      <c r="S264" s="43">
        <v>28.51</v>
      </c>
      <c r="T264" s="43">
        <v>50</v>
      </c>
      <c r="U264" s="43">
        <v>303</v>
      </c>
      <c r="V264" s="43">
        <v>595</v>
      </c>
      <c r="W264" s="43">
        <v>375</v>
      </c>
      <c r="X264" s="43">
        <v>75</v>
      </c>
      <c r="Y264" s="43">
        <v>4</v>
      </c>
      <c r="Z264" s="32">
        <v>90</v>
      </c>
      <c r="AA264" s="43" t="s">
        <v>63</v>
      </c>
      <c r="AB264" s="43">
        <v>32.99</v>
      </c>
      <c r="AC264" s="43">
        <v>141</v>
      </c>
      <c r="AD264" s="43">
        <v>18.84</v>
      </c>
      <c r="AE264" s="43">
        <v>41.25</v>
      </c>
      <c r="AF264" s="43">
        <v>43.17</v>
      </c>
      <c r="AG264" s="43">
        <v>295.12837455515103</v>
      </c>
      <c r="AH264" s="43">
        <v>319.78011210346199</v>
      </c>
      <c r="AI264" s="43">
        <v>353.84115814105297</v>
      </c>
      <c r="AJ264" s="43">
        <v>63.0463962511446</v>
      </c>
      <c r="AK264" s="43">
        <v>0.70051551390160605</v>
      </c>
      <c r="AL264" s="43">
        <v>0.44270343235679799</v>
      </c>
      <c r="AM264" s="43">
        <v>981.78758262933002</v>
      </c>
      <c r="AN264" s="43">
        <v>10.908750918103699</v>
      </c>
      <c r="AO264" s="43">
        <v>10.175155434895</v>
      </c>
      <c r="AP264" s="44">
        <v>49</v>
      </c>
      <c r="AQ264" s="44">
        <v>4.34</v>
      </c>
      <c r="AR264" s="44">
        <v>33.581638642393365</v>
      </c>
      <c r="AS264" s="44">
        <v>65.882169625777976</v>
      </c>
      <c r="AT264" s="44">
        <v>0.73</v>
      </c>
      <c r="AU264" s="44">
        <v>1.344534073995469</v>
      </c>
      <c r="AV264" s="44">
        <f t="shared" si="32"/>
        <v>65.882169625777976</v>
      </c>
      <c r="AW264" s="44">
        <f>+VLOOKUP(C264,'Etape 1 - surface'!$A$5:$B$58,2,FALSE)</f>
        <v>0</v>
      </c>
      <c r="AX264" s="44">
        <f t="shared" si="28"/>
        <v>0</v>
      </c>
      <c r="AY264" s="44">
        <f>5.93488073153274+(78.4394250513347-5.93488073153274)/(1+EXP(-(1.03516193614659*AU264+-2.09091784316379)))</f>
        <v>30.007126816614502</v>
      </c>
      <c r="AZ264" s="63"/>
      <c r="BA264" s="63">
        <f t="shared" si="29"/>
        <v>0</v>
      </c>
      <c r="BB264" s="45"/>
      <c r="BC264" s="65">
        <v>4.4999999999999998E-2</v>
      </c>
      <c r="BD264" s="63">
        <f t="shared" si="27"/>
        <v>-3503.0716309776817</v>
      </c>
    </row>
    <row r="265" spans="1:56" ht="15" x14ac:dyDescent="0.25">
      <c r="A265" t="str">
        <f>+VLOOKUP(D265,Acronyme!$A$1:$C$50,3,FALSE)</f>
        <v>Sapin pectiné</v>
      </c>
      <c r="B265" t="str">
        <f>+VLOOKUP(E265,Acronyme!$E$2:$I$50,5,FALSE)</f>
        <v>GS Arc Jurassien</v>
      </c>
      <c r="C265" t="s">
        <v>264</v>
      </c>
      <c r="D265" s="43" t="s">
        <v>129</v>
      </c>
      <c r="E265" s="43" t="s">
        <v>119</v>
      </c>
      <c r="F265" s="43" t="s">
        <v>130</v>
      </c>
      <c r="G265" s="43" t="s">
        <v>62</v>
      </c>
      <c r="H265" s="43">
        <v>15.5</v>
      </c>
      <c r="I265" s="43" t="s">
        <v>101</v>
      </c>
      <c r="J265" s="43">
        <v>2000</v>
      </c>
      <c r="K265" s="43" t="s">
        <v>102</v>
      </c>
      <c r="L265" s="43" t="s">
        <v>103</v>
      </c>
      <c r="M265" s="43" t="s">
        <v>123</v>
      </c>
      <c r="N265" s="43"/>
      <c r="O265" s="43"/>
      <c r="P265" s="43">
        <v>57</v>
      </c>
      <c r="Q265" s="43">
        <v>18.22</v>
      </c>
      <c r="R265" s="43">
        <v>1862</v>
      </c>
      <c r="S265" s="43">
        <v>45.64</v>
      </c>
      <c r="T265" s="43">
        <v>0</v>
      </c>
      <c r="U265" s="43">
        <v>0</v>
      </c>
      <c r="V265" s="43">
        <v>1085</v>
      </c>
      <c r="W265" s="43">
        <v>663</v>
      </c>
      <c r="X265" s="43">
        <v>114</v>
      </c>
      <c r="Y265" s="43">
        <v>0</v>
      </c>
      <c r="Z265" s="32">
        <v>90</v>
      </c>
      <c r="AA265" s="43" t="s">
        <v>63</v>
      </c>
      <c r="AB265" s="43">
        <v>27.853920324377299</v>
      </c>
      <c r="AC265" s="43">
        <v>343</v>
      </c>
      <c r="AD265" s="43">
        <v>28.61</v>
      </c>
      <c r="AE265" s="43">
        <v>32.587474554871498</v>
      </c>
      <c r="AF265" s="43">
        <v>37.142347039626003</v>
      </c>
      <c r="AG265" s="43">
        <v>382.863370484901</v>
      </c>
      <c r="AH265" s="43">
        <v>384.27671118432801</v>
      </c>
      <c r="AI265" s="43">
        <v>432.30892227719397</v>
      </c>
      <c r="AJ265" s="43">
        <v>77.353126467018498</v>
      </c>
      <c r="AK265" s="43">
        <v>0.85947918296687198</v>
      </c>
      <c r="AL265" s="43">
        <v>0.70626955301344196</v>
      </c>
      <c r="AM265" s="43">
        <v>1010.9151524203</v>
      </c>
      <c r="AN265" s="43">
        <v>11.232390582447801</v>
      </c>
      <c r="AO265" s="43">
        <v>14.217228510808599</v>
      </c>
      <c r="AP265" s="44">
        <v>86</v>
      </c>
      <c r="AQ265" s="44">
        <v>6.6099999999999994</v>
      </c>
      <c r="AR265" s="44">
        <v>31.282868093060781</v>
      </c>
      <c r="AS265" s="44">
        <v>87.719715672614029</v>
      </c>
      <c r="AT265" s="44">
        <v>0.93624040316786528</v>
      </c>
      <c r="AU265" s="44">
        <v>1.0199966938676051</v>
      </c>
      <c r="AV265" s="44">
        <f t="shared" si="32"/>
        <v>87.719715672614029</v>
      </c>
      <c r="AW265" s="44">
        <f>+VLOOKUP(C265,'Etape 1 - surface'!$A$5:$B$58,2,FALSE)</f>
        <v>0</v>
      </c>
      <c r="AX265" s="44">
        <f t="shared" si="28"/>
        <v>0</v>
      </c>
      <c r="AY265" s="44">
        <f>12.60067150914+(56.0435691950881-12.60067150914)/(1+EXP(-(0.12255140894824*AU265+-0.18958347271504)))</f>
        <v>33.62096280115054</v>
      </c>
      <c r="AZ265" s="63"/>
      <c r="BA265" s="63">
        <f t="shared" si="29"/>
        <v>0</v>
      </c>
      <c r="BB265" s="45"/>
      <c r="BC265" s="65">
        <v>4.4999999999999998E-2</v>
      </c>
      <c r="BD265" s="63">
        <f t="shared" si="27"/>
        <v>-3503.0716309776817</v>
      </c>
    </row>
    <row r="266" spans="1:56" ht="14.45" customHeight="1" x14ac:dyDescent="0.25">
      <c r="A266" t="str">
        <f>+VLOOKUP(D266,Acronyme!$A$1:$C$50,3,FALSE)</f>
        <v>Pin Noir d'Autriche</v>
      </c>
      <c r="B266" t="str">
        <f>+VLOOKUP(E266,Acronyme!$E$2:$I$50,5,FALSE)</f>
        <v>GSM Alpes du Sud</v>
      </c>
      <c r="C266" t="s">
        <v>264</v>
      </c>
      <c r="D266" s="43" t="s">
        <v>131</v>
      </c>
      <c r="E266" s="43" t="s">
        <v>132</v>
      </c>
      <c r="F266" s="43" t="s">
        <v>136</v>
      </c>
      <c r="G266" s="43" t="s">
        <v>62</v>
      </c>
      <c r="H266" s="43">
        <v>15.2</v>
      </c>
      <c r="I266" s="43" t="s">
        <v>108</v>
      </c>
      <c r="J266" s="43">
        <v>1100</v>
      </c>
      <c r="K266" s="43" t="s">
        <v>109</v>
      </c>
      <c r="L266" s="43" t="s">
        <v>134</v>
      </c>
      <c r="M266" s="43" t="s">
        <v>135</v>
      </c>
      <c r="N266" s="43"/>
      <c r="O266" s="43"/>
      <c r="P266" s="43">
        <v>15</v>
      </c>
      <c r="Q266" s="43">
        <v>3.96</v>
      </c>
      <c r="R266" s="43">
        <v>6000</v>
      </c>
      <c r="S266" s="43">
        <v>9.57</v>
      </c>
      <c r="T266" s="43">
        <v>6000</v>
      </c>
      <c r="U266" s="43">
        <v>0</v>
      </c>
      <c r="V266" s="43">
        <v>0</v>
      </c>
      <c r="W266" s="43">
        <v>0</v>
      </c>
      <c r="X266" s="43">
        <v>0</v>
      </c>
      <c r="Y266" s="43">
        <v>0</v>
      </c>
      <c r="Z266" s="32">
        <v>90</v>
      </c>
      <c r="AA266" s="43" t="s">
        <v>63</v>
      </c>
      <c r="AB266" s="43">
        <v>20.25</v>
      </c>
      <c r="AC266" s="43">
        <v>200</v>
      </c>
      <c r="AD266" s="43">
        <v>24.08</v>
      </c>
      <c r="AE266" s="43">
        <v>39.15</v>
      </c>
      <c r="AF266" s="43">
        <v>42.48</v>
      </c>
      <c r="AG266" s="43">
        <v>226.05593025618899</v>
      </c>
      <c r="AH266" s="43">
        <v>228.04498181298499</v>
      </c>
      <c r="AI266" s="43">
        <v>254.91998741715</v>
      </c>
      <c r="AJ266" s="43">
        <v>59.938185886202497</v>
      </c>
      <c r="AK266" s="43">
        <v>0.66597984318002701</v>
      </c>
      <c r="AL266" s="43">
        <v>0.55370244108043498</v>
      </c>
      <c r="AM266" s="43">
        <v>590.94198977516805</v>
      </c>
      <c r="AN266" s="43">
        <v>6.5660221086129802</v>
      </c>
      <c r="AO266" s="43">
        <v>6.5501768813558998</v>
      </c>
      <c r="AP266" s="44">
        <v>75</v>
      </c>
      <c r="AQ266" s="44">
        <v>6.98</v>
      </c>
      <c r="AR266" s="44">
        <v>34.423271241514193</v>
      </c>
      <c r="AS266" s="44">
        <v>65.831786880918031</v>
      </c>
      <c r="AT266" s="44">
        <v>0.82</v>
      </c>
      <c r="AU266" s="44">
        <v>0.87775715841224045</v>
      </c>
      <c r="AV266" s="44">
        <f t="shared" si="32"/>
        <v>65.831786880918031</v>
      </c>
      <c r="AW266" s="44">
        <f>+VLOOKUP(C266,'Etape 1 - surface'!$A$5:$B$58,2,FALSE)</f>
        <v>0</v>
      </c>
      <c r="AX266" s="44">
        <f t="shared" si="28"/>
        <v>0</v>
      </c>
      <c r="AY266" s="44">
        <f>10.0046474463505+(37.1112351801373-10.0046474463505)/(1+EXP(-(0.581180949782075*AU266+-0.955447614584994)))</f>
        <v>20.589119020098181</v>
      </c>
      <c r="AZ266" s="63"/>
      <c r="BA266" s="63">
        <f t="shared" si="29"/>
        <v>0</v>
      </c>
      <c r="BB266" s="45"/>
      <c r="BC266" s="65">
        <v>4.4999999999999998E-2</v>
      </c>
      <c r="BD266" s="63">
        <f t="shared" si="27"/>
        <v>-3503.0716309776817</v>
      </c>
    </row>
    <row r="267" spans="1:56" ht="14.45" customHeight="1" x14ac:dyDescent="0.25">
      <c r="A267" t="str">
        <f>+VLOOKUP(D267,Acronyme!$A$1:$C$50,3,FALSE)</f>
        <v>Sapin pectiné</v>
      </c>
      <c r="B267" t="str">
        <f>+VLOOKUP(E267,Acronyme!$E$2:$I$50,5,FALSE)</f>
        <v>GSM Alpes du Sud</v>
      </c>
      <c r="C267" t="s">
        <v>264</v>
      </c>
      <c r="D267" s="43" t="s">
        <v>129</v>
      </c>
      <c r="E267" s="43" t="s">
        <v>132</v>
      </c>
      <c r="F267" s="43" t="s">
        <v>141</v>
      </c>
      <c r="G267" s="43" t="s">
        <v>100</v>
      </c>
      <c r="H267" s="43">
        <v>20.399999999999999</v>
      </c>
      <c r="I267" s="43" t="s">
        <v>101</v>
      </c>
      <c r="J267" s="43">
        <v>1600</v>
      </c>
      <c r="K267" s="43" t="s">
        <v>109</v>
      </c>
      <c r="L267" s="43" t="s">
        <v>134</v>
      </c>
      <c r="M267" s="43" t="s">
        <v>135</v>
      </c>
      <c r="N267" s="43"/>
      <c r="O267" s="43"/>
      <c r="P267" s="43">
        <v>40</v>
      </c>
      <c r="Q267" s="43">
        <v>16.829999999999998</v>
      </c>
      <c r="R267" s="43">
        <v>1499</v>
      </c>
      <c r="S267" s="43">
        <v>24.88</v>
      </c>
      <c r="T267" s="43">
        <v>27</v>
      </c>
      <c r="U267" s="43">
        <v>516</v>
      </c>
      <c r="V267" s="43">
        <v>633</v>
      </c>
      <c r="W267" s="43">
        <v>307</v>
      </c>
      <c r="X267" s="43">
        <v>15</v>
      </c>
      <c r="Y267" s="43">
        <v>0</v>
      </c>
      <c r="Z267" s="32">
        <v>90</v>
      </c>
      <c r="AA267" s="43" t="s">
        <v>63</v>
      </c>
      <c r="AB267" s="43">
        <v>26.42</v>
      </c>
      <c r="AC267" s="43">
        <v>220</v>
      </c>
      <c r="AD267" s="43">
        <v>30.19</v>
      </c>
      <c r="AE267" s="43">
        <v>41.8</v>
      </c>
      <c r="AF267" s="43">
        <v>47.79</v>
      </c>
      <c r="AG267" s="43">
        <v>354.94262169696702</v>
      </c>
      <c r="AH267" s="43">
        <v>358.42672436199098</v>
      </c>
      <c r="AI267" s="43">
        <v>424.55833844409199</v>
      </c>
      <c r="AJ267" s="43">
        <v>86.739211915517302</v>
      </c>
      <c r="AK267" s="43">
        <v>0.96376902128352504</v>
      </c>
      <c r="AL267" s="43">
        <v>0.608372434867405</v>
      </c>
      <c r="AM267" s="43">
        <v>1093.9509531968499</v>
      </c>
      <c r="AN267" s="43">
        <v>12.155010591076101</v>
      </c>
      <c r="AO267" s="43">
        <v>9.7990341303852304</v>
      </c>
      <c r="AP267" s="44">
        <v>46</v>
      </c>
      <c r="AQ267" s="44">
        <v>5.66</v>
      </c>
      <c r="AR267" s="44">
        <v>39.580780973030393</v>
      </c>
      <c r="AS267" s="44">
        <v>63.334468591326981</v>
      </c>
      <c r="AT267" s="44">
        <v>0.91</v>
      </c>
      <c r="AU267" s="44">
        <v>1.3768362737244997</v>
      </c>
      <c r="AV267" s="44">
        <f t="shared" si="32"/>
        <v>63.334468591326988</v>
      </c>
      <c r="AW267" s="44">
        <f>+VLOOKUP(C267,'Etape 1 - surface'!$A$5:$B$58,2,FALSE)</f>
        <v>0</v>
      </c>
      <c r="AX267" s="44">
        <f t="shared" si="28"/>
        <v>0</v>
      </c>
      <c r="AY267" s="44">
        <f>12.60067150914+(56.0435691950881-12.60067150914)/(1+EXP(-(0.12255140894824*AU267+-0.18958347271504)))</f>
        <v>34.095679763494388</v>
      </c>
      <c r="AZ267" s="63"/>
      <c r="BA267" s="63">
        <f t="shared" si="29"/>
        <v>0</v>
      </c>
      <c r="BB267" s="45"/>
      <c r="BC267" s="65">
        <v>4.4999999999999998E-2</v>
      </c>
      <c r="BD267" s="63">
        <f t="shared" si="27"/>
        <v>-3503.0716309776817</v>
      </c>
    </row>
    <row r="268" spans="1:56" ht="15" x14ac:dyDescent="0.25">
      <c r="A268" t="str">
        <f>+VLOOKUP(D268,Acronyme!$A$1:$C$50,3,FALSE)</f>
        <v>Chene_pedoncule</v>
      </c>
      <c r="B268" t="str">
        <f>+VLOOKUP(E268,Acronyme!$E$2:$I$50,5,FALSE)</f>
        <v>Guide chênaie continentale</v>
      </c>
      <c r="C268" t="s">
        <v>264</v>
      </c>
      <c r="D268" s="43" t="s">
        <v>145</v>
      </c>
      <c r="E268" s="43" t="s">
        <v>65</v>
      </c>
      <c r="F268" s="43" t="s">
        <v>66</v>
      </c>
      <c r="G268" s="43" t="s">
        <v>100</v>
      </c>
      <c r="H268" s="43">
        <v>26</v>
      </c>
      <c r="I268" s="43" t="s">
        <v>144</v>
      </c>
      <c r="J268" s="43">
        <v>1600</v>
      </c>
      <c r="K268" s="43" t="s">
        <v>109</v>
      </c>
      <c r="L268" s="43" t="s">
        <v>103</v>
      </c>
      <c r="M268" s="43" t="s">
        <v>143</v>
      </c>
      <c r="N268" s="43"/>
      <c r="O268" s="43"/>
      <c r="P268" s="43">
        <v>31</v>
      </c>
      <c r="Q268" s="43">
        <v>16.22</v>
      </c>
      <c r="R268" s="43">
        <v>1446</v>
      </c>
      <c r="S268" s="43">
        <v>21.44</v>
      </c>
      <c r="T268" s="43">
        <v>65</v>
      </c>
      <c r="U268" s="43">
        <v>525</v>
      </c>
      <c r="V268" s="43">
        <v>696</v>
      </c>
      <c r="W268" s="43">
        <v>155</v>
      </c>
      <c r="X268" s="43">
        <v>5</v>
      </c>
      <c r="Y268" s="43">
        <v>0</v>
      </c>
      <c r="Z268" s="32">
        <v>90</v>
      </c>
      <c r="AA268" s="43" t="s">
        <v>63</v>
      </c>
      <c r="AB268" s="43">
        <v>33.22</v>
      </c>
      <c r="AC268" s="43">
        <v>63</v>
      </c>
      <c r="AD268" s="43">
        <v>19.48</v>
      </c>
      <c r="AE268" s="43">
        <v>62.74</v>
      </c>
      <c r="AF268" s="43">
        <v>62.74</v>
      </c>
      <c r="AG268" s="43">
        <v>317.23905979140699</v>
      </c>
      <c r="AH268" s="43">
        <v>360.09217283046598</v>
      </c>
      <c r="AI268" s="43">
        <v>385.00004899646598</v>
      </c>
      <c r="AJ268" s="43">
        <v>65.723535194947203</v>
      </c>
      <c r="AK268" s="43">
        <v>0.73026150216607999</v>
      </c>
      <c r="AL268" s="43">
        <v>0.47021179620828502</v>
      </c>
      <c r="AM268" s="43">
        <v>1031.9288272303199</v>
      </c>
      <c r="AN268" s="43">
        <v>11.4658758581147</v>
      </c>
      <c r="AO268" s="43">
        <v>11.6121485506022</v>
      </c>
      <c r="AP268" s="44">
        <v>16</v>
      </c>
      <c r="AQ268" s="44">
        <v>4.6400000000000006</v>
      </c>
      <c r="AR268" s="44">
        <v>60.76507779746499</v>
      </c>
      <c r="AS268" s="44">
        <v>75.545403205133027</v>
      </c>
      <c r="AT268" s="44">
        <v>0.95</v>
      </c>
      <c r="AU268" s="44">
        <v>4.7215877003208142</v>
      </c>
      <c r="AV268" s="44">
        <f t="shared" si="32"/>
        <v>75.545403205133027</v>
      </c>
      <c r="AW268" s="44">
        <f>+VLOOKUP(C268,'Etape 1 - surface'!$A$5:$B$58,2,FALSE)</f>
        <v>0</v>
      </c>
      <c r="AX268" s="44">
        <f t="shared" si="28"/>
        <v>0</v>
      </c>
      <c r="AY268" s="44">
        <f>10.8374384236453+(405.147848531042-10.8374384236453)/(1+EXP(-(1.16387919746889*AU268+-2.8965970117006)))</f>
        <v>377.85438274428611</v>
      </c>
      <c r="AZ268" s="63"/>
      <c r="BA268" s="63">
        <f t="shared" si="29"/>
        <v>0</v>
      </c>
      <c r="BB268" s="45"/>
      <c r="BC268" s="65">
        <v>4.4999999999999998E-2</v>
      </c>
      <c r="BD268" s="63">
        <f t="shared" si="27"/>
        <v>-3503.0716309776817</v>
      </c>
    </row>
    <row r="269" spans="1:56" ht="15" x14ac:dyDescent="0.25">
      <c r="A269" t="str">
        <f>+VLOOKUP(D269,Acronyme!$A$1:$C$50,3,FALSE)</f>
        <v>Chêne sessile</v>
      </c>
      <c r="B269" t="str">
        <f>+VLOOKUP(E269,Acronyme!$E$2:$I$50,5,FALSE)</f>
        <v>Guide chênaie atlantique</v>
      </c>
      <c r="C269" t="s">
        <v>264</v>
      </c>
      <c r="D269" s="43" t="s">
        <v>60</v>
      </c>
      <c r="E269" s="43" t="s">
        <v>150</v>
      </c>
      <c r="F269" s="43" t="s">
        <v>61</v>
      </c>
      <c r="G269" s="43" t="s">
        <v>100</v>
      </c>
      <c r="H269" s="43">
        <v>21.5</v>
      </c>
      <c r="I269" s="43" t="s">
        <v>151</v>
      </c>
      <c r="J269" s="43">
        <v>1666</v>
      </c>
      <c r="K269" s="43" t="s">
        <v>109</v>
      </c>
      <c r="L269" s="43" t="s">
        <v>103</v>
      </c>
      <c r="M269" s="43" t="s">
        <v>143</v>
      </c>
      <c r="N269" s="43"/>
      <c r="O269" s="43"/>
      <c r="P269" s="43">
        <v>34</v>
      </c>
      <c r="Q269" s="43">
        <v>16.2</v>
      </c>
      <c r="R269" s="43">
        <v>1451</v>
      </c>
      <c r="S269" s="43">
        <v>23.57</v>
      </c>
      <c r="T269" s="43">
        <v>44</v>
      </c>
      <c r="U269" s="43">
        <v>444</v>
      </c>
      <c r="V269" s="43">
        <v>742</v>
      </c>
      <c r="W269" s="43">
        <v>211</v>
      </c>
      <c r="X269" s="43">
        <v>10</v>
      </c>
      <c r="Y269" s="43">
        <v>0</v>
      </c>
      <c r="Z269" s="32">
        <v>90</v>
      </c>
      <c r="AA269" s="43" t="s">
        <v>63</v>
      </c>
      <c r="AB269" s="43">
        <v>30.81</v>
      </c>
      <c r="AC269" s="43">
        <v>151</v>
      </c>
      <c r="AD269" s="43">
        <v>24.03</v>
      </c>
      <c r="AE269" s="43">
        <v>45.01</v>
      </c>
      <c r="AF269" s="43">
        <v>47.44</v>
      </c>
      <c r="AG269" s="43">
        <v>367.11617918816398</v>
      </c>
      <c r="AH269" s="43">
        <v>401.393532216165</v>
      </c>
      <c r="AI269" s="43">
        <v>431.51007654529798</v>
      </c>
      <c r="AJ269" s="43">
        <v>67.369445305629398</v>
      </c>
      <c r="AK269" s="43">
        <v>0.74854939228477102</v>
      </c>
      <c r="AL269" s="43">
        <v>0.50592417271120904</v>
      </c>
      <c r="AM269" s="43">
        <v>1011.39343568125</v>
      </c>
      <c r="AN269" s="43">
        <v>11.237704840902801</v>
      </c>
      <c r="AO269" s="43">
        <v>11.611893521133</v>
      </c>
      <c r="AP269" s="44">
        <v>31</v>
      </c>
      <c r="AQ269" s="44">
        <v>4.2199999999999989</v>
      </c>
      <c r="AR269" s="44">
        <v>41.632303210067093</v>
      </c>
      <c r="AS269" s="44">
        <v>64.035239832215041</v>
      </c>
      <c r="AT269" s="44">
        <v>0.88</v>
      </c>
      <c r="AU269" s="44">
        <v>2.0656528978133886</v>
      </c>
      <c r="AV269" s="44">
        <f t="shared" si="32"/>
        <v>64.035239832215041</v>
      </c>
      <c r="AW269" s="44">
        <f>+VLOOKUP(C269,'Etape 1 - surface'!$A$5:$B$58,2,FALSE)</f>
        <v>0</v>
      </c>
      <c r="AX269" s="44">
        <f t="shared" si="28"/>
        <v>0</v>
      </c>
      <c r="AY269" s="44">
        <f>10.8374384236453+(405.147848531042-10.8374384236453)/(1+EXP(-(1.16387919746889*AU269+-2.8965970117006)))</f>
        <v>160.40808946024558</v>
      </c>
      <c r="AZ269" s="63"/>
      <c r="BA269" s="63">
        <f t="shared" si="29"/>
        <v>0</v>
      </c>
      <c r="BB269" s="45"/>
      <c r="BC269" s="65">
        <v>4.4999999999999998E-2</v>
      </c>
      <c r="BD269" s="63">
        <f t="shared" si="27"/>
        <v>-3503.0716309776817</v>
      </c>
    </row>
    <row r="270" spans="1:56" ht="14.45" customHeight="1" x14ac:dyDescent="0.25">
      <c r="C270" t="s">
        <v>264</v>
      </c>
      <c r="D270" s="43" t="s">
        <v>246</v>
      </c>
      <c r="E270" s="43" t="s">
        <v>238</v>
      </c>
      <c r="F270" s="43" t="s">
        <v>251</v>
      </c>
      <c r="G270" s="43" t="s">
        <v>114</v>
      </c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32">
        <v>90</v>
      </c>
      <c r="AA270" s="43" t="s">
        <v>63</v>
      </c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4"/>
      <c r="AQ270" s="44"/>
      <c r="AR270" s="44"/>
      <c r="AS270" s="44"/>
      <c r="AT270" s="44"/>
      <c r="AU270" s="44">
        <v>1.8</v>
      </c>
      <c r="AV270" s="44">
        <v>18</v>
      </c>
      <c r="AW270" s="44">
        <f>+VLOOKUP(C270,'Etape 1 - surface'!$A$5:$B$58,2,FALSE)</f>
        <v>0</v>
      </c>
      <c r="AX270" s="44">
        <f t="shared" si="28"/>
        <v>0</v>
      </c>
      <c r="AY270" s="44">
        <f>(86.135208)/(1+EXP(-(0.50064483*AU270+-0.6204261)))</f>
        <v>49.0734942353142</v>
      </c>
      <c r="AZ270" s="63"/>
      <c r="BA270" s="63">
        <f t="shared" si="29"/>
        <v>0</v>
      </c>
      <c r="BB270" s="45"/>
      <c r="BC270" s="65">
        <v>4.4999999999999998E-2</v>
      </c>
      <c r="BD270" s="63">
        <f t="shared" si="27"/>
        <v>-3503.0716309776817</v>
      </c>
    </row>
    <row r="271" spans="1:56" ht="15" x14ac:dyDescent="0.25">
      <c r="C271" t="s">
        <v>264</v>
      </c>
      <c r="D271" s="43" t="s">
        <v>246</v>
      </c>
      <c r="E271" s="43" t="s">
        <v>238</v>
      </c>
      <c r="F271" s="43" t="s">
        <v>247</v>
      </c>
      <c r="G271" s="43" t="s">
        <v>62</v>
      </c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32">
        <v>90</v>
      </c>
      <c r="AA271" s="43" t="s">
        <v>63</v>
      </c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4"/>
      <c r="AQ271" s="44"/>
      <c r="AR271" s="44"/>
      <c r="AS271" s="44"/>
      <c r="AT271" s="44"/>
      <c r="AU271" s="44">
        <v>3.37</v>
      </c>
      <c r="AV271" s="44">
        <v>27</v>
      </c>
      <c r="AW271" s="44">
        <f>+VLOOKUP(C271,'Etape 1 - surface'!$A$5:$B$58,2,FALSE)</f>
        <v>0</v>
      </c>
      <c r="AX271" s="44">
        <f t="shared" si="28"/>
        <v>0</v>
      </c>
      <c r="AY271" s="44">
        <f>(86.135208)/(1+EXP(-(0.50064483*AU271+-0.6204261)))</f>
        <v>64.082681580613141</v>
      </c>
      <c r="AZ271" s="63"/>
      <c r="BA271" s="63">
        <f t="shared" si="29"/>
        <v>0</v>
      </c>
      <c r="BB271" s="45"/>
      <c r="BC271" s="65">
        <v>4.4999999999999998E-2</v>
      </c>
      <c r="BD271" s="63">
        <f t="shared" si="27"/>
        <v>-3503.0716309776817</v>
      </c>
    </row>
    <row r="272" spans="1:56" ht="14.45" customHeight="1" x14ac:dyDescent="0.25">
      <c r="C272" t="s">
        <v>264</v>
      </c>
      <c r="D272" s="43" t="s">
        <v>246</v>
      </c>
      <c r="E272" s="43" t="s">
        <v>238</v>
      </c>
      <c r="F272" s="43" t="s">
        <v>252</v>
      </c>
      <c r="G272" s="43" t="s">
        <v>100</v>
      </c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32">
        <v>90</v>
      </c>
      <c r="AA272" s="43" t="s">
        <v>63</v>
      </c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4"/>
      <c r="AQ272" s="44"/>
      <c r="AR272" s="44"/>
      <c r="AS272" s="44"/>
      <c r="AT272" s="44"/>
      <c r="AU272" s="44">
        <v>1.3</v>
      </c>
      <c r="AV272" s="44">
        <v>40</v>
      </c>
      <c r="AW272" s="44">
        <f>+VLOOKUP(C272,'Etape 1 - surface'!$A$5:$B$58,2,FALSE)</f>
        <v>0</v>
      </c>
      <c r="AX272" s="44">
        <f t="shared" si="28"/>
        <v>0</v>
      </c>
      <c r="AY272" s="44">
        <f>(86.135208)/(1+EXP(-(0.50064483*AU272+-0.6204261)))</f>
        <v>43.722443369973668</v>
      </c>
      <c r="AZ272" s="63"/>
      <c r="BA272" s="63">
        <f t="shared" si="29"/>
        <v>0</v>
      </c>
      <c r="BB272" s="45"/>
      <c r="BC272" s="65">
        <v>4.4999999999999998E-2</v>
      </c>
      <c r="BD272" s="63">
        <f t="shared" si="27"/>
        <v>-3503.0716309776817</v>
      </c>
    </row>
    <row r="273" spans="1:56" ht="15" x14ac:dyDescent="0.25">
      <c r="A273" t="str">
        <f>+VLOOKUP(D273,Acronyme!$A$1:$C$50,3,FALSE)</f>
        <v>Pin sylvestre</v>
      </c>
      <c r="B273" t="str">
        <f>+VLOOKUP(E273,Acronyme!$E$2:$I$50,5,FALSE)</f>
        <v>GS Pineraies des plaines du Centre et du Nord Ouest</v>
      </c>
      <c r="C273" s="1" t="s">
        <v>264</v>
      </c>
      <c r="D273" s="43" t="s">
        <v>106</v>
      </c>
      <c r="E273" s="43" t="s">
        <v>89</v>
      </c>
      <c r="F273" s="43" t="s">
        <v>115</v>
      </c>
      <c r="G273" s="43" t="s">
        <v>100</v>
      </c>
      <c r="H273" s="43">
        <v>28</v>
      </c>
      <c r="I273" s="43">
        <v>45</v>
      </c>
      <c r="J273" s="43">
        <v>2500</v>
      </c>
      <c r="K273" s="43" t="s">
        <v>109</v>
      </c>
      <c r="L273" s="43" t="s">
        <v>116</v>
      </c>
      <c r="M273" s="43" t="s">
        <v>111</v>
      </c>
      <c r="N273" s="43">
        <v>1997</v>
      </c>
      <c r="O273" s="43" t="s">
        <v>96</v>
      </c>
      <c r="P273" s="43">
        <v>21</v>
      </c>
      <c r="Q273" s="43">
        <v>12.5</v>
      </c>
      <c r="R273" s="43">
        <v>2024</v>
      </c>
      <c r="S273" s="43">
        <v>28.8</v>
      </c>
      <c r="T273" s="43">
        <v>0</v>
      </c>
      <c r="U273" s="43">
        <v>1100</v>
      </c>
      <c r="V273" s="43">
        <v>712</v>
      </c>
      <c r="W273" s="43">
        <v>162</v>
      </c>
      <c r="X273" s="43">
        <v>50</v>
      </c>
      <c r="Y273" s="43">
        <v>0</v>
      </c>
      <c r="Z273" s="32">
        <v>91</v>
      </c>
      <c r="AA273" s="43" t="s">
        <v>63</v>
      </c>
      <c r="AB273" s="43">
        <v>38.5</v>
      </c>
      <c r="AC273" s="43">
        <v>220</v>
      </c>
      <c r="AD273" s="43">
        <v>27</v>
      </c>
      <c r="AE273" s="43">
        <v>39.53</v>
      </c>
      <c r="AF273" s="43">
        <v>43.39</v>
      </c>
      <c r="AG273" s="43">
        <v>448.72756874676497</v>
      </c>
      <c r="AH273" s="43">
        <v>450.84201898071899</v>
      </c>
      <c r="AI273" s="43">
        <v>486.50008893752198</v>
      </c>
      <c r="AJ273" s="43">
        <v>72.228604672445101</v>
      </c>
      <c r="AK273" s="43">
        <v>0.793720930466429</v>
      </c>
      <c r="AL273" s="43">
        <v>0.21675315626282601</v>
      </c>
      <c r="AM273" s="43">
        <v>1004.44974275731</v>
      </c>
      <c r="AN273" s="43">
        <v>11.0379092610694</v>
      </c>
      <c r="AO273" s="43">
        <v>5.7517968112108502</v>
      </c>
      <c r="AP273" s="44">
        <v>26</v>
      </c>
      <c r="AQ273" s="44">
        <v>2.4699999999999989</v>
      </c>
      <c r="AR273" s="44">
        <v>34.778981691510232</v>
      </c>
      <c r="AS273" s="44">
        <v>40.307025451853008</v>
      </c>
      <c r="AT273" s="44">
        <v>0.79</v>
      </c>
      <c r="AU273" s="44">
        <v>1.5502702096866541</v>
      </c>
      <c r="AV273" s="44">
        <f>+AU273*AP273</f>
        <v>40.307025451853008</v>
      </c>
      <c r="AW273" s="44">
        <f>+VLOOKUP(C273,'Etape 1 - surface'!$A$5:$B$58,2,FALSE)</f>
        <v>0</v>
      </c>
      <c r="AX273" s="44">
        <f t="shared" si="28"/>
        <v>0</v>
      </c>
      <c r="AY273" s="44">
        <f>10.0046474463505+(37.1112351801373-10.0046474463505)/(1+EXP(-(0.581180949782075*AU273+-0.955447614584994)))</f>
        <v>23.188975620580827</v>
      </c>
      <c r="AZ273" s="63"/>
      <c r="BA273" s="63">
        <f t="shared" si="29"/>
        <v>0</v>
      </c>
      <c r="BB273" s="45"/>
      <c r="BC273" s="65">
        <v>4.4999999999999998E-2</v>
      </c>
      <c r="BD273" s="63">
        <f t="shared" si="27"/>
        <v>-3503.0716309776817</v>
      </c>
    </row>
    <row r="274" spans="1:56" ht="15" x14ac:dyDescent="0.25">
      <c r="A274" t="str">
        <f>+VLOOKUP(D274,Acronyme!$A$1:$C$50,3,FALSE)</f>
        <v>Sapin pectiné</v>
      </c>
      <c r="B274" t="str">
        <f>+VLOOKUP(E274,Acronyme!$E$2:$I$50,5,FALSE)</f>
        <v>GS Arc Jurassien</v>
      </c>
      <c r="C274" t="s">
        <v>264</v>
      </c>
      <c r="D274" s="43" t="s">
        <v>129</v>
      </c>
      <c r="E274" s="43" t="s">
        <v>119</v>
      </c>
      <c r="F274" s="43" t="s">
        <v>130</v>
      </c>
      <c r="G274" s="43" t="s">
        <v>100</v>
      </c>
      <c r="H274" s="43">
        <v>20</v>
      </c>
      <c r="I274" s="43" t="s">
        <v>122</v>
      </c>
      <c r="J274" s="43">
        <v>2000</v>
      </c>
      <c r="K274" s="43" t="s">
        <v>102</v>
      </c>
      <c r="L274" s="43" t="s">
        <v>103</v>
      </c>
      <c r="M274" s="43" t="s">
        <v>123</v>
      </c>
      <c r="N274" s="43"/>
      <c r="O274" s="43"/>
      <c r="P274" s="43">
        <v>45</v>
      </c>
      <c r="Q274" s="43">
        <v>17.7</v>
      </c>
      <c r="R274" s="43">
        <v>1853</v>
      </c>
      <c r="S274" s="43">
        <v>45.68</v>
      </c>
      <c r="T274" s="43">
        <v>0</v>
      </c>
      <c r="U274" s="43">
        <v>0</v>
      </c>
      <c r="V274" s="43">
        <v>1079</v>
      </c>
      <c r="W274" s="43">
        <v>672</v>
      </c>
      <c r="X274" s="43">
        <v>94</v>
      </c>
      <c r="Y274" s="43">
        <v>8</v>
      </c>
      <c r="Z274" s="32">
        <v>91</v>
      </c>
      <c r="AA274" s="43" t="s">
        <v>63</v>
      </c>
      <c r="AB274" s="43">
        <v>33.189319664265597</v>
      </c>
      <c r="AC274" s="43">
        <v>200</v>
      </c>
      <c r="AD274" s="43">
        <v>29.47</v>
      </c>
      <c r="AE274" s="43">
        <v>43.316903192710598</v>
      </c>
      <c r="AF274" s="43">
        <v>46.353507129771202</v>
      </c>
      <c r="AG274" s="43">
        <v>480.53118681790897</v>
      </c>
      <c r="AH274" s="43">
        <v>482.18510076422098</v>
      </c>
      <c r="AI274" s="43">
        <v>524.864476938449</v>
      </c>
      <c r="AJ274" s="43">
        <v>96.271676696673495</v>
      </c>
      <c r="AK274" s="43">
        <v>1.0579305131502601</v>
      </c>
      <c r="AL274" s="43">
        <v>0.65653524706803501</v>
      </c>
      <c r="AM274" s="43">
        <v>1400.80688278967</v>
      </c>
      <c r="AN274" s="43">
        <v>15.3934822284579</v>
      </c>
      <c r="AO274" s="43">
        <v>15.0069465628975</v>
      </c>
      <c r="AP274" s="44">
        <v>48</v>
      </c>
      <c r="AQ274" s="44">
        <v>6.4600000000000009</v>
      </c>
      <c r="AR274" s="44">
        <v>41.395268094587088</v>
      </c>
      <c r="AS274" s="44">
        <v>104.78972632862508</v>
      </c>
      <c r="AT274" s="44">
        <v>0.92892845248990297</v>
      </c>
      <c r="AU274" s="44">
        <v>2.1831192985130223</v>
      </c>
      <c r="AV274" s="44">
        <f>+AU274*AP274</f>
        <v>104.78972632862508</v>
      </c>
      <c r="AW274" s="44">
        <f>+VLOOKUP(C274,'Etape 1 - surface'!$A$5:$B$58,2,FALSE)</f>
        <v>0</v>
      </c>
      <c r="AX274" s="44">
        <f t="shared" si="28"/>
        <v>0</v>
      </c>
      <c r="AY274" s="44">
        <f>12.60067150914+(56.0435691950881-12.60067150914)/(1+EXP(-(0.12255140894824*AU274+-0.18958347271504)))</f>
        <v>35.168403320114294</v>
      </c>
      <c r="AZ274" s="63"/>
      <c r="BA274" s="63">
        <f t="shared" si="29"/>
        <v>0</v>
      </c>
      <c r="BB274" s="45"/>
      <c r="BC274" s="65">
        <v>4.4999999999999998E-2</v>
      </c>
      <c r="BD274" s="63">
        <f t="shared" si="27"/>
        <v>-3503.0716309776817</v>
      </c>
    </row>
    <row r="275" spans="1:56" ht="15" x14ac:dyDescent="0.25">
      <c r="A275" t="str">
        <f>+VLOOKUP(D275,Acronyme!$A$1:$C$50,3,FALSE)</f>
        <v>Sapin pectiné</v>
      </c>
      <c r="B275" t="str">
        <f>+VLOOKUP(E275,Acronyme!$E$2:$I$50,5,FALSE)</f>
        <v>GS Arc Jurassien</v>
      </c>
      <c r="C275" t="s">
        <v>264</v>
      </c>
      <c r="D275" s="43" t="s">
        <v>129</v>
      </c>
      <c r="E275" s="43" t="s">
        <v>119</v>
      </c>
      <c r="F275" s="43" t="s">
        <v>130</v>
      </c>
      <c r="G275" s="43" t="s">
        <v>100</v>
      </c>
      <c r="H275" s="43">
        <v>20</v>
      </c>
      <c r="I275" s="43" t="s">
        <v>101</v>
      </c>
      <c r="J275" s="43">
        <v>2000</v>
      </c>
      <c r="K275" s="43" t="s">
        <v>102</v>
      </c>
      <c r="L275" s="43" t="s">
        <v>103</v>
      </c>
      <c r="M275" s="43" t="s">
        <v>123</v>
      </c>
      <c r="N275" s="43"/>
      <c r="O275" s="43"/>
      <c r="P275" s="43">
        <v>45</v>
      </c>
      <c r="Q275" s="43">
        <v>17.7</v>
      </c>
      <c r="R275" s="43">
        <v>1853</v>
      </c>
      <c r="S275" s="43">
        <v>45.68</v>
      </c>
      <c r="T275" s="43">
        <v>0</v>
      </c>
      <c r="U275" s="43">
        <v>0</v>
      </c>
      <c r="V275" s="43">
        <v>1079</v>
      </c>
      <c r="W275" s="43">
        <v>672</v>
      </c>
      <c r="X275" s="43">
        <v>94</v>
      </c>
      <c r="Y275" s="43">
        <v>8</v>
      </c>
      <c r="Z275" s="32">
        <v>91</v>
      </c>
      <c r="AA275" s="43" t="s">
        <v>63</v>
      </c>
      <c r="AB275" s="43">
        <v>33.189319664265597</v>
      </c>
      <c r="AC275" s="43">
        <v>200</v>
      </c>
      <c r="AD275" s="43">
        <v>29.47</v>
      </c>
      <c r="AE275" s="43">
        <v>43.316903192710598</v>
      </c>
      <c r="AF275" s="43">
        <v>46.353507129771202</v>
      </c>
      <c r="AG275" s="43">
        <v>480.53118681790897</v>
      </c>
      <c r="AH275" s="43">
        <v>482.18510076422098</v>
      </c>
      <c r="AI275" s="43">
        <v>524.864476938449</v>
      </c>
      <c r="AJ275" s="43">
        <v>96.271676696673495</v>
      </c>
      <c r="AK275" s="43">
        <v>1.0579305131502601</v>
      </c>
      <c r="AL275" s="43">
        <v>0.65653524706803501</v>
      </c>
      <c r="AM275" s="43">
        <v>1400.80688278967</v>
      </c>
      <c r="AN275" s="43">
        <v>15.3934822284579</v>
      </c>
      <c r="AO275" s="43">
        <v>15.0069465628975</v>
      </c>
      <c r="AP275" s="44">
        <v>48</v>
      </c>
      <c r="AQ275" s="44">
        <v>6.4600000000000009</v>
      </c>
      <c r="AR275" s="44">
        <v>41.395268094587088</v>
      </c>
      <c r="AS275" s="44">
        <v>104.78972632862508</v>
      </c>
      <c r="AT275" s="44">
        <v>0.92892845248990297</v>
      </c>
      <c r="AU275" s="44">
        <v>2.1831192985130223</v>
      </c>
      <c r="AV275" s="44">
        <f>+AU275*AP275</f>
        <v>104.78972632862508</v>
      </c>
      <c r="AW275" s="44">
        <f>+VLOOKUP(C275,'Etape 1 - surface'!$A$5:$B$58,2,FALSE)</f>
        <v>0</v>
      </c>
      <c r="AX275" s="44">
        <f t="shared" si="28"/>
        <v>0</v>
      </c>
      <c r="AY275" s="44">
        <f>12.60067150914+(56.0435691950881-12.60067150914)/(1+EXP(-(0.12255140894824*AU275+-0.18958347271504)))</f>
        <v>35.168403320114294</v>
      </c>
      <c r="AZ275" s="63"/>
      <c r="BA275" s="63">
        <f t="shared" si="29"/>
        <v>0</v>
      </c>
      <c r="BB275" s="45"/>
      <c r="BC275" s="65">
        <v>4.4999999999999998E-2</v>
      </c>
      <c r="BD275" s="63">
        <f t="shared" ref="BD275:BD338" si="33">+(+BA275+BB275)/(1+BC275)^Z275+BD274</f>
        <v>-3503.0716309776817</v>
      </c>
    </row>
    <row r="276" spans="1:56" ht="14.45" customHeight="1" x14ac:dyDescent="0.25">
      <c r="C276" t="s">
        <v>261</v>
      </c>
      <c r="D276" s="43" t="s">
        <v>207</v>
      </c>
      <c r="E276" s="43" t="s">
        <v>208</v>
      </c>
      <c r="F276" s="43" t="s">
        <v>258</v>
      </c>
      <c r="G276" s="43" t="s">
        <v>62</v>
      </c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32">
        <v>91</v>
      </c>
      <c r="AA276" s="43" t="s">
        <v>63</v>
      </c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4">
        <v>77</v>
      </c>
      <c r="AQ276" s="44"/>
      <c r="AR276" s="44"/>
      <c r="AS276" s="44"/>
      <c r="AT276" s="44"/>
      <c r="AU276" s="44">
        <f>AV276/AP276</f>
        <v>3.3766233766233764</v>
      </c>
      <c r="AV276" s="44">
        <v>260</v>
      </c>
      <c r="AW276" s="44">
        <f>+VLOOKUP(C276,'Etape 1 - surface'!$A$5:$B$58,2,FALSE)</f>
        <v>0</v>
      </c>
      <c r="AX276" s="44">
        <f t="shared" si="28"/>
        <v>0</v>
      </c>
      <c r="AY276" s="44">
        <f>82.5251889/(1+EXP(-(0.26195064*AU276+(-0.34406779))))</f>
        <v>52.148902111559146</v>
      </c>
      <c r="AZ276" s="63"/>
      <c r="BA276" s="63">
        <f t="shared" si="29"/>
        <v>0</v>
      </c>
      <c r="BB276" s="45"/>
      <c r="BC276" s="65">
        <v>4.4999999999999998E-2</v>
      </c>
      <c r="BD276" s="63">
        <f t="shared" si="33"/>
        <v>-3503.0716309776817</v>
      </c>
    </row>
    <row r="277" spans="1:56" ht="14.45" customHeight="1" x14ac:dyDescent="0.25">
      <c r="A277" t="str">
        <f>+VLOOKUP(D277,Acronyme!$A$1:$C$50,3,FALSE)</f>
        <v>Pin sylvestre</v>
      </c>
      <c r="B277" t="str">
        <f>+VLOOKUP(E277,Acronyme!$E$2:$I$50,5,FALSE)</f>
        <v>GS Pineraies des plaines du Centre et du Nord Ouest</v>
      </c>
      <c r="C277" t="s">
        <v>264</v>
      </c>
      <c r="D277" s="43" t="s">
        <v>106</v>
      </c>
      <c r="E277" s="43" t="s">
        <v>89</v>
      </c>
      <c r="F277" s="43" t="s">
        <v>107</v>
      </c>
      <c r="G277" s="43" t="s">
        <v>62</v>
      </c>
      <c r="H277" s="43">
        <v>23</v>
      </c>
      <c r="I277" s="43" t="s">
        <v>108</v>
      </c>
      <c r="J277" s="43">
        <v>2500</v>
      </c>
      <c r="K277" s="43" t="s">
        <v>109</v>
      </c>
      <c r="L277" s="43" t="s">
        <v>110</v>
      </c>
      <c r="M277" s="43" t="s">
        <v>111</v>
      </c>
      <c r="N277" s="43">
        <v>2003</v>
      </c>
      <c r="O277" s="43"/>
      <c r="P277" s="43">
        <v>24</v>
      </c>
      <c r="Q277" s="43">
        <v>11.4</v>
      </c>
      <c r="R277" s="43">
        <v>2157</v>
      </c>
      <c r="S277" s="43">
        <v>40.299999999999997</v>
      </c>
      <c r="T277" s="43">
        <v>0</v>
      </c>
      <c r="U277" s="43">
        <v>600</v>
      </c>
      <c r="V277" s="43">
        <v>1043</v>
      </c>
      <c r="W277" s="43">
        <v>457</v>
      </c>
      <c r="X277" s="43">
        <v>57</v>
      </c>
      <c r="Y277" s="43">
        <v>0</v>
      </c>
      <c r="Z277" s="32">
        <v>92</v>
      </c>
      <c r="AA277" s="43" t="s">
        <v>63</v>
      </c>
      <c r="AB277" s="43">
        <v>29.93</v>
      </c>
      <c r="AC277" s="43">
        <v>164</v>
      </c>
      <c r="AD277" s="43">
        <v>24.01</v>
      </c>
      <c r="AE277" s="43">
        <v>43.18</v>
      </c>
      <c r="AF277" s="43">
        <v>45.35</v>
      </c>
      <c r="AG277" s="43">
        <v>311.53630822344002</v>
      </c>
      <c r="AH277" s="43">
        <v>314.8319032</v>
      </c>
      <c r="AI277" s="43">
        <v>354.81512856887599</v>
      </c>
      <c r="AJ277" s="43">
        <v>82.072080263369301</v>
      </c>
      <c r="AK277" s="43">
        <v>0.89208782894966598</v>
      </c>
      <c r="AL277" s="43">
        <v>0.24625942643433499</v>
      </c>
      <c r="AM277" s="43">
        <v>893.48539855065303</v>
      </c>
      <c r="AN277" s="43">
        <v>9.7117978103331897</v>
      </c>
      <c r="AO277" s="43">
        <v>5.0779676068641502</v>
      </c>
      <c r="AP277" s="44">
        <v>21</v>
      </c>
      <c r="AQ277" s="44">
        <v>2.4742097908673024</v>
      </c>
      <c r="AR277" s="44">
        <v>38.731442546894797</v>
      </c>
      <c r="AS277" s="44">
        <v>30.628394128448008</v>
      </c>
      <c r="AT277" s="44">
        <v>0.73985113713154815</v>
      </c>
      <c r="AU277" s="44">
        <v>1.4584949584975242</v>
      </c>
      <c r="AV277" s="44">
        <f t="shared" ref="AV277:AV287" si="34">+AU277*AP277</f>
        <v>30.628394128448008</v>
      </c>
      <c r="AW277" s="44">
        <f>+VLOOKUP(C277,'Etape 1 - surface'!$A$5:$B$58,2,FALSE)</f>
        <v>0</v>
      </c>
      <c r="AX277" s="44">
        <f t="shared" si="28"/>
        <v>0</v>
      </c>
      <c r="AY277" s="44">
        <f>10.0046474463505+(37.1112351801373-10.0046474463505)/(1+EXP(-(0.581180949782075*AU277+-0.955447614584994)))</f>
        <v>22.828138033098305</v>
      </c>
      <c r="AZ277" s="63"/>
      <c r="BA277" s="63">
        <f t="shared" si="29"/>
        <v>0</v>
      </c>
      <c r="BB277" s="45"/>
      <c r="BC277" s="65">
        <v>4.4999999999999998E-2</v>
      </c>
      <c r="BD277" s="63">
        <f t="shared" si="33"/>
        <v>-3503.0716309776817</v>
      </c>
    </row>
    <row r="278" spans="1:56" ht="15" x14ac:dyDescent="0.25">
      <c r="A278" t="str">
        <f>+VLOOKUP(D278,Acronyme!$A$1:$C$50,3,FALSE)</f>
        <v>Pin sylvestre</v>
      </c>
      <c r="B278" t="str">
        <f>+VLOOKUP(E278,Acronyme!$E$2:$I$50,5,FALSE)</f>
        <v>GS Pineraies des plaines du Centre et du Nord Ouest</v>
      </c>
      <c r="C278" t="s">
        <v>264</v>
      </c>
      <c r="D278" s="43" t="s">
        <v>106</v>
      </c>
      <c r="E278" s="43" t="s">
        <v>89</v>
      </c>
      <c r="F278" s="43" t="s">
        <v>115</v>
      </c>
      <c r="G278" s="43" t="s">
        <v>62</v>
      </c>
      <c r="H278" s="43">
        <v>23</v>
      </c>
      <c r="I278" s="43">
        <v>45</v>
      </c>
      <c r="J278" s="43">
        <v>2500</v>
      </c>
      <c r="K278" s="43" t="s">
        <v>109</v>
      </c>
      <c r="L278" s="43" t="s">
        <v>110</v>
      </c>
      <c r="M278" s="43" t="s">
        <v>111</v>
      </c>
      <c r="N278" s="43">
        <v>2003</v>
      </c>
      <c r="O278" s="43" t="s">
        <v>58</v>
      </c>
      <c r="P278" s="43">
        <v>28</v>
      </c>
      <c r="Q278" s="43">
        <v>13.5</v>
      </c>
      <c r="R278" s="43">
        <v>2157</v>
      </c>
      <c r="S278" s="43">
        <v>40.299999999999997</v>
      </c>
      <c r="T278" s="43">
        <v>0</v>
      </c>
      <c r="U278" s="43">
        <v>600</v>
      </c>
      <c r="V278" s="43">
        <v>1043</v>
      </c>
      <c r="W278" s="43">
        <v>457</v>
      </c>
      <c r="X278" s="43">
        <v>57</v>
      </c>
      <c r="Y278" s="43">
        <v>0</v>
      </c>
      <c r="Z278" s="32">
        <v>92</v>
      </c>
      <c r="AA278" s="43" t="s">
        <v>63</v>
      </c>
      <c r="AB278" s="43">
        <v>30.61</v>
      </c>
      <c r="AC278" s="43">
        <v>225</v>
      </c>
      <c r="AD278" s="43">
        <v>23.98</v>
      </c>
      <c r="AE278" s="43">
        <v>36.840000000000003</v>
      </c>
      <c r="AF278" s="43">
        <v>40.6</v>
      </c>
      <c r="AG278" s="43">
        <v>317.42860936815401</v>
      </c>
      <c r="AH278" s="43">
        <v>319.81034642186597</v>
      </c>
      <c r="AI278" s="43">
        <v>356.36382632161201</v>
      </c>
      <c r="AJ278" s="43">
        <v>76.353384295978003</v>
      </c>
      <c r="AK278" s="43">
        <v>0.82992809017367397</v>
      </c>
      <c r="AL278" s="43">
        <v>0.22903177269809299</v>
      </c>
      <c r="AM278" s="43">
        <v>871.08314724716399</v>
      </c>
      <c r="AN278" s="43">
        <v>9.4682950787735205</v>
      </c>
      <c r="AO278" s="43">
        <v>4.7148933119619896</v>
      </c>
      <c r="AP278" s="44">
        <v>35</v>
      </c>
      <c r="AQ278" s="44">
        <v>2.66</v>
      </c>
      <c r="AR278" s="44">
        <v>31.107266900175009</v>
      </c>
      <c r="AS278" s="44">
        <v>34.221626289161009</v>
      </c>
      <c r="AT278" s="44">
        <v>0.74</v>
      </c>
      <c r="AU278" s="44">
        <v>0.97776075111888594</v>
      </c>
      <c r="AV278" s="44">
        <f t="shared" si="34"/>
        <v>34.221626289161009</v>
      </c>
      <c r="AW278" s="44">
        <f>+VLOOKUP(C278,'Etape 1 - surface'!$A$5:$B$58,2,FALSE)</f>
        <v>0</v>
      </c>
      <c r="AX278" s="44">
        <f t="shared" ref="AX278:AX341" si="35">+AW278*AV278</f>
        <v>0</v>
      </c>
      <c r="AY278" s="44">
        <f>10.0046474463505+(37.1112351801373-10.0046474463505)/(1+EXP(-(0.581180949782075*AU278+-0.955447614584994)))</f>
        <v>20.966376036250637</v>
      </c>
      <c r="AZ278" s="63"/>
      <c r="BA278" s="63">
        <f t="shared" ref="BA278:BA341" si="36">+AX278*AY278</f>
        <v>0</v>
      </c>
      <c r="BB278" s="45"/>
      <c r="BC278" s="65">
        <v>4.4999999999999998E-2</v>
      </c>
      <c r="BD278" s="63">
        <f t="shared" si="33"/>
        <v>-3503.0716309776817</v>
      </c>
    </row>
    <row r="279" spans="1:56" ht="15" x14ac:dyDescent="0.25">
      <c r="A279" t="str">
        <f>+VLOOKUP(D279,Acronyme!$A$1:$C$50,3,FALSE)</f>
        <v>Douglas</v>
      </c>
      <c r="B279" t="str">
        <f>+VLOOKUP(E279,Acronyme!$E$2:$I$50,5,FALSE)</f>
        <v>National</v>
      </c>
      <c r="C279" t="s">
        <v>264</v>
      </c>
      <c r="D279" s="43" t="s">
        <v>97</v>
      </c>
      <c r="E279" s="43" t="s">
        <v>98</v>
      </c>
      <c r="F279" s="43" t="s">
        <v>113</v>
      </c>
      <c r="G279" s="43" t="s">
        <v>114</v>
      </c>
      <c r="H279" s="43">
        <v>26</v>
      </c>
      <c r="I279" s="43" t="s">
        <v>101</v>
      </c>
      <c r="J279" s="43">
        <v>1666</v>
      </c>
      <c r="K279" s="43" t="s">
        <v>102</v>
      </c>
      <c r="L279" s="43" t="s">
        <v>103</v>
      </c>
      <c r="M279" s="43" t="s">
        <v>104</v>
      </c>
      <c r="N279" s="43"/>
      <c r="O279" s="43" t="s">
        <v>112</v>
      </c>
      <c r="P279" s="43">
        <v>25</v>
      </c>
      <c r="Q279" s="43">
        <v>14.76</v>
      </c>
      <c r="R279" s="43">
        <v>1600</v>
      </c>
      <c r="S279" s="43">
        <v>26.34</v>
      </c>
      <c r="T279" s="43">
        <v>40</v>
      </c>
      <c r="U279" s="43">
        <v>465</v>
      </c>
      <c r="V279" s="43">
        <v>873</v>
      </c>
      <c r="W279" s="43">
        <v>210</v>
      </c>
      <c r="X279" s="43">
        <v>12</v>
      </c>
      <c r="Y279" s="43">
        <v>0</v>
      </c>
      <c r="Z279" s="32">
        <v>93</v>
      </c>
      <c r="AA279" s="43" t="s">
        <v>63</v>
      </c>
      <c r="AB279" s="43">
        <v>40.899897859248298</v>
      </c>
      <c r="AC279" s="43">
        <v>212</v>
      </c>
      <c r="AD279" s="43">
        <v>25.6203605407045</v>
      </c>
      <c r="AE279" s="43">
        <v>39.226516945063899</v>
      </c>
      <c r="AF279" s="43">
        <v>41.829674538674297</v>
      </c>
      <c r="AG279" s="43">
        <v>312.53788749729102</v>
      </c>
      <c r="AH279" s="43">
        <v>316.50747280000002</v>
      </c>
      <c r="AI279" s="43">
        <v>392.686587305562</v>
      </c>
      <c r="AJ279" s="43">
        <v>75.678517373790001</v>
      </c>
      <c r="AK279" s="43">
        <v>0.81374749864290297</v>
      </c>
      <c r="AL279" s="43">
        <v>0.26538719686809298</v>
      </c>
      <c r="AM279" s="43">
        <v>969.78551404873701</v>
      </c>
      <c r="AN279" s="43">
        <v>10.4278012263305</v>
      </c>
      <c r="AO279" s="43">
        <v>6.0650485677442099</v>
      </c>
      <c r="AP279" s="44">
        <v>39</v>
      </c>
      <c r="AQ279" s="44">
        <v>5.0322765299205017</v>
      </c>
      <c r="AR279" s="44">
        <v>40.532650586578946</v>
      </c>
      <c r="AS279" s="44">
        <v>61.688224851290954</v>
      </c>
      <c r="AT279" s="44">
        <v>1.056588232230091</v>
      </c>
      <c r="AU279" s="44">
        <v>1.5817493551613064</v>
      </c>
      <c r="AV279" s="44">
        <f t="shared" si="34"/>
        <v>61.688224851290954</v>
      </c>
      <c r="AW279" s="44">
        <f>+VLOOKUP(C279,'Etape 1 - surface'!$A$5:$B$58,2,FALSE)</f>
        <v>0</v>
      </c>
      <c r="AX279" s="44">
        <f t="shared" si="35"/>
        <v>0</v>
      </c>
      <c r="AY279" s="44">
        <f>17.058316746383+(70.7042249024703-17.058316746383)/(1+EXP(-(0.378583234479568*AU279+-0.73675928557405)))</f>
        <v>42.03427956011609</v>
      </c>
      <c r="AZ279" s="63"/>
      <c r="BA279" s="63">
        <f t="shared" si="36"/>
        <v>0</v>
      </c>
      <c r="BB279" s="45"/>
      <c r="BC279" s="65">
        <v>4.4999999999999998E-2</v>
      </c>
      <c r="BD279" s="63">
        <f t="shared" si="33"/>
        <v>-3503.0716309776817</v>
      </c>
    </row>
    <row r="280" spans="1:56" ht="14.45" customHeight="1" x14ac:dyDescent="0.25">
      <c r="A280" t="str">
        <f>+VLOOKUP(D280,Acronyme!$A$1:$C$50,3,FALSE)</f>
        <v>Hêtre commun</v>
      </c>
      <c r="B280" t="str">
        <f>+VLOOKUP(E280,Acronyme!$E$2:$I$50,5,FALSE)</f>
        <v>GS Hêtraies et hêtraies sapinières des Pyrénées</v>
      </c>
      <c r="C280" t="s">
        <v>264</v>
      </c>
      <c r="D280" s="43" t="s">
        <v>126</v>
      </c>
      <c r="E280" s="43" t="s">
        <v>127</v>
      </c>
      <c r="F280" s="43" t="s">
        <v>113</v>
      </c>
      <c r="G280" s="43" t="s">
        <v>62</v>
      </c>
      <c r="H280" s="43">
        <v>18</v>
      </c>
      <c r="I280" s="43">
        <v>55</v>
      </c>
      <c r="J280" s="43">
        <v>1666</v>
      </c>
      <c r="K280" s="43" t="s">
        <v>109</v>
      </c>
      <c r="L280" s="43" t="s">
        <v>103</v>
      </c>
      <c r="M280" s="43" t="s">
        <v>128</v>
      </c>
      <c r="N280" s="43"/>
      <c r="O280" s="43"/>
      <c r="P280" s="43">
        <v>57</v>
      </c>
      <c r="Q280" s="43">
        <v>19.899999999999999</v>
      </c>
      <c r="R280" s="43">
        <v>1402</v>
      </c>
      <c r="S280" s="43">
        <v>28.51</v>
      </c>
      <c r="T280" s="43">
        <v>50</v>
      </c>
      <c r="U280" s="43">
        <v>303</v>
      </c>
      <c r="V280" s="43">
        <v>595</v>
      </c>
      <c r="W280" s="43">
        <v>375</v>
      </c>
      <c r="X280" s="43">
        <v>75</v>
      </c>
      <c r="Y280" s="43">
        <v>4</v>
      </c>
      <c r="Z280" s="32">
        <v>93</v>
      </c>
      <c r="AA280" s="43" t="s">
        <v>63</v>
      </c>
      <c r="AB280" s="43">
        <v>28.75</v>
      </c>
      <c r="AC280" s="43">
        <v>212</v>
      </c>
      <c r="AD280" s="43">
        <v>17.579999999999998</v>
      </c>
      <c r="AE280" s="43">
        <v>32.49</v>
      </c>
      <c r="AF280" s="43">
        <v>37.630000000000003</v>
      </c>
      <c r="AG280" s="43">
        <v>234.05783393949599</v>
      </c>
      <c r="AH280" s="43">
        <v>253.53348730111301</v>
      </c>
      <c r="AI280" s="43">
        <v>286.85338408562899</v>
      </c>
      <c r="AJ280" s="43">
        <v>51.9125555307414</v>
      </c>
      <c r="AK280" s="43">
        <v>0.55819952183592902</v>
      </c>
      <c r="AL280" s="43">
        <v>0.49746086085611302</v>
      </c>
      <c r="AM280" s="43">
        <v>735.77820487500196</v>
      </c>
      <c r="AN280" s="43">
        <v>7.9115936008064702</v>
      </c>
      <c r="AO280" s="43">
        <v>10.2090234449846</v>
      </c>
      <c r="AP280" s="44">
        <v>67</v>
      </c>
      <c r="AQ280" s="44">
        <v>4.5600000000000023</v>
      </c>
      <c r="AR280" s="44">
        <v>29.437442712159854</v>
      </c>
      <c r="AS280" s="44">
        <v>59.834467796093008</v>
      </c>
      <c r="AT280" s="44">
        <v>0.86</v>
      </c>
      <c r="AU280" s="44">
        <v>0.89305175815064197</v>
      </c>
      <c r="AV280" s="44">
        <f t="shared" si="34"/>
        <v>59.834467796093016</v>
      </c>
      <c r="AW280" s="44">
        <f>+VLOOKUP(C280,'Etape 1 - surface'!$A$5:$B$58,2,FALSE)</f>
        <v>0</v>
      </c>
      <c r="AX280" s="44">
        <f t="shared" si="35"/>
        <v>0</v>
      </c>
      <c r="AY280" s="44">
        <f>5.93488073153274+(78.4394250513347-5.93488073153274)/(1+EXP(-(1.03516193614659*AU280+-2.09091784316379)))</f>
        <v>23.154319112291308</v>
      </c>
      <c r="AZ280" s="63"/>
      <c r="BA280" s="63">
        <f t="shared" si="36"/>
        <v>0</v>
      </c>
      <c r="BB280" s="45"/>
      <c r="BC280" s="65">
        <v>4.4999999999999998E-2</v>
      </c>
      <c r="BD280" s="63">
        <f t="shared" si="33"/>
        <v>-3503.0716309776817</v>
      </c>
    </row>
    <row r="281" spans="1:56" ht="14.45" customHeight="1" x14ac:dyDescent="0.25">
      <c r="A281" t="str">
        <f>+VLOOKUP(D281,Acronyme!$A$1:$C$50,3,FALSE)</f>
        <v>Chêne sessile</v>
      </c>
      <c r="B281" t="str">
        <f>+VLOOKUP(E281,Acronyme!$E$2:$I$50,5,FALSE)</f>
        <v>Guide chênaie continentale</v>
      </c>
      <c r="C281" t="s">
        <v>264</v>
      </c>
      <c r="D281" s="43" t="s">
        <v>60</v>
      </c>
      <c r="E281" s="43" t="s">
        <v>65</v>
      </c>
      <c r="F281" s="43" t="s">
        <v>66</v>
      </c>
      <c r="G281" s="43" t="s">
        <v>62</v>
      </c>
      <c r="H281" s="43">
        <v>18</v>
      </c>
      <c r="I281" s="43" t="s">
        <v>142</v>
      </c>
      <c r="J281" s="43">
        <v>1666</v>
      </c>
      <c r="K281" s="43" t="s">
        <v>109</v>
      </c>
      <c r="L281" s="43" t="s">
        <v>103</v>
      </c>
      <c r="M281" s="43" t="s">
        <v>143</v>
      </c>
      <c r="N281" s="43"/>
      <c r="O281" s="43"/>
      <c r="P281" s="43">
        <v>44</v>
      </c>
      <c r="Q281" s="43">
        <v>16.579999999999998</v>
      </c>
      <c r="R281" s="43">
        <v>1453</v>
      </c>
      <c r="S281" s="43">
        <v>26.19</v>
      </c>
      <c r="T281" s="43">
        <v>41</v>
      </c>
      <c r="U281" s="43">
        <v>369</v>
      </c>
      <c r="V281" s="43">
        <v>713</v>
      </c>
      <c r="W281" s="43">
        <v>301</v>
      </c>
      <c r="X281" s="43">
        <v>28</v>
      </c>
      <c r="Y281" s="43">
        <v>0</v>
      </c>
      <c r="Z281" s="32">
        <v>93</v>
      </c>
      <c r="AA281" s="43" t="s">
        <v>63</v>
      </c>
      <c r="AB281" s="43">
        <v>25.83</v>
      </c>
      <c r="AC281" s="43">
        <v>119</v>
      </c>
      <c r="AD281" s="43">
        <v>17.77</v>
      </c>
      <c r="AE281" s="43">
        <v>43.6</v>
      </c>
      <c r="AF281" s="43">
        <v>44.67</v>
      </c>
      <c r="AG281" s="43">
        <v>226.22653890302101</v>
      </c>
      <c r="AH281" s="43">
        <v>254.89662325524799</v>
      </c>
      <c r="AI281" s="43">
        <v>278.23380021596103</v>
      </c>
      <c r="AJ281" s="43">
        <v>53.680965253256197</v>
      </c>
      <c r="AK281" s="43">
        <v>0.57721468014253996</v>
      </c>
      <c r="AL281" s="43">
        <v>0.38503984739334401</v>
      </c>
      <c r="AM281" s="43">
        <v>700.78541816502798</v>
      </c>
      <c r="AN281" s="43">
        <v>7.5353270770433101</v>
      </c>
      <c r="AO281" s="43">
        <v>7.52665856633367</v>
      </c>
      <c r="AP281" s="44">
        <v>24</v>
      </c>
      <c r="AQ281" s="44">
        <v>3.25</v>
      </c>
      <c r="AR281" s="44">
        <v>41.523229043057327</v>
      </c>
      <c r="AS281" s="44">
        <v>41.399052781003007</v>
      </c>
      <c r="AT281" s="44">
        <v>0.92</v>
      </c>
      <c r="AU281" s="44">
        <v>1.724960532541792</v>
      </c>
      <c r="AV281" s="44">
        <f t="shared" si="34"/>
        <v>41.399052781003007</v>
      </c>
      <c r="AW281" s="44">
        <f>+VLOOKUP(C281,'Etape 1 - surface'!$A$5:$B$58,2,FALSE)</f>
        <v>0</v>
      </c>
      <c r="AX281" s="44">
        <f t="shared" si="35"/>
        <v>0</v>
      </c>
      <c r="AY281" s="44">
        <f>10.8374384236453+(405.147848531042-10.8374384236453)/(1+EXP(-(1.16387919746889*AU281+-2.8965970117006)))</f>
        <v>125.71042463214131</v>
      </c>
      <c r="AZ281" s="63"/>
      <c r="BA281" s="63">
        <f t="shared" si="36"/>
        <v>0</v>
      </c>
      <c r="BB281" s="45"/>
      <c r="BC281" s="65">
        <v>4.4999999999999998E-2</v>
      </c>
      <c r="BD281" s="63">
        <f t="shared" si="33"/>
        <v>-3503.0716309776817</v>
      </c>
    </row>
    <row r="282" spans="1:56" ht="14.45" customHeight="1" x14ac:dyDescent="0.25">
      <c r="A282" t="str">
        <f>+VLOOKUP(D282,Acronyme!$A$1:$C$50,3,FALSE)</f>
        <v>Chene_pedoncule</v>
      </c>
      <c r="B282" t="str">
        <f>+VLOOKUP(E282,Acronyme!$E$2:$I$50,5,FALSE)</f>
        <v>Guide chênaie continentale</v>
      </c>
      <c r="C282" t="s">
        <v>264</v>
      </c>
      <c r="D282" s="43" t="s">
        <v>145</v>
      </c>
      <c r="E282" s="43" t="s">
        <v>65</v>
      </c>
      <c r="F282" s="43" t="s">
        <v>66</v>
      </c>
      <c r="G282" s="43" t="s">
        <v>62</v>
      </c>
      <c r="H282" s="43">
        <v>21.9</v>
      </c>
      <c r="I282" s="43" t="s">
        <v>144</v>
      </c>
      <c r="J282" s="43">
        <v>1600</v>
      </c>
      <c r="K282" s="43" t="s">
        <v>109</v>
      </c>
      <c r="L282" s="43" t="s">
        <v>103</v>
      </c>
      <c r="M282" s="43" t="s">
        <v>143</v>
      </c>
      <c r="N282" s="43"/>
      <c r="O282" s="43"/>
      <c r="P282" s="43">
        <v>38</v>
      </c>
      <c r="Q282" s="43">
        <v>16.27</v>
      </c>
      <c r="R282" s="43">
        <v>1446</v>
      </c>
      <c r="S282" s="43">
        <v>21.44</v>
      </c>
      <c r="T282" s="43">
        <v>65</v>
      </c>
      <c r="U282" s="43">
        <v>525</v>
      </c>
      <c r="V282" s="43">
        <v>696</v>
      </c>
      <c r="W282" s="43">
        <v>155</v>
      </c>
      <c r="X282" s="43">
        <v>5</v>
      </c>
      <c r="Y282" s="43">
        <v>0</v>
      </c>
      <c r="Z282" s="32">
        <v>93</v>
      </c>
      <c r="AA282" s="43" t="s">
        <v>63</v>
      </c>
      <c r="AB282" s="43">
        <v>28.9</v>
      </c>
      <c r="AC282" s="43">
        <v>78</v>
      </c>
      <c r="AD282" s="43">
        <v>17.86</v>
      </c>
      <c r="AE282" s="43">
        <v>53.99</v>
      </c>
      <c r="AF282" s="43">
        <v>53.99</v>
      </c>
      <c r="AG282" s="43">
        <v>251.619182351673</v>
      </c>
      <c r="AH282" s="43">
        <v>288.10003995161497</v>
      </c>
      <c r="AI282" s="43">
        <v>311.68558281608699</v>
      </c>
      <c r="AJ282" s="43">
        <v>55.007768647782697</v>
      </c>
      <c r="AK282" s="43">
        <v>0.59148138330949096</v>
      </c>
      <c r="AL282" s="43">
        <v>0.43074831618906301</v>
      </c>
      <c r="AM282" s="43">
        <v>776.10396579648705</v>
      </c>
      <c r="AN282" s="43">
        <v>8.3452039332955597</v>
      </c>
      <c r="AO282" s="43">
        <v>9.3625442252854008</v>
      </c>
      <c r="AP282" s="44">
        <v>21</v>
      </c>
      <c r="AQ282" s="44">
        <v>4.2600000000000016</v>
      </c>
      <c r="AR282" s="44">
        <v>50.821819744840354</v>
      </c>
      <c r="AS282" s="44">
        <v>59.98744238364597</v>
      </c>
      <c r="AT282" s="44">
        <v>0.91</v>
      </c>
      <c r="AU282" s="44">
        <v>2.8565448754117129</v>
      </c>
      <c r="AV282" s="44">
        <f t="shared" si="34"/>
        <v>59.98744238364597</v>
      </c>
      <c r="AW282" s="44">
        <f>+VLOOKUP(C282,'Etape 1 - surface'!$A$5:$B$58,2,FALSE)</f>
        <v>0</v>
      </c>
      <c r="AX282" s="44">
        <f t="shared" si="35"/>
        <v>0</v>
      </c>
      <c r="AY282" s="44">
        <f>10.8374384236453+(405.147848531042-10.8374384236453)/(1+EXP(-(1.16387919746889*AU282+-2.8965970117006)))</f>
        <v>249.55855055503227</v>
      </c>
      <c r="AZ282" s="63"/>
      <c r="BA282" s="63">
        <f t="shared" si="36"/>
        <v>0</v>
      </c>
      <c r="BB282" s="45"/>
      <c r="BC282" s="65">
        <v>4.4999999999999998E-2</v>
      </c>
      <c r="BD282" s="63">
        <f t="shared" si="33"/>
        <v>-3503.0716309776817</v>
      </c>
    </row>
    <row r="283" spans="1:56" ht="14.45" customHeight="1" x14ac:dyDescent="0.25">
      <c r="A283" t="str">
        <f>+VLOOKUP(D283,Acronyme!$A$1:$C$50,3,FALSE)</f>
        <v>Pin d'Alep</v>
      </c>
      <c r="B283" t="str">
        <f>+VLOOKUP(E283,Acronyme!$E$2:$I$50,5,FALSE)</f>
        <v>Pin d'Alep</v>
      </c>
      <c r="C283" t="s">
        <v>264</v>
      </c>
      <c r="D283" s="43" t="s">
        <v>146</v>
      </c>
      <c r="E283" s="43" t="s">
        <v>147</v>
      </c>
      <c r="F283" s="43" t="s">
        <v>66</v>
      </c>
      <c r="G283" s="43" t="s">
        <v>100</v>
      </c>
      <c r="H283" s="43">
        <v>15.5</v>
      </c>
      <c r="I283" s="43" t="s">
        <v>148</v>
      </c>
      <c r="J283" s="43">
        <v>1100</v>
      </c>
      <c r="K283" s="43" t="s">
        <v>109</v>
      </c>
      <c r="L283" s="43" t="s">
        <v>103</v>
      </c>
      <c r="M283" s="43" t="s">
        <v>149</v>
      </c>
      <c r="N283" s="43"/>
      <c r="O283" s="43"/>
      <c r="P283" s="43">
        <v>15</v>
      </c>
      <c r="Q283" s="43">
        <v>4.33</v>
      </c>
      <c r="R283" s="43">
        <v>1101</v>
      </c>
      <c r="S283" s="43">
        <v>4.92</v>
      </c>
      <c r="T283" s="43">
        <v>569</v>
      </c>
      <c r="U283" s="43">
        <v>532</v>
      </c>
      <c r="V283" s="43">
        <v>0</v>
      </c>
      <c r="W283" s="43">
        <v>0</v>
      </c>
      <c r="X283" s="43">
        <v>0</v>
      </c>
      <c r="Y283" s="43">
        <v>0</v>
      </c>
      <c r="Z283" s="32">
        <v>94</v>
      </c>
      <c r="AA283" s="43" t="s">
        <v>63</v>
      </c>
      <c r="AB283" s="43">
        <v>22.5</v>
      </c>
      <c r="AC283" s="43">
        <v>0</v>
      </c>
      <c r="AD283" s="43">
        <v>0</v>
      </c>
      <c r="AE283" s="43">
        <v>0</v>
      </c>
      <c r="AF283" s="43">
        <v>0</v>
      </c>
      <c r="AG283" s="43">
        <v>0</v>
      </c>
      <c r="AH283" s="43">
        <v>0</v>
      </c>
      <c r="AI283" s="43">
        <v>0</v>
      </c>
      <c r="AJ283" s="43">
        <v>49.2670971062619</v>
      </c>
      <c r="AK283" s="43">
        <v>0.52411805432193503</v>
      </c>
      <c r="AL283" s="43"/>
      <c r="AM283" s="43">
        <v>532.85317551767196</v>
      </c>
      <c r="AN283" s="43">
        <v>5.6686508033794896</v>
      </c>
      <c r="AO283" s="43"/>
      <c r="AP283" s="44">
        <v>151</v>
      </c>
      <c r="AQ283" s="44">
        <v>15.72</v>
      </c>
      <c r="AR283" s="44">
        <v>36.407667523737231</v>
      </c>
      <c r="AS283" s="44">
        <v>145.73030871253101</v>
      </c>
      <c r="AT283" s="44">
        <v>1</v>
      </c>
      <c r="AU283" s="44">
        <v>0.9651013822021921</v>
      </c>
      <c r="AV283" s="44">
        <f t="shared" si="34"/>
        <v>145.73030871253101</v>
      </c>
      <c r="AW283" s="44">
        <f>+VLOOKUP(C283,'Etape 1 - surface'!$A$5:$B$58,2,FALSE)</f>
        <v>0</v>
      </c>
      <c r="AX283" s="44">
        <f t="shared" si="35"/>
        <v>0</v>
      </c>
      <c r="AY283" s="44">
        <f>10.0046474463505+(37.1112351801373-10.0046474463505)/(1+EXP(-(0.581180949782075*AU283+-0.955447614584994)))</f>
        <v>20.918374565725891</v>
      </c>
      <c r="AZ283" s="63"/>
      <c r="BA283" s="63">
        <f t="shared" si="36"/>
        <v>0</v>
      </c>
      <c r="BB283" s="45"/>
      <c r="BC283" s="65">
        <v>4.4999999999999998E-2</v>
      </c>
      <c r="BD283" s="63">
        <f t="shared" si="33"/>
        <v>-3503.0716309776817</v>
      </c>
    </row>
    <row r="284" spans="1:56" ht="15" x14ac:dyDescent="0.25">
      <c r="A284" t="str">
        <f>+VLOOKUP(D284,Acronyme!$A$1:$C$50,3,FALSE)</f>
        <v>Chêne sessile</v>
      </c>
      <c r="B284" t="str">
        <f>+VLOOKUP(E284,Acronyme!$E$2:$I$50,5,FALSE)</f>
        <v>Guide chênaie atlantique</v>
      </c>
      <c r="C284" t="s">
        <v>264</v>
      </c>
      <c r="D284" s="43" t="s">
        <v>60</v>
      </c>
      <c r="E284" s="43" t="s">
        <v>150</v>
      </c>
      <c r="F284" s="43" t="s">
        <v>61</v>
      </c>
      <c r="G284" s="43" t="s">
        <v>62</v>
      </c>
      <c r="H284" s="43">
        <v>18.18</v>
      </c>
      <c r="I284" s="43" t="s">
        <v>142</v>
      </c>
      <c r="J284" s="43">
        <v>1666</v>
      </c>
      <c r="K284" s="43" t="s">
        <v>109</v>
      </c>
      <c r="L284" s="43" t="s">
        <v>103</v>
      </c>
      <c r="M284" s="43" t="s">
        <v>143</v>
      </c>
      <c r="N284" s="43"/>
      <c r="O284" s="43"/>
      <c r="P284" s="43">
        <v>42</v>
      </c>
      <c r="Q284" s="43">
        <v>16.02</v>
      </c>
      <c r="R284" s="43">
        <v>1451</v>
      </c>
      <c r="S284" s="43">
        <v>23.57</v>
      </c>
      <c r="T284" s="43">
        <v>44</v>
      </c>
      <c r="U284" s="43">
        <v>444</v>
      </c>
      <c r="V284" s="43">
        <v>742</v>
      </c>
      <c r="W284" s="43">
        <v>211</v>
      </c>
      <c r="X284" s="43">
        <v>10</v>
      </c>
      <c r="Y284" s="43">
        <v>0</v>
      </c>
      <c r="Z284" s="32">
        <v>94</v>
      </c>
      <c r="AA284" s="43" t="s">
        <v>63</v>
      </c>
      <c r="AB284" s="43">
        <v>26.61</v>
      </c>
      <c r="AC284" s="43">
        <v>198</v>
      </c>
      <c r="AD284" s="43">
        <v>21.75</v>
      </c>
      <c r="AE284" s="43">
        <v>37.4</v>
      </c>
      <c r="AF284" s="43">
        <v>41.41</v>
      </c>
      <c r="AG284" s="43">
        <v>284.15787392932901</v>
      </c>
      <c r="AH284" s="43">
        <v>312.165739585528</v>
      </c>
      <c r="AI284" s="43">
        <v>341.02142527515798</v>
      </c>
      <c r="AJ284" s="43">
        <v>56.829136637482101</v>
      </c>
      <c r="AK284" s="43">
        <v>0.60456528337746895</v>
      </c>
      <c r="AL284" s="43">
        <v>0.46150757917452501</v>
      </c>
      <c r="AM284" s="43">
        <v>768.52997108959698</v>
      </c>
      <c r="AN284" s="43">
        <v>8.1758507562723004</v>
      </c>
      <c r="AO284" s="43">
        <v>9.3376121946588793</v>
      </c>
      <c r="AP284" s="44">
        <v>49</v>
      </c>
      <c r="AQ284" s="44">
        <v>4.7699999999999996</v>
      </c>
      <c r="AR284" s="44">
        <v>35.205961428129235</v>
      </c>
      <c r="AS284" s="44">
        <v>61.950842704382978</v>
      </c>
      <c r="AT284" s="44">
        <v>0.91</v>
      </c>
      <c r="AU284" s="44">
        <v>1.2643029123343466</v>
      </c>
      <c r="AV284" s="44">
        <f t="shared" si="34"/>
        <v>61.950842704382978</v>
      </c>
      <c r="AW284" s="44">
        <f>+VLOOKUP(C284,'Etape 1 - surface'!$A$5:$B$58,2,FALSE)</f>
        <v>0</v>
      </c>
      <c r="AX284" s="44">
        <f t="shared" si="35"/>
        <v>0</v>
      </c>
      <c r="AY284" s="44">
        <f>10.8374384236453+(405.147848531042-10.8374384236453)/(1+EXP(-(1.16387919746889*AU284+-2.8965970117006)))</f>
        <v>87.279688388601784</v>
      </c>
      <c r="AZ284" s="63"/>
      <c r="BA284" s="63">
        <f t="shared" si="36"/>
        <v>0</v>
      </c>
      <c r="BB284" s="45"/>
      <c r="BC284" s="65">
        <v>4.4999999999999998E-2</v>
      </c>
      <c r="BD284" s="63">
        <f t="shared" si="33"/>
        <v>-3503.0716309776817</v>
      </c>
    </row>
    <row r="285" spans="1:56" ht="14.45" customHeight="1" x14ac:dyDescent="0.25">
      <c r="A285" t="str">
        <f>+VLOOKUP(D285,Acronyme!$A$1:$C$50,3,FALSE)</f>
        <v>Pin Noir d'Autriche</v>
      </c>
      <c r="B285" t="str">
        <f>+VLOOKUP(E285,Acronyme!$E$2:$I$50,5,FALSE)</f>
        <v>GSM Alpes du Sud</v>
      </c>
      <c r="C285" t="s">
        <v>264</v>
      </c>
      <c r="D285" s="43" t="s">
        <v>131</v>
      </c>
      <c r="E285" s="43" t="s">
        <v>132</v>
      </c>
      <c r="F285" s="43" t="s">
        <v>133</v>
      </c>
      <c r="G285" s="43" t="s">
        <v>100</v>
      </c>
      <c r="H285" s="43">
        <v>18.2</v>
      </c>
      <c r="I285" s="43" t="s">
        <v>108</v>
      </c>
      <c r="J285" s="43">
        <v>1100</v>
      </c>
      <c r="K285" s="43" t="s">
        <v>109</v>
      </c>
      <c r="L285" s="43" t="s">
        <v>134</v>
      </c>
      <c r="M285" s="43" t="s">
        <v>135</v>
      </c>
      <c r="N285" s="43"/>
      <c r="O285" s="43"/>
      <c r="P285" s="43">
        <v>15</v>
      </c>
      <c r="Q285" s="43">
        <v>4.9000000000000004</v>
      </c>
      <c r="R285" s="43">
        <v>6000</v>
      </c>
      <c r="S285" s="43">
        <v>19.7</v>
      </c>
      <c r="T285" s="43">
        <v>5448</v>
      </c>
      <c r="U285" s="43">
        <v>552</v>
      </c>
      <c r="V285" s="43">
        <v>0</v>
      </c>
      <c r="W285" s="43">
        <v>0</v>
      </c>
      <c r="X285" s="43">
        <v>0</v>
      </c>
      <c r="Y285" s="43">
        <v>0</v>
      </c>
      <c r="Z285" s="32">
        <v>95</v>
      </c>
      <c r="AA285" s="43" t="s">
        <v>63</v>
      </c>
      <c r="AB285" s="43">
        <v>24.86</v>
      </c>
      <c r="AC285" s="43">
        <v>126</v>
      </c>
      <c r="AD285" s="43">
        <v>17.64</v>
      </c>
      <c r="AE285" s="43">
        <v>42.22</v>
      </c>
      <c r="AF285" s="43">
        <v>43.43</v>
      </c>
      <c r="AG285" s="43">
        <v>201.52906788309801</v>
      </c>
      <c r="AH285" s="43">
        <v>202.71781384209299</v>
      </c>
      <c r="AI285" s="43">
        <v>219.700638188683</v>
      </c>
      <c r="AJ285" s="43">
        <v>71.952783134029801</v>
      </c>
      <c r="AK285" s="43">
        <v>0.75739771720031401</v>
      </c>
      <c r="AL285" s="43">
        <v>0.44284107129053901</v>
      </c>
      <c r="AM285" s="43">
        <v>824.047965466096</v>
      </c>
      <c r="AN285" s="43">
        <v>8.6741891101694293</v>
      </c>
      <c r="AO285" s="43">
        <v>5.9861550273796196</v>
      </c>
      <c r="AP285" s="44">
        <v>175</v>
      </c>
      <c r="AQ285" s="44">
        <v>21.310000000000002</v>
      </c>
      <c r="AR285" s="44">
        <v>39.375652156635596</v>
      </c>
      <c r="AS285" s="44">
        <v>243.88868960779396</v>
      </c>
      <c r="AT285" s="44">
        <v>0.94</v>
      </c>
      <c r="AU285" s="44">
        <v>1.3936496549016797</v>
      </c>
      <c r="AV285" s="44">
        <f t="shared" si="34"/>
        <v>243.88868960779394</v>
      </c>
      <c r="AW285" s="44">
        <f>+VLOOKUP(C285,'Etape 1 - surface'!$A$5:$B$58,2,FALSE)</f>
        <v>0</v>
      </c>
      <c r="AX285" s="44">
        <f t="shared" si="35"/>
        <v>0</v>
      </c>
      <c r="AY285" s="44">
        <f>10.0046474463505+(37.1112351801373-10.0046474463505)/(1+EXP(-(0.581180949782075*AU285+-0.955447614584994)))</f>
        <v>22.5737762206249</v>
      </c>
      <c r="AZ285" s="63"/>
      <c r="BA285" s="63">
        <f t="shared" si="36"/>
        <v>0</v>
      </c>
      <c r="BB285" s="45"/>
      <c r="BC285" s="65">
        <v>4.4999999999999998E-2</v>
      </c>
      <c r="BD285" s="63">
        <f t="shared" si="33"/>
        <v>-3503.0716309776817</v>
      </c>
    </row>
    <row r="286" spans="1:56" ht="14.45" customHeight="1" x14ac:dyDescent="0.25">
      <c r="A286" t="str">
        <f>+VLOOKUP(D286,Acronyme!$A$1:$C$50,3,FALSE)</f>
        <v>Sapin pectiné</v>
      </c>
      <c r="B286" t="str">
        <f>+VLOOKUP(E286,Acronyme!$E$2:$I$50,5,FALSE)</f>
        <v>GSM Alpes du Sud</v>
      </c>
      <c r="C286" t="s">
        <v>264</v>
      </c>
      <c r="D286" s="43" t="s">
        <v>129</v>
      </c>
      <c r="E286" s="43" t="s">
        <v>132</v>
      </c>
      <c r="F286" s="43" t="s">
        <v>140</v>
      </c>
      <c r="G286" s="43" t="s">
        <v>62</v>
      </c>
      <c r="H286" s="43">
        <v>14</v>
      </c>
      <c r="I286" s="43" t="s">
        <v>108</v>
      </c>
      <c r="J286" s="43">
        <v>3000</v>
      </c>
      <c r="K286" s="43" t="s">
        <v>109</v>
      </c>
      <c r="L286" s="43" t="s">
        <v>134</v>
      </c>
      <c r="M286" s="43" t="s">
        <v>135</v>
      </c>
      <c r="N286" s="43"/>
      <c r="O286" s="43"/>
      <c r="P286" s="43">
        <v>70</v>
      </c>
      <c r="Q286" s="43">
        <v>16.989999999999998</v>
      </c>
      <c r="R286" s="43">
        <v>2299</v>
      </c>
      <c r="S286" s="43">
        <v>46.07</v>
      </c>
      <c r="T286" s="43">
        <v>0</v>
      </c>
      <c r="U286" s="43">
        <v>582</v>
      </c>
      <c r="V286" s="43">
        <v>948</v>
      </c>
      <c r="W286" s="43">
        <v>642</v>
      </c>
      <c r="X286" s="43">
        <v>127</v>
      </c>
      <c r="Y286" s="43">
        <v>0</v>
      </c>
      <c r="Z286" s="32">
        <v>95</v>
      </c>
      <c r="AA286" s="43" t="s">
        <v>63</v>
      </c>
      <c r="AB286" s="43">
        <v>18.75</v>
      </c>
      <c r="AC286" s="43">
        <v>515</v>
      </c>
      <c r="AD286" s="43">
        <v>27.12</v>
      </c>
      <c r="AE286" s="43">
        <v>25.89</v>
      </c>
      <c r="AF286" s="43">
        <v>33.82</v>
      </c>
      <c r="AG286" s="43">
        <v>208.76430932608301</v>
      </c>
      <c r="AH286" s="43">
        <v>211.18396088011599</v>
      </c>
      <c r="AI286" s="43">
        <v>275.61322351005202</v>
      </c>
      <c r="AJ286" s="43">
        <v>72.696913917524299</v>
      </c>
      <c r="AK286" s="43">
        <v>0.76523067281604595</v>
      </c>
      <c r="AL286" s="43">
        <v>0.69385829214388395</v>
      </c>
      <c r="AM286" s="43">
        <v>691.60985671299102</v>
      </c>
      <c r="AN286" s="43">
        <v>7.2801037548735898</v>
      </c>
      <c r="AO286" s="43">
        <v>7.7146686619117899</v>
      </c>
      <c r="AP286" s="44">
        <v>323</v>
      </c>
      <c r="AQ286" s="44">
        <v>13.419999999999998</v>
      </c>
      <c r="AR286" s="44">
        <v>23.000117572956913</v>
      </c>
      <c r="AS286" s="44">
        <v>94.681577686359987</v>
      </c>
      <c r="AT286" s="44">
        <v>0.86</v>
      </c>
      <c r="AU286" s="44">
        <v>0.29313181946241484</v>
      </c>
      <c r="AV286" s="44">
        <f t="shared" si="34"/>
        <v>94.681577686360001</v>
      </c>
      <c r="AW286" s="44">
        <f>+VLOOKUP(C286,'Etape 1 - surface'!$A$5:$B$58,2,FALSE)</f>
        <v>0</v>
      </c>
      <c r="AX286" s="44">
        <f t="shared" si="35"/>
        <v>0</v>
      </c>
      <c r="AY286" s="44">
        <f>12.60067150914+(56.0435691950881-12.60067150914)/(1+EXP(-(0.12255140894824*AU286+-0.18958347271504)))</f>
        <v>32.65654001950228</v>
      </c>
      <c r="AZ286" s="63"/>
      <c r="BA286" s="63">
        <f t="shared" si="36"/>
        <v>0</v>
      </c>
      <c r="BB286" s="45"/>
      <c r="BC286" s="65">
        <v>4.4999999999999998E-2</v>
      </c>
      <c r="BD286" s="63">
        <f t="shared" si="33"/>
        <v>-3503.0716309776817</v>
      </c>
    </row>
    <row r="287" spans="1:56" ht="14.45" customHeight="1" x14ac:dyDescent="0.25">
      <c r="A287" t="str">
        <f>+VLOOKUP(D287,Acronyme!$A$1:$C$50,3,FALSE)</f>
        <v>Pin d'Alep</v>
      </c>
      <c r="B287" t="str">
        <f>+VLOOKUP(E287,Acronyme!$E$2:$I$50,5,FALSE)</f>
        <v>Pin d'Alep</v>
      </c>
      <c r="C287" t="s">
        <v>264</v>
      </c>
      <c r="D287" s="43" t="s">
        <v>146</v>
      </c>
      <c r="E287" s="43" t="s">
        <v>147</v>
      </c>
      <c r="F287" s="43" t="s">
        <v>61</v>
      </c>
      <c r="G287" s="43" t="s">
        <v>62</v>
      </c>
      <c r="H287" s="43">
        <v>12</v>
      </c>
      <c r="I287" s="43" t="s">
        <v>148</v>
      </c>
      <c r="J287" s="43">
        <v>1100</v>
      </c>
      <c r="K287" s="43" t="s">
        <v>109</v>
      </c>
      <c r="L287" s="43" t="s">
        <v>103</v>
      </c>
      <c r="M287" s="43" t="s">
        <v>149</v>
      </c>
      <c r="N287" s="43"/>
      <c r="O287" s="43"/>
      <c r="P287" s="43">
        <v>18</v>
      </c>
      <c r="Q287" s="43">
        <v>4.34</v>
      </c>
      <c r="R287" s="43">
        <v>1101</v>
      </c>
      <c r="S287" s="43">
        <v>4.92</v>
      </c>
      <c r="T287" s="43">
        <v>569</v>
      </c>
      <c r="U287" s="43">
        <v>532</v>
      </c>
      <c r="V287" s="43">
        <v>0</v>
      </c>
      <c r="W287" s="43">
        <v>0</v>
      </c>
      <c r="X287" s="43">
        <v>0</v>
      </c>
      <c r="Y287" s="43">
        <v>0</v>
      </c>
      <c r="Z287" s="32">
        <v>95</v>
      </c>
      <c r="AA287" s="43" t="s">
        <v>63</v>
      </c>
      <c r="AB287" s="43">
        <v>17.420000000000002</v>
      </c>
      <c r="AC287" s="43">
        <v>0</v>
      </c>
      <c r="AD287" s="43">
        <v>0</v>
      </c>
      <c r="AE287" s="43">
        <v>0</v>
      </c>
      <c r="AF287" s="43">
        <v>0</v>
      </c>
      <c r="AG287" s="43">
        <v>0</v>
      </c>
      <c r="AH287" s="43">
        <v>0</v>
      </c>
      <c r="AI287" s="43">
        <v>0</v>
      </c>
      <c r="AJ287" s="43">
        <v>51.9127051883614</v>
      </c>
      <c r="AK287" s="43">
        <v>0.54644952829854099</v>
      </c>
      <c r="AL287" s="43"/>
      <c r="AM287" s="43">
        <v>487.078913501074</v>
      </c>
      <c r="AN287" s="43">
        <v>5.12714645790604</v>
      </c>
      <c r="AO287" s="43"/>
      <c r="AP287" s="44">
        <v>151</v>
      </c>
      <c r="AQ287" s="44">
        <v>17.54</v>
      </c>
      <c r="AR287" s="44">
        <v>38.457529352318268</v>
      </c>
      <c r="AS287" s="44">
        <v>128.22481205771399</v>
      </c>
      <c r="AT287" s="44">
        <v>1</v>
      </c>
      <c r="AU287" s="44">
        <v>0.8491709407795629</v>
      </c>
      <c r="AV287" s="44">
        <f t="shared" si="34"/>
        <v>128.22481205771399</v>
      </c>
      <c r="AW287" s="44">
        <f>+VLOOKUP(C287,'Etape 1 - surface'!$A$5:$B$58,2,FALSE)</f>
        <v>0</v>
      </c>
      <c r="AX287" s="44">
        <f t="shared" si="35"/>
        <v>0</v>
      </c>
      <c r="AY287" s="44">
        <f>10.0046474463505+(37.1112351801373-10.0046474463505)/(1+EXP(-(0.581180949782075*AU287+-0.955447614584994)))</f>
        <v>20.482132621207359</v>
      </c>
      <c r="AZ287" s="63"/>
      <c r="BA287" s="63">
        <f t="shared" si="36"/>
        <v>0</v>
      </c>
      <c r="BB287" s="45"/>
      <c r="BC287" s="65">
        <v>4.4999999999999998E-2</v>
      </c>
      <c r="BD287" s="63">
        <f t="shared" si="33"/>
        <v>-3503.0716309776817</v>
      </c>
    </row>
    <row r="288" spans="1:56" ht="15" x14ac:dyDescent="0.25">
      <c r="C288" t="s">
        <v>262</v>
      </c>
      <c r="D288" s="43" t="s">
        <v>207</v>
      </c>
      <c r="E288" s="43" t="s">
        <v>208</v>
      </c>
      <c r="F288" s="43" t="s">
        <v>259</v>
      </c>
      <c r="G288" s="43" t="s">
        <v>62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2">
        <v>95</v>
      </c>
      <c r="AA288" s="43" t="s">
        <v>63</v>
      </c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44">
        <v>80</v>
      </c>
      <c r="AQ288" s="1"/>
      <c r="AR288" s="1"/>
      <c r="AS288" s="1"/>
      <c r="AT288" s="1"/>
      <c r="AU288" s="44">
        <f>AV288/AP288</f>
        <v>3.35</v>
      </c>
      <c r="AV288" s="44">
        <v>268</v>
      </c>
      <c r="AW288" s="44">
        <f>+VLOOKUP(C288,'Etape 1 - surface'!$A$5:$B$58,2,FALSE)</f>
        <v>0</v>
      </c>
      <c r="AX288" s="44">
        <f t="shared" si="35"/>
        <v>0</v>
      </c>
      <c r="AY288" s="44">
        <f>82.5251889/(1+EXP(-(0.26195064*AU288+(-0.34406779))))</f>
        <v>52.014911648055801</v>
      </c>
      <c r="AZ288" s="63"/>
      <c r="BA288" s="63">
        <f t="shared" si="36"/>
        <v>0</v>
      </c>
      <c r="BB288" s="45"/>
      <c r="BC288" s="65">
        <v>4.4999999999999998E-2</v>
      </c>
      <c r="BD288" s="63">
        <f t="shared" si="33"/>
        <v>-3503.0716309776817</v>
      </c>
    </row>
    <row r="289" spans="1:56" ht="15" x14ac:dyDescent="0.25">
      <c r="C289" t="s">
        <v>263</v>
      </c>
      <c r="D289" s="43" t="s">
        <v>207</v>
      </c>
      <c r="E289" s="43" t="s">
        <v>208</v>
      </c>
      <c r="F289" s="43" t="s">
        <v>259</v>
      </c>
      <c r="G289" s="43" t="s">
        <v>114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2">
        <v>97</v>
      </c>
      <c r="AA289" s="43" t="s">
        <v>63</v>
      </c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44">
        <v>75</v>
      </c>
      <c r="AQ289" s="1"/>
      <c r="AR289" s="1"/>
      <c r="AS289" s="1"/>
      <c r="AT289" s="1"/>
      <c r="AU289" s="44">
        <f>AV289/AP289</f>
        <v>1.1866666666666668</v>
      </c>
      <c r="AV289" s="44">
        <v>89</v>
      </c>
      <c r="AW289" s="44">
        <f>+VLOOKUP(C289,'Etape 1 - surface'!$A$5:$B$58,2,FALSE)</f>
        <v>0</v>
      </c>
      <c r="AX289" s="44">
        <f t="shared" si="35"/>
        <v>0</v>
      </c>
      <c r="AY289" s="44">
        <f>82.5251889/(1+EXP(-(0.26195064*AU289+(-0.34406779))))</f>
        <v>40.57729202420942</v>
      </c>
      <c r="AZ289" s="63"/>
      <c r="BA289" s="63">
        <f t="shared" si="36"/>
        <v>0</v>
      </c>
      <c r="BB289" s="45"/>
      <c r="BC289" s="65">
        <v>4.4999999999999998E-2</v>
      </c>
      <c r="BD289" s="63">
        <f t="shared" si="33"/>
        <v>-3503.0716309776817</v>
      </c>
    </row>
    <row r="290" spans="1:56" ht="14.45" customHeight="1" x14ac:dyDescent="0.25">
      <c r="C290" t="s">
        <v>265</v>
      </c>
      <c r="D290" s="43" t="s">
        <v>207</v>
      </c>
      <c r="E290" s="43" t="s">
        <v>208</v>
      </c>
      <c r="F290" s="43" t="s">
        <v>259</v>
      </c>
      <c r="G290" s="43" t="s">
        <v>260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2">
        <v>98</v>
      </c>
      <c r="AA290" s="43" t="s">
        <v>63</v>
      </c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44">
        <v>119</v>
      </c>
      <c r="AQ290" s="1"/>
      <c r="AR290" s="1"/>
      <c r="AS290" s="1"/>
      <c r="AT290" s="1"/>
      <c r="AU290" s="44">
        <f>AV290/AP290</f>
        <v>0.52941176470588236</v>
      </c>
      <c r="AV290" s="44">
        <v>63</v>
      </c>
      <c r="AW290" s="44">
        <f>+VLOOKUP(C290,'Etape 1 - surface'!$A$5:$B$58,2,FALSE)</f>
        <v>0</v>
      </c>
      <c r="AX290" s="44">
        <f t="shared" si="35"/>
        <v>0</v>
      </c>
      <c r="AY290" s="44">
        <f>82.5251889/(1+EXP(-(0.26195064*AU290+(-0.34406779))))</f>
        <v>37.040006228549181</v>
      </c>
      <c r="AZ290" s="63"/>
      <c r="BA290" s="63">
        <f t="shared" si="36"/>
        <v>0</v>
      </c>
      <c r="BB290" s="45"/>
      <c r="BC290" s="65">
        <v>4.4999999999999998E-2</v>
      </c>
      <c r="BD290" s="63">
        <f t="shared" si="33"/>
        <v>-3503.0716309776817</v>
      </c>
    </row>
    <row r="291" spans="1:56" ht="14.45" customHeight="1" x14ac:dyDescent="0.25">
      <c r="A291" t="str">
        <f>+VLOOKUP(D291,Acronyme!$A$1:$C$50,3,FALSE)</f>
        <v>Hêtre commun</v>
      </c>
      <c r="B291" t="str">
        <f>+VLOOKUP(E291,Acronyme!$E$2:$I$50,5,FALSE)</f>
        <v>GS Hêtraies et hêtraies sapinières des Pyrénées</v>
      </c>
      <c r="C291" t="s">
        <v>264</v>
      </c>
      <c r="D291" s="43" t="s">
        <v>126</v>
      </c>
      <c r="E291" s="43" t="s">
        <v>127</v>
      </c>
      <c r="F291" s="43" t="s">
        <v>113</v>
      </c>
      <c r="G291" s="43" t="s">
        <v>100</v>
      </c>
      <c r="H291" s="43">
        <v>22</v>
      </c>
      <c r="I291" s="43">
        <v>55</v>
      </c>
      <c r="J291" s="43">
        <v>1666</v>
      </c>
      <c r="K291" s="43" t="s">
        <v>109</v>
      </c>
      <c r="L291" s="43" t="s">
        <v>103</v>
      </c>
      <c r="M291" s="43" t="s">
        <v>128</v>
      </c>
      <c r="N291" s="43"/>
      <c r="O291" s="43"/>
      <c r="P291" s="43">
        <v>42</v>
      </c>
      <c r="Q291" s="43">
        <v>19.510000000000002</v>
      </c>
      <c r="R291" s="43">
        <v>1402</v>
      </c>
      <c r="S291" s="43">
        <v>28.51</v>
      </c>
      <c r="T291" s="43">
        <v>50</v>
      </c>
      <c r="U291" s="43">
        <v>303</v>
      </c>
      <c r="V291" s="43">
        <v>595</v>
      </c>
      <c r="W291" s="43">
        <v>375</v>
      </c>
      <c r="X291" s="43">
        <v>75</v>
      </c>
      <c r="Y291" s="43">
        <v>4</v>
      </c>
      <c r="Z291" s="32">
        <v>99</v>
      </c>
      <c r="AA291" s="43" t="s">
        <v>63</v>
      </c>
      <c r="AB291" s="43">
        <v>34.299999999999997</v>
      </c>
      <c r="AC291" s="43">
        <v>108</v>
      </c>
      <c r="AD291" s="43">
        <v>18.309999999999999</v>
      </c>
      <c r="AE291" s="43">
        <v>46.46</v>
      </c>
      <c r="AF291" s="43">
        <v>47.11</v>
      </c>
      <c r="AG291" s="43">
        <v>299.72142045854099</v>
      </c>
      <c r="AH291" s="43">
        <v>326.77365166781902</v>
      </c>
      <c r="AI291" s="43">
        <v>359.44584087263303</v>
      </c>
      <c r="AJ291" s="43">
        <v>66.898135666778302</v>
      </c>
      <c r="AK291" s="43">
        <v>0.67573874410887202</v>
      </c>
      <c r="AL291" s="43">
        <v>0.38239429127581098</v>
      </c>
      <c r="AM291" s="43">
        <v>1071.8391941892401</v>
      </c>
      <c r="AN291" s="43">
        <v>10.826658527164</v>
      </c>
      <c r="AO291" s="43">
        <v>9.0470848593423305</v>
      </c>
      <c r="AP291" s="44">
        <v>33</v>
      </c>
      <c r="AQ291" s="44">
        <v>4.3800000000000026</v>
      </c>
      <c r="AR291" s="44">
        <v>41.108832664186977</v>
      </c>
      <c r="AS291" s="44">
        <v>71.127226835365036</v>
      </c>
      <c r="AT291" s="44">
        <v>0.83</v>
      </c>
      <c r="AU291" s="44">
        <v>2.1553705101625766</v>
      </c>
      <c r="AV291" s="44">
        <f t="shared" ref="AV291:AV296" si="37">+AU291*AP291</f>
        <v>71.127226835365036</v>
      </c>
      <c r="AW291" s="44">
        <f>+VLOOKUP(C291,'Etape 1 - surface'!$A$5:$B$58,2,FALSE)</f>
        <v>0</v>
      </c>
      <c r="AX291" s="44">
        <f t="shared" si="35"/>
        <v>0</v>
      </c>
      <c r="AY291" s="44">
        <f>5.93488073153274+(78.4394250513347-5.93488073153274)/(1+EXP(-(1.03516193614659*AU291+-2.09091784316379)))</f>
        <v>44.724998194835948</v>
      </c>
      <c r="AZ291" s="63"/>
      <c r="BA291" s="63">
        <f t="shared" si="36"/>
        <v>0</v>
      </c>
      <c r="BB291" s="45"/>
      <c r="BC291" s="65">
        <v>4.4999999999999998E-2</v>
      </c>
      <c r="BD291" s="63">
        <f t="shared" si="33"/>
        <v>-3503.0716309776817</v>
      </c>
    </row>
    <row r="292" spans="1:56" ht="15" x14ac:dyDescent="0.25">
      <c r="A292" t="str">
        <f>+VLOOKUP(D292,Acronyme!$A$1:$C$50,3,FALSE)</f>
        <v>Sapin pectiné</v>
      </c>
      <c r="B292" t="str">
        <f>+VLOOKUP(E292,Acronyme!$E$2:$I$50,5,FALSE)</f>
        <v>GS Arc Jurassien</v>
      </c>
      <c r="C292" t="s">
        <v>264</v>
      </c>
      <c r="D292" s="43" t="s">
        <v>129</v>
      </c>
      <c r="E292" s="43" t="s">
        <v>119</v>
      </c>
      <c r="F292" s="43" t="s">
        <v>130</v>
      </c>
      <c r="G292" s="43" t="s">
        <v>62</v>
      </c>
      <c r="H292" s="43">
        <v>15.5</v>
      </c>
      <c r="I292" s="43" t="s">
        <v>101</v>
      </c>
      <c r="J292" s="43">
        <v>2000</v>
      </c>
      <c r="K292" s="43" t="s">
        <v>102</v>
      </c>
      <c r="L292" s="43" t="s">
        <v>103</v>
      </c>
      <c r="M292" s="43" t="s">
        <v>123</v>
      </c>
      <c r="N292" s="43"/>
      <c r="O292" s="43"/>
      <c r="P292" s="43">
        <v>57</v>
      </c>
      <c r="Q292" s="43">
        <v>18.22</v>
      </c>
      <c r="R292" s="43">
        <v>1862</v>
      </c>
      <c r="S292" s="43">
        <v>45.64</v>
      </c>
      <c r="T292" s="43">
        <v>0</v>
      </c>
      <c r="U292" s="43">
        <v>0</v>
      </c>
      <c r="V292" s="43">
        <v>1085</v>
      </c>
      <c r="W292" s="43">
        <v>663</v>
      </c>
      <c r="X292" s="43">
        <v>114</v>
      </c>
      <c r="Y292" s="43">
        <v>0</v>
      </c>
      <c r="Z292" s="32">
        <v>99</v>
      </c>
      <c r="AA292" s="43" t="s">
        <v>63</v>
      </c>
      <c r="AB292" s="43">
        <v>29.798103358831099</v>
      </c>
      <c r="AC292" s="43">
        <v>281</v>
      </c>
      <c r="AD292" s="43">
        <v>28.72</v>
      </c>
      <c r="AE292" s="43">
        <v>36.072531438447498</v>
      </c>
      <c r="AF292" s="43">
        <v>40.368352054662701</v>
      </c>
      <c r="AG292" s="43">
        <v>414.24323794103702</v>
      </c>
      <c r="AH292" s="43">
        <v>415.75518577994501</v>
      </c>
      <c r="AI292" s="43">
        <v>461.74835949927399</v>
      </c>
      <c r="AJ292" s="43">
        <v>83.578732075246293</v>
      </c>
      <c r="AK292" s="43">
        <v>0.84422961692167997</v>
      </c>
      <c r="AL292" s="43">
        <v>0.62139524979287197</v>
      </c>
      <c r="AM292" s="43">
        <v>1138.35954659871</v>
      </c>
      <c r="AN292" s="43">
        <v>11.4985812787748</v>
      </c>
      <c r="AO292" s="43">
        <v>13.2039224840013</v>
      </c>
      <c r="AP292" s="44">
        <v>62</v>
      </c>
      <c r="AQ292" s="44">
        <v>6.1099999999999994</v>
      </c>
      <c r="AR292" s="44">
        <v>35.422549812440288</v>
      </c>
      <c r="AS292" s="44">
        <v>87.963482146866966</v>
      </c>
      <c r="AT292" s="44">
        <v>0.97039136481865806</v>
      </c>
      <c r="AU292" s="44">
        <v>1.4187658410784993</v>
      </c>
      <c r="AV292" s="44">
        <f t="shared" si="37"/>
        <v>87.963482146866966</v>
      </c>
      <c r="AW292" s="44">
        <f>+VLOOKUP(C292,'Etape 1 - surface'!$A$5:$B$58,2,FALSE)</f>
        <v>0</v>
      </c>
      <c r="AX292" s="44">
        <f t="shared" si="35"/>
        <v>0</v>
      </c>
      <c r="AY292" s="44">
        <f>12.60067150914+(56.0435691950881-12.60067150914)/(1+EXP(-(0.12255140894824*AU292+-0.18958347271504)))</f>
        <v>34.151483202089928</v>
      </c>
      <c r="AZ292" s="63"/>
      <c r="BA292" s="63">
        <f t="shared" si="36"/>
        <v>0</v>
      </c>
      <c r="BB292" s="45"/>
      <c r="BC292" s="65">
        <v>4.4999999999999998E-2</v>
      </c>
      <c r="BD292" s="63">
        <f t="shared" si="33"/>
        <v>-3503.0716309776817</v>
      </c>
    </row>
    <row r="293" spans="1:56" ht="15" x14ac:dyDescent="0.25">
      <c r="A293" t="str">
        <f>+VLOOKUP(D293,Acronyme!$A$1:$C$50,3,FALSE)</f>
        <v>Sapin pectiné</v>
      </c>
      <c r="B293" t="str">
        <f>+VLOOKUP(E293,Acronyme!$E$2:$I$50,5,FALSE)</f>
        <v>GS Arc Jurassien</v>
      </c>
      <c r="C293" t="s">
        <v>264</v>
      </c>
      <c r="D293" s="43" t="s">
        <v>129</v>
      </c>
      <c r="E293" s="43" t="s">
        <v>119</v>
      </c>
      <c r="F293" s="43" t="s">
        <v>130</v>
      </c>
      <c r="G293" s="43" t="s">
        <v>100</v>
      </c>
      <c r="H293" s="43">
        <v>20</v>
      </c>
      <c r="I293" s="43" t="s">
        <v>122</v>
      </c>
      <c r="J293" s="43">
        <v>2000</v>
      </c>
      <c r="K293" s="43" t="s">
        <v>102</v>
      </c>
      <c r="L293" s="43" t="s">
        <v>103</v>
      </c>
      <c r="M293" s="43" t="s">
        <v>123</v>
      </c>
      <c r="N293" s="43"/>
      <c r="O293" s="43"/>
      <c r="P293" s="43">
        <v>45</v>
      </c>
      <c r="Q293" s="43">
        <v>17.7</v>
      </c>
      <c r="R293" s="43">
        <v>1853</v>
      </c>
      <c r="S293" s="43">
        <v>45.68</v>
      </c>
      <c r="T293" s="43">
        <v>0</v>
      </c>
      <c r="U293" s="43">
        <v>0</v>
      </c>
      <c r="V293" s="43">
        <v>1079</v>
      </c>
      <c r="W293" s="43">
        <v>672</v>
      </c>
      <c r="X293" s="43">
        <v>94</v>
      </c>
      <c r="Y293" s="43">
        <v>8</v>
      </c>
      <c r="Z293" s="32">
        <v>99</v>
      </c>
      <c r="AA293" s="43" t="s">
        <v>63</v>
      </c>
      <c r="AB293" s="43">
        <v>34.811455238261601</v>
      </c>
      <c r="AC293" s="43">
        <v>170</v>
      </c>
      <c r="AD293" s="43">
        <v>29.69</v>
      </c>
      <c r="AE293" s="43">
        <v>47.154246992608002</v>
      </c>
      <c r="AF293" s="43">
        <v>49.6917532577732</v>
      </c>
      <c r="AG293" s="43">
        <v>509.76726850167699</v>
      </c>
      <c r="AH293" s="43">
        <v>511.46232180981502</v>
      </c>
      <c r="AI293" s="43">
        <v>552.23536304941604</v>
      </c>
      <c r="AJ293" s="43">
        <v>101.376519647154</v>
      </c>
      <c r="AK293" s="43">
        <v>1.02400524896115</v>
      </c>
      <c r="AL293" s="43">
        <v>0.57144444445883402</v>
      </c>
      <c r="AM293" s="43">
        <v>1518.7857211390401</v>
      </c>
      <c r="AN293" s="43">
        <v>15.341269910495299</v>
      </c>
      <c r="AO293" s="43">
        <v>13.5175136434399</v>
      </c>
      <c r="AP293" s="44">
        <v>30</v>
      </c>
      <c r="AQ293" s="44">
        <v>4.889999999999997</v>
      </c>
      <c r="AR293" s="44">
        <v>45.556343772501258</v>
      </c>
      <c r="AS293" s="44">
        <v>83.776657158575972</v>
      </c>
      <c r="AT293" s="44">
        <v>0.94278115787481531</v>
      </c>
      <c r="AU293" s="44">
        <v>2.7925552386191992</v>
      </c>
      <c r="AV293" s="44">
        <f t="shared" si="37"/>
        <v>83.776657158575972</v>
      </c>
      <c r="AW293" s="44">
        <f>+VLOOKUP(C293,'Etape 1 - surface'!$A$5:$B$58,2,FALSE)</f>
        <v>0</v>
      </c>
      <c r="AX293" s="44">
        <f t="shared" si="35"/>
        <v>0</v>
      </c>
      <c r="AY293" s="44">
        <f>12.60067150914+(56.0435691950881-12.60067150914)/(1+EXP(-(0.12255140894824*AU293+-0.18958347271504)))</f>
        <v>35.976777623640018</v>
      </c>
      <c r="AZ293" s="63"/>
      <c r="BA293" s="63">
        <f t="shared" si="36"/>
        <v>0</v>
      </c>
      <c r="BB293" s="45"/>
      <c r="BC293" s="65">
        <v>4.4999999999999998E-2</v>
      </c>
      <c r="BD293" s="63">
        <f t="shared" si="33"/>
        <v>-3503.0716309776817</v>
      </c>
    </row>
    <row r="294" spans="1:56" ht="15" x14ac:dyDescent="0.25">
      <c r="A294" t="str">
        <f>+VLOOKUP(D294,Acronyme!$A$1:$C$50,3,FALSE)</f>
        <v>Sapin pectiné</v>
      </c>
      <c r="B294" t="str">
        <f>+VLOOKUP(E294,Acronyme!$E$2:$I$50,5,FALSE)</f>
        <v>GS Arc Jurassien</v>
      </c>
      <c r="C294" t="s">
        <v>264</v>
      </c>
      <c r="D294" s="43" t="s">
        <v>129</v>
      </c>
      <c r="E294" s="43" t="s">
        <v>119</v>
      </c>
      <c r="F294" s="43" t="s">
        <v>130</v>
      </c>
      <c r="G294" s="43" t="s">
        <v>100</v>
      </c>
      <c r="H294" s="43">
        <v>20</v>
      </c>
      <c r="I294" s="43" t="s">
        <v>101</v>
      </c>
      <c r="J294" s="43">
        <v>2000</v>
      </c>
      <c r="K294" s="43" t="s">
        <v>102</v>
      </c>
      <c r="L294" s="43" t="s">
        <v>103</v>
      </c>
      <c r="M294" s="43" t="s">
        <v>123</v>
      </c>
      <c r="N294" s="43"/>
      <c r="O294" s="43"/>
      <c r="P294" s="43">
        <v>45</v>
      </c>
      <c r="Q294" s="43">
        <v>17.7</v>
      </c>
      <c r="R294" s="43">
        <v>1853</v>
      </c>
      <c r="S294" s="43">
        <v>45.68</v>
      </c>
      <c r="T294" s="43">
        <v>0</v>
      </c>
      <c r="U294" s="43">
        <v>0</v>
      </c>
      <c r="V294" s="43">
        <v>1079</v>
      </c>
      <c r="W294" s="43">
        <v>672</v>
      </c>
      <c r="X294" s="43">
        <v>94</v>
      </c>
      <c r="Y294" s="43">
        <v>8</v>
      </c>
      <c r="Z294" s="32">
        <v>99</v>
      </c>
      <c r="AA294" s="43" t="s">
        <v>63</v>
      </c>
      <c r="AB294" s="43">
        <v>34.811455238261601</v>
      </c>
      <c r="AC294" s="43">
        <v>0</v>
      </c>
      <c r="AD294" s="43">
        <v>0</v>
      </c>
      <c r="AE294" s="43">
        <v>0</v>
      </c>
      <c r="AF294" s="43">
        <v>0</v>
      </c>
      <c r="AG294" s="43">
        <v>0</v>
      </c>
      <c r="AH294" s="43">
        <v>0</v>
      </c>
      <c r="AI294" s="43">
        <v>0</v>
      </c>
      <c r="AJ294" s="43">
        <v>101.376519647154</v>
      </c>
      <c r="AK294" s="43">
        <v>1.02400524896115</v>
      </c>
      <c r="AL294" s="43"/>
      <c r="AM294" s="43">
        <v>1518.7857211390401</v>
      </c>
      <c r="AN294" s="43">
        <v>15.341269910495299</v>
      </c>
      <c r="AO294" s="43"/>
      <c r="AP294" s="44">
        <v>200</v>
      </c>
      <c r="AQ294" s="44">
        <v>34.58</v>
      </c>
      <c r="AR294" s="44">
        <v>46.919411471661661</v>
      </c>
      <c r="AS294" s="44">
        <v>593.54</v>
      </c>
      <c r="AT294" s="44">
        <v>1</v>
      </c>
      <c r="AU294" s="44">
        <v>2.9676999999999998</v>
      </c>
      <c r="AV294" s="44">
        <f t="shared" si="37"/>
        <v>593.54</v>
      </c>
      <c r="AW294" s="44">
        <f>+VLOOKUP(C294,'Etape 1 - surface'!$A$5:$B$58,2,FALSE)</f>
        <v>0</v>
      </c>
      <c r="AX294" s="44">
        <f t="shared" si="35"/>
        <v>0</v>
      </c>
      <c r="AY294" s="44">
        <f>12.60067150914+(56.0435691950881-12.60067150914)/(1+EXP(-(0.12255140894824*AU294+-0.18958347271504)))</f>
        <v>36.208343851268282</v>
      </c>
      <c r="AZ294" s="63"/>
      <c r="BA294" s="63">
        <f t="shared" si="36"/>
        <v>0</v>
      </c>
      <c r="BB294" s="45"/>
      <c r="BC294" s="65">
        <v>4.4999999999999998E-2</v>
      </c>
      <c r="BD294" s="63">
        <f t="shared" si="33"/>
        <v>-3503.0716309776817</v>
      </c>
    </row>
    <row r="295" spans="1:56" ht="15" x14ac:dyDescent="0.25">
      <c r="A295" t="str">
        <f>+VLOOKUP(D295,Acronyme!$A$1:$C$50,3,FALSE)</f>
        <v>Chêne sessile</v>
      </c>
      <c r="B295" t="str">
        <f>+VLOOKUP(E295,Acronyme!$E$2:$I$50,5,FALSE)</f>
        <v>Guide chênaie continentale</v>
      </c>
      <c r="C295" t="s">
        <v>264</v>
      </c>
      <c r="D295" s="43" t="s">
        <v>60</v>
      </c>
      <c r="E295" s="43" t="s">
        <v>65</v>
      </c>
      <c r="F295" s="43" t="s">
        <v>66</v>
      </c>
      <c r="G295" s="43" t="s">
        <v>100</v>
      </c>
      <c r="H295" s="43">
        <v>21.5</v>
      </c>
      <c r="I295" s="43" t="s">
        <v>144</v>
      </c>
      <c r="J295" s="43">
        <v>1666</v>
      </c>
      <c r="K295" s="43" t="s">
        <v>109</v>
      </c>
      <c r="L295" s="43" t="s">
        <v>103</v>
      </c>
      <c r="M295" s="43" t="s">
        <v>143</v>
      </c>
      <c r="N295" s="43"/>
      <c r="O295" s="43"/>
      <c r="P295" s="43">
        <v>35</v>
      </c>
      <c r="Q295" s="43">
        <v>16.59</v>
      </c>
      <c r="R295" s="43">
        <v>1453</v>
      </c>
      <c r="S295" s="43">
        <v>26.19</v>
      </c>
      <c r="T295" s="43">
        <v>41</v>
      </c>
      <c r="U295" s="43">
        <v>369</v>
      </c>
      <c r="V295" s="43">
        <v>713</v>
      </c>
      <c r="W295" s="43">
        <v>301</v>
      </c>
      <c r="X295" s="43">
        <v>28</v>
      </c>
      <c r="Y295" s="43">
        <v>0</v>
      </c>
      <c r="Z295" s="32">
        <v>99</v>
      </c>
      <c r="AA295" s="43" t="s">
        <v>63</v>
      </c>
      <c r="AB295" s="43">
        <v>32.04</v>
      </c>
      <c r="AC295" s="43">
        <v>78</v>
      </c>
      <c r="AD295" s="43">
        <v>21.72</v>
      </c>
      <c r="AE295" s="43">
        <v>59.54</v>
      </c>
      <c r="AF295" s="43">
        <v>59.54</v>
      </c>
      <c r="AG295" s="43">
        <v>346.38860475241398</v>
      </c>
      <c r="AH295" s="43">
        <v>389.08469485408699</v>
      </c>
      <c r="AI295" s="43">
        <v>415.58184952437102</v>
      </c>
      <c r="AJ295" s="43">
        <v>69.795035072119404</v>
      </c>
      <c r="AK295" s="43">
        <v>0.70500035426383201</v>
      </c>
      <c r="AL295" s="43">
        <v>0.42801460698166199</v>
      </c>
      <c r="AM295" s="43">
        <v>1066.02804277872</v>
      </c>
      <c r="AN295" s="43">
        <v>10.7679600280679</v>
      </c>
      <c r="AO295" s="43">
        <v>10.2030113274533</v>
      </c>
      <c r="AP295" s="44">
        <v>16</v>
      </c>
      <c r="AQ295" s="44">
        <v>3.9299999999999997</v>
      </c>
      <c r="AR295" s="44">
        <v>55.923113573510399</v>
      </c>
      <c r="AS295" s="44">
        <v>62.52680414697204</v>
      </c>
      <c r="AT295" s="44">
        <v>0.9</v>
      </c>
      <c r="AU295" s="44">
        <v>3.9079252591857525</v>
      </c>
      <c r="AV295" s="44">
        <f t="shared" si="37"/>
        <v>62.52680414697204</v>
      </c>
      <c r="AW295" s="44">
        <f>+VLOOKUP(C295,'Etape 1 - surface'!$A$5:$B$58,2,FALSE)</f>
        <v>0</v>
      </c>
      <c r="AX295" s="44">
        <f t="shared" si="35"/>
        <v>0</v>
      </c>
      <c r="AY295" s="44">
        <f>10.8374384236453+(405.147848531042-10.8374384236453)/(1+EXP(-(1.16387919746889*AU295+-2.8965970117006)))</f>
        <v>341.71443275826533</v>
      </c>
      <c r="AZ295" s="63"/>
      <c r="BA295" s="63">
        <f t="shared" si="36"/>
        <v>0</v>
      </c>
      <c r="BB295" s="45"/>
      <c r="BC295" s="65">
        <v>4.4999999999999998E-2</v>
      </c>
      <c r="BD295" s="63">
        <f t="shared" si="33"/>
        <v>-3503.0716309776817</v>
      </c>
    </row>
    <row r="296" spans="1:56" ht="15" x14ac:dyDescent="0.25">
      <c r="A296" t="str">
        <f>+VLOOKUP(D296,Acronyme!$A$1:$C$50,3,FALSE)</f>
        <v>Chene_pedoncule</v>
      </c>
      <c r="B296" t="str">
        <f>+VLOOKUP(E296,Acronyme!$E$2:$I$50,5,FALSE)</f>
        <v>Guide chênaie continentale</v>
      </c>
      <c r="C296" t="s">
        <v>264</v>
      </c>
      <c r="D296" s="43" t="s">
        <v>145</v>
      </c>
      <c r="E296" s="43" t="s">
        <v>65</v>
      </c>
      <c r="F296" s="43" t="s">
        <v>66</v>
      </c>
      <c r="G296" s="43" t="s">
        <v>100</v>
      </c>
      <c r="H296" s="43">
        <v>26</v>
      </c>
      <c r="I296" s="43" t="s">
        <v>144</v>
      </c>
      <c r="J296" s="43">
        <v>1600</v>
      </c>
      <c r="K296" s="43" t="s">
        <v>109</v>
      </c>
      <c r="L296" s="43" t="s">
        <v>103</v>
      </c>
      <c r="M296" s="43" t="s">
        <v>143</v>
      </c>
      <c r="N296" s="43"/>
      <c r="O296" s="43"/>
      <c r="P296" s="43">
        <v>31</v>
      </c>
      <c r="Q296" s="43">
        <v>16.22</v>
      </c>
      <c r="R296" s="43">
        <v>1446</v>
      </c>
      <c r="S296" s="43">
        <v>21.44</v>
      </c>
      <c r="T296" s="43">
        <v>65</v>
      </c>
      <c r="U296" s="43">
        <v>525</v>
      </c>
      <c r="V296" s="43">
        <v>696</v>
      </c>
      <c r="W296" s="43">
        <v>155</v>
      </c>
      <c r="X296" s="43">
        <v>5</v>
      </c>
      <c r="Y296" s="43">
        <v>0</v>
      </c>
      <c r="Z296" s="32">
        <v>99</v>
      </c>
      <c r="AA296" s="43" t="s">
        <v>63</v>
      </c>
      <c r="AB296" s="43">
        <v>34.83</v>
      </c>
      <c r="AC296" s="43">
        <v>32</v>
      </c>
      <c r="AD296" s="43">
        <v>12.21</v>
      </c>
      <c r="AE296" s="43">
        <v>69.7</v>
      </c>
      <c r="AF296" s="43">
        <v>69.7</v>
      </c>
      <c r="AG296" s="43">
        <v>208.679261041887</v>
      </c>
      <c r="AH296" s="43">
        <v>237.78885024629301</v>
      </c>
      <c r="AI296" s="43">
        <v>253.14352275917699</v>
      </c>
      <c r="AJ296" s="43">
        <v>69.916365579515897</v>
      </c>
      <c r="AK296" s="43">
        <v>0.70622591494460496</v>
      </c>
      <c r="AL296" s="43">
        <v>0.289984811991367</v>
      </c>
      <c r="AM296" s="43">
        <v>1137.2766549000801</v>
      </c>
      <c r="AN296" s="43">
        <v>11.487642978788701</v>
      </c>
      <c r="AO296" s="43">
        <v>7.4071480831015597</v>
      </c>
      <c r="AP296" s="44">
        <v>31</v>
      </c>
      <c r="AQ296" s="44">
        <v>11.46</v>
      </c>
      <c r="AR296" s="44">
        <v>68.606698588273787</v>
      </c>
      <c r="AS296" s="44">
        <v>195.85524241739398</v>
      </c>
      <c r="AT296" s="44">
        <v>0.98</v>
      </c>
      <c r="AU296" s="44">
        <v>6.3179110457223864</v>
      </c>
      <c r="AV296" s="44">
        <f t="shared" si="37"/>
        <v>195.85524241739398</v>
      </c>
      <c r="AW296" s="44">
        <f>+VLOOKUP(C296,'Etape 1 - surface'!$A$5:$B$58,2,FALSE)</f>
        <v>0</v>
      </c>
      <c r="AX296" s="44">
        <f t="shared" si="35"/>
        <v>0</v>
      </c>
      <c r="AY296" s="44">
        <f>10.8374384236453+(405.147848531042-10.8374384236453)/(1+EXP(-(1.16387919746889*AU296+-2.8965970117006)))</f>
        <v>400.62602083394728</v>
      </c>
      <c r="AZ296" s="63"/>
      <c r="BA296" s="63">
        <f t="shared" si="36"/>
        <v>0</v>
      </c>
      <c r="BB296" s="45"/>
      <c r="BC296" s="65">
        <v>4.4999999999999998E-2</v>
      </c>
      <c r="BD296" s="63">
        <f t="shared" si="33"/>
        <v>-3503.0716309776817</v>
      </c>
    </row>
    <row r="297" spans="1:56" ht="14.45" customHeight="1" x14ac:dyDescent="0.25">
      <c r="C297" t="s">
        <v>264</v>
      </c>
      <c r="D297" s="43" t="s">
        <v>207</v>
      </c>
      <c r="E297" s="43" t="s">
        <v>208</v>
      </c>
      <c r="F297" s="43" t="s">
        <v>258</v>
      </c>
      <c r="G297" s="43" t="s">
        <v>114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2">
        <v>99</v>
      </c>
      <c r="AA297" s="43" t="s">
        <v>63</v>
      </c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44">
        <v>110</v>
      </c>
      <c r="AQ297" s="1"/>
      <c r="AR297" s="1"/>
      <c r="AS297" s="1"/>
      <c r="AT297" s="1"/>
      <c r="AU297" s="44">
        <f>AV297/AP297</f>
        <v>1.990909090909091</v>
      </c>
      <c r="AV297" s="44">
        <v>219</v>
      </c>
      <c r="AW297" s="44">
        <f>+VLOOKUP(C297,'Etape 1 - surface'!$A$5:$B$58,2,FALSE)</f>
        <v>0</v>
      </c>
      <c r="AX297" s="44">
        <f t="shared" si="35"/>
        <v>0</v>
      </c>
      <c r="AY297" s="44">
        <f>82.5251889/(1+EXP(-(0.26195064*AU297+(-0.34406779))))</f>
        <v>44.914085024012991</v>
      </c>
      <c r="AZ297" s="63"/>
      <c r="BA297" s="63">
        <f t="shared" si="36"/>
        <v>0</v>
      </c>
      <c r="BB297" s="45"/>
      <c r="BC297" s="65">
        <v>4.4999999999999998E-2</v>
      </c>
      <c r="BD297" s="63">
        <f t="shared" si="33"/>
        <v>-3503.0716309776817</v>
      </c>
    </row>
    <row r="298" spans="1:56" ht="14.45" customHeight="1" x14ac:dyDescent="0.25">
      <c r="C298" t="s">
        <v>266</v>
      </c>
      <c r="D298" s="43" t="s">
        <v>207</v>
      </c>
      <c r="E298" s="43" t="s">
        <v>208</v>
      </c>
      <c r="F298" s="43" t="s">
        <v>258</v>
      </c>
      <c r="G298" s="43" t="s">
        <v>260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2">
        <v>99</v>
      </c>
      <c r="AA298" s="43" t="s">
        <v>63</v>
      </c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44">
        <v>100</v>
      </c>
      <c r="AQ298" s="1"/>
      <c r="AR298" s="1"/>
      <c r="AS298" s="1"/>
      <c r="AT298" s="1"/>
      <c r="AU298" s="44">
        <f>AV298/AP298</f>
        <v>0.67</v>
      </c>
      <c r="AV298" s="44">
        <v>67</v>
      </c>
      <c r="AW298" s="44">
        <f>+VLOOKUP(C298,'Etape 1 - surface'!$A$5:$B$58,2,FALSE)</f>
        <v>0</v>
      </c>
      <c r="AX298" s="44">
        <f t="shared" si="35"/>
        <v>0</v>
      </c>
      <c r="AY298" s="44">
        <f>82.5251889/(1+EXP(-(0.26195064*AU298+(-0.34406779))))</f>
        <v>37.793175982021594</v>
      </c>
      <c r="AZ298" s="63"/>
      <c r="BA298" s="63">
        <f t="shared" si="36"/>
        <v>0</v>
      </c>
      <c r="BB298" s="45"/>
      <c r="BC298" s="65">
        <v>4.4999999999999998E-2</v>
      </c>
      <c r="BD298" s="63">
        <f t="shared" si="33"/>
        <v>-3503.0716309776817</v>
      </c>
    </row>
    <row r="299" spans="1:56" ht="15" x14ac:dyDescent="0.25">
      <c r="A299" t="str">
        <f>+VLOOKUP(D299,Acronyme!$A$1:$C$50,3,FALSE)</f>
        <v>Pin Noir d'Autriche</v>
      </c>
      <c r="B299" t="str">
        <f>+VLOOKUP(E299,Acronyme!$E$2:$I$50,5,FALSE)</f>
        <v>GSM Alpes du Sud</v>
      </c>
      <c r="C299" t="s">
        <v>264</v>
      </c>
      <c r="D299" s="43" t="s">
        <v>131</v>
      </c>
      <c r="E299" s="43" t="s">
        <v>132</v>
      </c>
      <c r="F299" s="43" t="s">
        <v>136</v>
      </c>
      <c r="G299" s="43" t="s">
        <v>62</v>
      </c>
      <c r="H299" s="43">
        <v>15.2</v>
      </c>
      <c r="I299" s="43" t="s">
        <v>108</v>
      </c>
      <c r="J299" s="43">
        <v>1100</v>
      </c>
      <c r="K299" s="43" t="s">
        <v>109</v>
      </c>
      <c r="L299" s="43" t="s">
        <v>134</v>
      </c>
      <c r="M299" s="43" t="s">
        <v>135</v>
      </c>
      <c r="N299" s="43"/>
      <c r="O299" s="43"/>
      <c r="P299" s="43">
        <v>15</v>
      </c>
      <c r="Q299" s="43">
        <v>3.96</v>
      </c>
      <c r="R299" s="43">
        <v>6000</v>
      </c>
      <c r="S299" s="43">
        <v>9.57</v>
      </c>
      <c r="T299" s="43">
        <v>6000</v>
      </c>
      <c r="U299" s="43">
        <v>0</v>
      </c>
      <c r="V299" s="43">
        <v>0</v>
      </c>
      <c r="W299" s="43">
        <v>0</v>
      </c>
      <c r="X299" s="43">
        <v>0</v>
      </c>
      <c r="Y299" s="43">
        <v>0</v>
      </c>
      <c r="Z299" s="32">
        <v>100</v>
      </c>
      <c r="AA299" s="43" t="s">
        <v>63</v>
      </c>
      <c r="AB299" s="43">
        <v>20.9</v>
      </c>
      <c r="AC299" s="43">
        <v>125</v>
      </c>
      <c r="AD299" s="43">
        <v>20.170000000000002</v>
      </c>
      <c r="AE299" s="43">
        <v>45.33</v>
      </c>
      <c r="AF299" s="43">
        <v>46.82</v>
      </c>
      <c r="AG299" s="43">
        <v>193.01721981653799</v>
      </c>
      <c r="AH299" s="43">
        <v>195.08292628731999</v>
      </c>
      <c r="AI299" s="43">
        <v>218.53877430237699</v>
      </c>
      <c r="AJ299" s="43">
        <v>65.589385646493199</v>
      </c>
      <c r="AK299" s="43">
        <v>0.65589385646493203</v>
      </c>
      <c r="AL299" s="43">
        <v>0.48587194024725</v>
      </c>
      <c r="AM299" s="43">
        <v>657.94335873942305</v>
      </c>
      <c r="AN299" s="43">
        <v>6.57943358739423</v>
      </c>
      <c r="AO299" s="43">
        <v>5.7372275219099702</v>
      </c>
      <c r="AP299" s="44">
        <v>75</v>
      </c>
      <c r="AQ299" s="44">
        <v>9.5599999999999987</v>
      </c>
      <c r="AR299" s="44">
        <v>40.285928143158799</v>
      </c>
      <c r="AS299" s="44">
        <v>92.213382412182</v>
      </c>
      <c r="AT299" s="44">
        <v>0.86</v>
      </c>
      <c r="AU299" s="44">
        <v>1.2295117654957599</v>
      </c>
      <c r="AV299" s="44">
        <f>+AU299*AP299</f>
        <v>92.213382412182</v>
      </c>
      <c r="AW299" s="44">
        <f>+VLOOKUP(C299,'Etape 1 - surface'!$A$5:$B$58,2,FALSE)</f>
        <v>0</v>
      </c>
      <c r="AX299" s="44">
        <f t="shared" si="35"/>
        <v>0</v>
      </c>
      <c r="AY299" s="44">
        <f>10.0046474463505+(37.1112351801373-10.0046474463505)/(1+EXP(-(0.581180949782075*AU299+-0.955447614584994)))</f>
        <v>21.933437978585275</v>
      </c>
      <c r="AZ299" s="63"/>
      <c r="BA299" s="63">
        <f t="shared" si="36"/>
        <v>0</v>
      </c>
      <c r="BB299" s="45"/>
      <c r="BC299" s="65">
        <v>4.4999999999999998E-2</v>
      </c>
      <c r="BD299" s="63">
        <f t="shared" si="33"/>
        <v>-3503.0716309776817</v>
      </c>
    </row>
    <row r="300" spans="1:56" ht="15" x14ac:dyDescent="0.25">
      <c r="A300" t="str">
        <f>+VLOOKUP(D300,Acronyme!$A$1:$C$50,3,FALSE)</f>
        <v>Pin sylvestre</v>
      </c>
      <c r="B300" t="str">
        <f>+VLOOKUP(E300,Acronyme!$E$2:$I$50,5,FALSE)</f>
        <v>GSM Alpes du Sud</v>
      </c>
      <c r="C300" t="s">
        <v>264</v>
      </c>
      <c r="D300" s="43" t="s">
        <v>106</v>
      </c>
      <c r="E300" s="43" t="s">
        <v>132</v>
      </c>
      <c r="F300" s="43" t="s">
        <v>137</v>
      </c>
      <c r="G300" s="43" t="s">
        <v>100</v>
      </c>
      <c r="H300" s="43">
        <v>15.1</v>
      </c>
      <c r="I300" s="43" t="s">
        <v>108</v>
      </c>
      <c r="J300" s="43">
        <v>1100</v>
      </c>
      <c r="K300" s="43" t="s">
        <v>109</v>
      </c>
      <c r="L300" s="43" t="s">
        <v>134</v>
      </c>
      <c r="M300" s="43" t="s">
        <v>135</v>
      </c>
      <c r="N300" s="43"/>
      <c r="O300" s="43"/>
      <c r="P300" s="43">
        <v>15</v>
      </c>
      <c r="Q300" s="43">
        <v>3.64</v>
      </c>
      <c r="R300" s="43">
        <v>6001</v>
      </c>
      <c r="S300" s="43">
        <v>9.11</v>
      </c>
      <c r="T300" s="43">
        <v>6001</v>
      </c>
      <c r="U300" s="43">
        <v>0</v>
      </c>
      <c r="V300" s="43">
        <v>0</v>
      </c>
      <c r="W300" s="43">
        <v>0</v>
      </c>
      <c r="X300" s="43">
        <v>0</v>
      </c>
      <c r="Y300" s="43">
        <v>0</v>
      </c>
      <c r="Z300" s="32">
        <v>100</v>
      </c>
      <c r="AA300" s="43" t="s">
        <v>63</v>
      </c>
      <c r="AB300" s="43">
        <v>17.809999999999999</v>
      </c>
      <c r="AC300" s="43">
        <v>126</v>
      </c>
      <c r="AD300" s="43">
        <v>19.18</v>
      </c>
      <c r="AE300" s="43">
        <v>44.03</v>
      </c>
      <c r="AF300" s="43">
        <v>44.91</v>
      </c>
      <c r="AG300" s="43">
        <v>149.970607768001</v>
      </c>
      <c r="AH300" s="43">
        <v>154.65882273322799</v>
      </c>
      <c r="AI300" s="43">
        <v>196.970034267404</v>
      </c>
      <c r="AJ300" s="43">
        <v>72.279129163508799</v>
      </c>
      <c r="AK300" s="43">
        <v>0.72279129163508804</v>
      </c>
      <c r="AL300" s="43">
        <v>0.51963238711503501</v>
      </c>
      <c r="AM300" s="43">
        <v>695.23081360326603</v>
      </c>
      <c r="AN300" s="43">
        <v>6.9523081360326602</v>
      </c>
      <c r="AO300" s="43">
        <v>5.7533105592604903</v>
      </c>
      <c r="AP300" s="44">
        <v>115</v>
      </c>
      <c r="AQ300" s="44">
        <v>14.329999999999998</v>
      </c>
      <c r="AR300" s="44">
        <v>39.831735955418303</v>
      </c>
      <c r="AS300" s="44">
        <v>111.104882414423</v>
      </c>
      <c r="AT300" s="44">
        <v>0.9</v>
      </c>
      <c r="AU300" s="44">
        <v>0.96612941229933047</v>
      </c>
      <c r="AV300" s="44">
        <f>+AU300*AP300</f>
        <v>111.104882414423</v>
      </c>
      <c r="AW300" s="44">
        <f>+VLOOKUP(C300,'Etape 1 - surface'!$A$5:$B$58,2,FALSE)</f>
        <v>0</v>
      </c>
      <c r="AX300" s="44">
        <f t="shared" si="35"/>
        <v>0</v>
      </c>
      <c r="AY300" s="44">
        <f>10.0046474463505+(37.1112351801373-10.0046474463505)/(1+EXP(-(0.581180949782075*AU300+-0.955447614584994)))</f>
        <v>20.922270075269374</v>
      </c>
      <c r="AZ300" s="63"/>
      <c r="BA300" s="63">
        <f t="shared" si="36"/>
        <v>0</v>
      </c>
      <c r="BB300" s="45"/>
      <c r="BC300" s="65">
        <v>4.4999999999999998E-2</v>
      </c>
      <c r="BD300" s="63">
        <f t="shared" si="33"/>
        <v>-3503.0716309776817</v>
      </c>
    </row>
    <row r="301" spans="1:56" ht="14.45" customHeight="1" x14ac:dyDescent="0.25">
      <c r="A301" t="str">
        <f>+VLOOKUP(D301,Acronyme!$A$1:$C$50,3,FALSE)</f>
        <v>Sapin pectiné</v>
      </c>
      <c r="B301" t="str">
        <f>+VLOOKUP(E301,Acronyme!$E$2:$I$50,5,FALSE)</f>
        <v>GSM Alpes du Sud</v>
      </c>
      <c r="C301" t="s">
        <v>264</v>
      </c>
      <c r="D301" s="43" t="s">
        <v>129</v>
      </c>
      <c r="E301" s="43" t="s">
        <v>132</v>
      </c>
      <c r="F301" s="43" t="s">
        <v>141</v>
      </c>
      <c r="G301" s="43" t="s">
        <v>100</v>
      </c>
      <c r="H301" s="43">
        <v>20.399999999999999</v>
      </c>
      <c r="I301" s="43" t="s">
        <v>101</v>
      </c>
      <c r="J301" s="43">
        <v>1600</v>
      </c>
      <c r="K301" s="43" t="s">
        <v>109</v>
      </c>
      <c r="L301" s="43" t="s">
        <v>134</v>
      </c>
      <c r="M301" s="43" t="s">
        <v>135</v>
      </c>
      <c r="N301" s="43"/>
      <c r="O301" s="43"/>
      <c r="P301" s="43">
        <v>40</v>
      </c>
      <c r="Q301" s="43">
        <v>16.829999999999998</v>
      </c>
      <c r="R301" s="43">
        <v>1499</v>
      </c>
      <c r="S301" s="43">
        <v>24.88</v>
      </c>
      <c r="T301" s="43">
        <v>27</v>
      </c>
      <c r="U301" s="43">
        <v>516</v>
      </c>
      <c r="V301" s="43">
        <v>633</v>
      </c>
      <c r="W301" s="43">
        <v>307</v>
      </c>
      <c r="X301" s="43">
        <v>15</v>
      </c>
      <c r="Y301" s="43">
        <v>0</v>
      </c>
      <c r="Z301" s="32">
        <v>100</v>
      </c>
      <c r="AA301" s="43" t="s">
        <v>63</v>
      </c>
      <c r="AB301" s="43">
        <v>25.07</v>
      </c>
      <c r="AC301" s="43">
        <v>128</v>
      </c>
      <c r="AD301" s="43">
        <v>20.09</v>
      </c>
      <c r="AE301" s="43">
        <v>44.71</v>
      </c>
      <c r="AF301" s="43">
        <v>46.57</v>
      </c>
      <c r="AG301" s="43">
        <v>238.299027866307</v>
      </c>
      <c r="AH301" s="43">
        <v>240.87280314433099</v>
      </c>
      <c r="AI301" s="43">
        <v>286.11484847192298</v>
      </c>
      <c r="AJ301" s="43">
        <v>92.735671797375602</v>
      </c>
      <c r="AK301" s="43">
        <v>0.92735671797375596</v>
      </c>
      <c r="AL301" s="43">
        <v>0.41890245257104702</v>
      </c>
      <c r="AM301" s="43">
        <v>1190.83667238662</v>
      </c>
      <c r="AN301" s="43">
        <v>11.9083667238662</v>
      </c>
      <c r="AO301" s="43">
        <v>6.5526863019905699</v>
      </c>
      <c r="AP301" s="44">
        <v>89</v>
      </c>
      <c r="AQ301" s="44">
        <v>15.790000000000003</v>
      </c>
      <c r="AR301" s="44">
        <v>47.528173089572718</v>
      </c>
      <c r="AS301" s="44">
        <v>193.83696034658303</v>
      </c>
      <c r="AT301" s="44">
        <v>1.07</v>
      </c>
      <c r="AU301" s="44">
        <v>2.1779433746807082</v>
      </c>
      <c r="AV301" s="44">
        <f>+AU301*AP301</f>
        <v>193.83696034658303</v>
      </c>
      <c r="AW301" s="44">
        <f>+VLOOKUP(C301,'Etape 1 - surface'!$A$5:$B$58,2,FALSE)</f>
        <v>0</v>
      </c>
      <c r="AX301" s="44">
        <f t="shared" si="35"/>
        <v>0</v>
      </c>
      <c r="AY301" s="44">
        <f>12.60067150914+(56.0435691950881-12.60067150914)/(1+EXP(-(0.12255140894824*AU301+-0.18958347271504)))</f>
        <v>35.161524553115328</v>
      </c>
      <c r="AZ301" s="63"/>
      <c r="BA301" s="63">
        <f t="shared" si="36"/>
        <v>0</v>
      </c>
      <c r="BB301" s="45"/>
      <c r="BC301" s="65">
        <v>4.4999999999999998E-2</v>
      </c>
      <c r="BD301" s="63">
        <f t="shared" si="33"/>
        <v>-3503.0716309776817</v>
      </c>
    </row>
    <row r="302" spans="1:56" ht="14.45" customHeight="1" x14ac:dyDescent="0.25">
      <c r="A302" t="str">
        <f>+VLOOKUP(D302,Acronyme!$A$1:$C$50,3,FALSE)</f>
        <v>Chêne sessile</v>
      </c>
      <c r="B302" t="str">
        <f>+VLOOKUP(E302,Acronyme!$E$2:$I$50,5,FALSE)</f>
        <v>Guide chênaie atlantique</v>
      </c>
      <c r="C302" t="s">
        <v>264</v>
      </c>
      <c r="D302" s="43" t="s">
        <v>60</v>
      </c>
      <c r="E302" s="43" t="s">
        <v>150</v>
      </c>
      <c r="F302" s="43" t="s">
        <v>61</v>
      </c>
      <c r="G302" s="43" t="s">
        <v>100</v>
      </c>
      <c r="H302" s="43">
        <v>21.5</v>
      </c>
      <c r="I302" s="43" t="s">
        <v>151</v>
      </c>
      <c r="J302" s="43">
        <v>1666</v>
      </c>
      <c r="K302" s="43" t="s">
        <v>109</v>
      </c>
      <c r="L302" s="43" t="s">
        <v>103</v>
      </c>
      <c r="M302" s="43" t="s">
        <v>143</v>
      </c>
      <c r="N302" s="43"/>
      <c r="O302" s="43"/>
      <c r="P302" s="43">
        <v>34</v>
      </c>
      <c r="Q302" s="43">
        <v>16.2</v>
      </c>
      <c r="R302" s="43">
        <v>1451</v>
      </c>
      <c r="S302" s="43">
        <v>23.57</v>
      </c>
      <c r="T302" s="43">
        <v>44</v>
      </c>
      <c r="U302" s="43">
        <v>444</v>
      </c>
      <c r="V302" s="43">
        <v>742</v>
      </c>
      <c r="W302" s="43">
        <v>211</v>
      </c>
      <c r="X302" s="43">
        <v>10</v>
      </c>
      <c r="Y302" s="43">
        <v>0</v>
      </c>
      <c r="Z302" s="32">
        <v>100</v>
      </c>
      <c r="AA302" s="43" t="s">
        <v>63</v>
      </c>
      <c r="AB302" s="43">
        <v>32.5</v>
      </c>
      <c r="AC302" s="43">
        <v>122</v>
      </c>
      <c r="AD302" s="43">
        <v>23.94</v>
      </c>
      <c r="AE302" s="43">
        <v>49.98</v>
      </c>
      <c r="AF302" s="43">
        <v>51.52</v>
      </c>
      <c r="AG302" s="43">
        <v>386.86350673444099</v>
      </c>
      <c r="AH302" s="43">
        <v>424.26034447114</v>
      </c>
      <c r="AI302" s="43">
        <v>453.619918848846</v>
      </c>
      <c r="AJ302" s="43">
        <v>72.360479299410798</v>
      </c>
      <c r="AK302" s="43">
        <v>0.72360479299410796</v>
      </c>
      <c r="AL302" s="43">
        <v>0.46006063228411598</v>
      </c>
      <c r="AM302" s="43">
        <v>1128.99846034339</v>
      </c>
      <c r="AN302" s="43">
        <v>11.289984603433901</v>
      </c>
      <c r="AO302" s="43">
        <v>11.1616516073705</v>
      </c>
      <c r="AP302" s="44">
        <v>29</v>
      </c>
      <c r="AQ302" s="44">
        <v>5.0799999999999983</v>
      </c>
      <c r="AR302" s="44">
        <v>47.226734418980371</v>
      </c>
      <c r="AS302" s="44">
        <v>81.891373085104988</v>
      </c>
      <c r="AT302" s="44">
        <v>0.91</v>
      </c>
      <c r="AU302" s="44">
        <v>2.8238404512105166</v>
      </c>
      <c r="AV302" s="44">
        <f>+AU302*AP302</f>
        <v>81.891373085104988</v>
      </c>
      <c r="AW302" s="44">
        <f>+VLOOKUP(C302,'Etape 1 - surface'!$A$5:$B$58,2,FALSE)</f>
        <v>0</v>
      </c>
      <c r="AX302" s="44">
        <f t="shared" si="35"/>
        <v>0</v>
      </c>
      <c r="AY302" s="44">
        <f>10.8374384236453+(405.147848531042-10.8374384236453)/(1+EXP(-(1.16387919746889*AU302+-2.8965970117006)))</f>
        <v>245.95906708828826</v>
      </c>
      <c r="AZ302" s="63"/>
      <c r="BA302" s="63">
        <f t="shared" si="36"/>
        <v>0</v>
      </c>
      <c r="BB302" s="45"/>
      <c r="BC302" s="65">
        <v>4.4999999999999998E-2</v>
      </c>
      <c r="BD302" s="63">
        <f t="shared" si="33"/>
        <v>-3503.0716309776817</v>
      </c>
    </row>
    <row r="303" spans="1:56" ht="15" x14ac:dyDescent="0.25">
      <c r="C303" t="s">
        <v>264</v>
      </c>
      <c r="D303" s="43" t="s">
        <v>246</v>
      </c>
      <c r="E303" s="43" t="s">
        <v>238</v>
      </c>
      <c r="F303" s="43" t="s">
        <v>247</v>
      </c>
      <c r="G303" s="43" t="s">
        <v>62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32">
        <v>100</v>
      </c>
      <c r="AA303" s="43" t="s">
        <v>63</v>
      </c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4"/>
      <c r="AQ303" s="44"/>
      <c r="AR303" s="44"/>
      <c r="AS303" s="44"/>
      <c r="AT303" s="44"/>
      <c r="AU303" s="44">
        <v>1.4</v>
      </c>
      <c r="AV303" s="44">
        <v>7</v>
      </c>
      <c r="AW303" s="44">
        <f>+VLOOKUP(C303,'Etape 1 - surface'!$A$5:$B$58,2,FALSE)</f>
        <v>0</v>
      </c>
      <c r="AX303" s="44">
        <f t="shared" si="35"/>
        <v>0</v>
      </c>
      <c r="AY303" s="44">
        <f>(86.135208)/(1+EXP(-(0.50064483*AU303+-0.6204261)))</f>
        <v>44.799637813925365</v>
      </c>
      <c r="AZ303" s="63"/>
      <c r="BA303" s="63">
        <f t="shared" si="36"/>
        <v>0</v>
      </c>
      <c r="BB303" s="45"/>
      <c r="BC303" s="65">
        <v>4.4999999999999998E-2</v>
      </c>
      <c r="BD303" s="63">
        <f t="shared" si="33"/>
        <v>-3503.0716309776817</v>
      </c>
    </row>
    <row r="304" spans="1:56" ht="14.45" customHeight="1" x14ac:dyDescent="0.25">
      <c r="C304" s="1" t="s">
        <v>264</v>
      </c>
      <c r="D304" s="43" t="s">
        <v>246</v>
      </c>
      <c r="E304" s="43" t="s">
        <v>238</v>
      </c>
      <c r="F304" s="43" t="s">
        <v>252</v>
      </c>
      <c r="G304" s="43" t="s">
        <v>100</v>
      </c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32">
        <v>100</v>
      </c>
      <c r="AA304" s="43" t="s">
        <v>63</v>
      </c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4"/>
      <c r="AQ304" s="44"/>
      <c r="AR304" s="44"/>
      <c r="AS304" s="44"/>
      <c r="AT304" s="44"/>
      <c r="AU304" s="44">
        <v>1.5</v>
      </c>
      <c r="AV304" s="44">
        <v>13</v>
      </c>
      <c r="AW304" s="44">
        <f>+VLOOKUP(C304,'Etape 1 - surface'!$A$5:$B$58,2,FALSE)</f>
        <v>0</v>
      </c>
      <c r="AX304" s="44">
        <f t="shared" si="35"/>
        <v>0</v>
      </c>
      <c r="AY304" s="44">
        <f>(86.135208)/(1+EXP(-(0.50064483*AU304+-0.6204261)))</f>
        <v>45.874666041180795</v>
      </c>
      <c r="AZ304" s="63"/>
      <c r="BA304" s="63">
        <f t="shared" si="36"/>
        <v>0</v>
      </c>
      <c r="BB304" s="45"/>
      <c r="BC304" s="65">
        <v>4.4999999999999998E-2</v>
      </c>
      <c r="BD304" s="63">
        <f t="shared" si="33"/>
        <v>-3503.0716309776817</v>
      </c>
    </row>
    <row r="305" spans="1:56" ht="14.45" customHeight="1" x14ac:dyDescent="0.25">
      <c r="A305" t="str">
        <f>+VLOOKUP(D305,Acronyme!$A$1:$C$50,3,FALSE)</f>
        <v>Pin sylvestre</v>
      </c>
      <c r="B305" t="str">
        <f>+VLOOKUP(E305,Acronyme!$E$2:$I$50,5,FALSE)</f>
        <v>GS Pineraies des plaines du Centre et du Nord Ouest</v>
      </c>
      <c r="C305" t="s">
        <v>264</v>
      </c>
      <c r="D305" s="43" t="s">
        <v>106</v>
      </c>
      <c r="E305" s="43" t="s">
        <v>89</v>
      </c>
      <c r="F305" s="43" t="s">
        <v>107</v>
      </c>
      <c r="G305" s="43" t="s">
        <v>62</v>
      </c>
      <c r="H305" s="43">
        <v>23</v>
      </c>
      <c r="I305" s="43" t="s">
        <v>108</v>
      </c>
      <c r="J305" s="43">
        <v>2500</v>
      </c>
      <c r="K305" s="43" t="s">
        <v>109</v>
      </c>
      <c r="L305" s="43" t="s">
        <v>110</v>
      </c>
      <c r="M305" s="43" t="s">
        <v>111</v>
      </c>
      <c r="N305" s="43">
        <v>2003</v>
      </c>
      <c r="O305" s="43"/>
      <c r="P305" s="43">
        <v>24</v>
      </c>
      <c r="Q305" s="43">
        <v>11.4</v>
      </c>
      <c r="R305" s="43">
        <v>2157</v>
      </c>
      <c r="S305" s="43">
        <v>40.299999999999997</v>
      </c>
      <c r="T305" s="43">
        <v>0</v>
      </c>
      <c r="U305" s="43">
        <v>600</v>
      </c>
      <c r="V305" s="43">
        <v>1043</v>
      </c>
      <c r="W305" s="43">
        <v>457</v>
      </c>
      <c r="X305" s="43">
        <v>57</v>
      </c>
      <c r="Y305" s="43">
        <v>0</v>
      </c>
      <c r="Z305" s="32">
        <v>101</v>
      </c>
      <c r="AA305" s="43" t="s">
        <v>63</v>
      </c>
      <c r="AB305" s="43">
        <v>31.18</v>
      </c>
      <c r="AC305" s="43">
        <v>63</v>
      </c>
      <c r="AD305" s="43">
        <v>10.06</v>
      </c>
      <c r="AE305" s="43">
        <v>45.09</v>
      </c>
      <c r="AF305" s="43">
        <v>45.09</v>
      </c>
      <c r="AG305" s="43">
        <v>135.72565589592</v>
      </c>
      <c r="AH305" s="43">
        <v>137.12788789999999</v>
      </c>
      <c r="AI305" s="43">
        <v>153.78581668984299</v>
      </c>
      <c r="AJ305" s="43">
        <v>84.208639248870995</v>
      </c>
      <c r="AK305" s="43">
        <v>0.83374890345416797</v>
      </c>
      <c r="AL305" s="43">
        <v>0.128642438634017</v>
      </c>
      <c r="AM305" s="43">
        <v>938.61232298356003</v>
      </c>
      <c r="AN305" s="43">
        <v>9.29319131666891</v>
      </c>
      <c r="AO305" s="43">
        <v>3.4446180728776898</v>
      </c>
      <c r="AP305" s="44">
        <v>101</v>
      </c>
      <c r="AQ305" s="44">
        <v>16.095248224582999</v>
      </c>
      <c r="AR305" s="44">
        <v>45.044649490362929</v>
      </c>
      <c r="AS305" s="44">
        <v>217.08938181910599</v>
      </c>
      <c r="AT305" s="44">
        <v>1.0547531086429718</v>
      </c>
      <c r="AU305" s="44">
        <v>2.1493998199911486</v>
      </c>
      <c r="AV305" s="44">
        <f>+AU305*AP305</f>
        <v>217.08938181910599</v>
      </c>
      <c r="AW305" s="44">
        <f>+VLOOKUP(C305,'Etape 1 - surface'!$A$5:$B$58,2,FALSE)</f>
        <v>0</v>
      </c>
      <c r="AX305" s="44">
        <f t="shared" si="35"/>
        <v>0</v>
      </c>
      <c r="AY305" s="44">
        <f>10.0046474463505+(37.1112351801373-10.0046474463505)/(1+EXP(-(0.581180949782075*AU305+-0.955447614584994)))</f>
        <v>25.534340605295068</v>
      </c>
      <c r="AZ305" s="63"/>
      <c r="BA305" s="63">
        <f t="shared" si="36"/>
        <v>0</v>
      </c>
      <c r="BB305" s="45"/>
      <c r="BC305" s="65">
        <v>4.4999999999999998E-2</v>
      </c>
      <c r="BD305" s="63">
        <f t="shared" si="33"/>
        <v>-3503.0716309776817</v>
      </c>
    </row>
    <row r="306" spans="1:56" ht="14.45" customHeight="1" x14ac:dyDescent="0.25">
      <c r="A306" t="str">
        <f>+VLOOKUP(D306,Acronyme!$A$1:$C$50,3,FALSE)</f>
        <v>Pin sylvestre</v>
      </c>
      <c r="B306" t="str">
        <f>+VLOOKUP(E306,Acronyme!$E$2:$I$50,5,FALSE)</f>
        <v>GS Pineraies des plaines du Centre et du Nord Ouest</v>
      </c>
      <c r="C306" t="s">
        <v>264</v>
      </c>
      <c r="D306" s="43" t="s">
        <v>106</v>
      </c>
      <c r="E306" s="43" t="s">
        <v>89</v>
      </c>
      <c r="F306" s="43" t="s">
        <v>115</v>
      </c>
      <c r="G306" s="43" t="s">
        <v>100</v>
      </c>
      <c r="H306" s="43">
        <v>28</v>
      </c>
      <c r="I306" s="43">
        <v>45</v>
      </c>
      <c r="J306" s="43">
        <v>2500</v>
      </c>
      <c r="K306" s="43" t="s">
        <v>109</v>
      </c>
      <c r="L306" s="43" t="s">
        <v>116</v>
      </c>
      <c r="M306" s="43" t="s">
        <v>111</v>
      </c>
      <c r="N306" s="43">
        <v>1997</v>
      </c>
      <c r="O306" s="43" t="s">
        <v>96</v>
      </c>
      <c r="P306" s="43">
        <v>21</v>
      </c>
      <c r="Q306" s="43">
        <v>12.5</v>
      </c>
      <c r="R306" s="43">
        <v>2024</v>
      </c>
      <c r="S306" s="43">
        <v>28.8</v>
      </c>
      <c r="T306" s="43">
        <v>0</v>
      </c>
      <c r="U306" s="43">
        <v>1100</v>
      </c>
      <c r="V306" s="43">
        <v>712</v>
      </c>
      <c r="W306" s="43">
        <v>162</v>
      </c>
      <c r="X306" s="43">
        <v>50</v>
      </c>
      <c r="Y306" s="43">
        <v>0</v>
      </c>
      <c r="Z306" s="32">
        <v>101</v>
      </c>
      <c r="AA306" s="43" t="s">
        <v>63</v>
      </c>
      <c r="AB306" s="43">
        <v>40.18</v>
      </c>
      <c r="AC306" s="43">
        <v>199</v>
      </c>
      <c r="AD306" s="43">
        <v>26.92</v>
      </c>
      <c r="AE306" s="43">
        <v>41.5</v>
      </c>
      <c r="AF306" s="43">
        <v>45.08</v>
      </c>
      <c r="AG306" s="43">
        <v>467.11923820948698</v>
      </c>
      <c r="AH306" s="43">
        <v>469.30056392596498</v>
      </c>
      <c r="AI306" s="43">
        <v>504.41708543689799</v>
      </c>
      <c r="AJ306" s="43">
        <v>74.270963379220007</v>
      </c>
      <c r="AK306" s="43">
        <v>0.73535607306158401</v>
      </c>
      <c r="AL306" s="43">
        <v>0.18084234891391299</v>
      </c>
      <c r="AM306" s="43">
        <v>1061.00604981694</v>
      </c>
      <c r="AN306" s="43">
        <v>10.505010394227099</v>
      </c>
      <c r="AO306" s="43">
        <v>5.0044018435758097</v>
      </c>
      <c r="AP306" s="44">
        <v>21</v>
      </c>
      <c r="AQ306" s="44">
        <v>2.1199999999999974</v>
      </c>
      <c r="AR306" s="44">
        <v>35.851996257355054</v>
      </c>
      <c r="AS306" s="44">
        <v>35.970095120774033</v>
      </c>
      <c r="AT306" s="44">
        <v>0.76</v>
      </c>
      <c r="AU306" s="44">
        <v>1.7128616724178112</v>
      </c>
      <c r="AV306" s="44">
        <f>+AU306*AP306</f>
        <v>35.970095120774033</v>
      </c>
      <c r="AW306" s="44">
        <f>+VLOOKUP(C306,'Etape 1 - surface'!$A$5:$B$58,2,FALSE)</f>
        <v>0</v>
      </c>
      <c r="AX306" s="44">
        <f t="shared" si="35"/>
        <v>0</v>
      </c>
      <c r="AY306" s="44">
        <f>10.0046474463505+(37.1112351801373-10.0046474463505)/(1+EXP(-(0.581180949782075*AU306+-0.955447614584994)))</f>
        <v>23.82920786447184</v>
      </c>
      <c r="AZ306" s="63"/>
      <c r="BA306" s="63">
        <f t="shared" si="36"/>
        <v>0</v>
      </c>
      <c r="BB306" s="45"/>
      <c r="BC306" s="65">
        <v>4.4999999999999998E-2</v>
      </c>
      <c r="BD306" s="63">
        <f t="shared" si="33"/>
        <v>-3503.0716309776817</v>
      </c>
    </row>
    <row r="307" spans="1:56" ht="14.45" customHeight="1" x14ac:dyDescent="0.25">
      <c r="A307" t="str">
        <f>+VLOOKUP(D307,Acronyme!$A$1:$C$50,3,FALSE)</f>
        <v>Chene_pedoncule</v>
      </c>
      <c r="B307" t="str">
        <f>+VLOOKUP(E307,Acronyme!$E$2:$I$50,5,FALSE)</f>
        <v>Guide chênaie continentale</v>
      </c>
      <c r="C307" t="s">
        <v>264</v>
      </c>
      <c r="D307" s="43" t="s">
        <v>145</v>
      </c>
      <c r="E307" s="43" t="s">
        <v>65</v>
      </c>
      <c r="F307" s="43" t="s">
        <v>66</v>
      </c>
      <c r="G307" s="43" t="s">
        <v>100</v>
      </c>
      <c r="H307" s="43">
        <v>26</v>
      </c>
      <c r="I307" s="43" t="s">
        <v>144</v>
      </c>
      <c r="J307" s="43">
        <v>1600</v>
      </c>
      <c r="K307" s="43" t="s">
        <v>109</v>
      </c>
      <c r="L307" s="43" t="s">
        <v>103</v>
      </c>
      <c r="M307" s="43" t="s">
        <v>143</v>
      </c>
      <c r="N307" s="43"/>
      <c r="O307" s="43"/>
      <c r="P307" s="43">
        <v>31</v>
      </c>
      <c r="Q307" s="43">
        <v>16.22</v>
      </c>
      <c r="R307" s="43">
        <v>1446</v>
      </c>
      <c r="S307" s="43">
        <v>21.44</v>
      </c>
      <c r="T307" s="43">
        <v>65</v>
      </c>
      <c r="U307" s="43">
        <v>525</v>
      </c>
      <c r="V307" s="43">
        <v>696</v>
      </c>
      <c r="W307" s="43">
        <v>155</v>
      </c>
      <c r="X307" s="43">
        <v>5</v>
      </c>
      <c r="Y307" s="43">
        <v>0</v>
      </c>
      <c r="Z307" s="32">
        <v>101</v>
      </c>
      <c r="AA307" s="43" t="s">
        <v>63</v>
      </c>
      <c r="AB307" s="43">
        <v>35.17</v>
      </c>
      <c r="AC307" s="43">
        <v>21</v>
      </c>
      <c r="AD307" s="43">
        <v>8.44</v>
      </c>
      <c r="AE307" s="43">
        <v>71.55</v>
      </c>
      <c r="AF307" s="43">
        <v>71.55</v>
      </c>
      <c r="AG307" s="43">
        <v>145.90041623147499</v>
      </c>
      <c r="AH307" s="43">
        <v>166.44386160370701</v>
      </c>
      <c r="AI307" s="43">
        <v>177.02228404568899</v>
      </c>
      <c r="AJ307" s="43">
        <v>70.496335203498603</v>
      </c>
      <c r="AK307" s="43">
        <v>0.69798351686632298</v>
      </c>
      <c r="AL307" s="43">
        <v>0.19536396040207599</v>
      </c>
      <c r="AM307" s="43">
        <v>1152.09095106629</v>
      </c>
      <c r="AN307" s="43">
        <v>11.406841099666201</v>
      </c>
      <c r="AO307" s="43">
        <v>4.9340139406425596</v>
      </c>
      <c r="AP307" s="44">
        <v>11</v>
      </c>
      <c r="AQ307" s="44">
        <v>4.3499999999999996</v>
      </c>
      <c r="AR307" s="44">
        <v>70.958323360828942</v>
      </c>
      <c r="AS307" s="44">
        <v>75.003286542443021</v>
      </c>
      <c r="AT307" s="44">
        <v>0.99</v>
      </c>
      <c r="AU307" s="44">
        <v>6.8184805947675473</v>
      </c>
      <c r="AV307" s="44">
        <f>+AU307*AP307</f>
        <v>75.003286542443021</v>
      </c>
      <c r="AW307" s="44">
        <f>+VLOOKUP(C307,'Etape 1 - surface'!$A$5:$B$58,2,FALSE)</f>
        <v>0</v>
      </c>
      <c r="AX307" s="44">
        <f t="shared" si="35"/>
        <v>0</v>
      </c>
      <c r="AY307" s="44">
        <f>10.8374384236453+(405.147848531042-10.8374384236453)/(1+EXP(-(1.16387919746889*AU307+-2.8965970117006)))</f>
        <v>402.60981321605993</v>
      </c>
      <c r="AZ307" s="63"/>
      <c r="BA307" s="63">
        <f t="shared" si="36"/>
        <v>0</v>
      </c>
      <c r="BB307" s="45"/>
      <c r="BC307" s="65">
        <v>4.4999999999999998E-2</v>
      </c>
      <c r="BD307" s="63">
        <f t="shared" si="33"/>
        <v>-3503.0716309776817</v>
      </c>
    </row>
    <row r="308" spans="1:56" ht="15" x14ac:dyDescent="0.25">
      <c r="C308" t="s">
        <v>261</v>
      </c>
      <c r="D308" s="43" t="s">
        <v>207</v>
      </c>
      <c r="E308" s="43" t="s">
        <v>208</v>
      </c>
      <c r="F308" s="43" t="s">
        <v>258</v>
      </c>
      <c r="G308" s="43" t="s">
        <v>62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2">
        <v>101</v>
      </c>
      <c r="AA308" s="43" t="s">
        <v>63</v>
      </c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44">
        <v>78</v>
      </c>
      <c r="AQ308" s="1"/>
      <c r="AR308" s="1"/>
      <c r="AS308" s="1"/>
      <c r="AT308" s="1"/>
      <c r="AU308" s="44">
        <f>AV308/AP308</f>
        <v>4.5</v>
      </c>
      <c r="AV308" s="44">
        <v>351</v>
      </c>
      <c r="AW308" s="44">
        <f>+VLOOKUP(C308,'Etape 1 - surface'!$A$5:$B$58,2,FALSE)</f>
        <v>0</v>
      </c>
      <c r="AX308" s="44">
        <f t="shared" si="35"/>
        <v>0</v>
      </c>
      <c r="AY308" s="44">
        <f>82.5251889/(1+EXP(-(0.26195064*AU308+(-0.34406779))))</f>
        <v>57.548934828112159</v>
      </c>
      <c r="AZ308" s="63"/>
      <c r="BA308" s="63">
        <f t="shared" si="36"/>
        <v>0</v>
      </c>
      <c r="BB308" s="45"/>
      <c r="BC308" s="65">
        <v>4.4999999999999998E-2</v>
      </c>
      <c r="BD308" s="63">
        <f t="shared" si="33"/>
        <v>-3503.0716309776817</v>
      </c>
    </row>
    <row r="309" spans="1:56" ht="15" x14ac:dyDescent="0.25">
      <c r="A309" t="str">
        <f>+VLOOKUP(D309,Acronyme!$A$1:$C$50,3,FALSE)</f>
        <v>Pin sylvestre</v>
      </c>
      <c r="B309" t="str">
        <f>+VLOOKUP(E309,Acronyme!$E$2:$I$50,5,FALSE)</f>
        <v>GS Pineraies des plaines du Centre et du Nord Ouest</v>
      </c>
      <c r="C309" t="str">
        <f t="shared" ref="C309:C318" si="38">+_xlfn.CONCAT(A309,"_",G309,"_",F309,"_",B309,"_")</f>
        <v>Pin sylvestre_F2_Eclaircie tardive_GS Pineraies des plaines du Centre et du Nord Ouest_</v>
      </c>
      <c r="D309" s="43" t="s">
        <v>106</v>
      </c>
      <c r="E309" s="43" t="s">
        <v>89</v>
      </c>
      <c r="F309" s="43" t="s">
        <v>115</v>
      </c>
      <c r="G309" s="43" t="s">
        <v>62</v>
      </c>
      <c r="H309" s="43">
        <v>23</v>
      </c>
      <c r="I309" s="43">
        <v>45</v>
      </c>
      <c r="J309" s="43">
        <v>2500</v>
      </c>
      <c r="K309" s="43" t="s">
        <v>109</v>
      </c>
      <c r="L309" s="43" t="s">
        <v>110</v>
      </c>
      <c r="M309" s="43" t="s">
        <v>111</v>
      </c>
      <c r="N309" s="43">
        <v>2003</v>
      </c>
      <c r="O309" s="43" t="s">
        <v>58</v>
      </c>
      <c r="P309" s="43">
        <v>28</v>
      </c>
      <c r="Q309" s="43">
        <v>13.5</v>
      </c>
      <c r="R309" s="43">
        <v>2157</v>
      </c>
      <c r="S309" s="43">
        <v>40.299999999999997</v>
      </c>
      <c r="T309" s="43">
        <v>0</v>
      </c>
      <c r="U309" s="43">
        <v>600</v>
      </c>
      <c r="V309" s="43">
        <v>1043</v>
      </c>
      <c r="W309" s="43">
        <v>457</v>
      </c>
      <c r="X309" s="43">
        <v>57</v>
      </c>
      <c r="Y309" s="43">
        <v>0</v>
      </c>
      <c r="Z309" s="32">
        <v>102</v>
      </c>
      <c r="AA309" s="43" t="s">
        <v>63</v>
      </c>
      <c r="AB309" s="43">
        <v>32.020000000000003</v>
      </c>
      <c r="AC309" s="43">
        <v>213</v>
      </c>
      <c r="AD309" s="43">
        <v>25.09</v>
      </c>
      <c r="AE309" s="43">
        <v>38.729999999999997</v>
      </c>
      <c r="AF309" s="43">
        <v>42.48</v>
      </c>
      <c r="AG309" s="43">
        <v>346.95646252133798</v>
      </c>
      <c r="AH309" s="43">
        <v>349.55723946588898</v>
      </c>
      <c r="AI309" s="43">
        <v>387.64198865789399</v>
      </c>
      <c r="AJ309" s="43">
        <v>78.538993336717397</v>
      </c>
      <c r="AK309" s="43">
        <v>0.76999013075213096</v>
      </c>
      <c r="AL309" s="43">
        <v>0.19955524555503201</v>
      </c>
      <c r="AM309" s="43">
        <v>918.52553996723998</v>
      </c>
      <c r="AN309" s="43">
        <v>9.0051523526199997</v>
      </c>
      <c r="AO309" s="43">
        <v>4.3547855852058301</v>
      </c>
      <c r="AP309" s="44">
        <v>12</v>
      </c>
      <c r="AQ309" s="44">
        <v>1.0800000000000018</v>
      </c>
      <c r="AR309" s="44">
        <v>33.851375012865411</v>
      </c>
      <c r="AS309" s="44">
        <v>14.55273311616304</v>
      </c>
      <c r="AT309" s="44">
        <v>0.77</v>
      </c>
      <c r="AU309" s="44">
        <v>1.2127277596802533</v>
      </c>
      <c r="AV309" s="44">
        <f t="shared" ref="AV309:AV318" si="39">+AU309*AP309</f>
        <v>14.55273311616304</v>
      </c>
      <c r="AW309" s="44">
        <f>+VLOOKUP(C309,'Etape 1 - surface'!$A$5:$B$58,2,FALSE)</f>
        <v>0</v>
      </c>
      <c r="AX309" s="44">
        <f t="shared" si="35"/>
        <v>0</v>
      </c>
      <c r="AY309" s="44">
        <f>10.0046474463505+(37.1112351801373-10.0046474463505)/(1+EXP(-(0.581180949782075*AU309+-0.955447614584994)))</f>
        <v>21.868323128225825</v>
      </c>
      <c r="AZ309" s="63"/>
      <c r="BA309" s="63">
        <f t="shared" si="36"/>
        <v>0</v>
      </c>
      <c r="BB309" s="45"/>
      <c r="BC309" s="65">
        <v>4.4999999999999998E-2</v>
      </c>
      <c r="BD309" s="63">
        <f t="shared" si="33"/>
        <v>-3503.0716309776817</v>
      </c>
    </row>
    <row r="310" spans="1:56" ht="14.45" customHeight="1" x14ac:dyDescent="0.25">
      <c r="A310" t="str">
        <f>+VLOOKUP(D310,Acronyme!$A$1:$C$50,3,FALSE)</f>
        <v>Douglas</v>
      </c>
      <c r="B310" t="str">
        <f>+VLOOKUP(E310,Acronyme!$E$2:$I$50,5,FALSE)</f>
        <v>National</v>
      </c>
      <c r="C310" t="str">
        <f t="shared" si="38"/>
        <v>Douglas_F3_Entree 19-20m_National_</v>
      </c>
      <c r="D310" s="43" t="s">
        <v>97</v>
      </c>
      <c r="E310" s="43" t="s">
        <v>98</v>
      </c>
      <c r="F310" s="43" t="s">
        <v>113</v>
      </c>
      <c r="G310" s="43" t="s">
        <v>114</v>
      </c>
      <c r="H310" s="43">
        <v>26</v>
      </c>
      <c r="I310" s="43" t="s">
        <v>101</v>
      </c>
      <c r="J310" s="43">
        <v>1666</v>
      </c>
      <c r="K310" s="43" t="s">
        <v>102</v>
      </c>
      <c r="L310" s="43" t="s">
        <v>103</v>
      </c>
      <c r="M310" s="43" t="s">
        <v>104</v>
      </c>
      <c r="N310" s="43"/>
      <c r="O310" s="43" t="s">
        <v>112</v>
      </c>
      <c r="P310" s="43">
        <v>25</v>
      </c>
      <c r="Q310" s="43">
        <v>14.76</v>
      </c>
      <c r="R310" s="43">
        <v>1600</v>
      </c>
      <c r="S310" s="43">
        <v>26.34</v>
      </c>
      <c r="T310" s="43">
        <v>40</v>
      </c>
      <c r="U310" s="43">
        <v>465</v>
      </c>
      <c r="V310" s="43">
        <v>873</v>
      </c>
      <c r="W310" s="43">
        <v>210</v>
      </c>
      <c r="X310" s="43">
        <v>12</v>
      </c>
      <c r="Y310" s="43">
        <v>0</v>
      </c>
      <c r="Z310" s="32">
        <v>103</v>
      </c>
      <c r="AA310" s="43" t="s">
        <v>63</v>
      </c>
      <c r="AB310" s="43">
        <v>43.209510000000002</v>
      </c>
      <c r="AC310" s="43">
        <v>0</v>
      </c>
      <c r="AD310" s="43">
        <v>0</v>
      </c>
      <c r="AE310" s="43">
        <v>0</v>
      </c>
      <c r="AF310" s="43">
        <v>0</v>
      </c>
      <c r="AG310" s="43">
        <v>0</v>
      </c>
      <c r="AH310" s="43">
        <v>0</v>
      </c>
      <c r="AI310" s="43">
        <v>0</v>
      </c>
      <c r="AJ310" s="43">
        <v>78.2994525062675</v>
      </c>
      <c r="AK310" s="43">
        <v>0.76018885928415003</v>
      </c>
      <c r="AL310" s="43"/>
      <c r="AM310" s="43">
        <v>1029.96042688236</v>
      </c>
      <c r="AN310" s="43">
        <v>9.9996157949743694</v>
      </c>
      <c r="AO310" s="43"/>
      <c r="AP310" s="44">
        <v>212</v>
      </c>
      <c r="AQ310" s="44">
        <v>28.241295673720199</v>
      </c>
      <c r="AR310" s="44">
        <v>41.184086530089019</v>
      </c>
      <c r="AS310" s="44">
        <v>360.67267975795897</v>
      </c>
      <c r="AT310" s="44">
        <v>1.0000000000000011</v>
      </c>
      <c r="AU310" s="44">
        <v>1.7012862252733914</v>
      </c>
      <c r="AV310" s="44">
        <f t="shared" si="39"/>
        <v>360.67267975795897</v>
      </c>
      <c r="AW310" s="44">
        <f>+VLOOKUP(C310,'Etape 1 - surface'!$A$5:$B$58,2,FALSE)</f>
        <v>0</v>
      </c>
      <c r="AX310" s="44">
        <f t="shared" si="35"/>
        <v>0</v>
      </c>
      <c r="AY310" s="44">
        <f>17.058316746383+(70.7042249024703-17.058316746383)/(1+EXP(-(0.378583234479568*AU310+-0.73675928557405)))</f>
        <v>42.639172798935618</v>
      </c>
      <c r="AZ310" s="63"/>
      <c r="BA310" s="63">
        <f t="shared" si="36"/>
        <v>0</v>
      </c>
      <c r="BB310" s="45"/>
      <c r="BC310" s="65">
        <v>4.4999999999999998E-2</v>
      </c>
      <c r="BD310" s="63">
        <f t="shared" si="33"/>
        <v>-3503.0716309776817</v>
      </c>
    </row>
    <row r="311" spans="1:56" ht="15" x14ac:dyDescent="0.25">
      <c r="A311" t="str">
        <f>+VLOOKUP(D311,Acronyme!$A$1:$C$50,3,FALSE)</f>
        <v>Chêne sessile</v>
      </c>
      <c r="B311" t="str">
        <f>+VLOOKUP(E311,Acronyme!$E$2:$I$50,5,FALSE)</f>
        <v>Guide chênaie continentale</v>
      </c>
      <c r="C311" t="str">
        <f t="shared" si="38"/>
        <v>Chêne sessile_F2_Dynamique_Guide chênaie continentale_</v>
      </c>
      <c r="D311" s="43" t="s">
        <v>60</v>
      </c>
      <c r="E311" s="43" t="s">
        <v>65</v>
      </c>
      <c r="F311" s="43" t="s">
        <v>66</v>
      </c>
      <c r="G311" s="43" t="s">
        <v>62</v>
      </c>
      <c r="H311" s="43">
        <v>18</v>
      </c>
      <c r="I311" s="43" t="s">
        <v>142</v>
      </c>
      <c r="J311" s="43">
        <v>1666</v>
      </c>
      <c r="K311" s="43" t="s">
        <v>109</v>
      </c>
      <c r="L311" s="43" t="s">
        <v>103</v>
      </c>
      <c r="M311" s="43" t="s">
        <v>143</v>
      </c>
      <c r="N311" s="43"/>
      <c r="O311" s="43"/>
      <c r="P311" s="43">
        <v>44</v>
      </c>
      <c r="Q311" s="43">
        <v>16.579999999999998</v>
      </c>
      <c r="R311" s="43">
        <v>1453</v>
      </c>
      <c r="S311" s="43">
        <v>26.19</v>
      </c>
      <c r="T311" s="43">
        <v>41</v>
      </c>
      <c r="U311" s="43">
        <v>369</v>
      </c>
      <c r="V311" s="43">
        <v>713</v>
      </c>
      <c r="W311" s="43">
        <v>301</v>
      </c>
      <c r="X311" s="43">
        <v>28</v>
      </c>
      <c r="Y311" s="43">
        <v>0</v>
      </c>
      <c r="Z311" s="32">
        <v>103</v>
      </c>
      <c r="AA311" s="43" t="s">
        <v>63</v>
      </c>
      <c r="AB311" s="43">
        <v>27.16</v>
      </c>
      <c r="AC311" s="43">
        <v>97</v>
      </c>
      <c r="AD311" s="43">
        <v>18.23</v>
      </c>
      <c r="AE311" s="43">
        <v>48.91</v>
      </c>
      <c r="AF311" s="43">
        <v>48.91</v>
      </c>
      <c r="AG311" s="43">
        <v>244.53394609099101</v>
      </c>
      <c r="AH311" s="43">
        <v>277.07569902496402</v>
      </c>
      <c r="AI311" s="43">
        <v>300.49756536195099</v>
      </c>
      <c r="AJ311" s="43">
        <v>57.704948376609202</v>
      </c>
      <c r="AK311" s="43">
        <v>0.56024221724863299</v>
      </c>
      <c r="AL311" s="43">
        <v>0.35970098365263198</v>
      </c>
      <c r="AM311" s="43">
        <v>781.25771898934397</v>
      </c>
      <c r="AN311" s="43">
        <v>7.5850263979547901</v>
      </c>
      <c r="AO311" s="43">
        <v>7.2940569036729404</v>
      </c>
      <c r="AP311" s="44">
        <v>22</v>
      </c>
      <c r="AQ311" s="44">
        <v>3.5700000000000003</v>
      </c>
      <c r="AR311" s="44">
        <v>45.454598600764314</v>
      </c>
      <c r="AS311" s="44">
        <v>47.82243004936899</v>
      </c>
      <c r="AT311" s="44">
        <v>0.89</v>
      </c>
      <c r="AU311" s="44">
        <v>2.1737468204258632</v>
      </c>
      <c r="AV311" s="44">
        <f t="shared" si="39"/>
        <v>47.82243004936899</v>
      </c>
      <c r="AW311" s="44">
        <f>+VLOOKUP(C311,'Etape 1 - surface'!$A$5:$B$58,2,FALSE)</f>
        <v>0</v>
      </c>
      <c r="AX311" s="44">
        <f t="shared" si="35"/>
        <v>0</v>
      </c>
      <c r="AY311" s="44">
        <f>10.8374384236453+(405.147848531042-10.8374384236453)/(1+EXP(-(1.16387919746889*AU311+-2.8965970117006)))</f>
        <v>172.25172090609573</v>
      </c>
      <c r="AZ311" s="63"/>
      <c r="BA311" s="63">
        <f t="shared" si="36"/>
        <v>0</v>
      </c>
      <c r="BB311" s="45"/>
      <c r="BC311" s="65">
        <v>4.4999999999999998E-2</v>
      </c>
      <c r="BD311" s="63">
        <f t="shared" si="33"/>
        <v>-3503.0716309776817</v>
      </c>
    </row>
    <row r="312" spans="1:56" ht="14.45" customHeight="1" x14ac:dyDescent="0.25">
      <c r="A312" t="str">
        <f>+VLOOKUP(D312,Acronyme!$A$1:$C$50,3,FALSE)</f>
        <v>Chene_pedoncule</v>
      </c>
      <c r="B312" t="str">
        <f>+VLOOKUP(E312,Acronyme!$E$2:$I$50,5,FALSE)</f>
        <v>Guide chênaie continentale</v>
      </c>
      <c r="C312" t="str">
        <f t="shared" si="38"/>
        <v>Chene_pedoncule_F1_Dynamique_Guide chênaie continentale_</v>
      </c>
      <c r="D312" s="43" t="s">
        <v>145</v>
      </c>
      <c r="E312" s="43" t="s">
        <v>65</v>
      </c>
      <c r="F312" s="43" t="s">
        <v>66</v>
      </c>
      <c r="G312" s="43" t="s">
        <v>100</v>
      </c>
      <c r="H312" s="43">
        <v>26</v>
      </c>
      <c r="I312" s="43" t="s">
        <v>144</v>
      </c>
      <c r="J312" s="43">
        <v>1600</v>
      </c>
      <c r="K312" s="43" t="s">
        <v>109</v>
      </c>
      <c r="L312" s="43" t="s">
        <v>103</v>
      </c>
      <c r="M312" s="43" t="s">
        <v>143</v>
      </c>
      <c r="N312" s="43"/>
      <c r="O312" s="43"/>
      <c r="P312" s="43">
        <v>31</v>
      </c>
      <c r="Q312" s="43">
        <v>16.22</v>
      </c>
      <c r="R312" s="43">
        <v>1446</v>
      </c>
      <c r="S312" s="43">
        <v>21.44</v>
      </c>
      <c r="T312" s="43">
        <v>65</v>
      </c>
      <c r="U312" s="43">
        <v>525</v>
      </c>
      <c r="V312" s="43">
        <v>696</v>
      </c>
      <c r="W312" s="43">
        <v>155</v>
      </c>
      <c r="X312" s="43">
        <v>5</v>
      </c>
      <c r="Y312" s="43">
        <v>0</v>
      </c>
      <c r="Z312" s="32">
        <v>103</v>
      </c>
      <c r="AA312" s="43" t="s">
        <v>63</v>
      </c>
      <c r="AB312" s="43">
        <v>35.51</v>
      </c>
      <c r="AC312" s="43">
        <v>14</v>
      </c>
      <c r="AD312" s="43">
        <v>5.9303296600328599</v>
      </c>
      <c r="AE312" s="43">
        <v>73.44</v>
      </c>
      <c r="AF312" s="43">
        <v>73.44</v>
      </c>
      <c r="AG312" s="43">
        <v>103.345044727865</v>
      </c>
      <c r="AH312" s="43">
        <v>118.07841400613501</v>
      </c>
      <c r="AI312" s="43">
        <v>125.47962544073501</v>
      </c>
      <c r="AJ312" s="43">
        <v>70.887063124302799</v>
      </c>
      <c r="AK312" s="43">
        <v>0.68822391382818204</v>
      </c>
      <c r="AL312" s="43">
        <v>0.13362911745099401</v>
      </c>
      <c r="AM312" s="43">
        <v>1161.9589789475699</v>
      </c>
      <c r="AN312" s="43">
        <v>11.2811551354133</v>
      </c>
      <c r="AO312" s="43">
        <v>3.46885832004621</v>
      </c>
      <c r="AP312" s="44">
        <v>7</v>
      </c>
      <c r="AQ312" s="44">
        <v>2.90967033996714</v>
      </c>
      <c r="AR312" s="44">
        <v>72.749151580611652</v>
      </c>
      <c r="AS312" s="44">
        <v>50.63708911956499</v>
      </c>
      <c r="AT312" s="44">
        <v>0.99</v>
      </c>
      <c r="AU312" s="44">
        <v>7.2338698742235703</v>
      </c>
      <c r="AV312" s="44">
        <f t="shared" si="39"/>
        <v>50.63708911956499</v>
      </c>
      <c r="AW312" s="44">
        <f>+VLOOKUP(C312,'Etape 1 - surface'!$A$5:$B$58,2,FALSE)</f>
        <v>0</v>
      </c>
      <c r="AX312" s="44">
        <f t="shared" si="35"/>
        <v>0</v>
      </c>
      <c r="AY312" s="44">
        <f>10.8374384236453+(405.147848531042-10.8374384236453)/(1+EXP(-(1.16387919746889*AU312+-2.8965970117006)))</f>
        <v>403.57891216537814</v>
      </c>
      <c r="AZ312" s="63"/>
      <c r="BA312" s="63">
        <f t="shared" si="36"/>
        <v>0</v>
      </c>
      <c r="BB312" s="45"/>
      <c r="BC312" s="65">
        <v>4.4999999999999998E-2</v>
      </c>
      <c r="BD312" s="63">
        <f t="shared" si="33"/>
        <v>-3503.0716309776817</v>
      </c>
    </row>
    <row r="313" spans="1:56" ht="14.45" customHeight="1" x14ac:dyDescent="0.25">
      <c r="A313" t="str">
        <f>+VLOOKUP(D313,Acronyme!$A$1:$C$50,3,FALSE)</f>
        <v>Chene_pedoncule</v>
      </c>
      <c r="B313" t="str">
        <f>+VLOOKUP(E313,Acronyme!$E$2:$I$50,5,FALSE)</f>
        <v>Guide chênaie continentale</v>
      </c>
      <c r="C313" t="str">
        <f t="shared" si="38"/>
        <v>Chene_pedoncule_F2_Dynamique_Guide chênaie continentale_</v>
      </c>
      <c r="D313" s="43" t="s">
        <v>145</v>
      </c>
      <c r="E313" s="43" t="s">
        <v>65</v>
      </c>
      <c r="F313" s="43" t="s">
        <v>66</v>
      </c>
      <c r="G313" s="43" t="s">
        <v>62</v>
      </c>
      <c r="H313" s="43">
        <v>21.9</v>
      </c>
      <c r="I313" s="43" t="s">
        <v>144</v>
      </c>
      <c r="J313" s="43">
        <v>1600</v>
      </c>
      <c r="K313" s="43" t="s">
        <v>109</v>
      </c>
      <c r="L313" s="43" t="s">
        <v>103</v>
      </c>
      <c r="M313" s="43" t="s">
        <v>143</v>
      </c>
      <c r="N313" s="43"/>
      <c r="O313" s="43"/>
      <c r="P313" s="43">
        <v>38</v>
      </c>
      <c r="Q313" s="43">
        <v>16.27</v>
      </c>
      <c r="R313" s="43">
        <v>1446</v>
      </c>
      <c r="S313" s="43">
        <v>21.44</v>
      </c>
      <c r="T313" s="43">
        <v>65</v>
      </c>
      <c r="U313" s="43">
        <v>525</v>
      </c>
      <c r="V313" s="43">
        <v>696</v>
      </c>
      <c r="W313" s="43">
        <v>155</v>
      </c>
      <c r="X313" s="43">
        <v>5</v>
      </c>
      <c r="Y313" s="43">
        <v>0</v>
      </c>
      <c r="Z313" s="32">
        <v>103</v>
      </c>
      <c r="AA313" s="43" t="s">
        <v>63</v>
      </c>
      <c r="AB313" s="43">
        <v>30.46</v>
      </c>
      <c r="AC313" s="43">
        <v>63</v>
      </c>
      <c r="AD313" s="43">
        <v>18.04</v>
      </c>
      <c r="AE313" s="43">
        <v>60.39</v>
      </c>
      <c r="AF313" s="43">
        <v>60.39</v>
      </c>
      <c r="AG313" s="43">
        <v>268.24759610140501</v>
      </c>
      <c r="AH313" s="43">
        <v>308.47667001480698</v>
      </c>
      <c r="AI313" s="43">
        <v>331.85392380331899</v>
      </c>
      <c r="AJ313" s="43">
        <v>59.311445456014198</v>
      </c>
      <c r="AK313" s="43">
        <v>0.57583927627198295</v>
      </c>
      <c r="AL313" s="43">
        <v>0.39949172337857403</v>
      </c>
      <c r="AM313" s="43">
        <v>871.83332568431501</v>
      </c>
      <c r="AN313" s="43">
        <v>8.4644012202360699</v>
      </c>
      <c r="AO313" s="43">
        <v>9.02010538155597</v>
      </c>
      <c r="AP313" s="44">
        <v>15</v>
      </c>
      <c r="AQ313" s="44">
        <v>4.120000000000001</v>
      </c>
      <c r="AR313" s="44">
        <v>59.136829609017042</v>
      </c>
      <c r="AS313" s="44">
        <v>61.225340058878999</v>
      </c>
      <c r="AT313" s="44">
        <v>0.97</v>
      </c>
      <c r="AU313" s="44">
        <v>4.0816893372585996</v>
      </c>
      <c r="AV313" s="44">
        <f t="shared" si="39"/>
        <v>61.225340058878992</v>
      </c>
      <c r="AW313" s="44">
        <f>+VLOOKUP(C313,'Etape 1 - surface'!$A$5:$B$58,2,FALSE)</f>
        <v>0</v>
      </c>
      <c r="AX313" s="44">
        <f t="shared" si="35"/>
        <v>0</v>
      </c>
      <c r="AY313" s="44">
        <f>10.8374384236453+(405.147848531042-10.8374384236453)/(1+EXP(-(1.16387919746889*AU313+-2.8965970117006)))</f>
        <v>351.75649657245975</v>
      </c>
      <c r="AZ313" s="63"/>
      <c r="BA313" s="63">
        <f t="shared" si="36"/>
        <v>0</v>
      </c>
      <c r="BB313" s="45"/>
      <c r="BC313" s="65">
        <v>4.4999999999999998E-2</v>
      </c>
      <c r="BD313" s="63">
        <f t="shared" si="33"/>
        <v>-3503.0716309776817</v>
      </c>
    </row>
    <row r="314" spans="1:56" ht="14.45" customHeight="1" x14ac:dyDescent="0.25">
      <c r="A314" t="str">
        <f>+VLOOKUP(D314,Acronyme!$A$1:$C$50,3,FALSE)</f>
        <v>Chêne sessile</v>
      </c>
      <c r="B314" t="str">
        <f>+VLOOKUP(E314,Acronyme!$E$2:$I$50,5,FALSE)</f>
        <v>Guide chênaie atlantique</v>
      </c>
      <c r="C314" t="str">
        <f t="shared" si="38"/>
        <v>Chêne sessile_F2_Classique_Guide chênaie atlantique_</v>
      </c>
      <c r="D314" s="43" t="s">
        <v>60</v>
      </c>
      <c r="E314" s="43" t="s">
        <v>150</v>
      </c>
      <c r="F314" s="43" t="s">
        <v>61</v>
      </c>
      <c r="G314" s="43" t="s">
        <v>62</v>
      </c>
      <c r="H314" s="43">
        <v>18.18</v>
      </c>
      <c r="I314" s="43" t="s">
        <v>142</v>
      </c>
      <c r="J314" s="43">
        <v>1666</v>
      </c>
      <c r="K314" s="43" t="s">
        <v>109</v>
      </c>
      <c r="L314" s="43" t="s">
        <v>103</v>
      </c>
      <c r="M314" s="43" t="s">
        <v>143</v>
      </c>
      <c r="N314" s="43"/>
      <c r="O314" s="43"/>
      <c r="P314" s="43">
        <v>42</v>
      </c>
      <c r="Q314" s="43">
        <v>16.02</v>
      </c>
      <c r="R314" s="43">
        <v>1451</v>
      </c>
      <c r="S314" s="43">
        <v>23.57</v>
      </c>
      <c r="T314" s="43">
        <v>44</v>
      </c>
      <c r="U314" s="43">
        <v>444</v>
      </c>
      <c r="V314" s="43">
        <v>742</v>
      </c>
      <c r="W314" s="43">
        <v>211</v>
      </c>
      <c r="X314" s="43">
        <v>10</v>
      </c>
      <c r="Y314" s="43">
        <v>0</v>
      </c>
      <c r="Z314" s="32">
        <v>104</v>
      </c>
      <c r="AA314" s="43" t="s">
        <v>63</v>
      </c>
      <c r="AB314" s="43">
        <v>28.08</v>
      </c>
      <c r="AC314" s="43">
        <v>164</v>
      </c>
      <c r="AD314" s="43">
        <v>22.16</v>
      </c>
      <c r="AE314" s="43">
        <v>41.48</v>
      </c>
      <c r="AF314" s="43">
        <v>44.9</v>
      </c>
      <c r="AG314" s="43">
        <v>306.70638570157899</v>
      </c>
      <c r="AH314" s="43">
        <v>338.09039268945497</v>
      </c>
      <c r="AI314" s="43">
        <v>366.78774001414098</v>
      </c>
      <c r="AJ314" s="43">
        <v>61.428636114399502</v>
      </c>
      <c r="AK314" s="43">
        <v>0.59065996263845699</v>
      </c>
      <c r="AL314" s="43">
        <v>0.43393916116148101</v>
      </c>
      <c r="AM314" s="43">
        <v>862.99348402957401</v>
      </c>
      <c r="AN314" s="43">
        <v>8.2980142695151393</v>
      </c>
      <c r="AO314" s="43">
        <v>9.2383148583843795</v>
      </c>
      <c r="AP314" s="44">
        <v>34</v>
      </c>
      <c r="AQ314" s="44">
        <v>4.1900000000000013</v>
      </c>
      <c r="AR314" s="44">
        <v>39.611620741602692</v>
      </c>
      <c r="AS314" s="44">
        <v>57.675505445879026</v>
      </c>
      <c r="AT314" s="44">
        <v>0.92</v>
      </c>
      <c r="AU314" s="44">
        <v>1.6963383954670301</v>
      </c>
      <c r="AV314" s="44">
        <f t="shared" si="39"/>
        <v>57.675505445879026</v>
      </c>
      <c r="AW314" s="44">
        <f>+VLOOKUP(C314,'Etape 1 - surface'!$A$5:$B$58,2,FALSE)</f>
        <v>0</v>
      </c>
      <c r="AX314" s="44">
        <f t="shared" si="35"/>
        <v>0</v>
      </c>
      <c r="AY314" s="44">
        <f>10.8374384236453+(405.147848531042-10.8374384236453)/(1+EXP(-(1.16387919746889*AU314+-2.8965970117006)))</f>
        <v>123.01749025911619</v>
      </c>
      <c r="AZ314" s="63"/>
      <c r="BA314" s="63">
        <f t="shared" si="36"/>
        <v>0</v>
      </c>
      <c r="BB314" s="45"/>
      <c r="BC314" s="65">
        <v>4.4999999999999998E-2</v>
      </c>
      <c r="BD314" s="63">
        <f t="shared" si="33"/>
        <v>-3503.0716309776817</v>
      </c>
    </row>
    <row r="315" spans="1:56" ht="14.45" customHeight="1" x14ac:dyDescent="0.25">
      <c r="A315" t="str">
        <f>+VLOOKUP(D315,Acronyme!$A$1:$C$50,3,FALSE)</f>
        <v>Pin sylvestre</v>
      </c>
      <c r="B315" t="str">
        <f>+VLOOKUP(E315,Acronyme!$E$2:$I$50,5,FALSE)</f>
        <v>GS Pineraies des plaines du Centre et du Nord Ouest</v>
      </c>
      <c r="C315" t="str">
        <f t="shared" si="38"/>
        <v>Pin sylvestre_F2_Eclaircie précoce_GS Pineraies des plaines du Centre et du Nord Ouest_</v>
      </c>
      <c r="D315" s="43" t="s">
        <v>106</v>
      </c>
      <c r="E315" s="43" t="s">
        <v>89</v>
      </c>
      <c r="F315" s="43" t="s">
        <v>107</v>
      </c>
      <c r="G315" s="43" t="s">
        <v>62</v>
      </c>
      <c r="H315" s="43">
        <v>23</v>
      </c>
      <c r="I315" s="43" t="s">
        <v>108</v>
      </c>
      <c r="J315" s="43">
        <v>2500</v>
      </c>
      <c r="K315" s="43" t="s">
        <v>109</v>
      </c>
      <c r="L315" s="43" t="s">
        <v>110</v>
      </c>
      <c r="M315" s="43" t="s">
        <v>111</v>
      </c>
      <c r="N315" s="43">
        <v>2003</v>
      </c>
      <c r="O315" s="43"/>
      <c r="P315" s="43">
        <v>24</v>
      </c>
      <c r="Q315" s="43">
        <v>11.4</v>
      </c>
      <c r="R315" s="43">
        <v>2157</v>
      </c>
      <c r="S315" s="43">
        <v>40.299999999999997</v>
      </c>
      <c r="T315" s="43">
        <v>0</v>
      </c>
      <c r="U315" s="43">
        <v>600</v>
      </c>
      <c r="V315" s="43">
        <v>1043</v>
      </c>
      <c r="W315" s="43">
        <v>457</v>
      </c>
      <c r="X315" s="43">
        <v>57</v>
      </c>
      <c r="Y315" s="43">
        <v>0</v>
      </c>
      <c r="Z315" s="32">
        <v>105</v>
      </c>
      <c r="AA315" s="43" t="s">
        <v>63</v>
      </c>
      <c r="AB315" s="43">
        <v>31.69</v>
      </c>
      <c r="AC315" s="43">
        <v>0</v>
      </c>
      <c r="AD315" s="43">
        <v>0</v>
      </c>
      <c r="AE315" s="43">
        <v>0</v>
      </c>
      <c r="AF315" s="43">
        <v>0</v>
      </c>
      <c r="AG315" s="43">
        <v>0</v>
      </c>
      <c r="AH315" s="43">
        <v>0</v>
      </c>
      <c r="AI315" s="43">
        <v>0</v>
      </c>
      <c r="AJ315" s="43">
        <v>84.715979743180199</v>
      </c>
      <c r="AK315" s="43">
        <v>0.80681885469695402</v>
      </c>
      <c r="AL315" s="43"/>
      <c r="AM315" s="43">
        <v>949.60198010559498</v>
      </c>
      <c r="AN315" s="43">
        <v>9.0438283819580505</v>
      </c>
      <c r="AO315" s="43"/>
      <c r="AP315" s="44">
        <v>63</v>
      </c>
      <c r="AQ315" s="44">
        <v>10.4807246581841</v>
      </c>
      <c r="AR315" s="44">
        <v>46.023584520418247</v>
      </c>
      <c r="AS315" s="44">
        <v>145.80988168858499</v>
      </c>
      <c r="AT315" s="44">
        <v>1</v>
      </c>
      <c r="AU315" s="44">
        <v>2.314442566485476</v>
      </c>
      <c r="AV315" s="44">
        <f t="shared" si="39"/>
        <v>145.80988168858499</v>
      </c>
      <c r="AW315" s="44">
        <f>+VLOOKUP(C315,'Etape 1 - surface'!$A$5:$B$58,2,FALSE)</f>
        <v>0</v>
      </c>
      <c r="AX315" s="44">
        <f t="shared" si="35"/>
        <v>0</v>
      </c>
      <c r="AY315" s="44">
        <f>10.0046474463505+(37.1112351801373-10.0046474463505)/(1+EXP(-(0.581180949782075*AU315+-0.955447614584994)))</f>
        <v>26.165633157668914</v>
      </c>
      <c r="AZ315" s="63"/>
      <c r="BA315" s="63">
        <f t="shared" si="36"/>
        <v>0</v>
      </c>
      <c r="BB315" s="45"/>
      <c r="BC315" s="65">
        <v>4.4999999999999998E-2</v>
      </c>
      <c r="BD315" s="63">
        <f t="shared" si="33"/>
        <v>-3503.0716309776817</v>
      </c>
    </row>
    <row r="316" spans="1:56" ht="15" x14ac:dyDescent="0.25">
      <c r="A316" t="str">
        <f>+VLOOKUP(D316,Acronyme!$A$1:$C$50,3,FALSE)</f>
        <v>Hêtre commun</v>
      </c>
      <c r="B316" t="str">
        <f>+VLOOKUP(E316,Acronyme!$E$2:$I$50,5,FALSE)</f>
        <v>GS Hêtraies et hêtraies sapinières des Pyrénées</v>
      </c>
      <c r="C316" t="str">
        <f t="shared" si="38"/>
        <v>Hêtre commun_F2_Entree 19-20m_GS Hêtraies et hêtraies sapinières des Pyrénées_</v>
      </c>
      <c r="D316" s="43" t="s">
        <v>126</v>
      </c>
      <c r="E316" s="43" t="s">
        <v>127</v>
      </c>
      <c r="F316" s="43" t="s">
        <v>113</v>
      </c>
      <c r="G316" s="43" t="s">
        <v>62</v>
      </c>
      <c r="H316" s="43">
        <v>18</v>
      </c>
      <c r="I316" s="43">
        <v>55</v>
      </c>
      <c r="J316" s="43">
        <v>1666</v>
      </c>
      <c r="K316" s="43" t="s">
        <v>109</v>
      </c>
      <c r="L316" s="43" t="s">
        <v>103</v>
      </c>
      <c r="M316" s="43" t="s">
        <v>128</v>
      </c>
      <c r="N316" s="43"/>
      <c r="O316" s="43"/>
      <c r="P316" s="43">
        <v>57</v>
      </c>
      <c r="Q316" s="43">
        <v>19.899999999999999</v>
      </c>
      <c r="R316" s="43">
        <v>1402</v>
      </c>
      <c r="S316" s="43">
        <v>28.51</v>
      </c>
      <c r="T316" s="43">
        <v>50</v>
      </c>
      <c r="U316" s="43">
        <v>303</v>
      </c>
      <c r="V316" s="43">
        <v>595</v>
      </c>
      <c r="W316" s="43">
        <v>375</v>
      </c>
      <c r="X316" s="43">
        <v>75</v>
      </c>
      <c r="Y316" s="43">
        <v>4</v>
      </c>
      <c r="Z316" s="32">
        <v>105</v>
      </c>
      <c r="AA316" s="43" t="s">
        <v>63</v>
      </c>
      <c r="AB316" s="43">
        <v>30.73</v>
      </c>
      <c r="AC316" s="43">
        <v>156</v>
      </c>
      <c r="AD316" s="43">
        <v>17.93</v>
      </c>
      <c r="AE316" s="43">
        <v>38.26</v>
      </c>
      <c r="AF316" s="43">
        <v>41.73</v>
      </c>
      <c r="AG316" s="43">
        <v>258.496012468782</v>
      </c>
      <c r="AH316" s="43">
        <v>281.70370708568203</v>
      </c>
      <c r="AI316" s="43">
        <v>314.77615690724701</v>
      </c>
      <c r="AJ316" s="43">
        <v>57.627545479088901</v>
      </c>
      <c r="AK316" s="43">
        <v>0.54883376646751303</v>
      </c>
      <c r="AL316" s="43">
        <v>0.428428998760637</v>
      </c>
      <c r="AM316" s="43">
        <v>856.31964961117205</v>
      </c>
      <c r="AN316" s="43">
        <v>8.1554252343921103</v>
      </c>
      <c r="AO316" s="43">
        <v>9.4448413064245305</v>
      </c>
      <c r="AP316" s="44">
        <v>56</v>
      </c>
      <c r="AQ316" s="44">
        <v>5.3599999999999994</v>
      </c>
      <c r="AR316" s="44">
        <v>34.909484895585095</v>
      </c>
      <c r="AS316" s="44">
        <v>75.987899299737023</v>
      </c>
      <c r="AT316" s="44">
        <v>0.87</v>
      </c>
      <c r="AU316" s="44">
        <v>1.3569267732095898</v>
      </c>
      <c r="AV316" s="44">
        <f t="shared" si="39"/>
        <v>75.987899299737023</v>
      </c>
      <c r="AW316" s="44">
        <f>+VLOOKUP(C316,'Etape 1 - surface'!$A$5:$B$58,2,FALSE)</f>
        <v>0</v>
      </c>
      <c r="AX316" s="44">
        <f t="shared" si="35"/>
        <v>0</v>
      </c>
      <c r="AY316" s="44">
        <f>5.93488073153274+(78.4394250513347-5.93488073153274)/(1+EXP(-(1.03516193614659*AU316+-2.09091784316379)))</f>
        <v>30.213851166718094</v>
      </c>
      <c r="AZ316" s="63"/>
      <c r="BA316" s="63">
        <f t="shared" si="36"/>
        <v>0</v>
      </c>
      <c r="BB316" s="45"/>
      <c r="BC316" s="65">
        <v>4.4999999999999998E-2</v>
      </c>
      <c r="BD316" s="63">
        <f t="shared" si="33"/>
        <v>-3503.0716309776817</v>
      </c>
    </row>
    <row r="317" spans="1:56" ht="14.45" customHeight="1" x14ac:dyDescent="0.25">
      <c r="A317" t="str">
        <f>+VLOOKUP(D317,Acronyme!$A$1:$C$50,3,FALSE)</f>
        <v>Pin Noir d'Autriche</v>
      </c>
      <c r="B317" t="str">
        <f>+VLOOKUP(E317,Acronyme!$E$2:$I$50,5,FALSE)</f>
        <v>GSM Alpes du Sud</v>
      </c>
      <c r="C317" t="str">
        <f t="shared" si="38"/>
        <v>Pin Noir d'Autriche_F1_PO1_d4_GSM Alpes du Sud_</v>
      </c>
      <c r="D317" s="43" t="s">
        <v>131</v>
      </c>
      <c r="E317" s="43" t="s">
        <v>132</v>
      </c>
      <c r="F317" s="43" t="s">
        <v>133</v>
      </c>
      <c r="G317" s="43" t="s">
        <v>100</v>
      </c>
      <c r="H317" s="43">
        <v>18.2</v>
      </c>
      <c r="I317" s="43" t="s">
        <v>108</v>
      </c>
      <c r="J317" s="43">
        <v>1100</v>
      </c>
      <c r="K317" s="43" t="s">
        <v>109</v>
      </c>
      <c r="L317" s="43" t="s">
        <v>134</v>
      </c>
      <c r="M317" s="43" t="s">
        <v>135</v>
      </c>
      <c r="N317" s="43"/>
      <c r="O317" s="43"/>
      <c r="P317" s="43">
        <v>15</v>
      </c>
      <c r="Q317" s="43">
        <v>4.9000000000000004</v>
      </c>
      <c r="R317" s="43">
        <v>6000</v>
      </c>
      <c r="S317" s="43">
        <v>19.7</v>
      </c>
      <c r="T317" s="43">
        <v>5448</v>
      </c>
      <c r="U317" s="43">
        <v>552</v>
      </c>
      <c r="V317" s="43">
        <v>0</v>
      </c>
      <c r="W317" s="43">
        <v>0</v>
      </c>
      <c r="X317" s="43">
        <v>0</v>
      </c>
      <c r="Y317" s="43">
        <v>0</v>
      </c>
      <c r="Z317" s="32">
        <v>105</v>
      </c>
      <c r="AA317" s="43" t="s">
        <v>63</v>
      </c>
      <c r="AB317" s="43">
        <v>25.5</v>
      </c>
      <c r="AC317" s="43">
        <v>0</v>
      </c>
      <c r="AD317" s="43">
        <v>0</v>
      </c>
      <c r="AE317" s="43">
        <v>0</v>
      </c>
      <c r="AF317" s="43">
        <v>0</v>
      </c>
      <c r="AG317" s="43">
        <v>0</v>
      </c>
      <c r="AH317" s="43">
        <v>0</v>
      </c>
      <c r="AI317" s="43">
        <v>0</v>
      </c>
      <c r="AJ317" s="43">
        <v>76.393018581771798</v>
      </c>
      <c r="AK317" s="43">
        <v>0.72755255792163698</v>
      </c>
      <c r="AL317" s="43"/>
      <c r="AM317" s="43">
        <v>884.34155403874502</v>
      </c>
      <c r="AN317" s="43">
        <v>8.4223005146547205</v>
      </c>
      <c r="AO317" s="43"/>
      <c r="AP317" s="44">
        <v>125</v>
      </c>
      <c r="AQ317" s="44">
        <v>21.93</v>
      </c>
      <c r="AR317" s="44">
        <v>47.262791467319929</v>
      </c>
      <c r="AS317" s="44">
        <v>256.22748751950297</v>
      </c>
      <c r="AT317" s="44">
        <v>1</v>
      </c>
      <c r="AU317" s="44">
        <v>2.0498199001560238</v>
      </c>
      <c r="AV317" s="44">
        <f t="shared" si="39"/>
        <v>256.22748751950297</v>
      </c>
      <c r="AW317" s="44">
        <f>+VLOOKUP(C317,'Etape 1 - surface'!$A$5:$B$58,2,FALSE)</f>
        <v>0</v>
      </c>
      <c r="AX317" s="44">
        <f t="shared" si="35"/>
        <v>0</v>
      </c>
      <c r="AY317" s="44">
        <f>10.0046474463505+(37.1112351801373-10.0046474463505)/(1+EXP(-(0.581180949782075*AU317+-0.955447614584994)))</f>
        <v>25.148970507969771</v>
      </c>
      <c r="AZ317" s="63"/>
      <c r="BA317" s="63">
        <f t="shared" si="36"/>
        <v>0</v>
      </c>
      <c r="BB317" s="45"/>
      <c r="BC317" s="65">
        <v>4.4999999999999998E-2</v>
      </c>
      <c r="BD317" s="63">
        <f t="shared" si="33"/>
        <v>-3503.0716309776817</v>
      </c>
    </row>
    <row r="318" spans="1:56" ht="14.45" customHeight="1" x14ac:dyDescent="0.25">
      <c r="A318" t="str">
        <f>+VLOOKUP(D318,Acronyme!$A$1:$C$50,3,FALSE)</f>
        <v>Pin sylvestre</v>
      </c>
      <c r="B318" t="str">
        <f>+VLOOKUP(E318,Acronyme!$E$2:$I$50,5,FALSE)</f>
        <v>GSM Alpes du Sud</v>
      </c>
      <c r="C318" t="str">
        <f t="shared" si="38"/>
        <v>Pin sylvestre_F2_PS2_d2_GSM Alpes du Sud_</v>
      </c>
      <c r="D318" s="43" t="s">
        <v>106</v>
      </c>
      <c r="E318" s="43" t="s">
        <v>132</v>
      </c>
      <c r="F318" s="43" t="s">
        <v>138</v>
      </c>
      <c r="G318" s="43" t="s">
        <v>62</v>
      </c>
      <c r="H318" s="43">
        <v>11</v>
      </c>
      <c r="I318" s="43" t="s">
        <v>139</v>
      </c>
      <c r="J318" s="43">
        <v>1100</v>
      </c>
      <c r="K318" s="43" t="s">
        <v>109</v>
      </c>
      <c r="L318" s="43" t="s">
        <v>134</v>
      </c>
      <c r="M318" s="43" t="s">
        <v>135</v>
      </c>
      <c r="N318" s="43"/>
      <c r="O318" s="43"/>
      <c r="P318" s="43">
        <v>20</v>
      </c>
      <c r="Q318" s="43">
        <v>4.46</v>
      </c>
      <c r="R318" s="43">
        <v>6000</v>
      </c>
      <c r="S318" s="43">
        <v>7.1</v>
      </c>
      <c r="T318" s="43">
        <v>6000</v>
      </c>
      <c r="U318" s="43">
        <v>0</v>
      </c>
      <c r="V318" s="43">
        <v>0</v>
      </c>
      <c r="W318" s="43">
        <v>0</v>
      </c>
      <c r="X318" s="43">
        <v>0</v>
      </c>
      <c r="Y318" s="43">
        <v>0</v>
      </c>
      <c r="Z318" s="32">
        <v>105</v>
      </c>
      <c r="AA318" s="43" t="e">
        <f>IF(#REF!=Z318,"ap","av")</f>
        <v>#REF!</v>
      </c>
      <c r="AB318" s="43">
        <v>13.08</v>
      </c>
      <c r="AC318" s="43">
        <v>125</v>
      </c>
      <c r="AD318" s="43">
        <v>15.06</v>
      </c>
      <c r="AE318" s="43">
        <v>39.159999999999997</v>
      </c>
      <c r="AF318" s="43">
        <v>40.450000000000003</v>
      </c>
      <c r="AG318" s="43">
        <v>87.256350983704095</v>
      </c>
      <c r="AH318" s="43">
        <v>91.473706407088201</v>
      </c>
      <c r="AI318" s="43">
        <v>127.98762280551399</v>
      </c>
      <c r="AJ318" s="43">
        <v>59.371325287987098</v>
      </c>
      <c r="AK318" s="43">
        <v>4.5743976871375098</v>
      </c>
      <c r="AL318" s="43">
        <v>0.45831587654731398</v>
      </c>
      <c r="AM318" s="43">
        <v>480.31175714943799</v>
      </c>
      <c r="AN318" s="43">
        <v>4.3718297673382001</v>
      </c>
      <c r="AO318" s="43">
        <v>4.2264281979891596</v>
      </c>
      <c r="AP318" s="44">
        <v>116</v>
      </c>
      <c r="AQ318" s="44">
        <v>13.089999999999998</v>
      </c>
      <c r="AR318" s="44">
        <v>37.90494649799416</v>
      </c>
      <c r="AS318" s="44">
        <v>76.0940772624609</v>
      </c>
      <c r="AT318" s="44">
        <v>0.97</v>
      </c>
      <c r="AU318" s="44">
        <v>0.65598342467638704</v>
      </c>
      <c r="AV318" s="44">
        <f t="shared" si="39"/>
        <v>76.0940772624609</v>
      </c>
      <c r="AW318" s="44">
        <f>+VLOOKUP(C318,'Etape 1 - surface'!$A$5:$B$58,2,FALSE)</f>
        <v>0</v>
      </c>
      <c r="AX318" s="44">
        <f t="shared" si="35"/>
        <v>0</v>
      </c>
      <c r="AY318" s="44">
        <f>10.0046474463505+(37.1112351801373-10.0046474463505)/(1+EXP(-(0.581180949782075*AU318+-0.955447614584994)))</f>
        <v>19.770274818007302</v>
      </c>
      <c r="AZ318" s="63"/>
      <c r="BA318" s="63">
        <f t="shared" si="36"/>
        <v>0</v>
      </c>
      <c r="BB318" s="45"/>
      <c r="BC318" s="65">
        <v>4.4999999999999998E-2</v>
      </c>
      <c r="BD318" s="63">
        <f t="shared" si="33"/>
        <v>-3503.0716309776817</v>
      </c>
    </row>
    <row r="319" spans="1:56" ht="14.45" customHeight="1" x14ac:dyDescent="0.25">
      <c r="C319" t="s">
        <v>262</v>
      </c>
      <c r="D319" s="43" t="s">
        <v>207</v>
      </c>
      <c r="E319" s="43" t="s">
        <v>208</v>
      </c>
      <c r="F319" s="43" t="s">
        <v>259</v>
      </c>
      <c r="G319" s="43" t="s">
        <v>62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2">
        <v>105</v>
      </c>
      <c r="AA319" s="43" t="s">
        <v>63</v>
      </c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44">
        <v>81</v>
      </c>
      <c r="AQ319" s="1"/>
      <c r="AR319" s="1"/>
      <c r="AS319" s="1"/>
      <c r="AT319" s="1"/>
      <c r="AU319" s="44">
        <f>AV319/AP319</f>
        <v>4.3950617283950617</v>
      </c>
      <c r="AV319" s="44">
        <v>356</v>
      </c>
      <c r="AW319" s="44">
        <f>+VLOOKUP(C319,'Etape 1 - surface'!$A$5:$B$58,2,FALSE)</f>
        <v>0</v>
      </c>
      <c r="AX319" s="44">
        <f t="shared" si="35"/>
        <v>0</v>
      </c>
      <c r="AY319" s="44">
        <f>82.5251889/(1+EXP(-(0.26195064*AU319+(-0.34406779))))</f>
        <v>57.067578869456646</v>
      </c>
      <c r="AZ319" s="63"/>
      <c r="BA319" s="63">
        <f t="shared" si="36"/>
        <v>0</v>
      </c>
      <c r="BB319" s="45"/>
      <c r="BC319" s="65">
        <v>4.4999999999999998E-2</v>
      </c>
      <c r="BD319" s="63">
        <f t="shared" si="33"/>
        <v>-3503.0716309776817</v>
      </c>
    </row>
    <row r="320" spans="1:56" ht="14.45" customHeight="1" x14ac:dyDescent="0.25">
      <c r="A320" t="str">
        <f>+VLOOKUP(D320,Acronyme!$A$1:$C$50,3,FALSE)</f>
        <v>Chene_pedoncule</v>
      </c>
      <c r="B320" t="str">
        <f>+VLOOKUP(E320,Acronyme!$E$2:$I$50,5,FALSE)</f>
        <v>Guide chênaie continentale</v>
      </c>
      <c r="C320" t="str">
        <f>+_xlfn.CONCAT(A320,"_",G320,"_",F320,"_",B320,"_")</f>
        <v>Chene_pedoncule_F1_Dynamique_Guide chênaie continentale_</v>
      </c>
      <c r="D320" s="43" t="s">
        <v>145</v>
      </c>
      <c r="E320" s="43" t="s">
        <v>65</v>
      </c>
      <c r="F320" s="43" t="s">
        <v>66</v>
      </c>
      <c r="G320" s="43" t="s">
        <v>100</v>
      </c>
      <c r="H320" s="43">
        <v>26</v>
      </c>
      <c r="I320" s="43" t="s">
        <v>144</v>
      </c>
      <c r="J320" s="43">
        <v>1600</v>
      </c>
      <c r="K320" s="43" t="s">
        <v>109</v>
      </c>
      <c r="L320" s="43" t="s">
        <v>103</v>
      </c>
      <c r="M320" s="43" t="s">
        <v>143</v>
      </c>
      <c r="N320" s="43"/>
      <c r="O320" s="43"/>
      <c r="P320" s="43">
        <v>31</v>
      </c>
      <c r="Q320" s="43">
        <v>16.22</v>
      </c>
      <c r="R320" s="43">
        <v>1446</v>
      </c>
      <c r="S320" s="43">
        <v>21.44</v>
      </c>
      <c r="T320" s="43">
        <v>65</v>
      </c>
      <c r="U320" s="43">
        <v>525</v>
      </c>
      <c r="V320" s="43">
        <v>696</v>
      </c>
      <c r="W320" s="43">
        <v>155</v>
      </c>
      <c r="X320" s="43">
        <v>5</v>
      </c>
      <c r="Y320" s="43">
        <v>0</v>
      </c>
      <c r="Z320" s="32">
        <v>106</v>
      </c>
      <c r="AA320" s="43" t="s">
        <v>63</v>
      </c>
      <c r="AB320" s="43">
        <v>36.01</v>
      </c>
      <c r="AC320" s="43">
        <v>0</v>
      </c>
      <c r="AD320" s="43">
        <v>0</v>
      </c>
      <c r="AE320" s="43">
        <v>0</v>
      </c>
      <c r="AF320" s="43">
        <v>0</v>
      </c>
      <c r="AG320" s="43">
        <v>0</v>
      </c>
      <c r="AH320" s="43">
        <v>0</v>
      </c>
      <c r="AI320" s="43">
        <v>0</v>
      </c>
      <c r="AJ320" s="43">
        <v>71.287950476655794</v>
      </c>
      <c r="AK320" s="43">
        <v>0.67252783468543198</v>
      </c>
      <c r="AL320" s="43"/>
      <c r="AM320" s="43">
        <v>1172.3655539077099</v>
      </c>
      <c r="AN320" s="43">
        <v>11.0600523953558</v>
      </c>
      <c r="AO320" s="43"/>
      <c r="AP320" s="44">
        <v>14</v>
      </c>
      <c r="AQ320" s="44">
        <v>6.3313097510094796</v>
      </c>
      <c r="AR320" s="44">
        <v>75.881834570754094</v>
      </c>
      <c r="AS320" s="44">
        <v>111.90693256422099</v>
      </c>
      <c r="AT320" s="44">
        <v>1</v>
      </c>
      <c r="AU320" s="44">
        <v>7.9933523260157857</v>
      </c>
      <c r="AV320" s="44">
        <f>+AU320*AP320</f>
        <v>111.90693256422099</v>
      </c>
      <c r="AW320" s="44">
        <f>+VLOOKUP(C320,'Etape 1 - surface'!$A$5:$B$58,2,FALSE)</f>
        <v>0</v>
      </c>
      <c r="AX320" s="44">
        <f t="shared" si="35"/>
        <v>0</v>
      </c>
      <c r="AY320" s="44">
        <f>10.8374384236453+(405.147848531042-10.8374384236453)/(1+EXP(-(1.16387919746889*AU320+-2.8965970117006)))</f>
        <v>404.49812616659381</v>
      </c>
      <c r="AZ320" s="63"/>
      <c r="BA320" s="63">
        <f t="shared" si="36"/>
        <v>0</v>
      </c>
      <c r="BB320" s="45"/>
      <c r="BC320" s="65">
        <v>4.4999999999999998E-2</v>
      </c>
      <c r="BD320" s="63">
        <f t="shared" si="33"/>
        <v>-3503.0716309776817</v>
      </c>
    </row>
    <row r="321" spans="1:56" ht="15" x14ac:dyDescent="0.25">
      <c r="A321" t="str">
        <f>+VLOOKUP(D321,Acronyme!$A$1:$C$50,3,FALSE)</f>
        <v>Sapin pectiné</v>
      </c>
      <c r="B321" t="str">
        <f>+VLOOKUP(E321,Acronyme!$E$2:$I$50,5,FALSE)</f>
        <v>GS Arc Jurassien</v>
      </c>
      <c r="C321" t="str">
        <f>+_xlfn.CONCAT(A321,"_",G321,"_",F321,"_",B321,"_")</f>
        <v>Sapin pectiné_F1_Cas général_GS Arc Jurassien_</v>
      </c>
      <c r="D321" s="43" t="s">
        <v>129</v>
      </c>
      <c r="E321" s="43" t="s">
        <v>119</v>
      </c>
      <c r="F321" s="43" t="s">
        <v>130</v>
      </c>
      <c r="G321" s="43" t="s">
        <v>100</v>
      </c>
      <c r="H321" s="43">
        <v>20</v>
      </c>
      <c r="I321" s="43" t="s">
        <v>122</v>
      </c>
      <c r="J321" s="43">
        <v>2000</v>
      </c>
      <c r="K321" s="43" t="s">
        <v>102</v>
      </c>
      <c r="L321" s="43" t="s">
        <v>103</v>
      </c>
      <c r="M321" s="43" t="s">
        <v>123</v>
      </c>
      <c r="N321" s="43"/>
      <c r="O321" s="43"/>
      <c r="P321" s="43">
        <v>45</v>
      </c>
      <c r="Q321" s="43">
        <v>17.7</v>
      </c>
      <c r="R321" s="43">
        <v>1853</v>
      </c>
      <c r="S321" s="43">
        <v>45.68</v>
      </c>
      <c r="T321" s="43">
        <v>0</v>
      </c>
      <c r="U321" s="43">
        <v>0</v>
      </c>
      <c r="V321" s="43">
        <v>1079</v>
      </c>
      <c r="W321" s="43">
        <v>672</v>
      </c>
      <c r="X321" s="43">
        <v>94</v>
      </c>
      <c r="Y321" s="43">
        <v>8</v>
      </c>
      <c r="Z321" s="32">
        <v>107</v>
      </c>
      <c r="AA321" s="43" t="s">
        <v>63</v>
      </c>
      <c r="AB321" s="43">
        <v>36.241062149804897</v>
      </c>
      <c r="AC321" s="43">
        <v>144</v>
      </c>
      <c r="AD321" s="43">
        <v>29.01</v>
      </c>
      <c r="AE321" s="43">
        <v>50.6484796921712</v>
      </c>
      <c r="AF321" s="43">
        <v>52.5024937445693</v>
      </c>
      <c r="AG321" s="43">
        <v>520.27011659737002</v>
      </c>
      <c r="AH321" s="43">
        <v>521.91833624417302</v>
      </c>
      <c r="AI321" s="43">
        <v>559.624155863449</v>
      </c>
      <c r="AJ321" s="43">
        <v>105.84676994679999</v>
      </c>
      <c r="AK321" s="43">
        <v>0.98922214903551697</v>
      </c>
      <c r="AL321" s="43">
        <v>0.49712608267477099</v>
      </c>
      <c r="AM321" s="43">
        <v>1625.3470265850999</v>
      </c>
      <c r="AN321" s="43">
        <v>15.1901591269636</v>
      </c>
      <c r="AO321" s="43">
        <v>12.112131917597299</v>
      </c>
      <c r="AP321" s="44">
        <v>26</v>
      </c>
      <c r="AQ321" s="44">
        <v>5.149999999999995</v>
      </c>
      <c r="AR321" s="44">
        <v>50.219455528809064</v>
      </c>
      <c r="AS321" s="44">
        <v>92.220624955484936</v>
      </c>
      <c r="AT321" s="44">
        <v>0.98579731213742317</v>
      </c>
      <c r="AU321" s="44">
        <v>3.5469471136724975</v>
      </c>
      <c r="AV321" s="44">
        <f>+AU321*AP321</f>
        <v>92.220624955484936</v>
      </c>
      <c r="AW321" s="44">
        <f>+VLOOKUP(C321,'Etape 1 - surface'!$A$5:$B$58,2,FALSE)</f>
        <v>0</v>
      </c>
      <c r="AX321" s="44">
        <f t="shared" si="35"/>
        <v>0</v>
      </c>
      <c r="AY321" s="44">
        <f>12.60067150914+(56.0435691950881-12.60067150914)/(1+EXP(-(0.12255140894824*AU321+-0.18958347271504)))</f>
        <v>36.970836105568836</v>
      </c>
      <c r="AZ321" s="63"/>
      <c r="BA321" s="63">
        <f t="shared" si="36"/>
        <v>0</v>
      </c>
      <c r="BB321" s="45"/>
      <c r="BC321" s="65">
        <v>4.4999999999999998E-2</v>
      </c>
      <c r="BD321" s="63">
        <f t="shared" si="33"/>
        <v>-3503.0716309776817</v>
      </c>
    </row>
    <row r="322" spans="1:56" ht="14.45" customHeight="1" x14ac:dyDescent="0.25">
      <c r="A322" t="str">
        <f>+VLOOKUP(D322,Acronyme!$A$1:$C$50,3,FALSE)</f>
        <v>Sapin pectiné</v>
      </c>
      <c r="B322" t="str">
        <f>+VLOOKUP(E322,Acronyme!$E$2:$I$50,5,FALSE)</f>
        <v>GS Arc Jurassien</v>
      </c>
      <c r="C322" t="str">
        <f>+_xlfn.CONCAT(A322,"_",G322,"_",F322,"_",B322,"_")</f>
        <v>Sapin pectiné_F2_Cas général_GS Arc Jurassien_</v>
      </c>
      <c r="D322" s="43" t="s">
        <v>129</v>
      </c>
      <c r="E322" s="43" t="s">
        <v>119</v>
      </c>
      <c r="F322" s="43" t="s">
        <v>130</v>
      </c>
      <c r="G322" s="43" t="s">
        <v>62</v>
      </c>
      <c r="H322" s="43">
        <v>15.5</v>
      </c>
      <c r="I322" s="43" t="s">
        <v>101</v>
      </c>
      <c r="J322" s="43">
        <v>2000</v>
      </c>
      <c r="K322" s="43" t="s">
        <v>102</v>
      </c>
      <c r="L322" s="43" t="s">
        <v>103</v>
      </c>
      <c r="M322" s="43" t="s">
        <v>123</v>
      </c>
      <c r="N322" s="43"/>
      <c r="O322" s="43"/>
      <c r="P322" s="43">
        <v>57</v>
      </c>
      <c r="Q322" s="43">
        <v>18.22</v>
      </c>
      <c r="R322" s="43">
        <v>1862</v>
      </c>
      <c r="S322" s="43">
        <v>45.64</v>
      </c>
      <c r="T322" s="43">
        <v>0</v>
      </c>
      <c r="U322" s="43">
        <v>0</v>
      </c>
      <c r="V322" s="43">
        <v>1085</v>
      </c>
      <c r="W322" s="43">
        <v>663</v>
      </c>
      <c r="X322" s="43">
        <v>114</v>
      </c>
      <c r="Y322" s="43">
        <v>0</v>
      </c>
      <c r="Z322" s="32">
        <v>108</v>
      </c>
      <c r="AA322" s="43" t="s">
        <v>63</v>
      </c>
      <c r="AB322" s="43">
        <v>31.523462246443501</v>
      </c>
      <c r="AC322" s="43">
        <v>234</v>
      </c>
      <c r="AD322" s="43">
        <v>28.87</v>
      </c>
      <c r="AE322" s="43">
        <v>39.632099212274603</v>
      </c>
      <c r="AF322" s="43">
        <v>43.689820403782399</v>
      </c>
      <c r="AG322" s="43">
        <v>443.74209568038498</v>
      </c>
      <c r="AH322" s="43">
        <v>445.34165961130498</v>
      </c>
      <c r="AI322" s="43">
        <v>489.530898962636</v>
      </c>
      <c r="AJ322" s="43">
        <v>89.054590591028102</v>
      </c>
      <c r="AK322" s="43">
        <v>0.82457954250952004</v>
      </c>
      <c r="AL322" s="43">
        <v>0.54964124816232396</v>
      </c>
      <c r="AM322" s="43">
        <v>1255.8230776842399</v>
      </c>
      <c r="AN322" s="43">
        <v>11.627991460039199</v>
      </c>
      <c r="AO322" s="43">
        <v>12.030541077604701</v>
      </c>
      <c r="AP322" s="44">
        <v>47</v>
      </c>
      <c r="AQ322" s="44">
        <v>5.3199999999999967</v>
      </c>
      <c r="AR322" s="44">
        <v>37.963124263262181</v>
      </c>
      <c r="AS322" s="44">
        <v>81.442182552525992</v>
      </c>
      <c r="AT322" s="44">
        <v>0.93019922242586395</v>
      </c>
      <c r="AU322" s="44">
        <v>1.7328123947345955</v>
      </c>
      <c r="AV322" s="44">
        <f>+AU322*AP322</f>
        <v>81.442182552525992</v>
      </c>
      <c r="AW322" s="44">
        <f>+VLOOKUP(C322,'Etape 1 - surface'!$A$5:$B$58,2,FALSE)</f>
        <v>0</v>
      </c>
      <c r="AX322" s="44">
        <f t="shared" si="35"/>
        <v>0</v>
      </c>
      <c r="AY322" s="44">
        <f>12.60067150914+(56.0435691950881-12.60067150914)/(1+EXP(-(0.12255140894824*AU322+-0.18958347271504)))</f>
        <v>34.569464046285262</v>
      </c>
      <c r="AZ322" s="63"/>
      <c r="BA322" s="63">
        <f t="shared" si="36"/>
        <v>0</v>
      </c>
      <c r="BB322" s="45"/>
      <c r="BC322" s="65">
        <v>4.4999999999999998E-2</v>
      </c>
      <c r="BD322" s="63">
        <f t="shared" si="33"/>
        <v>-3503.0716309776817</v>
      </c>
    </row>
    <row r="323" spans="1:56" ht="15" x14ac:dyDescent="0.25">
      <c r="A323" t="str">
        <f>+VLOOKUP(D323,Acronyme!$A$1:$C$50,3,FALSE)</f>
        <v>Chêne sessile</v>
      </c>
      <c r="B323" t="str">
        <f>+VLOOKUP(E323,Acronyme!$E$2:$I$50,5,FALSE)</f>
        <v>Guide chênaie continentale</v>
      </c>
      <c r="C323" t="str">
        <f>+_xlfn.CONCAT(A323,"_",G323,"_",F323,"_",B323,"_")</f>
        <v>Chêne sessile_F1_Dynamique_Guide chênaie continentale_</v>
      </c>
      <c r="D323" s="43" t="s">
        <v>60</v>
      </c>
      <c r="E323" s="43" t="s">
        <v>65</v>
      </c>
      <c r="F323" s="43" t="s">
        <v>66</v>
      </c>
      <c r="G323" s="43" t="s">
        <v>100</v>
      </c>
      <c r="H323" s="43">
        <v>21.5</v>
      </c>
      <c r="I323" s="43" t="s">
        <v>144</v>
      </c>
      <c r="J323" s="43">
        <v>1666</v>
      </c>
      <c r="K323" s="43" t="s">
        <v>109</v>
      </c>
      <c r="L323" s="43" t="s">
        <v>103</v>
      </c>
      <c r="M323" s="43" t="s">
        <v>143</v>
      </c>
      <c r="N323" s="43"/>
      <c r="O323" s="43"/>
      <c r="P323" s="43">
        <v>35</v>
      </c>
      <c r="Q323" s="43">
        <v>16.59</v>
      </c>
      <c r="R323" s="43">
        <v>1453</v>
      </c>
      <c r="S323" s="43">
        <v>26.19</v>
      </c>
      <c r="T323" s="43">
        <v>41</v>
      </c>
      <c r="U323" s="43">
        <v>369</v>
      </c>
      <c r="V323" s="43">
        <v>713</v>
      </c>
      <c r="W323" s="43">
        <v>301</v>
      </c>
      <c r="X323" s="43">
        <v>28</v>
      </c>
      <c r="Y323" s="43">
        <v>0</v>
      </c>
      <c r="Z323" s="32">
        <v>109</v>
      </c>
      <c r="AA323" s="43" t="s">
        <v>63</v>
      </c>
      <c r="AB323" s="43">
        <v>33.6</v>
      </c>
      <c r="AC323" s="43">
        <v>66</v>
      </c>
      <c r="AD323" s="43">
        <v>22.17</v>
      </c>
      <c r="AE323" s="43">
        <v>65.39</v>
      </c>
      <c r="AF323" s="43">
        <v>65.39</v>
      </c>
      <c r="AG323" s="43">
        <v>371.00438175599697</v>
      </c>
      <c r="AH323" s="43">
        <v>417.787131308178</v>
      </c>
      <c r="AI323" s="43">
        <v>444.37995205187298</v>
      </c>
      <c r="AJ323" s="43">
        <v>74.185236839817904</v>
      </c>
      <c r="AK323" s="43">
        <v>0.68059850311759595</v>
      </c>
      <c r="AL323" s="43">
        <v>0.39877452133770402</v>
      </c>
      <c r="AM323" s="43">
        <v>1173.66192931103</v>
      </c>
      <c r="AN323" s="43">
        <v>10.767540635881</v>
      </c>
      <c r="AO323" s="43">
        <v>9.9758879022460896</v>
      </c>
      <c r="AP323" s="44">
        <v>12</v>
      </c>
      <c r="AQ323" s="44">
        <v>3.9399999999999977</v>
      </c>
      <c r="AR323" s="44">
        <v>64.656552943588906</v>
      </c>
      <c r="AS323" s="44">
        <v>65.953751504419017</v>
      </c>
      <c r="AT323" s="44">
        <v>0.98</v>
      </c>
      <c r="AU323" s="44">
        <v>5.4961459587015851</v>
      </c>
      <c r="AV323" s="44">
        <f>+AU323*AP323</f>
        <v>65.953751504419017</v>
      </c>
      <c r="AW323" s="44">
        <f>+VLOOKUP(C323,'Etape 1 - surface'!$A$5:$B$58,2,FALSE)</f>
        <v>0</v>
      </c>
      <c r="AX323" s="44">
        <f t="shared" si="35"/>
        <v>0</v>
      </c>
      <c r="AY323" s="44">
        <f>10.8374384236453+(405.147848531042-10.8374384236453)/(1+EXP(-(1.16387919746889*AU323+-2.8965970117006)))</f>
        <v>393.5925682340108</v>
      </c>
      <c r="AZ323" s="63"/>
      <c r="BA323" s="63">
        <f t="shared" si="36"/>
        <v>0</v>
      </c>
      <c r="BB323" s="45"/>
      <c r="BC323" s="65">
        <v>4.4999999999999998E-2</v>
      </c>
      <c r="BD323" s="63">
        <f t="shared" si="33"/>
        <v>-3503.0716309776817</v>
      </c>
    </row>
    <row r="324" spans="1:56" ht="14.45" customHeight="1" x14ac:dyDescent="0.25">
      <c r="C324" t="s">
        <v>264</v>
      </c>
      <c r="D324" s="43" t="s">
        <v>207</v>
      </c>
      <c r="E324" s="43" t="s">
        <v>208</v>
      </c>
      <c r="F324" s="43" t="s">
        <v>258</v>
      </c>
      <c r="G324" s="43" t="s">
        <v>114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2">
        <v>109</v>
      </c>
      <c r="AA324" s="43" t="s">
        <v>63</v>
      </c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44">
        <v>112</v>
      </c>
      <c r="AQ324" s="1"/>
      <c r="AR324" s="1"/>
      <c r="AS324" s="1"/>
      <c r="AT324" s="1"/>
      <c r="AU324" s="44">
        <f>AV324/AP324</f>
        <v>2.5446428571428572</v>
      </c>
      <c r="AV324" s="44">
        <v>285</v>
      </c>
      <c r="AW324" s="44">
        <f>+VLOOKUP(C324,'Etape 1 - surface'!$A$5:$B$58,2,FALSE)</f>
        <v>0</v>
      </c>
      <c r="AX324" s="44">
        <f t="shared" si="35"/>
        <v>0</v>
      </c>
      <c r="AY324" s="44">
        <f>82.5251889/(1+EXP(-(0.26195064*AU324+(-0.34406779))))</f>
        <v>47.859174415646571</v>
      </c>
      <c r="AZ324" s="63"/>
      <c r="BA324" s="63">
        <f t="shared" si="36"/>
        <v>0</v>
      </c>
      <c r="BB324" s="45"/>
      <c r="BC324" s="65">
        <v>4.4999999999999998E-2</v>
      </c>
      <c r="BD324" s="63">
        <f t="shared" si="33"/>
        <v>-3503.0716309776817</v>
      </c>
    </row>
    <row r="325" spans="1:56" ht="15" x14ac:dyDescent="0.25">
      <c r="C325" t="s">
        <v>263</v>
      </c>
      <c r="D325" s="43" t="s">
        <v>207</v>
      </c>
      <c r="E325" s="43" t="s">
        <v>208</v>
      </c>
      <c r="F325" s="43" t="s">
        <v>259</v>
      </c>
      <c r="G325" s="43" t="s">
        <v>114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2">
        <v>109</v>
      </c>
      <c r="AA325" s="43" t="s">
        <v>63</v>
      </c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44">
        <v>54</v>
      </c>
      <c r="AQ325" s="1"/>
      <c r="AR325" s="1"/>
      <c r="AS325" s="1"/>
      <c r="AT325" s="1"/>
      <c r="AU325" s="44">
        <f>AV325/AP325</f>
        <v>1.6851851851851851</v>
      </c>
      <c r="AV325" s="44">
        <v>91</v>
      </c>
      <c r="AW325" s="44">
        <f>+VLOOKUP(C325,'Etape 1 - surface'!$A$5:$B$58,2,FALSE)</f>
        <v>0</v>
      </c>
      <c r="AX325" s="44">
        <f t="shared" si="35"/>
        <v>0</v>
      </c>
      <c r="AY325" s="44">
        <f>82.5251889/(1+EXP(-(0.26195064*AU325+(-0.34406779))))</f>
        <v>43.269827730998728</v>
      </c>
      <c r="AZ325" s="63"/>
      <c r="BA325" s="63">
        <f t="shared" si="36"/>
        <v>0</v>
      </c>
      <c r="BB325" s="45"/>
      <c r="BC325" s="65">
        <v>4.4999999999999998E-2</v>
      </c>
      <c r="BD325" s="63">
        <f t="shared" si="33"/>
        <v>-3503.0716309776817</v>
      </c>
    </row>
    <row r="326" spans="1:56" ht="14.45" customHeight="1" x14ac:dyDescent="0.25">
      <c r="A326" t="str">
        <f>+VLOOKUP(D326,Acronyme!$A$1:$C$50,3,FALSE)</f>
        <v>Pin Noir d'Autriche</v>
      </c>
      <c r="B326" t="str">
        <f>+VLOOKUP(E326,Acronyme!$E$2:$I$50,5,FALSE)</f>
        <v>GSM Alpes du Sud</v>
      </c>
      <c r="C326" t="str">
        <f>+_xlfn.CONCAT(A326,"_",G326,"_",F326,"_",B326,"_")</f>
        <v>Pin Noir d'Autriche_F2_PO2_d4_GSM Alpes du Sud_</v>
      </c>
      <c r="D326" s="43" t="s">
        <v>131</v>
      </c>
      <c r="E326" s="43" t="s">
        <v>132</v>
      </c>
      <c r="F326" s="43" t="s">
        <v>136</v>
      </c>
      <c r="G326" s="43" t="s">
        <v>62</v>
      </c>
      <c r="H326" s="43">
        <v>15.2</v>
      </c>
      <c r="I326" s="43" t="s">
        <v>108</v>
      </c>
      <c r="J326" s="43">
        <v>1100</v>
      </c>
      <c r="K326" s="43" t="s">
        <v>109</v>
      </c>
      <c r="L326" s="43" t="s">
        <v>134</v>
      </c>
      <c r="M326" s="43" t="s">
        <v>135</v>
      </c>
      <c r="N326" s="43"/>
      <c r="O326" s="43"/>
      <c r="P326" s="43">
        <v>15</v>
      </c>
      <c r="Q326" s="43">
        <v>3.96</v>
      </c>
      <c r="R326" s="43">
        <v>6000</v>
      </c>
      <c r="S326" s="43">
        <v>9.57</v>
      </c>
      <c r="T326" s="43">
        <v>6000</v>
      </c>
      <c r="U326" s="43">
        <v>0</v>
      </c>
      <c r="V326" s="43">
        <v>0</v>
      </c>
      <c r="W326" s="43">
        <v>0</v>
      </c>
      <c r="X326" s="43">
        <v>0</v>
      </c>
      <c r="Y326" s="43">
        <v>0</v>
      </c>
      <c r="Z326" s="32">
        <v>110</v>
      </c>
      <c r="AA326" s="43" t="s">
        <v>63</v>
      </c>
      <c r="AB326" s="43">
        <v>21.35</v>
      </c>
      <c r="AC326" s="43">
        <v>0</v>
      </c>
      <c r="AD326" s="43">
        <v>0</v>
      </c>
      <c r="AE326" s="43">
        <v>0</v>
      </c>
      <c r="AF326" s="43">
        <v>0</v>
      </c>
      <c r="AG326" s="43">
        <v>0</v>
      </c>
      <c r="AH326" s="43">
        <v>0</v>
      </c>
      <c r="AI326" s="43">
        <v>0</v>
      </c>
      <c r="AJ326" s="43">
        <v>70.567308902339207</v>
      </c>
      <c r="AK326" s="43">
        <v>0.64152099002126595</v>
      </c>
      <c r="AL326" s="43"/>
      <c r="AM326" s="43">
        <v>716.91273681484904</v>
      </c>
      <c r="AN326" s="43">
        <v>6.51738851649863</v>
      </c>
      <c r="AO326" s="43"/>
      <c r="AP326" s="44">
        <v>125</v>
      </c>
      <c r="AQ326" s="44">
        <v>25.15</v>
      </c>
      <c r="AR326" s="44">
        <v>50.613811988499222</v>
      </c>
      <c r="AS326" s="44">
        <v>244.08592884839101</v>
      </c>
      <c r="AT326" s="44">
        <v>1</v>
      </c>
      <c r="AU326" s="44">
        <v>1.952687430787128</v>
      </c>
      <c r="AV326" s="44">
        <f>+AU326*AP326</f>
        <v>244.08592884839101</v>
      </c>
      <c r="AW326" s="44">
        <f>+VLOOKUP(C326,'Etape 1 - surface'!$A$5:$B$58,2,FALSE)</f>
        <v>0</v>
      </c>
      <c r="AX326" s="44">
        <f t="shared" si="35"/>
        <v>0</v>
      </c>
      <c r="AY326" s="44">
        <f>10.0046474463505+(37.1112351801373-10.0046474463505)/(1+EXP(-(0.581180949782075*AU326+-0.955447614584994)))</f>
        <v>24.770536702378561</v>
      </c>
      <c r="AZ326" s="63"/>
      <c r="BA326" s="63">
        <f t="shared" si="36"/>
        <v>0</v>
      </c>
      <c r="BB326" s="45"/>
      <c r="BC326" s="65">
        <v>4.4999999999999998E-2</v>
      </c>
      <c r="BD326" s="63">
        <f t="shared" si="33"/>
        <v>-3503.0716309776817</v>
      </c>
    </row>
    <row r="327" spans="1:56" ht="15" x14ac:dyDescent="0.25">
      <c r="A327" t="str">
        <f>+VLOOKUP(D327,Acronyme!$A$1:$C$50,3,FALSE)</f>
        <v>Pin sylvestre</v>
      </c>
      <c r="B327" t="str">
        <f>+VLOOKUP(E327,Acronyme!$E$2:$I$50,5,FALSE)</f>
        <v>GSM Alpes du Sud</v>
      </c>
      <c r="C327" t="str">
        <f>+_xlfn.CONCAT(A327,"_",G327,"_",F327,"_",B327,"_")</f>
        <v>Pin sylvestre_F1_PS1_d3_GSM Alpes du Sud_</v>
      </c>
      <c r="D327" s="43" t="s">
        <v>106</v>
      </c>
      <c r="E327" s="43" t="s">
        <v>132</v>
      </c>
      <c r="F327" s="43" t="s">
        <v>137</v>
      </c>
      <c r="G327" s="43" t="s">
        <v>100</v>
      </c>
      <c r="H327" s="43">
        <v>15.1</v>
      </c>
      <c r="I327" s="43" t="s">
        <v>108</v>
      </c>
      <c r="J327" s="43">
        <v>1100</v>
      </c>
      <c r="K327" s="43" t="s">
        <v>109</v>
      </c>
      <c r="L327" s="43" t="s">
        <v>134</v>
      </c>
      <c r="M327" s="43" t="s">
        <v>135</v>
      </c>
      <c r="N327" s="43"/>
      <c r="O327" s="43"/>
      <c r="P327" s="43">
        <v>15</v>
      </c>
      <c r="Q327" s="43">
        <v>3.64</v>
      </c>
      <c r="R327" s="43">
        <v>6001</v>
      </c>
      <c r="S327" s="43">
        <v>9.11</v>
      </c>
      <c r="T327" s="43">
        <v>6001</v>
      </c>
      <c r="U327" s="43">
        <v>0</v>
      </c>
      <c r="V327" s="43">
        <v>0</v>
      </c>
      <c r="W327" s="43">
        <v>0</v>
      </c>
      <c r="X327" s="43">
        <v>0</v>
      </c>
      <c r="Y327" s="43">
        <v>0</v>
      </c>
      <c r="Z327" s="32">
        <v>110</v>
      </c>
      <c r="AA327" s="43" t="s">
        <v>63</v>
      </c>
      <c r="AB327" s="43">
        <v>17.95</v>
      </c>
      <c r="AC327" s="43">
        <v>0</v>
      </c>
      <c r="AD327" s="43">
        <v>0</v>
      </c>
      <c r="AE327" s="43">
        <v>0</v>
      </c>
      <c r="AF327" s="43">
        <v>0</v>
      </c>
      <c r="AG327" s="43">
        <v>0</v>
      </c>
      <c r="AH327" s="43">
        <v>0</v>
      </c>
      <c r="AI327" s="43">
        <v>0</v>
      </c>
      <c r="AJ327" s="43">
        <v>77.520625767659695</v>
      </c>
      <c r="AK327" s="43">
        <v>0.70473296152417897</v>
      </c>
      <c r="AL327" s="43"/>
      <c r="AM327" s="43">
        <v>753.56104748310202</v>
      </c>
      <c r="AN327" s="43">
        <v>6.8505549771191099</v>
      </c>
      <c r="AO327" s="43"/>
      <c r="AP327" s="44">
        <v>122</v>
      </c>
      <c r="AQ327" s="44">
        <v>23.76</v>
      </c>
      <c r="AR327" s="44">
        <v>49.796447617478542</v>
      </c>
      <c r="AS327" s="44">
        <v>186.17373678672999</v>
      </c>
      <c r="AT327" s="44">
        <v>1</v>
      </c>
      <c r="AU327" s="44">
        <v>1.5260142359568032</v>
      </c>
      <c r="AV327" s="44">
        <f>+AU327*AP327</f>
        <v>186.17373678672999</v>
      </c>
      <c r="AW327" s="44">
        <f>+VLOOKUP(C327,'Etape 1 - surface'!$A$5:$B$58,2,FALSE)</f>
        <v>0</v>
      </c>
      <c r="AX327" s="44">
        <f t="shared" si="35"/>
        <v>0</v>
      </c>
      <c r="AY327" s="44">
        <f>10.0046474463505+(37.1112351801373-10.0046474463505)/(1+EXP(-(0.581180949782075*AU327+-0.955447614584994)))</f>
        <v>23.093535177511122</v>
      </c>
      <c r="AZ327" s="63"/>
      <c r="BA327" s="63">
        <f t="shared" si="36"/>
        <v>0</v>
      </c>
      <c r="BB327" s="45"/>
      <c r="BC327" s="65">
        <v>4.4999999999999998E-2</v>
      </c>
      <c r="BD327" s="63">
        <f t="shared" si="33"/>
        <v>-3503.0716309776817</v>
      </c>
    </row>
    <row r="328" spans="1:56" ht="14.45" customHeight="1" x14ac:dyDescent="0.25">
      <c r="A328" t="str">
        <f>+VLOOKUP(D328,Acronyme!$A$1:$C$50,3,FALSE)</f>
        <v>Sapin pectiné</v>
      </c>
      <c r="B328" t="str">
        <f>+VLOOKUP(E328,Acronyme!$E$2:$I$50,5,FALSE)</f>
        <v>GSM Alpes du Sud</v>
      </c>
      <c r="C328" t="str">
        <f>+_xlfn.CONCAT(A328,"_",G328,"_",F328,"_",B328,"_")</f>
        <v>Sapin pectiné_F1_SP1_d5_GSM Alpes du Sud_</v>
      </c>
      <c r="D328" s="43" t="s">
        <v>129</v>
      </c>
      <c r="E328" s="43" t="s">
        <v>132</v>
      </c>
      <c r="F328" s="43" t="s">
        <v>141</v>
      </c>
      <c r="G328" s="43" t="s">
        <v>100</v>
      </c>
      <c r="H328" s="43">
        <v>20.399999999999999</v>
      </c>
      <c r="I328" s="43" t="s">
        <v>101</v>
      </c>
      <c r="J328" s="43">
        <v>1600</v>
      </c>
      <c r="K328" s="43" t="s">
        <v>109</v>
      </c>
      <c r="L328" s="43" t="s">
        <v>134</v>
      </c>
      <c r="M328" s="43" t="s">
        <v>135</v>
      </c>
      <c r="N328" s="43"/>
      <c r="O328" s="43"/>
      <c r="P328" s="43">
        <v>40</v>
      </c>
      <c r="Q328" s="43">
        <v>16.829999999999998</v>
      </c>
      <c r="R328" s="43">
        <v>1499</v>
      </c>
      <c r="S328" s="43">
        <v>24.88</v>
      </c>
      <c r="T328" s="43">
        <v>27</v>
      </c>
      <c r="U328" s="43">
        <v>516</v>
      </c>
      <c r="V328" s="43">
        <v>633</v>
      </c>
      <c r="W328" s="43">
        <v>307</v>
      </c>
      <c r="X328" s="43">
        <v>15</v>
      </c>
      <c r="Y328" s="43">
        <v>0</v>
      </c>
      <c r="Z328" s="32">
        <v>110</v>
      </c>
      <c r="AA328" s="43" t="s">
        <v>63</v>
      </c>
      <c r="AB328" s="43">
        <v>25.3</v>
      </c>
      <c r="AC328" s="43">
        <v>60</v>
      </c>
      <c r="AD328" s="43">
        <v>12.14</v>
      </c>
      <c r="AE328" s="43">
        <v>50.76</v>
      </c>
      <c r="AF328" s="43">
        <v>50.76</v>
      </c>
      <c r="AG328" s="43">
        <v>148.72624096534099</v>
      </c>
      <c r="AH328" s="43">
        <v>150.54525115561401</v>
      </c>
      <c r="AI328" s="43">
        <v>178.942225131676</v>
      </c>
      <c r="AJ328" s="43">
        <v>96.853220676279193</v>
      </c>
      <c r="AK328" s="43">
        <v>0.88048382432981098</v>
      </c>
      <c r="AL328" s="43">
        <v>0.25237542560527099</v>
      </c>
      <c r="AM328" s="43">
        <v>1255.76557833587</v>
      </c>
      <c r="AN328" s="43">
        <v>11.4160507121442</v>
      </c>
      <c r="AO328" s="43">
        <v>4.0473078678463903</v>
      </c>
      <c r="AP328" s="44">
        <v>67</v>
      </c>
      <c r="AQ328" s="44">
        <v>11.82</v>
      </c>
      <c r="AR328" s="44">
        <v>47.394330882673742</v>
      </c>
      <c r="AS328" s="44">
        <v>139.024007023764</v>
      </c>
      <c r="AT328" s="44">
        <v>0.94</v>
      </c>
      <c r="AU328" s="44">
        <v>2.0749851794591643</v>
      </c>
      <c r="AV328" s="44">
        <f>+AU328*AP328</f>
        <v>139.024007023764</v>
      </c>
      <c r="AW328" s="44">
        <f>+VLOOKUP(C328,'Etape 1 - surface'!$A$5:$B$58,2,FALSE)</f>
        <v>0</v>
      </c>
      <c r="AX328" s="44">
        <f t="shared" si="35"/>
        <v>0</v>
      </c>
      <c r="AY328" s="44">
        <f>12.60067150914+(56.0435691950881-12.60067150914)/(1+EXP(-(0.12255140894824*AU328+-0.18958347271504)))</f>
        <v>35.024660590170683</v>
      </c>
      <c r="AZ328" s="63"/>
      <c r="BA328" s="63">
        <f t="shared" si="36"/>
        <v>0</v>
      </c>
      <c r="BB328" s="45"/>
      <c r="BC328" s="65">
        <v>4.4999999999999998E-2</v>
      </c>
      <c r="BD328" s="63">
        <f t="shared" si="33"/>
        <v>-3503.0716309776817</v>
      </c>
    </row>
    <row r="329" spans="1:56" ht="14.45" customHeight="1" x14ac:dyDescent="0.25">
      <c r="A329" t="str">
        <f>+VLOOKUP(D329,Acronyme!$A$1:$C$50,3,FALSE)</f>
        <v>Chêne sessile</v>
      </c>
      <c r="B329" t="str">
        <f>+VLOOKUP(E329,Acronyme!$E$2:$I$50,5,FALSE)</f>
        <v>Guide chênaie atlantique</v>
      </c>
      <c r="C329" t="str">
        <f>+_xlfn.CONCAT(A329,"_",G329,"_",F329,"_",B329,"_")</f>
        <v>Chêne sessile_F1_Classique_Guide chênaie atlantique_</v>
      </c>
      <c r="D329" s="43" t="s">
        <v>60</v>
      </c>
      <c r="E329" s="43" t="s">
        <v>150</v>
      </c>
      <c r="F329" s="43" t="s">
        <v>61</v>
      </c>
      <c r="G329" s="43" t="s">
        <v>100</v>
      </c>
      <c r="H329" s="43">
        <v>21.5</v>
      </c>
      <c r="I329" s="43" t="s">
        <v>151</v>
      </c>
      <c r="J329" s="43">
        <v>1666</v>
      </c>
      <c r="K329" s="43" t="s">
        <v>109</v>
      </c>
      <c r="L329" s="43" t="s">
        <v>103</v>
      </c>
      <c r="M329" s="43" t="s">
        <v>143</v>
      </c>
      <c r="N329" s="43"/>
      <c r="O329" s="43"/>
      <c r="P329" s="43">
        <v>34</v>
      </c>
      <c r="Q329" s="43">
        <v>16.2</v>
      </c>
      <c r="R329" s="43">
        <v>1451</v>
      </c>
      <c r="S329" s="43">
        <v>23.57</v>
      </c>
      <c r="T329" s="43">
        <v>44</v>
      </c>
      <c r="U329" s="43">
        <v>444</v>
      </c>
      <c r="V329" s="43">
        <v>742</v>
      </c>
      <c r="W329" s="43">
        <v>211</v>
      </c>
      <c r="X329" s="43">
        <v>10</v>
      </c>
      <c r="Y329" s="43">
        <v>0</v>
      </c>
      <c r="Z329" s="32">
        <v>110</v>
      </c>
      <c r="AA329" s="43" t="s">
        <v>63</v>
      </c>
      <c r="AB329" s="43">
        <v>34.08</v>
      </c>
      <c r="AC329" s="43">
        <v>103</v>
      </c>
      <c r="AD329" s="43">
        <v>24.62</v>
      </c>
      <c r="AE329" s="43">
        <v>55.17</v>
      </c>
      <c r="AF329" s="43">
        <v>55.48</v>
      </c>
      <c r="AG329" s="43">
        <v>418.87214710758099</v>
      </c>
      <c r="AH329" s="43">
        <v>460.53694987972</v>
      </c>
      <c r="AI329" s="43">
        <v>490.17547083270398</v>
      </c>
      <c r="AJ329" s="43">
        <v>76.939553845208593</v>
      </c>
      <c r="AK329" s="43">
        <v>0.69945048950189703</v>
      </c>
      <c r="AL329" s="43">
        <v>0.43351712484038302</v>
      </c>
      <c r="AM329" s="43">
        <v>1242.2002816131801</v>
      </c>
      <c r="AN329" s="43">
        <v>11.292729832847099</v>
      </c>
      <c r="AO329" s="43">
        <v>10.952078123335101</v>
      </c>
      <c r="AP329" s="44">
        <v>19</v>
      </c>
      <c r="AQ329" s="44">
        <v>3.8999999999999986</v>
      </c>
      <c r="AR329" s="44">
        <v>51.122320928220432</v>
      </c>
      <c r="AS329" s="44">
        <v>65.882381053166</v>
      </c>
      <c r="AT329" s="44">
        <v>0.88</v>
      </c>
      <c r="AU329" s="44">
        <v>3.4674937396403158</v>
      </c>
      <c r="AV329" s="44">
        <f>+AU329*AP329</f>
        <v>65.882381053166</v>
      </c>
      <c r="AW329" s="44">
        <f>+VLOOKUP(C329,'Etape 1 - surface'!$A$5:$B$58,2,FALSE)</f>
        <v>0</v>
      </c>
      <c r="AX329" s="44">
        <f t="shared" si="35"/>
        <v>0</v>
      </c>
      <c r="AY329" s="44">
        <f>10.8374384236453+(405.147848531042-10.8374384236453)/(1+EXP(-(1.16387919746889*AU329+-2.8965970117006)))</f>
        <v>309.53662726941172</v>
      </c>
      <c r="AZ329" s="63"/>
      <c r="BA329" s="63">
        <f t="shared" si="36"/>
        <v>0</v>
      </c>
      <c r="BB329" s="45"/>
      <c r="BC329" s="65">
        <v>4.4999999999999998E-2</v>
      </c>
      <c r="BD329" s="63">
        <f t="shared" si="33"/>
        <v>-3503.0716309776817</v>
      </c>
    </row>
    <row r="330" spans="1:56" ht="14.45" customHeight="1" x14ac:dyDescent="0.25">
      <c r="C330" t="s">
        <v>249</v>
      </c>
      <c r="D330" s="43" t="s">
        <v>246</v>
      </c>
      <c r="E330" s="43" t="s">
        <v>238</v>
      </c>
      <c r="F330" s="43" t="s">
        <v>251</v>
      </c>
      <c r="G330" s="43" t="s">
        <v>114</v>
      </c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32">
        <v>110</v>
      </c>
      <c r="AA330" s="43" t="s">
        <v>63</v>
      </c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4"/>
      <c r="AQ330" s="44"/>
      <c r="AR330" s="44"/>
      <c r="AS330" s="44"/>
      <c r="AT330" s="44"/>
      <c r="AU330" s="44">
        <v>0.66</v>
      </c>
      <c r="AV330" s="44">
        <v>4</v>
      </c>
      <c r="AW330" s="44">
        <f>+VLOOKUP(C330,'Etape 1 - surface'!$A$5:$B$58,2,FALSE)</f>
        <v>0</v>
      </c>
      <c r="AX330" s="44">
        <f t="shared" si="35"/>
        <v>0</v>
      </c>
      <c r="AY330" s="44">
        <f>(86.135208)/(1+EXP(-(0.50064483*AU330+-0.6204261)))</f>
        <v>36.866191313820508</v>
      </c>
      <c r="AZ330" s="63"/>
      <c r="BA330" s="63">
        <f t="shared" si="36"/>
        <v>0</v>
      </c>
      <c r="BB330" s="45"/>
      <c r="BC330" s="65">
        <v>4.4999999999999998E-2</v>
      </c>
      <c r="BD330" s="63">
        <f t="shared" si="33"/>
        <v>-3503.0716309776817</v>
      </c>
    </row>
    <row r="331" spans="1:56" ht="14.45" customHeight="1" x14ac:dyDescent="0.25">
      <c r="A331" t="str">
        <f>+VLOOKUP(D331,Acronyme!$A$1:$C$50,3,FALSE)</f>
        <v>Pin sylvestre</v>
      </c>
      <c r="B331" t="str">
        <f>+VLOOKUP(E331,Acronyme!$E$2:$I$50,5,FALSE)</f>
        <v>GS Pineraies des plaines du Centre et du Nord Ouest</v>
      </c>
      <c r="C331" t="str">
        <f t="shared" ref="C331:C339" si="40">+_xlfn.CONCAT(A331,"_",G331,"_",F331,"_",B331,"_")</f>
        <v>Pin sylvestre_F1_Eclaircie tardive_GS Pineraies des plaines du Centre et du Nord Ouest_</v>
      </c>
      <c r="D331" s="43" t="s">
        <v>106</v>
      </c>
      <c r="E331" s="43" t="s">
        <v>89</v>
      </c>
      <c r="F331" s="43" t="s">
        <v>115</v>
      </c>
      <c r="G331" s="43" t="s">
        <v>100</v>
      </c>
      <c r="H331" s="43">
        <v>28</v>
      </c>
      <c r="I331" s="43">
        <v>45</v>
      </c>
      <c r="J331" s="43">
        <v>2500</v>
      </c>
      <c r="K331" s="43" t="s">
        <v>109</v>
      </c>
      <c r="L331" s="43" t="s">
        <v>116</v>
      </c>
      <c r="M331" s="43" t="s">
        <v>111</v>
      </c>
      <c r="N331" s="43">
        <v>1997</v>
      </c>
      <c r="O331" s="43" t="s">
        <v>96</v>
      </c>
      <c r="P331" s="43">
        <v>21</v>
      </c>
      <c r="Q331" s="43">
        <v>12.5</v>
      </c>
      <c r="R331" s="43">
        <v>2024</v>
      </c>
      <c r="S331" s="43">
        <v>28.8</v>
      </c>
      <c r="T331" s="43">
        <v>0</v>
      </c>
      <c r="U331" s="43">
        <v>1100</v>
      </c>
      <c r="V331" s="43">
        <v>712</v>
      </c>
      <c r="W331" s="43">
        <v>162</v>
      </c>
      <c r="X331" s="43">
        <v>50</v>
      </c>
      <c r="Y331" s="43">
        <v>0</v>
      </c>
      <c r="Z331" s="32">
        <v>111</v>
      </c>
      <c r="AA331" s="43" t="s">
        <v>63</v>
      </c>
      <c r="AB331" s="43">
        <v>41.63</v>
      </c>
      <c r="AC331" s="43">
        <v>70</v>
      </c>
      <c r="AD331" s="43">
        <v>9.84</v>
      </c>
      <c r="AE331" s="43">
        <v>42.31</v>
      </c>
      <c r="AF331" s="43">
        <v>42.31</v>
      </c>
      <c r="AG331" s="43">
        <v>176.366050528708</v>
      </c>
      <c r="AH331" s="43">
        <v>177.12172528761101</v>
      </c>
      <c r="AI331" s="43">
        <v>189.589495566473</v>
      </c>
      <c r="AJ331" s="43">
        <v>75.988163044468195</v>
      </c>
      <c r="AK331" s="43">
        <v>0.68457804544565903</v>
      </c>
      <c r="AL331" s="43">
        <v>0.103167452301619</v>
      </c>
      <c r="AM331" s="43">
        <v>1110.0803988999701</v>
      </c>
      <c r="AN331" s="43">
        <v>10.0007243144142</v>
      </c>
      <c r="AO331" s="43">
        <v>5.3531443113608903</v>
      </c>
      <c r="AP331" s="44">
        <v>129</v>
      </c>
      <c r="AQ331" s="44">
        <v>18.8</v>
      </c>
      <c r="AR331" s="44">
        <v>43.076372992124945</v>
      </c>
      <c r="AS331" s="44">
        <v>338.01504789162504</v>
      </c>
      <c r="AT331" s="44">
        <v>1.01</v>
      </c>
      <c r="AU331" s="44">
        <v>2.6202716890823647</v>
      </c>
      <c r="AV331" s="44">
        <f t="shared" ref="AV331:AV339" si="41">+AU331*AP331</f>
        <v>338.01504789162504</v>
      </c>
      <c r="AW331" s="44">
        <f>+VLOOKUP(C331,'Etape 1 - surface'!$A$5:$B$58,2,FALSE)</f>
        <v>0</v>
      </c>
      <c r="AX331" s="44">
        <f t="shared" si="35"/>
        <v>0</v>
      </c>
      <c r="AY331" s="44">
        <f>10.0046474463505+(37.1112351801373-10.0046474463505)/(1+EXP(-(0.581180949782075*AU331+-0.955447614584994)))</f>
        <v>27.30309678505645</v>
      </c>
      <c r="AZ331" s="63"/>
      <c r="BA331" s="63">
        <f t="shared" si="36"/>
        <v>0</v>
      </c>
      <c r="BB331" s="45"/>
      <c r="BC331" s="65">
        <v>4.4999999999999998E-2</v>
      </c>
      <c r="BD331" s="63">
        <f t="shared" si="33"/>
        <v>-3503.0716309776817</v>
      </c>
    </row>
    <row r="332" spans="1:56" ht="14.45" customHeight="1" x14ac:dyDescent="0.25">
      <c r="A332" t="str">
        <f>+VLOOKUP(D332,Acronyme!$A$1:$C$50,3,FALSE)</f>
        <v>Hêtre commun</v>
      </c>
      <c r="B332" t="str">
        <f>+VLOOKUP(E332,Acronyme!$E$2:$I$50,5,FALSE)</f>
        <v>GS Hêtraies et hêtraies sapinières des Pyrénées</v>
      </c>
      <c r="C332" t="str">
        <f t="shared" si="40"/>
        <v>Hêtre commun_F1_Entree 19-20m_GS Hêtraies et hêtraies sapinières des Pyrénées_</v>
      </c>
      <c r="D332" s="43" t="s">
        <v>126</v>
      </c>
      <c r="E332" s="43" t="s">
        <v>127</v>
      </c>
      <c r="F332" s="43" t="s">
        <v>113</v>
      </c>
      <c r="G332" s="43" t="s">
        <v>100</v>
      </c>
      <c r="H332" s="43">
        <v>22</v>
      </c>
      <c r="I332" s="43">
        <v>55</v>
      </c>
      <c r="J332" s="43">
        <v>1666</v>
      </c>
      <c r="K332" s="43" t="s">
        <v>109</v>
      </c>
      <c r="L332" s="43" t="s">
        <v>103</v>
      </c>
      <c r="M332" s="43" t="s">
        <v>128</v>
      </c>
      <c r="N332" s="43"/>
      <c r="O332" s="43"/>
      <c r="P332" s="43">
        <v>42</v>
      </c>
      <c r="Q332" s="43">
        <v>19.510000000000002</v>
      </c>
      <c r="R332" s="43">
        <v>1402</v>
      </c>
      <c r="S332" s="43">
        <v>28.51</v>
      </c>
      <c r="T332" s="43">
        <v>50</v>
      </c>
      <c r="U332" s="43">
        <v>303</v>
      </c>
      <c r="V332" s="43">
        <v>595</v>
      </c>
      <c r="W332" s="43">
        <v>375</v>
      </c>
      <c r="X332" s="43">
        <v>75</v>
      </c>
      <c r="Y332" s="43">
        <v>4</v>
      </c>
      <c r="Z332" s="32">
        <v>111</v>
      </c>
      <c r="AA332" s="43" t="s">
        <v>63</v>
      </c>
      <c r="AB332" s="43">
        <v>35.72</v>
      </c>
      <c r="AC332" s="43">
        <v>74</v>
      </c>
      <c r="AD332" s="43">
        <v>14.6</v>
      </c>
      <c r="AE332" s="43">
        <v>50.12</v>
      </c>
      <c r="AF332" s="43">
        <v>50.12</v>
      </c>
      <c r="AG332" s="43">
        <v>248.985602180173</v>
      </c>
      <c r="AH332" s="43">
        <v>271.845397392005</v>
      </c>
      <c r="AI332" s="43">
        <v>297.64128235876501</v>
      </c>
      <c r="AJ332" s="43">
        <v>71.295062359127101</v>
      </c>
      <c r="AK332" s="43">
        <v>0.64229785909123505</v>
      </c>
      <c r="AL332" s="43">
        <v>0.30651224399504401</v>
      </c>
      <c r="AM332" s="43">
        <v>1177.3228975750901</v>
      </c>
      <c r="AN332" s="43">
        <v>10.6065125907666</v>
      </c>
      <c r="AO332" s="43">
        <v>7.5007055581859996</v>
      </c>
      <c r="AP332" s="44">
        <v>34</v>
      </c>
      <c r="AQ332" s="44">
        <v>8.1</v>
      </c>
      <c r="AR332" s="44">
        <v>55.075457094989282</v>
      </c>
      <c r="AS332" s="44">
        <v>138.74954712632498</v>
      </c>
      <c r="AT332" s="44">
        <v>1.1299999999999999</v>
      </c>
      <c r="AU332" s="44">
        <v>4.0808690331272057</v>
      </c>
      <c r="AV332" s="44">
        <f t="shared" si="41"/>
        <v>138.74954712632498</v>
      </c>
      <c r="AW332" s="44">
        <f>+VLOOKUP(C332,'Etape 1 - surface'!$A$5:$B$58,2,FALSE)</f>
        <v>0</v>
      </c>
      <c r="AX332" s="44">
        <f t="shared" si="35"/>
        <v>0</v>
      </c>
      <c r="AY332" s="44">
        <f>5.93488073153274+(78.4394250513347-5.93488073153274)/(1+EXP(-(1.03516193614659*AU332+-2.09091784316379)))</f>
        <v>70.762018084138717</v>
      </c>
      <c r="AZ332" s="63"/>
      <c r="BA332" s="63">
        <f t="shared" si="36"/>
        <v>0</v>
      </c>
      <c r="BB332" s="45"/>
      <c r="BC332" s="65">
        <v>4.4999999999999998E-2</v>
      </c>
      <c r="BD332" s="63">
        <f t="shared" si="33"/>
        <v>-3503.0716309776817</v>
      </c>
    </row>
    <row r="333" spans="1:56" ht="14.45" customHeight="1" x14ac:dyDescent="0.25">
      <c r="A333" t="str">
        <f>+VLOOKUP(D333,Acronyme!$A$1:$C$50,3,FALSE)</f>
        <v>Pin sylvestre</v>
      </c>
      <c r="B333" t="str">
        <f>+VLOOKUP(E333,Acronyme!$E$2:$I$50,5,FALSE)</f>
        <v>GS Pineraies des plaines du Centre et du Nord Ouest</v>
      </c>
      <c r="C333" t="str">
        <f t="shared" si="40"/>
        <v>Pin sylvestre_F2_Eclaircie tardive_GS Pineraies des plaines du Centre et du Nord Ouest_</v>
      </c>
      <c r="D333" s="43" t="s">
        <v>106</v>
      </c>
      <c r="E333" s="43" t="s">
        <v>89</v>
      </c>
      <c r="F333" s="43" t="s">
        <v>115</v>
      </c>
      <c r="G333" s="43" t="s">
        <v>62</v>
      </c>
      <c r="H333" s="43">
        <v>23</v>
      </c>
      <c r="I333" s="43">
        <v>45</v>
      </c>
      <c r="J333" s="43">
        <v>2500</v>
      </c>
      <c r="K333" s="43" t="s">
        <v>109</v>
      </c>
      <c r="L333" s="43" t="s">
        <v>110</v>
      </c>
      <c r="M333" s="43" t="s">
        <v>111</v>
      </c>
      <c r="N333" s="43">
        <v>2003</v>
      </c>
      <c r="O333" s="43" t="s">
        <v>58</v>
      </c>
      <c r="P333" s="43">
        <v>28</v>
      </c>
      <c r="Q333" s="43">
        <v>13.5</v>
      </c>
      <c r="R333" s="43">
        <v>2157</v>
      </c>
      <c r="S333" s="43">
        <v>40.299999999999997</v>
      </c>
      <c r="T333" s="43">
        <v>0</v>
      </c>
      <c r="U333" s="43">
        <v>600</v>
      </c>
      <c r="V333" s="43">
        <v>1043</v>
      </c>
      <c r="W333" s="43">
        <v>457</v>
      </c>
      <c r="X333" s="43">
        <v>57</v>
      </c>
      <c r="Y333" s="43">
        <v>0</v>
      </c>
      <c r="Z333" s="32">
        <v>112</v>
      </c>
      <c r="AA333" s="43" t="s">
        <v>63</v>
      </c>
      <c r="AB333" s="43">
        <v>33.26</v>
      </c>
      <c r="AC333" s="43">
        <v>68</v>
      </c>
      <c r="AD333" s="43">
        <v>9.0399999999999991</v>
      </c>
      <c r="AE333" s="43">
        <v>41.13</v>
      </c>
      <c r="AF333" s="43">
        <v>41.13</v>
      </c>
      <c r="AG333" s="43">
        <v>129.971790813719</v>
      </c>
      <c r="AH333" s="43">
        <v>130.96624819152399</v>
      </c>
      <c r="AI333" s="43">
        <v>144.712630095706</v>
      </c>
      <c r="AJ333" s="43">
        <v>80.463078816256498</v>
      </c>
      <c r="AK333" s="43">
        <v>0.718420346573719</v>
      </c>
      <c r="AL333" s="43">
        <v>0.10519528752766399</v>
      </c>
      <c r="AM333" s="43">
        <v>961.96127125253702</v>
      </c>
      <c r="AN333" s="43">
        <v>8.5889399218976497</v>
      </c>
      <c r="AO333" s="43">
        <v>3.6814813000062299</v>
      </c>
      <c r="AP333" s="44">
        <v>145</v>
      </c>
      <c r="AQ333" s="44">
        <v>17.98</v>
      </c>
      <c r="AR333" s="44">
        <v>39.734330691124043</v>
      </c>
      <c r="AS333" s="44">
        <v>257.48871457428601</v>
      </c>
      <c r="AT333" s="44">
        <v>0.98</v>
      </c>
      <c r="AU333" s="44">
        <v>1.7757842384433518</v>
      </c>
      <c r="AV333" s="44">
        <f t="shared" si="41"/>
        <v>257.48871457428601</v>
      </c>
      <c r="AW333" s="44">
        <f>+VLOOKUP(C333,'Etape 1 - surface'!$A$5:$B$58,2,FALSE)</f>
        <v>0</v>
      </c>
      <c r="AX333" s="44">
        <f t="shared" si="35"/>
        <v>0</v>
      </c>
      <c r="AY333" s="44">
        <f>10.0046474463505+(37.1112351801373-10.0046474463505)/(1+EXP(-(0.581180949782075*AU333+-0.955447614584994)))</f>
        <v>24.076808274572905</v>
      </c>
      <c r="AZ333" s="63"/>
      <c r="BA333" s="63">
        <f t="shared" si="36"/>
        <v>0</v>
      </c>
      <c r="BB333" s="45"/>
      <c r="BC333" s="65">
        <v>4.4999999999999998E-2</v>
      </c>
      <c r="BD333" s="63">
        <f t="shared" si="33"/>
        <v>-3503.0716309776817</v>
      </c>
    </row>
    <row r="334" spans="1:56" ht="14.45" customHeight="1" x14ac:dyDescent="0.25">
      <c r="A334" t="str">
        <f>+VLOOKUP(D334,Acronyme!$A$1:$C$50,3,FALSE)</f>
        <v>Chêne sessile</v>
      </c>
      <c r="B334" t="str">
        <f>+VLOOKUP(E334,Acronyme!$E$2:$I$50,5,FALSE)</f>
        <v>Guide chênaie continentale</v>
      </c>
      <c r="C334" t="str">
        <f t="shared" si="40"/>
        <v>Chêne sessile_F2_Dynamique_Guide chênaie continentale_</v>
      </c>
      <c r="D334" s="43" t="s">
        <v>60</v>
      </c>
      <c r="E334" s="43" t="s">
        <v>65</v>
      </c>
      <c r="F334" s="43" t="s">
        <v>66</v>
      </c>
      <c r="G334" s="43" t="s">
        <v>62</v>
      </c>
      <c r="H334" s="43">
        <v>18</v>
      </c>
      <c r="I334" s="43" t="s">
        <v>142</v>
      </c>
      <c r="J334" s="43">
        <v>1666</v>
      </c>
      <c r="K334" s="43" t="s">
        <v>109</v>
      </c>
      <c r="L334" s="43" t="s">
        <v>103</v>
      </c>
      <c r="M334" s="43" t="s">
        <v>143</v>
      </c>
      <c r="N334" s="43"/>
      <c r="O334" s="43"/>
      <c r="P334" s="43">
        <v>44</v>
      </c>
      <c r="Q334" s="43">
        <v>16.579999999999998</v>
      </c>
      <c r="R334" s="43">
        <v>1453</v>
      </c>
      <c r="S334" s="43">
        <v>26.19</v>
      </c>
      <c r="T334" s="43">
        <v>41</v>
      </c>
      <c r="U334" s="43">
        <v>369</v>
      </c>
      <c r="V334" s="43">
        <v>713</v>
      </c>
      <c r="W334" s="43">
        <v>301</v>
      </c>
      <c r="X334" s="43">
        <v>28</v>
      </c>
      <c r="Y334" s="43">
        <v>0</v>
      </c>
      <c r="Z334" s="32">
        <v>113</v>
      </c>
      <c r="AA334" s="43" t="s">
        <v>63</v>
      </c>
      <c r="AB334" s="43">
        <v>28.42</v>
      </c>
      <c r="AC334" s="43">
        <v>83</v>
      </c>
      <c r="AD334" s="43">
        <v>19.11</v>
      </c>
      <c r="AE334" s="43">
        <v>54.14</v>
      </c>
      <c r="AF334" s="43">
        <v>54.14</v>
      </c>
      <c r="AG334" s="43">
        <v>268.32327924650002</v>
      </c>
      <c r="AH334" s="43">
        <v>305.50024099099397</v>
      </c>
      <c r="AI334" s="43">
        <v>329.61446460064502</v>
      </c>
      <c r="AJ334" s="43">
        <v>61.462937609495697</v>
      </c>
      <c r="AK334" s="43">
        <v>0.54391980185394395</v>
      </c>
      <c r="AL334" s="43">
        <v>0.34974314286839597</v>
      </c>
      <c r="AM334" s="43">
        <v>859.58808346741296</v>
      </c>
      <c r="AN334" s="43">
        <v>7.6069741899771</v>
      </c>
      <c r="AO334" s="43">
        <v>7.4590232136922596</v>
      </c>
      <c r="AP334" s="44">
        <v>14</v>
      </c>
      <c r="AQ334" s="44">
        <v>2.870000000000001</v>
      </c>
      <c r="AR334" s="44">
        <v>51.089539699502915</v>
      </c>
      <c r="AS334" s="44">
        <v>40.390115503543996</v>
      </c>
      <c r="AT334" s="44">
        <v>0.91</v>
      </c>
      <c r="AU334" s="44">
        <v>2.8850082502531427</v>
      </c>
      <c r="AV334" s="44">
        <f t="shared" si="41"/>
        <v>40.390115503543996</v>
      </c>
      <c r="AW334" s="44">
        <f>+VLOOKUP(C334,'Etape 1 - surface'!$A$5:$B$58,2,FALSE)</f>
        <v>0</v>
      </c>
      <c r="AX334" s="44">
        <f t="shared" si="35"/>
        <v>0</v>
      </c>
      <c r="AY334" s="44">
        <f>10.8374384236453+(405.147848531042-10.8374384236453)/(1+EXP(-(1.16387919746889*AU334+-2.8965970117006)))</f>
        <v>252.66792515694215</v>
      </c>
      <c r="AZ334" s="63"/>
      <c r="BA334" s="63">
        <f t="shared" si="36"/>
        <v>0</v>
      </c>
      <c r="BB334" s="45"/>
      <c r="BC334" s="65">
        <v>4.4999999999999998E-2</v>
      </c>
      <c r="BD334" s="63">
        <f t="shared" si="33"/>
        <v>-3503.0716309776817</v>
      </c>
    </row>
    <row r="335" spans="1:56" ht="14.45" customHeight="1" x14ac:dyDescent="0.25">
      <c r="A335" t="str">
        <f>+VLOOKUP(D335,Acronyme!$A$1:$C$50,3,FALSE)</f>
        <v>Chene_pedoncule</v>
      </c>
      <c r="B335" t="str">
        <f>+VLOOKUP(E335,Acronyme!$E$2:$I$50,5,FALSE)</f>
        <v>Guide chênaie continentale</v>
      </c>
      <c r="C335" t="str">
        <f t="shared" si="40"/>
        <v>Chene_pedoncule_F2_Dynamique_Guide chênaie continentale_</v>
      </c>
      <c r="D335" s="43" t="s">
        <v>145</v>
      </c>
      <c r="E335" s="43" t="s">
        <v>65</v>
      </c>
      <c r="F335" s="43" t="s">
        <v>66</v>
      </c>
      <c r="G335" s="43" t="s">
        <v>62</v>
      </c>
      <c r="H335" s="43">
        <v>21.9</v>
      </c>
      <c r="I335" s="43" t="s">
        <v>144</v>
      </c>
      <c r="J335" s="43">
        <v>1600</v>
      </c>
      <c r="K335" s="43" t="s">
        <v>109</v>
      </c>
      <c r="L335" s="43" t="s">
        <v>103</v>
      </c>
      <c r="M335" s="43" t="s">
        <v>143</v>
      </c>
      <c r="N335" s="43"/>
      <c r="O335" s="43"/>
      <c r="P335" s="43">
        <v>38</v>
      </c>
      <c r="Q335" s="43">
        <v>16.27</v>
      </c>
      <c r="R335" s="43">
        <v>1446</v>
      </c>
      <c r="S335" s="43">
        <v>21.44</v>
      </c>
      <c r="T335" s="43">
        <v>65</v>
      </c>
      <c r="U335" s="43">
        <v>525</v>
      </c>
      <c r="V335" s="43">
        <v>696</v>
      </c>
      <c r="W335" s="43">
        <v>155</v>
      </c>
      <c r="X335" s="43">
        <v>5</v>
      </c>
      <c r="Y335" s="43">
        <v>0</v>
      </c>
      <c r="Z335" s="32">
        <v>113</v>
      </c>
      <c r="AA335" s="43" t="s">
        <v>63</v>
      </c>
      <c r="AB335" s="43">
        <v>31.94</v>
      </c>
      <c r="AC335" s="43">
        <v>51</v>
      </c>
      <c r="AD335" s="43">
        <v>18.010000000000002</v>
      </c>
      <c r="AE335" s="43">
        <v>67.05</v>
      </c>
      <c r="AF335" s="43">
        <v>67.05</v>
      </c>
      <c r="AG335" s="43">
        <v>280.85156591203298</v>
      </c>
      <c r="AH335" s="43">
        <v>324.33999421299501</v>
      </c>
      <c r="AI335" s="43">
        <v>347.28001092370499</v>
      </c>
      <c r="AJ335" s="43">
        <v>63.321088575496397</v>
      </c>
      <c r="AK335" s="43">
        <v>0.56036361571235804</v>
      </c>
      <c r="AL335" s="43">
        <v>0.37449080337759899</v>
      </c>
      <c r="AM335" s="43">
        <v>964.93528214793798</v>
      </c>
      <c r="AN335" s="43">
        <v>8.5392502844950293</v>
      </c>
      <c r="AO335" s="43">
        <v>8.9183165441334395</v>
      </c>
      <c r="AP335" s="44">
        <v>12</v>
      </c>
      <c r="AQ335" s="44">
        <v>4.0399999999999991</v>
      </c>
      <c r="AR335" s="44">
        <v>65.471926303887784</v>
      </c>
      <c r="AS335" s="44">
        <v>62.983126472031017</v>
      </c>
      <c r="AT335" s="44">
        <v>0.96</v>
      </c>
      <c r="AU335" s="44">
        <v>5.2485938726692511</v>
      </c>
      <c r="AV335" s="44">
        <f t="shared" si="41"/>
        <v>62.983126472031017</v>
      </c>
      <c r="AW335" s="44">
        <f>+VLOOKUP(C335,'Etape 1 - surface'!$A$5:$B$58,2,FALSE)</f>
        <v>0</v>
      </c>
      <c r="AX335" s="44">
        <f t="shared" si="35"/>
        <v>0</v>
      </c>
      <c r="AY335" s="44">
        <f>10.8374384236453+(405.147848531042-10.8374384236453)/(1+EXP(-(1.16387919746889*AU335+-2.8965970117006)))</f>
        <v>389.88341824581977</v>
      </c>
      <c r="AZ335" s="63"/>
      <c r="BA335" s="63">
        <f t="shared" si="36"/>
        <v>0</v>
      </c>
      <c r="BB335" s="45"/>
      <c r="BC335" s="65">
        <v>4.4999999999999998E-2</v>
      </c>
      <c r="BD335" s="63">
        <f t="shared" si="33"/>
        <v>-3503.0716309776817</v>
      </c>
    </row>
    <row r="336" spans="1:56" ht="14.45" customHeight="1" x14ac:dyDescent="0.25">
      <c r="A336" t="str">
        <f>+VLOOKUP(D336,Acronyme!$A$1:$C$50,3,FALSE)</f>
        <v>Chêne sessile</v>
      </c>
      <c r="B336" t="str">
        <f>+VLOOKUP(E336,Acronyme!$E$2:$I$50,5,FALSE)</f>
        <v>Guide chênaie atlantique</v>
      </c>
      <c r="C336" t="str">
        <f t="shared" si="40"/>
        <v>Chêne sessile_F2_Classique_Guide chênaie atlantique_</v>
      </c>
      <c r="D336" s="43" t="s">
        <v>60</v>
      </c>
      <c r="E336" s="43" t="s">
        <v>150</v>
      </c>
      <c r="F336" s="43" t="s">
        <v>61</v>
      </c>
      <c r="G336" s="43" t="s">
        <v>62</v>
      </c>
      <c r="H336" s="43">
        <v>18.18</v>
      </c>
      <c r="I336" s="43" t="s">
        <v>142</v>
      </c>
      <c r="J336" s="43">
        <v>1666</v>
      </c>
      <c r="K336" s="43" t="s">
        <v>109</v>
      </c>
      <c r="L336" s="43" t="s">
        <v>103</v>
      </c>
      <c r="M336" s="43" t="s">
        <v>143</v>
      </c>
      <c r="N336" s="43"/>
      <c r="O336" s="43"/>
      <c r="P336" s="43">
        <v>42</v>
      </c>
      <c r="Q336" s="43">
        <v>16.02</v>
      </c>
      <c r="R336" s="43">
        <v>1451</v>
      </c>
      <c r="S336" s="43">
        <v>23.57</v>
      </c>
      <c r="T336" s="43">
        <v>44</v>
      </c>
      <c r="U336" s="43">
        <v>444</v>
      </c>
      <c r="V336" s="43">
        <v>742</v>
      </c>
      <c r="W336" s="43">
        <v>211</v>
      </c>
      <c r="X336" s="43">
        <v>10</v>
      </c>
      <c r="Y336" s="43">
        <v>0</v>
      </c>
      <c r="Z336" s="32">
        <v>114</v>
      </c>
      <c r="AA336" s="43" t="s">
        <v>63</v>
      </c>
      <c r="AB336" s="43">
        <v>29.47</v>
      </c>
      <c r="AC336" s="43">
        <v>139</v>
      </c>
      <c r="AD336" s="43">
        <v>22.64</v>
      </c>
      <c r="AE336" s="43">
        <v>45.54</v>
      </c>
      <c r="AF336" s="43">
        <v>48.13</v>
      </c>
      <c r="AG336" s="43">
        <v>329.97095888755598</v>
      </c>
      <c r="AH336" s="43">
        <v>364.65101441269798</v>
      </c>
      <c r="AI336" s="43">
        <v>393.36901214655501</v>
      </c>
      <c r="AJ336" s="43">
        <v>65.764860427278805</v>
      </c>
      <c r="AK336" s="43">
        <v>0.57688474059016503</v>
      </c>
      <c r="AL336" s="43">
        <v>0.41373757371757802</v>
      </c>
      <c r="AM336" s="43">
        <v>956.40373854860798</v>
      </c>
      <c r="AN336" s="43">
        <v>8.3895064784965605</v>
      </c>
      <c r="AO336" s="43">
        <v>9.2090010311912192</v>
      </c>
      <c r="AP336" s="44">
        <v>25</v>
      </c>
      <c r="AQ336" s="44">
        <v>3.8599999999999994</v>
      </c>
      <c r="AR336" s="44">
        <v>44.338266284002252</v>
      </c>
      <c r="AS336" s="44">
        <v>56.128212370113033</v>
      </c>
      <c r="AT336" s="44">
        <v>0.96</v>
      </c>
      <c r="AU336" s="44">
        <v>2.2451284948045211</v>
      </c>
      <c r="AV336" s="44">
        <f t="shared" si="41"/>
        <v>56.128212370113026</v>
      </c>
      <c r="AW336" s="44">
        <f>+VLOOKUP(C336,'Etape 1 - surface'!$A$5:$B$58,2,FALSE)</f>
        <v>0</v>
      </c>
      <c r="AX336" s="44">
        <f t="shared" si="35"/>
        <v>0</v>
      </c>
      <c r="AY336" s="44">
        <f>10.8374384236453+(405.147848531042-10.8374384236453)/(1+EXP(-(1.16387919746889*AU336+-2.8965970117006)))</f>
        <v>180.22784396966316</v>
      </c>
      <c r="AZ336" s="63"/>
      <c r="BA336" s="63">
        <f t="shared" si="36"/>
        <v>0</v>
      </c>
      <c r="BB336" s="45"/>
      <c r="BC336" s="65">
        <v>4.4999999999999998E-2</v>
      </c>
      <c r="BD336" s="63">
        <f t="shared" si="33"/>
        <v>-3503.0716309776817</v>
      </c>
    </row>
    <row r="337" spans="1:56" ht="14.45" customHeight="1" x14ac:dyDescent="0.25">
      <c r="A337" t="str">
        <f>+VLOOKUP(D337,Acronyme!$A$1:$C$50,3,FALSE)</f>
        <v>Pin sylvestre</v>
      </c>
      <c r="B337" t="str">
        <f>+VLOOKUP(E337,Acronyme!$E$2:$I$50,5,FALSE)</f>
        <v>GS Pineraies des plaines du Centre et du Nord Ouest</v>
      </c>
      <c r="C337" t="str">
        <f t="shared" si="40"/>
        <v>Pin sylvestre_F1_Eclaircie tardive_GS Pineraies des plaines du Centre et du Nord Ouest_</v>
      </c>
      <c r="D337" s="43" t="s">
        <v>106</v>
      </c>
      <c r="E337" s="43" t="s">
        <v>89</v>
      </c>
      <c r="F337" s="43" t="s">
        <v>115</v>
      </c>
      <c r="G337" s="43" t="s">
        <v>100</v>
      </c>
      <c r="H337" s="43">
        <v>28</v>
      </c>
      <c r="I337" s="43">
        <v>45</v>
      </c>
      <c r="J337" s="43">
        <v>2500</v>
      </c>
      <c r="K337" s="43" t="s">
        <v>109</v>
      </c>
      <c r="L337" s="43" t="s">
        <v>116</v>
      </c>
      <c r="M337" s="43" t="s">
        <v>111</v>
      </c>
      <c r="N337" s="43">
        <v>1997</v>
      </c>
      <c r="O337" s="43" t="s">
        <v>96</v>
      </c>
      <c r="P337" s="43">
        <v>21</v>
      </c>
      <c r="Q337" s="43">
        <v>12.5</v>
      </c>
      <c r="R337" s="43">
        <v>2024</v>
      </c>
      <c r="S337" s="43">
        <v>28.8</v>
      </c>
      <c r="T337" s="43">
        <v>0</v>
      </c>
      <c r="U337" s="43">
        <v>1100</v>
      </c>
      <c r="V337" s="43">
        <v>712</v>
      </c>
      <c r="W337" s="43">
        <v>162</v>
      </c>
      <c r="X337" s="43">
        <v>50</v>
      </c>
      <c r="Y337" s="43">
        <v>0</v>
      </c>
      <c r="Z337" s="32">
        <v>115</v>
      </c>
      <c r="AA337" s="43" t="s">
        <v>63</v>
      </c>
      <c r="AB337" s="43">
        <v>42.15</v>
      </c>
      <c r="AC337" s="43">
        <v>0</v>
      </c>
      <c r="AD337" s="43">
        <v>0</v>
      </c>
      <c r="AE337" s="43">
        <v>0</v>
      </c>
      <c r="AF337" s="43">
        <v>0</v>
      </c>
      <c r="AG337" s="43">
        <v>0</v>
      </c>
      <c r="AH337" s="43">
        <v>0</v>
      </c>
      <c r="AI337" s="43">
        <v>0</v>
      </c>
      <c r="AJ337" s="43">
        <v>76.392362012469206</v>
      </c>
      <c r="AK337" s="43">
        <v>0.66428140880408004</v>
      </c>
      <c r="AL337" s="43"/>
      <c r="AM337" s="43">
        <v>1122.9760778223399</v>
      </c>
      <c r="AN337" s="43">
        <v>9.7650093723681604</v>
      </c>
      <c r="AO337" s="43"/>
      <c r="AP337" s="44">
        <v>70</v>
      </c>
      <c r="AQ337" s="44">
        <v>10.25</v>
      </c>
      <c r="AR337" s="44">
        <v>43.178541849156339</v>
      </c>
      <c r="AS337" s="44">
        <v>188.96684296811199</v>
      </c>
      <c r="AT337" s="44">
        <v>1</v>
      </c>
      <c r="AU337" s="44">
        <v>2.6995263281158857</v>
      </c>
      <c r="AV337" s="44">
        <f t="shared" si="41"/>
        <v>188.96684296811199</v>
      </c>
      <c r="AW337" s="44">
        <f>+VLOOKUP(C337,'Etape 1 - surface'!$A$5:$B$58,2,FALSE)</f>
        <v>0</v>
      </c>
      <c r="AX337" s="44">
        <f t="shared" si="35"/>
        <v>0</v>
      </c>
      <c r="AY337" s="44">
        <f>10.0046474463505+(37.1112351801373-10.0046474463505)/(1+EXP(-(0.581180949782075*AU337+-0.955447614584994)))</f>
        <v>27.589530135600199</v>
      </c>
      <c r="AZ337" s="63"/>
      <c r="BA337" s="63">
        <f t="shared" si="36"/>
        <v>0</v>
      </c>
      <c r="BB337" s="45"/>
      <c r="BC337" s="65">
        <v>4.4999999999999998E-2</v>
      </c>
      <c r="BD337" s="63">
        <f t="shared" si="33"/>
        <v>-3503.0716309776817</v>
      </c>
    </row>
    <row r="338" spans="1:56" ht="14.45" customHeight="1" x14ac:dyDescent="0.25">
      <c r="A338" t="str">
        <f>+VLOOKUP(D338,Acronyme!$A$1:$C$50,3,FALSE)</f>
        <v>Pin sylvestre</v>
      </c>
      <c r="B338" t="str">
        <f>+VLOOKUP(E338,Acronyme!$E$2:$I$50,5,FALSE)</f>
        <v>GSM Alpes du Sud</v>
      </c>
      <c r="C338" t="str">
        <f t="shared" si="40"/>
        <v>Pin sylvestre_F2_PS2_d2_GSM Alpes du Sud_</v>
      </c>
      <c r="D338" s="43" t="s">
        <v>106</v>
      </c>
      <c r="E338" s="43" t="s">
        <v>132</v>
      </c>
      <c r="F338" s="43" t="s">
        <v>138</v>
      </c>
      <c r="G338" s="43" t="s">
        <v>62</v>
      </c>
      <c r="H338" s="43">
        <v>11</v>
      </c>
      <c r="I338" s="43" t="s">
        <v>139</v>
      </c>
      <c r="J338" s="43">
        <v>1100</v>
      </c>
      <c r="K338" s="43" t="s">
        <v>109</v>
      </c>
      <c r="L338" s="43" t="s">
        <v>134</v>
      </c>
      <c r="M338" s="43" t="s">
        <v>135</v>
      </c>
      <c r="N338" s="43"/>
      <c r="O338" s="43"/>
      <c r="P338" s="43">
        <v>20</v>
      </c>
      <c r="Q338" s="43">
        <v>4.46</v>
      </c>
      <c r="R338" s="43">
        <v>6000</v>
      </c>
      <c r="S338" s="43">
        <v>7.1</v>
      </c>
      <c r="T338" s="43">
        <v>6000</v>
      </c>
      <c r="U338" s="43">
        <v>0</v>
      </c>
      <c r="V338" s="43">
        <v>0</v>
      </c>
      <c r="W338" s="43">
        <v>0</v>
      </c>
      <c r="X338" s="43">
        <v>0</v>
      </c>
      <c r="Y338" s="43">
        <v>0</v>
      </c>
      <c r="Z338" s="32">
        <v>115</v>
      </c>
      <c r="AA338" s="43" t="e">
        <f>IF(#REF!=Z338,"ap","av")</f>
        <v>#REF!</v>
      </c>
      <c r="AB338" s="43">
        <v>13.16</v>
      </c>
      <c r="AC338" s="43">
        <v>0</v>
      </c>
      <c r="AD338" s="43">
        <v>0</v>
      </c>
      <c r="AE338" s="43">
        <v>0</v>
      </c>
      <c r="AF338" s="43">
        <v>0</v>
      </c>
      <c r="AG338" s="43">
        <v>0</v>
      </c>
      <c r="AH338" s="43">
        <v>0</v>
      </c>
      <c r="AI338" s="43">
        <v>0</v>
      </c>
      <c r="AJ338" s="43">
        <v>63.9964828432568</v>
      </c>
      <c r="AK338" s="43">
        <v>4.5496943594062103</v>
      </c>
      <c r="AL338" s="43"/>
      <c r="AM338" s="43">
        <v>523.21485133171404</v>
      </c>
      <c r="AN338" s="43">
        <v>4.3396820730108203</v>
      </c>
      <c r="AO338" s="43"/>
      <c r="AP338" s="44">
        <v>124</v>
      </c>
      <c r="AQ338" s="44">
        <v>19.57</v>
      </c>
      <c r="AR338" s="44">
        <v>44.826995296313768</v>
      </c>
      <c r="AS338" s="44">
        <v>112.770194473544</v>
      </c>
      <c r="AT338" s="44">
        <v>1</v>
      </c>
      <c r="AU338" s="44">
        <v>0.90943705220599991</v>
      </c>
      <c r="AV338" s="44">
        <f t="shared" si="41"/>
        <v>112.770194473544</v>
      </c>
      <c r="AW338" s="44">
        <f>+VLOOKUP(C338,'Etape 1 - surface'!$A$5:$B$58,2,FALSE)</f>
        <v>0</v>
      </c>
      <c r="AX338" s="44">
        <f t="shared" si="35"/>
        <v>0</v>
      </c>
      <c r="AY338" s="44">
        <f>10.0046474463505+(37.1112351801373-10.0046474463505)/(1+EXP(-(0.581180949782075*AU338+-0.955447614584994)))</f>
        <v>20.70813888342478</v>
      </c>
      <c r="AZ338" s="63"/>
      <c r="BA338" s="63">
        <f t="shared" si="36"/>
        <v>0</v>
      </c>
      <c r="BB338" s="45"/>
      <c r="BC338" s="65">
        <v>4.4999999999999998E-2</v>
      </c>
      <c r="BD338" s="63">
        <f t="shared" si="33"/>
        <v>-3503.0716309776817</v>
      </c>
    </row>
    <row r="339" spans="1:56" ht="14.45" customHeight="1" x14ac:dyDescent="0.25">
      <c r="A339" t="str">
        <f>+VLOOKUP(D339,Acronyme!$A$1:$C$50,3,FALSE)</f>
        <v>Sapin pectiné</v>
      </c>
      <c r="B339" t="str">
        <f>+VLOOKUP(E339,Acronyme!$E$2:$I$50,5,FALSE)</f>
        <v>GSM Alpes du Sud</v>
      </c>
      <c r="C339" t="str">
        <f t="shared" si="40"/>
        <v>Sapin pectiné_F2_SP2_4_GSM Alpes du Sud_</v>
      </c>
      <c r="D339" s="43" t="s">
        <v>129</v>
      </c>
      <c r="E339" s="43" t="s">
        <v>132</v>
      </c>
      <c r="F339" s="43" t="s">
        <v>140</v>
      </c>
      <c r="G339" s="43" t="s">
        <v>62</v>
      </c>
      <c r="H339" s="43">
        <v>14</v>
      </c>
      <c r="I339" s="43" t="s">
        <v>108</v>
      </c>
      <c r="J339" s="43">
        <v>3000</v>
      </c>
      <c r="K339" s="43" t="s">
        <v>109</v>
      </c>
      <c r="L339" s="43" t="s">
        <v>134</v>
      </c>
      <c r="M339" s="43" t="s">
        <v>135</v>
      </c>
      <c r="N339" s="43"/>
      <c r="O339" s="43"/>
      <c r="P339" s="43">
        <v>70</v>
      </c>
      <c r="Q339" s="43">
        <v>16.989999999999998</v>
      </c>
      <c r="R339" s="43">
        <v>2299</v>
      </c>
      <c r="S339" s="43">
        <v>46.07</v>
      </c>
      <c r="T339" s="43">
        <v>0</v>
      </c>
      <c r="U339" s="43">
        <v>582</v>
      </c>
      <c r="V339" s="43">
        <v>948</v>
      </c>
      <c r="W339" s="43">
        <v>642</v>
      </c>
      <c r="X339" s="43">
        <v>127</v>
      </c>
      <c r="Y339" s="43">
        <v>0</v>
      </c>
      <c r="Z339" s="32">
        <v>115</v>
      </c>
      <c r="AA339" s="43" t="s">
        <v>63</v>
      </c>
      <c r="AB339" s="43">
        <v>19.46</v>
      </c>
      <c r="AC339" s="43">
        <v>359</v>
      </c>
      <c r="AD339" s="43">
        <v>29.13</v>
      </c>
      <c r="AE339" s="43">
        <v>32.14</v>
      </c>
      <c r="AF339" s="43">
        <v>40.19</v>
      </c>
      <c r="AG339" s="43">
        <v>232.20330312010699</v>
      </c>
      <c r="AH339" s="43">
        <v>235.96177155746699</v>
      </c>
      <c r="AI339" s="43">
        <v>310.189663331227</v>
      </c>
      <c r="AJ339" s="43">
        <v>86.009228493432005</v>
      </c>
      <c r="AK339" s="43">
        <v>0.74790633472549595</v>
      </c>
      <c r="AL339" s="43">
        <v>0.52586162342237797</v>
      </c>
      <c r="AM339" s="43">
        <v>841.50986014167097</v>
      </c>
      <c r="AN339" s="43">
        <v>7.3174770447101798</v>
      </c>
      <c r="AO339" s="43">
        <v>6.0273971465958498</v>
      </c>
      <c r="AP339" s="44">
        <v>134</v>
      </c>
      <c r="AQ339" s="44">
        <v>10.040000000000003</v>
      </c>
      <c r="AR339" s="44">
        <v>30.886558237955949</v>
      </c>
      <c r="AS339" s="44">
        <v>75.87067877395603</v>
      </c>
      <c r="AT339" s="44">
        <v>0.94</v>
      </c>
      <c r="AU339" s="44">
        <v>0.56619909532803003</v>
      </c>
      <c r="AV339" s="44">
        <f t="shared" si="41"/>
        <v>75.87067877395603</v>
      </c>
      <c r="AW339" s="44">
        <f>+VLOOKUP(C339,'Etape 1 - surface'!$A$5:$B$58,2,FALSE)</f>
        <v>0</v>
      </c>
      <c r="AX339" s="44">
        <f t="shared" si="35"/>
        <v>0</v>
      </c>
      <c r="AY339" s="44">
        <f>12.60067150914+(56.0435691950881-12.60067150914)/(1+EXP(-(0.12255140894824*AU339+-0.18958347271504)))</f>
        <v>33.0182851555696</v>
      </c>
      <c r="AZ339" s="63"/>
      <c r="BA339" s="63">
        <f t="shared" si="36"/>
        <v>0</v>
      </c>
      <c r="BB339" s="45"/>
      <c r="BC339" s="65">
        <v>4.4999999999999998E-2</v>
      </c>
      <c r="BD339" s="63">
        <f t="shared" ref="BD339:BD397" si="42">+(+BA339+BB339)/(1+BC339)^Z339+BD338</f>
        <v>-3503.0716309776817</v>
      </c>
    </row>
    <row r="340" spans="1:56" ht="14.45" customHeight="1" x14ac:dyDescent="0.25">
      <c r="C340" t="s">
        <v>265</v>
      </c>
      <c r="D340" s="43" t="s">
        <v>207</v>
      </c>
      <c r="E340" s="43" t="s">
        <v>208</v>
      </c>
      <c r="F340" s="43" t="s">
        <v>259</v>
      </c>
      <c r="G340" s="43" t="s">
        <v>260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2">
        <v>115</v>
      </c>
      <c r="AA340" s="43" t="s">
        <v>63</v>
      </c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44">
        <v>92</v>
      </c>
      <c r="AQ340" s="1"/>
      <c r="AR340" s="1"/>
      <c r="AS340" s="1"/>
      <c r="AT340" s="1"/>
      <c r="AU340" s="44">
        <f>AV340/AP340</f>
        <v>0.70652173913043481</v>
      </c>
      <c r="AV340" s="44">
        <v>65</v>
      </c>
      <c r="AW340" s="44">
        <f>+VLOOKUP(C340,'Etape 1 - surface'!$A$5:$B$58,2,FALSE)</f>
        <v>0</v>
      </c>
      <c r="AX340" s="44">
        <f t="shared" si="35"/>
        <v>0</v>
      </c>
      <c r="AY340" s="44">
        <f>82.5251889/(1+EXP(-(0.26195064*AU340+(-0.34406779))))</f>
        <v>37.989235356386821</v>
      </c>
      <c r="AZ340" s="63"/>
      <c r="BA340" s="63">
        <f t="shared" si="36"/>
        <v>0</v>
      </c>
      <c r="BB340" s="45"/>
      <c r="BC340" s="65">
        <v>4.4999999999999998E-2</v>
      </c>
      <c r="BD340" s="63">
        <f t="shared" si="42"/>
        <v>-3503.0716309776817</v>
      </c>
    </row>
    <row r="341" spans="1:56" ht="14.45" customHeight="1" x14ac:dyDescent="0.25">
      <c r="A341" t="str">
        <f>+VLOOKUP(D341,Acronyme!$A$1:$C$50,3,FALSE)</f>
        <v>Pin sylvestre</v>
      </c>
      <c r="B341" t="str">
        <f>+VLOOKUP(E341,Acronyme!$E$2:$I$50,5,FALSE)</f>
        <v>GS Pineraies des plaines du Centre et du Nord Ouest</v>
      </c>
      <c r="C341" t="str">
        <f t="shared" ref="C341:C346" si="43">+_xlfn.CONCAT(A341,"_",G341,"_",F341,"_",B341,"_")</f>
        <v>Pin sylvestre_F2_Eclaircie tardive_GS Pineraies des plaines du Centre et du Nord Ouest_</v>
      </c>
      <c r="D341" s="43" t="s">
        <v>106</v>
      </c>
      <c r="E341" s="43" t="s">
        <v>89</v>
      </c>
      <c r="F341" s="43" t="s">
        <v>115</v>
      </c>
      <c r="G341" s="43" t="s">
        <v>62</v>
      </c>
      <c r="H341" s="43">
        <v>23</v>
      </c>
      <c r="I341" s="43">
        <v>45</v>
      </c>
      <c r="J341" s="43">
        <v>2500</v>
      </c>
      <c r="K341" s="43" t="s">
        <v>109</v>
      </c>
      <c r="L341" s="43" t="s">
        <v>110</v>
      </c>
      <c r="M341" s="43" t="s">
        <v>111</v>
      </c>
      <c r="N341" s="43">
        <v>2003</v>
      </c>
      <c r="O341" s="43" t="s">
        <v>58</v>
      </c>
      <c r="P341" s="43">
        <v>28</v>
      </c>
      <c r="Q341" s="43">
        <v>13.5</v>
      </c>
      <c r="R341" s="43">
        <v>2157</v>
      </c>
      <c r="S341" s="43">
        <v>40.299999999999997</v>
      </c>
      <c r="T341" s="43">
        <v>0</v>
      </c>
      <c r="U341" s="43">
        <v>600</v>
      </c>
      <c r="V341" s="43">
        <v>1043</v>
      </c>
      <c r="W341" s="43">
        <v>457</v>
      </c>
      <c r="X341" s="43">
        <v>57</v>
      </c>
      <c r="Y341" s="43">
        <v>0</v>
      </c>
      <c r="Z341" s="32">
        <v>116</v>
      </c>
      <c r="AA341" s="43" t="s">
        <v>63</v>
      </c>
      <c r="AB341" s="43">
        <v>33.71</v>
      </c>
      <c r="AC341" s="43">
        <v>0</v>
      </c>
      <c r="AD341" s="43">
        <v>0</v>
      </c>
      <c r="AE341" s="43">
        <v>0</v>
      </c>
      <c r="AF341" s="43">
        <v>0</v>
      </c>
      <c r="AG341" s="43">
        <v>0</v>
      </c>
      <c r="AH341" s="43">
        <v>0</v>
      </c>
      <c r="AI341" s="43">
        <v>0</v>
      </c>
      <c r="AJ341" s="43">
        <v>80.878498123791502</v>
      </c>
      <c r="AK341" s="43">
        <v>0.69722843210165097</v>
      </c>
      <c r="AL341" s="43"/>
      <c r="AM341" s="43">
        <v>971.99287986261197</v>
      </c>
      <c r="AN341" s="43">
        <v>8.3792489643328594</v>
      </c>
      <c r="AO341" s="43"/>
      <c r="AP341" s="44">
        <v>68</v>
      </c>
      <c r="AQ341" s="44">
        <v>9.4499999999999993</v>
      </c>
      <c r="AR341" s="44">
        <v>42.06457517868018</v>
      </c>
      <c r="AS341" s="44">
        <v>139.413068672153</v>
      </c>
      <c r="AT341" s="44">
        <v>1</v>
      </c>
      <c r="AU341" s="44">
        <v>2.0501921863551913</v>
      </c>
      <c r="AV341" s="44">
        <f t="shared" ref="AV341:AV346" si="44">+AU341*AP341</f>
        <v>139.413068672153</v>
      </c>
      <c r="AW341" s="44">
        <f>+VLOOKUP(C341,'Etape 1 - surface'!$A$5:$B$58,2,FALSE)</f>
        <v>0</v>
      </c>
      <c r="AX341" s="44">
        <f t="shared" si="35"/>
        <v>0</v>
      </c>
      <c r="AY341" s="44">
        <f>10.0046474463505+(37.1112351801373-10.0046474463505)/(1+EXP(-(0.581180949782075*AU341+-0.955447614584994)))</f>
        <v>25.150416517690267</v>
      </c>
      <c r="AZ341" s="63"/>
      <c r="BA341" s="63">
        <f t="shared" si="36"/>
        <v>0</v>
      </c>
      <c r="BB341" s="45"/>
      <c r="BC341" s="65">
        <v>4.4999999999999998E-2</v>
      </c>
      <c r="BD341" s="63">
        <f t="shared" si="42"/>
        <v>-3503.0716309776817</v>
      </c>
    </row>
    <row r="342" spans="1:56" ht="14.45" customHeight="1" x14ac:dyDescent="0.25">
      <c r="A342" t="str">
        <f>+VLOOKUP(D342,Acronyme!$A$1:$C$50,3,FALSE)</f>
        <v>Hêtre commun</v>
      </c>
      <c r="B342" t="str">
        <f>+VLOOKUP(E342,Acronyme!$E$2:$I$50,5,FALSE)</f>
        <v>GS Hêtraies et hêtraies sapinières des Pyrénées</v>
      </c>
      <c r="C342" t="str">
        <f t="shared" si="43"/>
        <v>Hêtre commun_F1_Entree 19-20m_GS Hêtraies et hêtraies sapinières des Pyrénées_</v>
      </c>
      <c r="D342" s="43" t="s">
        <v>126</v>
      </c>
      <c r="E342" s="43" t="s">
        <v>127</v>
      </c>
      <c r="F342" s="43" t="s">
        <v>113</v>
      </c>
      <c r="G342" s="43" t="s">
        <v>100</v>
      </c>
      <c r="H342" s="43">
        <v>22</v>
      </c>
      <c r="I342" s="43">
        <v>55</v>
      </c>
      <c r="J342" s="43">
        <v>1666</v>
      </c>
      <c r="K342" s="43" t="s">
        <v>109</v>
      </c>
      <c r="L342" s="43" t="s">
        <v>103</v>
      </c>
      <c r="M342" s="43" t="s">
        <v>128</v>
      </c>
      <c r="N342" s="43"/>
      <c r="O342" s="43"/>
      <c r="P342" s="43">
        <v>42</v>
      </c>
      <c r="Q342" s="43">
        <v>19.510000000000002</v>
      </c>
      <c r="R342" s="43">
        <v>1402</v>
      </c>
      <c r="S342" s="43">
        <v>28.51</v>
      </c>
      <c r="T342" s="43">
        <v>50</v>
      </c>
      <c r="U342" s="43">
        <v>303</v>
      </c>
      <c r="V342" s="43">
        <v>595</v>
      </c>
      <c r="W342" s="43">
        <v>375</v>
      </c>
      <c r="X342" s="43">
        <v>75</v>
      </c>
      <c r="Y342" s="43">
        <v>4</v>
      </c>
      <c r="Z342" s="32">
        <v>116</v>
      </c>
      <c r="AA342" s="43" t="s">
        <v>63</v>
      </c>
      <c r="AB342" s="43">
        <v>36.22</v>
      </c>
      <c r="AC342" s="43">
        <v>50</v>
      </c>
      <c r="AD342" s="43">
        <v>10.58</v>
      </c>
      <c r="AE342" s="43">
        <v>51.9</v>
      </c>
      <c r="AF342" s="43">
        <v>51.9</v>
      </c>
      <c r="AG342" s="43">
        <v>183.50681834419299</v>
      </c>
      <c r="AH342" s="43">
        <v>200.473852907783</v>
      </c>
      <c r="AI342" s="43">
        <v>219.088774527716</v>
      </c>
      <c r="AJ342" s="43">
        <v>72.816699507463497</v>
      </c>
      <c r="AK342" s="43">
        <v>0.62773016816778904</v>
      </c>
      <c r="AL342" s="43">
        <v>0.25258629820536299</v>
      </c>
      <c r="AM342" s="43">
        <v>1214.28759185075</v>
      </c>
      <c r="AN342" s="43">
        <v>10.467996481471999</v>
      </c>
      <c r="AO342" s="43">
        <v>5.9922764039249596</v>
      </c>
      <c r="AP342" s="44">
        <v>24</v>
      </c>
      <c r="AQ342" s="44">
        <v>5.5400000000000009</v>
      </c>
      <c r="AR342" s="44">
        <v>54.213109876028462</v>
      </c>
      <c r="AS342" s="44">
        <v>96.284222682131997</v>
      </c>
      <c r="AT342" s="44">
        <v>1.06</v>
      </c>
      <c r="AU342" s="44">
        <v>4.0118426117555002</v>
      </c>
      <c r="AV342" s="44">
        <f t="shared" si="44"/>
        <v>96.284222682131997</v>
      </c>
      <c r="AW342" s="44">
        <f>+VLOOKUP(C342,'Etape 1 - surface'!$A$5:$B$58,2,FALSE)</f>
        <v>0</v>
      </c>
      <c r="AX342" s="44">
        <f t="shared" ref="AX342:AX397" si="45">+AW342*AV342</f>
        <v>0</v>
      </c>
      <c r="AY342" s="44">
        <f>5.93488073153274+(78.4394250513347-5.93488073153274)/(1+EXP(-(1.03516193614659*AU342+-2.09091784316379)))</f>
        <v>70.257536547899988</v>
      </c>
      <c r="AZ342" s="63"/>
      <c r="BA342" s="63">
        <f t="shared" ref="BA342:BA397" si="46">+AX342*AY342</f>
        <v>0</v>
      </c>
      <c r="BB342" s="45"/>
      <c r="BC342" s="65">
        <v>4.4999999999999998E-2</v>
      </c>
      <c r="BD342" s="63">
        <f t="shared" si="42"/>
        <v>-3503.0716309776817</v>
      </c>
    </row>
    <row r="343" spans="1:56" ht="14.45" customHeight="1" x14ac:dyDescent="0.25">
      <c r="A343" t="str">
        <f>+VLOOKUP(D343,Acronyme!$A$1:$C$50,3,FALSE)</f>
        <v>Sapin pectiné</v>
      </c>
      <c r="B343" t="str">
        <f>+VLOOKUP(E343,Acronyme!$E$2:$I$50,5,FALSE)</f>
        <v>GS Arc Jurassien</v>
      </c>
      <c r="C343" t="str">
        <f t="shared" si="43"/>
        <v>Sapin pectiné_F1_Cas général_GS Arc Jurassien_</v>
      </c>
      <c r="D343" s="43" t="s">
        <v>129</v>
      </c>
      <c r="E343" s="43" t="s">
        <v>119</v>
      </c>
      <c r="F343" s="43" t="s">
        <v>130</v>
      </c>
      <c r="G343" s="43" t="s">
        <v>100</v>
      </c>
      <c r="H343" s="43">
        <v>20</v>
      </c>
      <c r="I343" s="43" t="s">
        <v>122</v>
      </c>
      <c r="J343" s="43">
        <v>2000</v>
      </c>
      <c r="K343" s="43" t="s">
        <v>102</v>
      </c>
      <c r="L343" s="43" t="s">
        <v>103</v>
      </c>
      <c r="M343" s="43" t="s">
        <v>123</v>
      </c>
      <c r="N343" s="43"/>
      <c r="O343" s="43"/>
      <c r="P343" s="43">
        <v>45</v>
      </c>
      <c r="Q343" s="43">
        <v>17.7</v>
      </c>
      <c r="R343" s="43">
        <v>1853</v>
      </c>
      <c r="S343" s="43">
        <v>45.68</v>
      </c>
      <c r="T343" s="43">
        <v>0</v>
      </c>
      <c r="U343" s="43">
        <v>0</v>
      </c>
      <c r="V343" s="43">
        <v>1079</v>
      </c>
      <c r="W343" s="43">
        <v>672</v>
      </c>
      <c r="X343" s="43">
        <v>94</v>
      </c>
      <c r="Y343" s="43">
        <v>8</v>
      </c>
      <c r="Z343" s="32">
        <v>116</v>
      </c>
      <c r="AA343" s="43" t="s">
        <v>63</v>
      </c>
      <c r="AB343" s="43">
        <v>37.656839001781897</v>
      </c>
      <c r="AC343" s="43">
        <v>120</v>
      </c>
      <c r="AD343" s="43">
        <v>28.29</v>
      </c>
      <c r="AE343" s="43">
        <v>54.782629155879</v>
      </c>
      <c r="AF343" s="43">
        <v>55.860184831911397</v>
      </c>
      <c r="AG343" s="43">
        <v>528.89048860591902</v>
      </c>
      <c r="AH343" s="43">
        <v>530.49852145204795</v>
      </c>
      <c r="AI343" s="43">
        <v>565.23327528217703</v>
      </c>
      <c r="AJ343" s="43">
        <v>110.22462705948701</v>
      </c>
      <c r="AK343" s="43">
        <v>0.95021230223695397</v>
      </c>
      <c r="AL343" s="43">
        <v>0.43077800844703501</v>
      </c>
      <c r="AM343" s="43">
        <v>1732.5463939886299</v>
      </c>
      <c r="AN343" s="43">
        <v>14.935744775764</v>
      </c>
      <c r="AO343" s="43">
        <v>10.6675145291708</v>
      </c>
      <c r="AP343" s="44">
        <v>24</v>
      </c>
      <c r="AQ343" s="44">
        <v>5.1000000000000014</v>
      </c>
      <c r="AR343" s="44">
        <v>52.015709478600996</v>
      </c>
      <c r="AS343" s="44">
        <v>95.344186624892018</v>
      </c>
      <c r="AT343" s="44">
        <v>0.9164321600803953</v>
      </c>
      <c r="AU343" s="44">
        <v>3.9726744427038341</v>
      </c>
      <c r="AV343" s="44">
        <f t="shared" si="44"/>
        <v>95.344186624892018</v>
      </c>
      <c r="AW343" s="44">
        <f>+VLOOKUP(C343,'Etape 1 - surface'!$A$5:$B$58,2,FALSE)</f>
        <v>0</v>
      </c>
      <c r="AX343" s="44">
        <f t="shared" si="45"/>
        <v>0</v>
      </c>
      <c r="AY343" s="44">
        <f>12.60067150914+(56.0435691950881-12.60067150914)/(1+EXP(-(0.12255140894824*AU343+-0.18958347271504)))</f>
        <v>37.527156463611121</v>
      </c>
      <c r="AZ343" s="63"/>
      <c r="BA343" s="63">
        <f t="shared" si="46"/>
        <v>0</v>
      </c>
      <c r="BB343" s="45"/>
      <c r="BC343" s="65">
        <v>4.4999999999999998E-2</v>
      </c>
      <c r="BD343" s="63">
        <f t="shared" si="42"/>
        <v>-3503.0716309776817</v>
      </c>
    </row>
    <row r="344" spans="1:56" ht="14.45" customHeight="1" x14ac:dyDescent="0.25">
      <c r="A344" t="str">
        <f>+VLOOKUP(D344,Acronyme!$A$1:$C$50,3,FALSE)</f>
        <v>Hêtre commun</v>
      </c>
      <c r="B344" t="str">
        <f>+VLOOKUP(E344,Acronyme!$E$2:$I$50,5,FALSE)</f>
        <v>GS Hêtraies et hêtraies sapinières des Pyrénées</v>
      </c>
      <c r="C344" t="str">
        <f t="shared" si="43"/>
        <v>Hêtre commun_F2_Entree 19-20m_GS Hêtraies et hêtraies sapinières des Pyrénées_</v>
      </c>
      <c r="D344" s="43" t="s">
        <v>126</v>
      </c>
      <c r="E344" s="43" t="s">
        <v>127</v>
      </c>
      <c r="F344" s="43" t="s">
        <v>113</v>
      </c>
      <c r="G344" s="43" t="s">
        <v>62</v>
      </c>
      <c r="H344" s="43">
        <v>18</v>
      </c>
      <c r="I344" s="43">
        <v>55</v>
      </c>
      <c r="J344" s="43">
        <v>1666</v>
      </c>
      <c r="K344" s="43" t="s">
        <v>109</v>
      </c>
      <c r="L344" s="43" t="s">
        <v>103</v>
      </c>
      <c r="M344" s="43" t="s">
        <v>128</v>
      </c>
      <c r="N344" s="43"/>
      <c r="O344" s="43"/>
      <c r="P344" s="43">
        <v>57</v>
      </c>
      <c r="Q344" s="43">
        <v>19.899999999999999</v>
      </c>
      <c r="R344" s="43">
        <v>1402</v>
      </c>
      <c r="S344" s="43">
        <v>28.51</v>
      </c>
      <c r="T344" s="43">
        <v>50</v>
      </c>
      <c r="U344" s="43">
        <v>303</v>
      </c>
      <c r="V344" s="43">
        <v>595</v>
      </c>
      <c r="W344" s="43">
        <v>375</v>
      </c>
      <c r="X344" s="43">
        <v>75</v>
      </c>
      <c r="Y344" s="43">
        <v>4</v>
      </c>
      <c r="Z344" s="32">
        <v>117</v>
      </c>
      <c r="AA344" s="43" t="s">
        <v>63</v>
      </c>
      <c r="AB344" s="43">
        <v>32.36</v>
      </c>
      <c r="AC344" s="43">
        <v>119</v>
      </c>
      <c r="AD344" s="43">
        <v>18.420000000000002</v>
      </c>
      <c r="AE344" s="43">
        <v>44.4</v>
      </c>
      <c r="AF344" s="43">
        <v>46.22</v>
      </c>
      <c r="AG344" s="43">
        <v>282.14216972569102</v>
      </c>
      <c r="AH344" s="43">
        <v>309.74028106164599</v>
      </c>
      <c r="AI344" s="43">
        <v>343.09131795554902</v>
      </c>
      <c r="AJ344" s="43">
        <v>62.577004350404998</v>
      </c>
      <c r="AK344" s="43">
        <v>0.53484619102910302</v>
      </c>
      <c r="AL344" s="43">
        <v>0.37264092104942897</v>
      </c>
      <c r="AM344" s="43">
        <v>966.07686875116201</v>
      </c>
      <c r="AN344" s="43">
        <v>8.2570672542834398</v>
      </c>
      <c r="AO344" s="43">
        <v>8.5016036499007104</v>
      </c>
      <c r="AP344" s="44">
        <v>37</v>
      </c>
      <c r="AQ344" s="44">
        <v>4.4599999999999973</v>
      </c>
      <c r="AR344" s="44">
        <v>39.176138523336903</v>
      </c>
      <c r="AS344" s="44">
        <v>67.630768307018002</v>
      </c>
      <c r="AT344" s="44">
        <v>0.82</v>
      </c>
      <c r="AU344" s="44">
        <v>1.8278586028923784</v>
      </c>
      <c r="AV344" s="44">
        <f t="shared" si="44"/>
        <v>67.630768307018002</v>
      </c>
      <c r="AW344" s="44">
        <f>+VLOOKUP(C344,'Etape 1 - surface'!$A$5:$B$58,2,FALSE)</f>
        <v>0</v>
      </c>
      <c r="AX344" s="44">
        <f t="shared" si="45"/>
        <v>0</v>
      </c>
      <c r="AY344" s="44">
        <f>5.93488073153274+(78.4394250513347-5.93488073153274)/(1+EXP(-(1.03516193614659*AU344+-2.09091784316379)))</f>
        <v>38.595710120014857</v>
      </c>
      <c r="AZ344" s="63"/>
      <c r="BA344" s="63">
        <f t="shared" si="46"/>
        <v>0</v>
      </c>
      <c r="BB344" s="45"/>
      <c r="BC344" s="65">
        <v>4.4999999999999998E-2</v>
      </c>
      <c r="BD344" s="63">
        <f t="shared" si="42"/>
        <v>-3503.0716309776817</v>
      </c>
    </row>
    <row r="345" spans="1:56" ht="14.45" customHeight="1" x14ac:dyDescent="0.25">
      <c r="A345" t="str">
        <f>+VLOOKUP(D345,Acronyme!$A$1:$C$50,3,FALSE)</f>
        <v>Sapin pectiné</v>
      </c>
      <c r="B345" t="str">
        <f>+VLOOKUP(E345,Acronyme!$E$2:$I$50,5,FALSE)</f>
        <v>GS Arc Jurassien</v>
      </c>
      <c r="C345" t="str">
        <f t="shared" si="43"/>
        <v>Sapin pectiné_F2_Cas général_GS Arc Jurassien_</v>
      </c>
      <c r="D345" s="43" t="s">
        <v>129</v>
      </c>
      <c r="E345" s="43" t="s">
        <v>119</v>
      </c>
      <c r="F345" s="43" t="s">
        <v>130</v>
      </c>
      <c r="G345" s="43" t="s">
        <v>62</v>
      </c>
      <c r="H345" s="43">
        <v>15.5</v>
      </c>
      <c r="I345" s="43" t="s">
        <v>101</v>
      </c>
      <c r="J345" s="43">
        <v>2000</v>
      </c>
      <c r="K345" s="43" t="s">
        <v>102</v>
      </c>
      <c r="L345" s="43" t="s">
        <v>103</v>
      </c>
      <c r="M345" s="43" t="s">
        <v>123</v>
      </c>
      <c r="N345" s="43"/>
      <c r="O345" s="43"/>
      <c r="P345" s="43">
        <v>57</v>
      </c>
      <c r="Q345" s="43">
        <v>18.22</v>
      </c>
      <c r="R345" s="43">
        <v>1862</v>
      </c>
      <c r="S345" s="43">
        <v>45.64</v>
      </c>
      <c r="T345" s="43">
        <v>0</v>
      </c>
      <c r="U345" s="43">
        <v>0</v>
      </c>
      <c r="V345" s="43">
        <v>1085</v>
      </c>
      <c r="W345" s="43">
        <v>663</v>
      </c>
      <c r="X345" s="43">
        <v>114</v>
      </c>
      <c r="Y345" s="43">
        <v>0</v>
      </c>
      <c r="Z345" s="32">
        <v>118</v>
      </c>
      <c r="AA345" s="43" t="s">
        <v>63</v>
      </c>
      <c r="AB345" s="43">
        <v>33.221754584543199</v>
      </c>
      <c r="AC345" s="43">
        <v>201</v>
      </c>
      <c r="AD345" s="43">
        <v>29.22</v>
      </c>
      <c r="AE345" s="43">
        <v>43.025197619653198</v>
      </c>
      <c r="AF345" s="43">
        <v>46.676070620815601</v>
      </c>
      <c r="AG345" s="43">
        <v>475.30747706909102</v>
      </c>
      <c r="AH345" s="43">
        <v>476.95567286658098</v>
      </c>
      <c r="AI345" s="43">
        <v>519.43414420957799</v>
      </c>
      <c r="AJ345" s="43">
        <v>94.413255938615094</v>
      </c>
      <c r="AK345" s="43">
        <v>0.80011233846284002</v>
      </c>
      <c r="AL345" s="43">
        <v>0.48581443700230398</v>
      </c>
      <c r="AM345" s="43">
        <v>1374.87629967523</v>
      </c>
      <c r="AN345" s="43">
        <v>11.6514940650444</v>
      </c>
      <c r="AO345" s="43">
        <v>11.280972149481901</v>
      </c>
      <c r="AP345" s="44">
        <v>33</v>
      </c>
      <c r="AQ345" s="44">
        <v>5.009999999999998</v>
      </c>
      <c r="AR345" s="44">
        <v>43.965999670279523</v>
      </c>
      <c r="AS345" s="44">
        <v>81.525340354191997</v>
      </c>
      <c r="AT345" s="44">
        <v>1.0379805813324705</v>
      </c>
      <c r="AU345" s="44">
        <v>2.4704648592179392</v>
      </c>
      <c r="AV345" s="44">
        <f t="shared" si="44"/>
        <v>81.525340354191997</v>
      </c>
      <c r="AW345" s="44">
        <f>+VLOOKUP(C345,'Etape 1 - surface'!$A$5:$B$58,2,FALSE)</f>
        <v>0</v>
      </c>
      <c r="AX345" s="44">
        <f t="shared" si="45"/>
        <v>0</v>
      </c>
      <c r="AY345" s="44">
        <f>12.60067150914+(56.0435691950881-12.60067150914)/(1+EXP(-(0.12255140894824*AU345+-0.18958347271504)))</f>
        <v>35.549977690264171</v>
      </c>
      <c r="AZ345" s="63"/>
      <c r="BA345" s="63">
        <f t="shared" si="46"/>
        <v>0</v>
      </c>
      <c r="BB345" s="45"/>
      <c r="BC345" s="65">
        <v>4.4999999999999998E-2</v>
      </c>
      <c r="BD345" s="63">
        <f t="shared" si="42"/>
        <v>-3503.0716309776817</v>
      </c>
    </row>
    <row r="346" spans="1:56" ht="14.45" customHeight="1" x14ac:dyDescent="0.25">
      <c r="A346" t="str">
        <f>+VLOOKUP(D346,Acronyme!$A$1:$C$50,3,FALSE)</f>
        <v>Chêne sessile</v>
      </c>
      <c r="B346" t="str">
        <f>+VLOOKUP(E346,Acronyme!$E$2:$I$50,5,FALSE)</f>
        <v>Guide chênaie continentale</v>
      </c>
      <c r="C346" t="str">
        <f t="shared" si="43"/>
        <v>Chêne sessile_F1_Dynamique_Guide chênaie continentale_</v>
      </c>
      <c r="D346" s="43" t="s">
        <v>60</v>
      </c>
      <c r="E346" s="43" t="s">
        <v>65</v>
      </c>
      <c r="F346" s="43" t="s">
        <v>66</v>
      </c>
      <c r="G346" s="43" t="s">
        <v>100</v>
      </c>
      <c r="H346" s="66">
        <v>21.5</v>
      </c>
      <c r="I346" s="66" t="s">
        <v>144</v>
      </c>
      <c r="J346" s="66">
        <v>1666</v>
      </c>
      <c r="K346" s="66" t="s">
        <v>109</v>
      </c>
      <c r="L346" s="66" t="s">
        <v>103</v>
      </c>
      <c r="M346" s="66" t="s">
        <v>143</v>
      </c>
      <c r="N346" s="66"/>
      <c r="O346" s="66"/>
      <c r="P346" s="66">
        <v>35</v>
      </c>
      <c r="Q346" s="66">
        <v>16.59</v>
      </c>
      <c r="R346" s="66">
        <v>1453</v>
      </c>
      <c r="S346" s="66">
        <v>26.19</v>
      </c>
      <c r="T346" s="66">
        <v>41</v>
      </c>
      <c r="U346" s="66">
        <v>369</v>
      </c>
      <c r="V346" s="66">
        <v>713</v>
      </c>
      <c r="W346" s="66">
        <v>301</v>
      </c>
      <c r="X346" s="66">
        <v>28</v>
      </c>
      <c r="Y346" s="66">
        <v>0</v>
      </c>
      <c r="Z346" s="32">
        <v>119</v>
      </c>
      <c r="AA346" s="43" t="s">
        <v>63</v>
      </c>
      <c r="AB346" s="66">
        <v>35.090000000000003</v>
      </c>
      <c r="AC346" s="66">
        <v>39</v>
      </c>
      <c r="AD346" s="66">
        <v>15.13</v>
      </c>
      <c r="AE346" s="66">
        <v>70.28</v>
      </c>
      <c r="AF346" s="66">
        <v>70.28</v>
      </c>
      <c r="AG346" s="66">
        <v>264.76735649797899</v>
      </c>
      <c r="AH346" s="66">
        <v>298.36787618421999</v>
      </c>
      <c r="AI346" s="66">
        <v>316.25212079963097</v>
      </c>
      <c r="AJ346" s="66">
        <v>78.297400714754005</v>
      </c>
      <c r="AK346" s="66">
        <v>0.65796135054415095</v>
      </c>
      <c r="AL346" s="66">
        <v>0.235711061788002</v>
      </c>
      <c r="AM346" s="66">
        <v>1279.13937913682</v>
      </c>
      <c r="AN346" s="66">
        <v>10.7490704129145</v>
      </c>
      <c r="AO346" s="66">
        <v>5.9103454429768503</v>
      </c>
      <c r="AP346" s="44">
        <v>27</v>
      </c>
      <c r="AQ346" s="67">
        <v>11.15</v>
      </c>
      <c r="AR346" s="67">
        <v>72.512121397422021</v>
      </c>
      <c r="AS346" s="67">
        <v>195.13372309401603</v>
      </c>
      <c r="AT346" s="67">
        <v>1.04</v>
      </c>
      <c r="AU346" s="44">
        <v>7.227174929408001</v>
      </c>
      <c r="AV346" s="44">
        <f t="shared" si="44"/>
        <v>195.13372309401603</v>
      </c>
      <c r="AW346" s="44">
        <f>+VLOOKUP(C346,'Etape 1 - surface'!$A$5:$B$58,2,FALSE)</f>
        <v>0</v>
      </c>
      <c r="AX346" s="44">
        <f t="shared" si="45"/>
        <v>0</v>
      </c>
      <c r="AY346" s="44">
        <f>10.8374384236453+(405.147848531042-10.8374384236453)/(1+EXP(-(1.16387919746889*AU346+-2.8965970117006)))</f>
        <v>403.5666883051515</v>
      </c>
      <c r="AZ346" s="63"/>
      <c r="BA346" s="63">
        <f t="shared" si="46"/>
        <v>0</v>
      </c>
      <c r="BB346" s="45"/>
      <c r="BC346" s="65">
        <v>4.4999999999999998E-2</v>
      </c>
      <c r="BD346" s="63">
        <f t="shared" si="42"/>
        <v>-3503.0716309776817</v>
      </c>
    </row>
    <row r="347" spans="1:56" ht="14.45" customHeight="1" x14ac:dyDescent="0.25">
      <c r="C347" t="s">
        <v>266</v>
      </c>
      <c r="D347" s="43" t="s">
        <v>207</v>
      </c>
      <c r="E347" s="43" t="s">
        <v>208</v>
      </c>
      <c r="F347" s="43" t="s">
        <v>258</v>
      </c>
      <c r="G347" s="43" t="s">
        <v>260</v>
      </c>
      <c r="Z347" s="32">
        <v>119</v>
      </c>
      <c r="AA347" s="43" t="s">
        <v>63</v>
      </c>
      <c r="AP347" s="44">
        <v>68</v>
      </c>
      <c r="AU347" s="44">
        <f>AV347/AP347</f>
        <v>0.94117647058823528</v>
      </c>
      <c r="AV347" s="44">
        <v>64</v>
      </c>
      <c r="AW347" s="44">
        <f>+VLOOKUP(C347,'Etape 1 - surface'!$A$5:$B$58,2,FALSE)</f>
        <v>0</v>
      </c>
      <c r="AX347" s="44">
        <f t="shared" si="45"/>
        <v>0</v>
      </c>
      <c r="AY347" s="44">
        <f>82.5251889/(1+EXP(-(0.26195064*AU347+(-0.34406779))))</f>
        <v>39.252099612487385</v>
      </c>
      <c r="AZ347" s="63"/>
      <c r="BA347" s="63">
        <f t="shared" si="46"/>
        <v>0</v>
      </c>
      <c r="BB347" s="45"/>
      <c r="BC347" s="65">
        <v>4.4999999999999998E-2</v>
      </c>
      <c r="BD347" s="63">
        <f t="shared" si="42"/>
        <v>-3503.0716309776817</v>
      </c>
    </row>
    <row r="348" spans="1:56" ht="14.45" customHeight="1" x14ac:dyDescent="0.25">
      <c r="A348" t="str">
        <f>+VLOOKUP(D348,Acronyme!$A$1:$C$50,3,FALSE)</f>
        <v>Sapin pectiné</v>
      </c>
      <c r="B348" t="str">
        <f>+VLOOKUP(E348,Acronyme!$E$2:$I$50,5,FALSE)</f>
        <v>GSM Alpes du Sud</v>
      </c>
      <c r="C348" t="str">
        <f>+_xlfn.CONCAT(A348,"_",G348,"_",F348,"_",B348,"_")</f>
        <v>Sapin pectiné_F1_SP1_d5_GSM Alpes du Sud_</v>
      </c>
      <c r="D348" s="43" t="s">
        <v>129</v>
      </c>
      <c r="E348" s="43" t="s">
        <v>132</v>
      </c>
      <c r="F348" s="43" t="s">
        <v>141</v>
      </c>
      <c r="G348" s="43" t="s">
        <v>100</v>
      </c>
      <c r="H348" s="66">
        <v>20.399999999999999</v>
      </c>
      <c r="I348" s="66" t="s">
        <v>101</v>
      </c>
      <c r="J348" s="66">
        <v>1600</v>
      </c>
      <c r="K348" s="66" t="s">
        <v>109</v>
      </c>
      <c r="L348" s="66" t="s">
        <v>134</v>
      </c>
      <c r="M348" s="66" t="s">
        <v>135</v>
      </c>
      <c r="N348" s="66"/>
      <c r="O348" s="66"/>
      <c r="P348" s="66">
        <v>40</v>
      </c>
      <c r="Q348" s="66">
        <v>16.829999999999998</v>
      </c>
      <c r="R348" s="66">
        <v>1499</v>
      </c>
      <c r="S348" s="66">
        <v>24.88</v>
      </c>
      <c r="T348" s="66">
        <v>27</v>
      </c>
      <c r="U348" s="66">
        <v>516</v>
      </c>
      <c r="V348" s="66">
        <v>633</v>
      </c>
      <c r="W348" s="66">
        <v>307</v>
      </c>
      <c r="X348" s="66">
        <v>15</v>
      </c>
      <c r="Y348" s="66">
        <v>0</v>
      </c>
      <c r="Z348" s="32">
        <v>120</v>
      </c>
      <c r="AA348" s="43" t="s">
        <v>63</v>
      </c>
      <c r="AB348" s="66">
        <v>25.74</v>
      </c>
      <c r="AC348" s="66">
        <v>0</v>
      </c>
      <c r="AD348" s="66">
        <v>0</v>
      </c>
      <c r="AE348" s="66">
        <v>0</v>
      </c>
      <c r="AF348" s="66">
        <v>0</v>
      </c>
      <c r="AG348" s="66">
        <v>0</v>
      </c>
      <c r="AH348" s="66">
        <v>0</v>
      </c>
      <c r="AI348" s="66">
        <v>0</v>
      </c>
      <c r="AJ348" s="66">
        <v>99.3596444856841</v>
      </c>
      <c r="AK348" s="66">
        <v>0.82799703738070096</v>
      </c>
      <c r="AL348" s="66"/>
      <c r="AM348" s="66">
        <v>1296.0427695935</v>
      </c>
      <c r="AN348" s="66">
        <v>10.8003564132792</v>
      </c>
      <c r="AO348" s="66"/>
      <c r="AP348" s="44">
        <v>60</v>
      </c>
      <c r="AQ348" s="67">
        <v>14.65</v>
      </c>
      <c r="AR348" s="67">
        <v>55.756852090677512</v>
      </c>
      <c r="AS348" s="67">
        <v>180.972368425968</v>
      </c>
      <c r="AT348" s="67">
        <v>1</v>
      </c>
      <c r="AU348" s="44">
        <v>3.0162061404328</v>
      </c>
      <c r="AV348" s="44">
        <f>+AU348*AP348</f>
        <v>180.972368425968</v>
      </c>
      <c r="AW348" s="44">
        <f>+VLOOKUP(C348,'Etape 1 - surface'!$A$5:$B$58,2,FALSE)</f>
        <v>0</v>
      </c>
      <c r="AX348" s="44">
        <f t="shared" si="45"/>
        <v>0</v>
      </c>
      <c r="AY348" s="44">
        <f>12.60067150914+(56.0435691950881-12.60067150914)/(1+EXP(-(0.12255140894824*AU348+-0.18958347271504)))</f>
        <v>36.272401824655539</v>
      </c>
      <c r="AZ348" s="63"/>
      <c r="BA348" s="63">
        <f t="shared" si="46"/>
        <v>0</v>
      </c>
      <c r="BB348" s="45"/>
      <c r="BC348" s="65">
        <v>4.4999999999999998E-2</v>
      </c>
      <c r="BD348" s="63">
        <f t="shared" si="42"/>
        <v>-3503.0716309776817</v>
      </c>
    </row>
    <row r="349" spans="1:56" ht="14.45" customHeight="1" x14ac:dyDescent="0.25">
      <c r="A349" t="str">
        <f>+VLOOKUP(D349,Acronyme!$A$1:$C$50,3,FALSE)</f>
        <v>Chêne sessile</v>
      </c>
      <c r="B349" t="str">
        <f>+VLOOKUP(E349,Acronyme!$E$2:$I$50,5,FALSE)</f>
        <v>Guide chênaie atlantique</v>
      </c>
      <c r="C349" t="str">
        <f>+_xlfn.CONCAT(A349,"_",G349,"_",F349,"_",B349,"_")</f>
        <v>Chêne sessile_F1_Classique_Guide chênaie atlantique_</v>
      </c>
      <c r="D349" s="43" t="s">
        <v>60</v>
      </c>
      <c r="E349" s="43" t="s">
        <v>150</v>
      </c>
      <c r="F349" s="43" t="s">
        <v>61</v>
      </c>
      <c r="G349" s="43" t="s">
        <v>100</v>
      </c>
      <c r="H349" s="66">
        <v>21.5</v>
      </c>
      <c r="I349" s="66" t="s">
        <v>151</v>
      </c>
      <c r="J349" s="66">
        <v>1666</v>
      </c>
      <c r="K349" s="66" t="s">
        <v>109</v>
      </c>
      <c r="L349" s="66" t="s">
        <v>103</v>
      </c>
      <c r="M349" s="66" t="s">
        <v>143</v>
      </c>
      <c r="N349" s="66"/>
      <c r="O349" s="66"/>
      <c r="P349" s="66">
        <v>34</v>
      </c>
      <c r="Q349" s="66">
        <v>16.2</v>
      </c>
      <c r="R349" s="66">
        <v>1451</v>
      </c>
      <c r="S349" s="66">
        <v>23.57</v>
      </c>
      <c r="T349" s="66">
        <v>44</v>
      </c>
      <c r="U349" s="66">
        <v>444</v>
      </c>
      <c r="V349" s="66">
        <v>742</v>
      </c>
      <c r="W349" s="66">
        <v>211</v>
      </c>
      <c r="X349" s="66">
        <v>10</v>
      </c>
      <c r="Y349" s="66">
        <v>0</v>
      </c>
      <c r="Z349" s="32">
        <v>120</v>
      </c>
      <c r="AA349" s="43" t="s">
        <v>63</v>
      </c>
      <c r="AB349" s="66">
        <v>35.6</v>
      </c>
      <c r="AC349" s="66">
        <v>89</v>
      </c>
      <c r="AD349" s="66">
        <v>25.31</v>
      </c>
      <c r="AE349" s="66">
        <v>60.18</v>
      </c>
      <c r="AF349" s="66">
        <v>60.18</v>
      </c>
      <c r="AG349" s="66">
        <v>450.74434118805198</v>
      </c>
      <c r="AH349" s="66">
        <v>496.53705932440198</v>
      </c>
      <c r="AI349" s="66">
        <v>526.51631394009803</v>
      </c>
      <c r="AJ349" s="66">
        <v>81.262565420493104</v>
      </c>
      <c r="AK349" s="66">
        <v>0.67718804517077602</v>
      </c>
      <c r="AL349" s="66">
        <v>0.41412484307997499</v>
      </c>
      <c r="AM349" s="66">
        <v>1353.74471399003</v>
      </c>
      <c r="AN349" s="66">
        <v>11.281205949916901</v>
      </c>
      <c r="AO349" s="66">
        <v>10.92588243262</v>
      </c>
      <c r="AP349" s="44">
        <v>14</v>
      </c>
      <c r="AQ349" s="67">
        <v>3.6400000000000006</v>
      </c>
      <c r="AR349" s="67">
        <v>57.536273917515928</v>
      </c>
      <c r="AS349" s="67">
        <v>64.594877795374032</v>
      </c>
      <c r="AT349" s="67">
        <v>0.92</v>
      </c>
      <c r="AU349" s="44">
        <v>4.6139198425267169</v>
      </c>
      <c r="AV349" s="44">
        <f>+AU349*AP349</f>
        <v>64.594877795374032</v>
      </c>
      <c r="AW349" s="44">
        <f>+VLOOKUP(C349,'Etape 1 - surface'!$A$5:$B$58,2,FALSE)</f>
        <v>0</v>
      </c>
      <c r="AX349" s="44">
        <f t="shared" si="45"/>
        <v>0</v>
      </c>
      <c r="AY349" s="44">
        <f>10.8374384236453+(405.147848531042-10.8374384236453)/(1+EXP(-(1.16387919746889*AU349+-2.8965970117006)))</f>
        <v>374.49390444531599</v>
      </c>
      <c r="AZ349" s="63"/>
      <c r="BA349" s="63">
        <f t="shared" si="46"/>
        <v>0</v>
      </c>
      <c r="BB349" s="45"/>
      <c r="BC349" s="65">
        <v>4.4999999999999998E-2</v>
      </c>
      <c r="BD349" s="63">
        <f t="shared" si="42"/>
        <v>-3503.0716309776817</v>
      </c>
    </row>
    <row r="350" spans="1:56" ht="14.45" customHeight="1" x14ac:dyDescent="0.25">
      <c r="A350" t="str">
        <f>+VLOOKUP(D350,Acronyme!$A$1:$C$50,3,FALSE)</f>
        <v>Hêtre commun</v>
      </c>
      <c r="B350" t="str">
        <f>+VLOOKUP(E350,Acronyme!$E$2:$I$50,5,FALSE)</f>
        <v>GS Hêtraies et hêtraies sapinières des Pyrénées</v>
      </c>
      <c r="C350" t="str">
        <f>+_xlfn.CONCAT(A350,"_",G350,"_",F350,"_",B350,"_")</f>
        <v>Hêtre commun_F1_Entree 19-20m_GS Hêtraies et hêtraies sapinières des Pyrénées_</v>
      </c>
      <c r="D350" s="43" t="s">
        <v>126</v>
      </c>
      <c r="E350" s="43" t="s">
        <v>127</v>
      </c>
      <c r="F350" s="43" t="s">
        <v>113</v>
      </c>
      <c r="G350" s="43" t="s">
        <v>100</v>
      </c>
      <c r="H350" s="66">
        <v>22</v>
      </c>
      <c r="I350" s="66">
        <v>55</v>
      </c>
      <c r="J350" s="66">
        <v>1666</v>
      </c>
      <c r="K350" s="66" t="s">
        <v>109</v>
      </c>
      <c r="L350" s="66" t="s">
        <v>103</v>
      </c>
      <c r="M350" s="66" t="s">
        <v>128</v>
      </c>
      <c r="N350" s="66"/>
      <c r="O350" s="66"/>
      <c r="P350" s="66">
        <v>42</v>
      </c>
      <c r="Q350" s="66">
        <v>19.510000000000002</v>
      </c>
      <c r="R350" s="66">
        <v>1402</v>
      </c>
      <c r="S350" s="66">
        <v>28.51</v>
      </c>
      <c r="T350" s="66">
        <v>50</v>
      </c>
      <c r="U350" s="66">
        <v>303</v>
      </c>
      <c r="V350" s="66">
        <v>595</v>
      </c>
      <c r="W350" s="66">
        <v>375</v>
      </c>
      <c r="X350" s="66">
        <v>75</v>
      </c>
      <c r="Y350" s="66">
        <v>4</v>
      </c>
      <c r="Z350" s="32">
        <v>121</v>
      </c>
      <c r="AA350" s="43" t="s">
        <v>63</v>
      </c>
      <c r="AB350" s="66">
        <v>36.68</v>
      </c>
      <c r="AC350" s="66">
        <v>30</v>
      </c>
      <c r="AD350" s="66">
        <v>6.97</v>
      </c>
      <c r="AE350" s="66">
        <v>54.38</v>
      </c>
      <c r="AF350" s="66">
        <v>54.38</v>
      </c>
      <c r="AG350" s="66">
        <v>122.55969872843001</v>
      </c>
      <c r="AH350" s="66">
        <v>134.225099376906</v>
      </c>
      <c r="AI350" s="66">
        <v>146.447762685996</v>
      </c>
      <c r="AJ350" s="66">
        <v>74.073071049342303</v>
      </c>
      <c r="AK350" s="66">
        <v>0.61217414090365596</v>
      </c>
      <c r="AL350" s="66">
        <v>0.18557659945218699</v>
      </c>
      <c r="AM350" s="66">
        <v>1244.20330656282</v>
      </c>
      <c r="AN350" s="66">
        <v>10.2826719550646</v>
      </c>
      <c r="AO350" s="66">
        <v>4.4229321774385504</v>
      </c>
      <c r="AP350" s="44">
        <v>20</v>
      </c>
      <c r="AQ350" s="67">
        <v>4.8600000000000003</v>
      </c>
      <c r="AR350" s="67">
        <v>55.623485091339298</v>
      </c>
      <c r="AS350" s="67">
        <v>85.601073931270989</v>
      </c>
      <c r="AT350" s="67">
        <v>1.03</v>
      </c>
      <c r="AU350" s="44">
        <v>4.2800536965635496</v>
      </c>
      <c r="AV350" s="44">
        <f>+AU350*AP350</f>
        <v>85.601073931270989</v>
      </c>
      <c r="AW350" s="44">
        <f>+VLOOKUP(C350,'Etape 1 - surface'!$A$5:$B$58,2,FALSE)</f>
        <v>0</v>
      </c>
      <c r="AX350" s="44">
        <f t="shared" si="45"/>
        <v>0</v>
      </c>
      <c r="AY350" s="44">
        <f>5.93488073153274+(78.4394250513347-5.93488073153274)/(1+EXP(-(1.03516193614659*AU350+-2.09091784316379)))</f>
        <v>72.066746437008291</v>
      </c>
      <c r="AZ350" s="63"/>
      <c r="BA350" s="63">
        <f t="shared" si="46"/>
        <v>0</v>
      </c>
      <c r="BB350" s="45"/>
      <c r="BC350" s="65">
        <v>4.4999999999999998E-2</v>
      </c>
      <c r="BD350" s="63">
        <f t="shared" si="42"/>
        <v>-3503.0716309776817</v>
      </c>
    </row>
    <row r="351" spans="1:56" ht="14.45" customHeight="1" x14ac:dyDescent="0.25">
      <c r="C351" t="s">
        <v>263</v>
      </c>
      <c r="D351" s="43" t="s">
        <v>207</v>
      </c>
      <c r="E351" s="43" t="s">
        <v>208</v>
      </c>
      <c r="F351" s="43" t="s">
        <v>259</v>
      </c>
      <c r="G351" s="43" t="s">
        <v>114</v>
      </c>
      <c r="Z351" s="32">
        <v>121</v>
      </c>
      <c r="AA351" s="43" t="s">
        <v>63</v>
      </c>
      <c r="AP351" s="44">
        <v>95</v>
      </c>
      <c r="AU351" s="44">
        <f>AV351/AP351</f>
        <v>2.4526315789473685</v>
      </c>
      <c r="AV351" s="44">
        <v>233</v>
      </c>
      <c r="AW351" s="44">
        <f>+VLOOKUP(C351,'Etape 1 - surface'!$A$5:$B$58,2,FALSE)</f>
        <v>0</v>
      </c>
      <c r="AX351" s="44">
        <f t="shared" si="45"/>
        <v>0</v>
      </c>
      <c r="AY351" s="44">
        <f>82.5251889/(1+EXP(-(0.26195064*AU351+(-0.34406779))))</f>
        <v>47.373707571473325</v>
      </c>
      <c r="AZ351" s="63"/>
      <c r="BA351" s="63">
        <f t="shared" si="46"/>
        <v>0</v>
      </c>
      <c r="BB351" s="45"/>
      <c r="BC351" s="65">
        <v>4.4999999999999998E-2</v>
      </c>
      <c r="BD351" s="63">
        <f t="shared" si="42"/>
        <v>-3503.0716309776817</v>
      </c>
    </row>
    <row r="352" spans="1:56" ht="14.45" customHeight="1" x14ac:dyDescent="0.25">
      <c r="A352" t="str">
        <f>+VLOOKUP(D352,Acronyme!$A$1:$C$50,3,FALSE)</f>
        <v>Chêne sessile</v>
      </c>
      <c r="B352" t="str">
        <f>+VLOOKUP(E352,Acronyme!$E$2:$I$50,5,FALSE)</f>
        <v>Guide chênaie continentale</v>
      </c>
      <c r="C352" t="str">
        <f t="shared" ref="C352:C365" si="47">+_xlfn.CONCAT(A352,"_",G352,"_",F352,"_",B352,"_")</f>
        <v>Chêne sessile_F1_Dynamique_Guide chênaie continentale_</v>
      </c>
      <c r="D352" s="43" t="s">
        <v>60</v>
      </c>
      <c r="E352" s="43" t="s">
        <v>65</v>
      </c>
      <c r="F352" s="43" t="s">
        <v>66</v>
      </c>
      <c r="G352" s="43" t="s">
        <v>100</v>
      </c>
      <c r="H352" s="66">
        <v>21.5</v>
      </c>
      <c r="I352" s="66" t="s">
        <v>144</v>
      </c>
      <c r="J352" s="66">
        <v>1666</v>
      </c>
      <c r="K352" s="66" t="s">
        <v>109</v>
      </c>
      <c r="L352" s="66" t="s">
        <v>103</v>
      </c>
      <c r="M352" s="66" t="s">
        <v>143</v>
      </c>
      <c r="N352" s="66"/>
      <c r="O352" s="66"/>
      <c r="P352" s="66">
        <v>35</v>
      </c>
      <c r="Q352" s="66">
        <v>16.59</v>
      </c>
      <c r="R352" s="66">
        <v>1453</v>
      </c>
      <c r="S352" s="66">
        <v>26.19</v>
      </c>
      <c r="T352" s="66">
        <v>41</v>
      </c>
      <c r="U352" s="66">
        <v>369</v>
      </c>
      <c r="V352" s="66">
        <v>713</v>
      </c>
      <c r="W352" s="66">
        <v>301</v>
      </c>
      <c r="X352" s="66">
        <v>28</v>
      </c>
      <c r="Y352" s="66">
        <v>0</v>
      </c>
      <c r="Z352" s="32">
        <v>123</v>
      </c>
      <c r="AA352" s="43" t="s">
        <v>63</v>
      </c>
      <c r="AB352" s="66">
        <v>35.46</v>
      </c>
      <c r="AC352" s="66">
        <v>26</v>
      </c>
      <c r="AD352" s="66">
        <v>10.7</v>
      </c>
      <c r="AE352" s="66">
        <v>72.39</v>
      </c>
      <c r="AF352" s="66">
        <v>72.39</v>
      </c>
      <c r="AG352" s="66">
        <v>189.32959801464901</v>
      </c>
      <c r="AH352" s="66">
        <v>213.852672251119</v>
      </c>
      <c r="AI352" s="66">
        <v>226.44675098746501</v>
      </c>
      <c r="AJ352" s="66">
        <v>79.240244961906001</v>
      </c>
      <c r="AK352" s="66">
        <v>0.64422963383663401</v>
      </c>
      <c r="AL352" s="66">
        <v>0.15081424253119699</v>
      </c>
      <c r="AM352" s="66">
        <v>1302.7807609087299</v>
      </c>
      <c r="AN352" s="66">
        <v>10.591713503323</v>
      </c>
      <c r="AO352" s="66">
        <v>3.6841907536853</v>
      </c>
      <c r="AP352" s="44">
        <v>13</v>
      </c>
      <c r="AQ352" s="67">
        <v>5.370000000000001</v>
      </c>
      <c r="AR352" s="67">
        <v>72.522125829229751</v>
      </c>
      <c r="AS352" s="67">
        <v>95.06066094534097</v>
      </c>
      <c r="AT352" s="67">
        <v>1</v>
      </c>
      <c r="AU352" s="44">
        <v>7.3123585342569974</v>
      </c>
      <c r="AV352" s="44">
        <f t="shared" ref="AV352:AV365" si="48">+AU352*AP352</f>
        <v>95.06066094534097</v>
      </c>
      <c r="AW352" s="44">
        <f>+VLOOKUP(C352,'Etape 1 - surface'!$A$5:$B$58,2,FALSE)</f>
        <v>0</v>
      </c>
      <c r="AX352" s="44">
        <f t="shared" si="45"/>
        <v>0</v>
      </c>
      <c r="AY352" s="44">
        <f>10.8374384236453+(405.147848531042-10.8374384236453)/(1+EXP(-(1.16387919746889*AU352+-2.8965970117006)))</f>
        <v>403.7153874072892</v>
      </c>
      <c r="AZ352" s="63"/>
      <c r="BA352" s="63">
        <f t="shared" si="46"/>
        <v>0</v>
      </c>
      <c r="BB352" s="45"/>
      <c r="BC352" s="65">
        <v>4.4999999999999998E-2</v>
      </c>
      <c r="BD352" s="63">
        <f t="shared" si="42"/>
        <v>-3503.0716309776817</v>
      </c>
    </row>
    <row r="353" spans="1:56" ht="14.45" customHeight="1" x14ac:dyDescent="0.25">
      <c r="A353" t="str">
        <f>+VLOOKUP(D353,Acronyme!$A$1:$C$50,3,FALSE)</f>
        <v>Chene_pedoncule</v>
      </c>
      <c r="B353" t="str">
        <f>+VLOOKUP(E353,Acronyme!$E$2:$I$50,5,FALSE)</f>
        <v>Guide chênaie continentale</v>
      </c>
      <c r="C353" t="str">
        <f t="shared" si="47"/>
        <v>Chene_pedoncule_F2_Dynamique_Guide chênaie continentale_</v>
      </c>
      <c r="D353" s="43" t="s">
        <v>145</v>
      </c>
      <c r="E353" s="43" t="s">
        <v>65</v>
      </c>
      <c r="F353" s="43" t="s">
        <v>66</v>
      </c>
      <c r="G353" s="43" t="s">
        <v>62</v>
      </c>
      <c r="H353" s="66">
        <v>21.9</v>
      </c>
      <c r="I353" s="66" t="s">
        <v>144</v>
      </c>
      <c r="J353" s="66">
        <v>1600</v>
      </c>
      <c r="K353" s="66" t="s">
        <v>109</v>
      </c>
      <c r="L353" s="66" t="s">
        <v>103</v>
      </c>
      <c r="M353" s="66" t="s">
        <v>143</v>
      </c>
      <c r="N353" s="66"/>
      <c r="O353" s="66"/>
      <c r="P353" s="66">
        <v>38</v>
      </c>
      <c r="Q353" s="66">
        <v>16.27</v>
      </c>
      <c r="R353" s="66">
        <v>1446</v>
      </c>
      <c r="S353" s="66">
        <v>21.44</v>
      </c>
      <c r="T353" s="66">
        <v>65</v>
      </c>
      <c r="U353" s="66">
        <v>525</v>
      </c>
      <c r="V353" s="66">
        <v>696</v>
      </c>
      <c r="W353" s="66">
        <v>155</v>
      </c>
      <c r="X353" s="66">
        <v>5</v>
      </c>
      <c r="Y353" s="66">
        <v>0</v>
      </c>
      <c r="Z353" s="32">
        <v>123</v>
      </c>
      <c r="AA353" s="43" t="s">
        <v>63</v>
      </c>
      <c r="AB353" s="66">
        <v>33.369999999999997</v>
      </c>
      <c r="AC353" s="66">
        <v>26</v>
      </c>
      <c r="AD353" s="66">
        <v>11.2</v>
      </c>
      <c r="AE353" s="66">
        <v>74.069999999999993</v>
      </c>
      <c r="AF353" s="66">
        <v>74.069999999999993</v>
      </c>
      <c r="AG353" s="66">
        <v>182.64325119866899</v>
      </c>
      <c r="AH353" s="66">
        <v>211.73900433909699</v>
      </c>
      <c r="AI353" s="66">
        <v>225.78454256066399</v>
      </c>
      <c r="AJ353" s="66">
        <v>67.094079973591306</v>
      </c>
      <c r="AK353" s="66">
        <v>0.54548032498854704</v>
      </c>
      <c r="AL353" s="66">
        <v>0.220065753658538</v>
      </c>
      <c r="AM353" s="66">
        <v>1056.51224475198</v>
      </c>
      <c r="AN353" s="66">
        <v>8.5895304451380792</v>
      </c>
      <c r="AO353" s="66">
        <v>5.3864290966383797</v>
      </c>
      <c r="AP353" s="44">
        <v>25</v>
      </c>
      <c r="AQ353" s="67">
        <v>10.580000000000002</v>
      </c>
      <c r="AR353" s="67">
        <v>73.405379593863614</v>
      </c>
      <c r="AS353" s="67">
        <v>172.54147491015399</v>
      </c>
      <c r="AT353" s="67">
        <v>0.99</v>
      </c>
      <c r="AU353" s="44">
        <v>6.9016589964061597</v>
      </c>
      <c r="AV353" s="44">
        <f t="shared" si="48"/>
        <v>172.54147491015399</v>
      </c>
      <c r="AW353" s="44">
        <f>+VLOOKUP(C353,'Etape 1 - surface'!$A$5:$B$58,2,FALSE)</f>
        <v>0</v>
      </c>
      <c r="AX353" s="44">
        <f t="shared" si="45"/>
        <v>0</v>
      </c>
      <c r="AY353" s="44">
        <f>10.8374384236453+(405.147848531042-10.8374384236453)/(1+EXP(-(1.16387919746889*AU353+-2.8965970117006)))</f>
        <v>402.84263164562748</v>
      </c>
      <c r="AZ353" s="63"/>
      <c r="BA353" s="63">
        <f t="shared" si="46"/>
        <v>0</v>
      </c>
      <c r="BB353" s="45"/>
      <c r="BC353" s="65">
        <v>4.4999999999999998E-2</v>
      </c>
      <c r="BD353" s="63">
        <f t="shared" si="42"/>
        <v>-3503.0716309776817</v>
      </c>
    </row>
    <row r="354" spans="1:56" ht="14.45" customHeight="1" x14ac:dyDescent="0.25">
      <c r="A354" t="str">
        <f>+VLOOKUP(D354,Acronyme!$A$1:$C$50,3,FALSE)</f>
        <v>Chêne sessile</v>
      </c>
      <c r="B354" t="str">
        <f>+VLOOKUP(E354,Acronyme!$E$2:$I$50,5,FALSE)</f>
        <v>Guide chênaie atlantique</v>
      </c>
      <c r="C354" t="str">
        <f t="shared" si="47"/>
        <v>Chêne sessile_F2_Classique_Guide chênaie atlantique_</v>
      </c>
      <c r="D354" s="43" t="s">
        <v>60</v>
      </c>
      <c r="E354" s="43" t="s">
        <v>150</v>
      </c>
      <c r="F354" s="43" t="s">
        <v>61</v>
      </c>
      <c r="G354" s="43" t="s">
        <v>62</v>
      </c>
      <c r="H354" s="66">
        <v>18.18</v>
      </c>
      <c r="I354" s="66" t="s">
        <v>142</v>
      </c>
      <c r="J354" s="66">
        <v>1666</v>
      </c>
      <c r="K354" s="66" t="s">
        <v>109</v>
      </c>
      <c r="L354" s="66" t="s">
        <v>103</v>
      </c>
      <c r="M354" s="66" t="s">
        <v>143</v>
      </c>
      <c r="N354" s="66"/>
      <c r="O354" s="66"/>
      <c r="P354" s="66">
        <v>42</v>
      </c>
      <c r="Q354" s="66">
        <v>16.02</v>
      </c>
      <c r="R354" s="66">
        <v>1451</v>
      </c>
      <c r="S354" s="66">
        <v>23.57</v>
      </c>
      <c r="T354" s="66">
        <v>44</v>
      </c>
      <c r="U354" s="66">
        <v>444</v>
      </c>
      <c r="V354" s="66">
        <v>742</v>
      </c>
      <c r="W354" s="66">
        <v>211</v>
      </c>
      <c r="X354" s="66">
        <v>10</v>
      </c>
      <c r="Y354" s="66">
        <v>0</v>
      </c>
      <c r="Z354" s="32">
        <v>124</v>
      </c>
      <c r="AA354" s="43" t="s">
        <v>63</v>
      </c>
      <c r="AB354" s="66">
        <v>30.83</v>
      </c>
      <c r="AC354" s="66">
        <v>119</v>
      </c>
      <c r="AD354" s="66">
        <v>23.26</v>
      </c>
      <c r="AE354" s="66">
        <v>49.88</v>
      </c>
      <c r="AF354" s="66">
        <v>51.3</v>
      </c>
      <c r="AG354" s="66">
        <v>355.91525623845303</v>
      </c>
      <c r="AH354" s="66">
        <v>394.12072378518002</v>
      </c>
      <c r="AI354" s="66">
        <v>423.07829734388298</v>
      </c>
      <c r="AJ354" s="66">
        <v>69.913131176361304</v>
      </c>
      <c r="AK354" s="66">
        <v>0.56381557400291404</v>
      </c>
      <c r="AL354" s="66">
        <v>0.40089947104664703</v>
      </c>
      <c r="AM354" s="66">
        <v>1050.0742988617201</v>
      </c>
      <c r="AN354" s="66">
        <v>8.4683411198526208</v>
      </c>
      <c r="AO354" s="66">
        <v>9.2961106755784204</v>
      </c>
      <c r="AP354" s="44">
        <v>20</v>
      </c>
      <c r="AQ354" s="67">
        <v>3.5299999999999976</v>
      </c>
      <c r="AR354" s="67">
        <v>47.405356200091575</v>
      </c>
      <c r="AS354" s="67">
        <v>53.845572839766987</v>
      </c>
      <c r="AT354" s="67">
        <v>0.92</v>
      </c>
      <c r="AU354" s="44">
        <v>2.6922786419883495</v>
      </c>
      <c r="AV354" s="44">
        <f t="shared" si="48"/>
        <v>53.845572839766987</v>
      </c>
      <c r="AW354" s="44">
        <f>+VLOOKUP(C354,'Etape 1 - surface'!$A$5:$B$58,2,FALSE)</f>
        <v>0</v>
      </c>
      <c r="AX354" s="44">
        <f t="shared" si="45"/>
        <v>0</v>
      </c>
      <c r="AY354" s="44">
        <f>10.8374384236453+(405.147848531042-10.8374384236453)/(1+EXP(-(1.16387919746889*AU354+-2.8965970117006)))</f>
        <v>231.23610652654105</v>
      </c>
      <c r="AZ354" s="63"/>
      <c r="BA354" s="63">
        <f t="shared" si="46"/>
        <v>0</v>
      </c>
      <c r="BB354" s="45"/>
      <c r="BC354" s="65">
        <v>4.4999999999999998E-2</v>
      </c>
      <c r="BD354" s="63">
        <f t="shared" si="42"/>
        <v>-3503.0716309776817</v>
      </c>
    </row>
    <row r="355" spans="1:56" ht="14.45" customHeight="1" x14ac:dyDescent="0.25">
      <c r="A355" t="str">
        <f>+VLOOKUP(D355,Acronyme!$A$1:$C$50,3,FALSE)</f>
        <v>Hêtre commun</v>
      </c>
      <c r="B355" t="str">
        <f>+VLOOKUP(E355,Acronyme!$E$2:$I$50,5,FALSE)</f>
        <v>GS Hêtraies et hêtraies sapinières des Pyrénées</v>
      </c>
      <c r="C355" t="str">
        <f t="shared" si="47"/>
        <v>Hêtre commun_F1_Entree 19-20m_GS Hêtraies et hêtraies sapinières des Pyrénées_</v>
      </c>
      <c r="D355" s="43" t="s">
        <v>126</v>
      </c>
      <c r="E355" s="43" t="s">
        <v>127</v>
      </c>
      <c r="F355" s="43" t="s">
        <v>113</v>
      </c>
      <c r="G355" s="43" t="s">
        <v>100</v>
      </c>
      <c r="H355" s="66">
        <v>22</v>
      </c>
      <c r="I355" s="66">
        <v>55</v>
      </c>
      <c r="J355" s="66">
        <v>1666</v>
      </c>
      <c r="K355" s="66" t="s">
        <v>109</v>
      </c>
      <c r="L355" s="66" t="s">
        <v>103</v>
      </c>
      <c r="M355" s="66" t="s">
        <v>128</v>
      </c>
      <c r="N355" s="66"/>
      <c r="O355" s="66"/>
      <c r="P355" s="66">
        <v>42</v>
      </c>
      <c r="Q355" s="66">
        <v>19.510000000000002</v>
      </c>
      <c r="R355" s="66">
        <v>1402</v>
      </c>
      <c r="S355" s="66">
        <v>28.51</v>
      </c>
      <c r="T355" s="66">
        <v>50</v>
      </c>
      <c r="U355" s="66">
        <v>303</v>
      </c>
      <c r="V355" s="66">
        <v>595</v>
      </c>
      <c r="W355" s="66">
        <v>375</v>
      </c>
      <c r="X355" s="66">
        <v>75</v>
      </c>
      <c r="Y355" s="66">
        <v>4</v>
      </c>
      <c r="Z355" s="32">
        <v>125</v>
      </c>
      <c r="AA355" s="43" t="s">
        <v>63</v>
      </c>
      <c r="AB355" s="66">
        <v>37.020000000000003</v>
      </c>
      <c r="AC355" s="66">
        <v>0</v>
      </c>
      <c r="AD355" s="66">
        <v>0</v>
      </c>
      <c r="AE355" s="66">
        <v>0</v>
      </c>
      <c r="AF355" s="66">
        <v>0</v>
      </c>
      <c r="AG355" s="66">
        <v>0</v>
      </c>
      <c r="AH355" s="66">
        <v>0</v>
      </c>
      <c r="AI355" s="66">
        <v>0</v>
      </c>
      <c r="AJ355" s="66">
        <v>74.815377447151107</v>
      </c>
      <c r="AK355" s="66">
        <v>0.59852301957720899</v>
      </c>
      <c r="AL355" s="66"/>
      <c r="AM355" s="66">
        <v>1261.8950352725799</v>
      </c>
      <c r="AN355" s="66">
        <v>10.095160282180601</v>
      </c>
      <c r="AO355" s="66"/>
      <c r="AP355" s="44">
        <v>30</v>
      </c>
      <c r="AQ355" s="67">
        <v>7.71</v>
      </c>
      <c r="AR355" s="67">
        <v>57.203370792020365</v>
      </c>
      <c r="AS355" s="67">
        <v>137.06183625136899</v>
      </c>
      <c r="AT355" s="67">
        <v>1</v>
      </c>
      <c r="AU355" s="44">
        <v>4.5687278750456333</v>
      </c>
      <c r="AV355" s="44">
        <f t="shared" si="48"/>
        <v>137.06183625136899</v>
      </c>
      <c r="AW355" s="44">
        <f>+VLOOKUP(C355,'Etape 1 - surface'!$A$5:$B$58,2,FALSE)</f>
        <v>0</v>
      </c>
      <c r="AX355" s="44">
        <f t="shared" si="45"/>
        <v>0</v>
      </c>
      <c r="AY355" s="44">
        <f>5.93488073153274+(78.4394250513347-5.93488073153274)/(1+EXP(-(1.03516193614659*AU355+-2.09091784316379)))</f>
        <v>73.603072286295415</v>
      </c>
      <c r="AZ355" s="63"/>
      <c r="BA355" s="63">
        <f t="shared" si="46"/>
        <v>0</v>
      </c>
      <c r="BB355" s="45"/>
      <c r="BC355" s="65">
        <v>4.4999999999999998E-2</v>
      </c>
      <c r="BD355" s="63">
        <f t="shared" si="42"/>
        <v>-3503.0716309776817</v>
      </c>
    </row>
    <row r="356" spans="1:56" ht="14.45" customHeight="1" x14ac:dyDescent="0.25">
      <c r="A356" t="str">
        <f>+VLOOKUP(D356,Acronyme!$A$1:$C$50,3,FALSE)</f>
        <v>Sapin pectiné</v>
      </c>
      <c r="B356" t="str">
        <f>+VLOOKUP(E356,Acronyme!$E$2:$I$50,5,FALSE)</f>
        <v>GS Arc Jurassien</v>
      </c>
      <c r="C356" t="str">
        <f t="shared" si="47"/>
        <v>Sapin pectiné_F1_Cas général_GS Arc Jurassien_</v>
      </c>
      <c r="D356" s="43" t="s">
        <v>129</v>
      </c>
      <c r="E356" s="43" t="s">
        <v>119</v>
      </c>
      <c r="F356" s="43" t="s">
        <v>130</v>
      </c>
      <c r="G356" s="43" t="s">
        <v>100</v>
      </c>
      <c r="H356" s="66">
        <v>20</v>
      </c>
      <c r="I356" s="66" t="s">
        <v>122</v>
      </c>
      <c r="J356" s="66">
        <v>2000</v>
      </c>
      <c r="K356" s="66" t="s">
        <v>102</v>
      </c>
      <c r="L356" s="66" t="s">
        <v>103</v>
      </c>
      <c r="M356" s="66" t="s">
        <v>123</v>
      </c>
      <c r="N356" s="66"/>
      <c r="O356" s="66"/>
      <c r="P356" s="66">
        <v>45</v>
      </c>
      <c r="Q356" s="66">
        <v>17.7</v>
      </c>
      <c r="R356" s="66">
        <v>1853</v>
      </c>
      <c r="S356" s="66">
        <v>45.68</v>
      </c>
      <c r="T356" s="66">
        <v>0</v>
      </c>
      <c r="U356" s="66">
        <v>0</v>
      </c>
      <c r="V356" s="66">
        <v>1079</v>
      </c>
      <c r="W356" s="66">
        <v>672</v>
      </c>
      <c r="X356" s="66">
        <v>94</v>
      </c>
      <c r="Y356" s="66">
        <v>8</v>
      </c>
      <c r="Z356" s="32">
        <v>125</v>
      </c>
      <c r="AA356" s="43" t="s">
        <v>63</v>
      </c>
      <c r="AB356" s="66">
        <v>38.902021008341599</v>
      </c>
      <c r="AC356" s="66">
        <v>105</v>
      </c>
      <c r="AD356" s="66">
        <v>27.9</v>
      </c>
      <c r="AE356" s="66">
        <v>58.160192513241597</v>
      </c>
      <c r="AF356" s="66">
        <v>58.478102963629802</v>
      </c>
      <c r="AG356" s="66">
        <v>538.00179862372602</v>
      </c>
      <c r="AH356" s="66">
        <v>539.67457627701503</v>
      </c>
      <c r="AI356" s="66">
        <v>573.60664508514799</v>
      </c>
      <c r="AJ356" s="66">
        <v>114.020987722039</v>
      </c>
      <c r="AK356" s="66">
        <v>0.91216790177631102</v>
      </c>
      <c r="AL356" s="66">
        <v>0.37747793833016502</v>
      </c>
      <c r="AM356" s="66">
        <v>1827.1365361824001</v>
      </c>
      <c r="AN356" s="66">
        <v>14.617092289459199</v>
      </c>
      <c r="AO356" s="66">
        <v>9.6170795069619999</v>
      </c>
      <c r="AP356" s="44">
        <v>15</v>
      </c>
      <c r="AQ356" s="67">
        <v>4.18</v>
      </c>
      <c r="AR356" s="67">
        <v>59.565881156878056</v>
      </c>
      <c r="AS356" s="67">
        <v>81.015005981359991</v>
      </c>
      <c r="AT356" s="67">
        <v>1.0423483503979185</v>
      </c>
      <c r="AU356" s="44">
        <v>5.4010003987573327</v>
      </c>
      <c r="AV356" s="44">
        <f t="shared" si="48"/>
        <v>81.015005981359991</v>
      </c>
      <c r="AW356" s="44">
        <f>+VLOOKUP(C356,'Etape 1 - surface'!$A$5:$B$58,2,FALSE)</f>
        <v>0</v>
      </c>
      <c r="AX356" s="44">
        <f t="shared" si="45"/>
        <v>0</v>
      </c>
      <c r="AY356" s="44">
        <f>12.60067150914+(56.0435691950881-12.60067150914)/(1+EXP(-(0.12255140894824*AU356+-0.18958347271504)))</f>
        <v>39.358540190998809</v>
      </c>
      <c r="AZ356" s="63"/>
      <c r="BA356" s="63">
        <f t="shared" si="46"/>
        <v>0</v>
      </c>
      <c r="BB356" s="45"/>
      <c r="BC356" s="65">
        <v>4.4999999999999998E-2</v>
      </c>
      <c r="BD356" s="63">
        <f t="shared" si="42"/>
        <v>-3503.0716309776817</v>
      </c>
    </row>
    <row r="357" spans="1:56" ht="14.45" customHeight="1" x14ac:dyDescent="0.25">
      <c r="A357" t="str">
        <f>+VLOOKUP(D357,Acronyme!$A$1:$C$50,3,FALSE)</f>
        <v>Chêne sessile</v>
      </c>
      <c r="B357" t="str">
        <f>+VLOOKUP(E357,Acronyme!$E$2:$I$50,5,FALSE)</f>
        <v>Guide chênaie continentale</v>
      </c>
      <c r="C357" t="str">
        <f t="shared" si="47"/>
        <v>Chêne sessile_F2_Dynamique_Guide chênaie continentale_</v>
      </c>
      <c r="D357" s="43" t="s">
        <v>60</v>
      </c>
      <c r="E357" s="43" t="s">
        <v>65</v>
      </c>
      <c r="F357" s="43" t="s">
        <v>66</v>
      </c>
      <c r="G357" s="43" t="s">
        <v>62</v>
      </c>
      <c r="H357" s="66">
        <v>18</v>
      </c>
      <c r="I357" s="66" t="s">
        <v>142</v>
      </c>
      <c r="J357" s="66">
        <v>1666</v>
      </c>
      <c r="K357" s="66" t="s">
        <v>109</v>
      </c>
      <c r="L357" s="66" t="s">
        <v>103</v>
      </c>
      <c r="M357" s="66" t="s">
        <v>143</v>
      </c>
      <c r="N357" s="66"/>
      <c r="O357" s="66"/>
      <c r="P357" s="66">
        <v>44</v>
      </c>
      <c r="Q357" s="66">
        <v>16.579999999999998</v>
      </c>
      <c r="R357" s="66">
        <v>1453</v>
      </c>
      <c r="S357" s="66">
        <v>26.19</v>
      </c>
      <c r="T357" s="66">
        <v>41</v>
      </c>
      <c r="U357" s="66">
        <v>369</v>
      </c>
      <c r="V357" s="66">
        <v>713</v>
      </c>
      <c r="W357" s="66">
        <v>301</v>
      </c>
      <c r="X357" s="66">
        <v>28</v>
      </c>
      <c r="Y357" s="66">
        <v>0</v>
      </c>
      <c r="Z357" s="32">
        <v>125</v>
      </c>
      <c r="AA357" s="43" t="s">
        <v>63</v>
      </c>
      <c r="AB357" s="66">
        <v>29.91</v>
      </c>
      <c r="AC357" s="66">
        <v>68</v>
      </c>
      <c r="AD357" s="66">
        <v>19.59</v>
      </c>
      <c r="AE357" s="66">
        <v>60.56</v>
      </c>
      <c r="AF357" s="66">
        <v>60.56</v>
      </c>
      <c r="AG357" s="66">
        <v>289.60120492161798</v>
      </c>
      <c r="AH357" s="66">
        <v>331.238940360995</v>
      </c>
      <c r="AI357" s="66">
        <v>355.47833300500702</v>
      </c>
      <c r="AJ357" s="66">
        <v>65.923359863488201</v>
      </c>
      <c r="AK357" s="66">
        <v>0.52738687890790503</v>
      </c>
      <c r="AL357" s="66">
        <v>0.33321051938286</v>
      </c>
      <c r="AM357" s="66">
        <v>957.327570983687</v>
      </c>
      <c r="AN357" s="66">
        <v>7.6586205678694901</v>
      </c>
      <c r="AO357" s="66">
        <v>7.4422867207285899</v>
      </c>
      <c r="AP357" s="44">
        <v>15</v>
      </c>
      <c r="AQ357" s="67">
        <v>3.9800000000000004</v>
      </c>
      <c r="AR357" s="67">
        <v>58.123393959437415</v>
      </c>
      <c r="AS357" s="67">
        <v>58.881285588937033</v>
      </c>
      <c r="AT357" s="67">
        <v>0.94</v>
      </c>
      <c r="AU357" s="44">
        <v>3.925419039262469</v>
      </c>
      <c r="AV357" s="44">
        <f t="shared" si="48"/>
        <v>58.881285588937033</v>
      </c>
      <c r="AW357" s="44">
        <f>+VLOOKUP(C357,'Etape 1 - surface'!$A$5:$B$58,2,FALSE)</f>
        <v>0</v>
      </c>
      <c r="AX357" s="44">
        <f t="shared" si="45"/>
        <v>0</v>
      </c>
      <c r="AY357" s="44">
        <f>10.8374384236453+(405.147848531042-10.8374384236453)/(1+EXP(-(1.16387919746889*AU357+-2.8965970117006)))</f>
        <v>342.79073601414768</v>
      </c>
      <c r="AZ357" s="63"/>
      <c r="BA357" s="63">
        <f t="shared" si="46"/>
        <v>0</v>
      </c>
      <c r="BB357" s="45"/>
      <c r="BC357" s="65">
        <v>4.4999999999999998E-2</v>
      </c>
      <c r="BD357" s="63">
        <f t="shared" si="42"/>
        <v>-3503.0716309776817</v>
      </c>
    </row>
    <row r="358" spans="1:56" ht="14.45" customHeight="1" x14ac:dyDescent="0.25">
      <c r="A358" t="str">
        <f>+VLOOKUP(D358,Acronyme!$A$1:$C$50,3,FALSE)</f>
        <v>Chene_pedoncule</v>
      </c>
      <c r="B358" t="str">
        <f>+VLOOKUP(E358,Acronyme!$E$2:$I$50,5,FALSE)</f>
        <v>Guide chênaie continentale</v>
      </c>
      <c r="C358" t="str">
        <f t="shared" si="47"/>
        <v>Chene_pedoncule_F2_Dynamique_Guide chênaie continentale_</v>
      </c>
      <c r="D358" s="43" t="s">
        <v>145</v>
      </c>
      <c r="E358" s="43" t="s">
        <v>65</v>
      </c>
      <c r="F358" s="43" t="s">
        <v>66</v>
      </c>
      <c r="G358" s="43" t="s">
        <v>62</v>
      </c>
      <c r="H358" s="66">
        <v>21.9</v>
      </c>
      <c r="I358" s="66" t="s">
        <v>144</v>
      </c>
      <c r="J358" s="66">
        <v>1600</v>
      </c>
      <c r="K358" s="66" t="s">
        <v>109</v>
      </c>
      <c r="L358" s="66" t="s">
        <v>103</v>
      </c>
      <c r="M358" s="66" t="s">
        <v>143</v>
      </c>
      <c r="N358" s="66"/>
      <c r="O358" s="66"/>
      <c r="P358" s="66">
        <v>38</v>
      </c>
      <c r="Q358" s="66">
        <v>16.27</v>
      </c>
      <c r="R358" s="66">
        <v>1446</v>
      </c>
      <c r="S358" s="66">
        <v>21.44</v>
      </c>
      <c r="T358" s="66">
        <v>65</v>
      </c>
      <c r="U358" s="66">
        <v>525</v>
      </c>
      <c r="V358" s="66">
        <v>696</v>
      </c>
      <c r="W358" s="66">
        <v>155</v>
      </c>
      <c r="X358" s="66">
        <v>5</v>
      </c>
      <c r="Y358" s="66">
        <v>0</v>
      </c>
      <c r="Z358" s="32">
        <v>125</v>
      </c>
      <c r="AA358" s="43" t="s">
        <v>63</v>
      </c>
      <c r="AB358" s="66">
        <v>33.65</v>
      </c>
      <c r="AC358" s="66">
        <v>17</v>
      </c>
      <c r="AD358" s="66">
        <v>7.7</v>
      </c>
      <c r="AE358" s="66">
        <v>75.930000000000007</v>
      </c>
      <c r="AF358" s="66">
        <v>75.930000000000007</v>
      </c>
      <c r="AG358" s="66">
        <v>126.491385411178</v>
      </c>
      <c r="AH358" s="66">
        <v>146.87621700113601</v>
      </c>
      <c r="AI358" s="66">
        <v>156.49200008151001</v>
      </c>
      <c r="AJ358" s="66">
        <v>67.534211480908397</v>
      </c>
      <c r="AK358" s="66">
        <v>0.54027369184726703</v>
      </c>
      <c r="AL358" s="66">
        <v>0.147556161585506</v>
      </c>
      <c r="AM358" s="66">
        <v>1067.28510294526</v>
      </c>
      <c r="AN358" s="66">
        <v>8.5382808235620793</v>
      </c>
      <c r="AO358" s="66">
        <v>3.6225523911905402</v>
      </c>
      <c r="AP358" s="44">
        <v>9</v>
      </c>
      <c r="AQ358" s="67">
        <v>3.9400000000000004</v>
      </c>
      <c r="AR358" s="67">
        <v>74.658956493708715</v>
      </c>
      <c r="AS358" s="67">
        <v>64.840724965988997</v>
      </c>
      <c r="AT358" s="67">
        <v>0.98</v>
      </c>
      <c r="AU358" s="44">
        <v>7.2045249962210001</v>
      </c>
      <c r="AV358" s="44">
        <f t="shared" si="48"/>
        <v>64.840724965988997</v>
      </c>
      <c r="AW358" s="44">
        <f>+VLOOKUP(C358,'Etape 1 - surface'!$A$5:$B$58,2,FALSE)</f>
        <v>0</v>
      </c>
      <c r="AX358" s="44">
        <f t="shared" si="45"/>
        <v>0</v>
      </c>
      <c r="AY358" s="44">
        <f>10.8374384236453+(405.147848531042-10.8374384236453)/(1+EXP(-(1.16387919746889*AU358+-2.8965970117006)))</f>
        <v>403.52462570021538</v>
      </c>
      <c r="AZ358" s="63"/>
      <c r="BA358" s="63">
        <f t="shared" si="46"/>
        <v>0</v>
      </c>
      <c r="BB358" s="45"/>
      <c r="BC358" s="65">
        <v>4.4999999999999998E-2</v>
      </c>
      <c r="BD358" s="63">
        <f t="shared" si="42"/>
        <v>-3503.0716309776817</v>
      </c>
    </row>
    <row r="359" spans="1:56" ht="14.45" customHeight="1" x14ac:dyDescent="0.25">
      <c r="A359" t="str">
        <f>+VLOOKUP(D359,Acronyme!$A$1:$C$50,3,FALSE)</f>
        <v>Chêne sessile</v>
      </c>
      <c r="B359" t="str">
        <f>+VLOOKUP(E359,Acronyme!$E$2:$I$50,5,FALSE)</f>
        <v>Guide chênaie continentale</v>
      </c>
      <c r="C359" t="str">
        <f t="shared" si="47"/>
        <v>Chêne sessile_F1_Dynamique_Guide chênaie continentale_</v>
      </c>
      <c r="D359" s="43" t="s">
        <v>60</v>
      </c>
      <c r="E359" s="43" t="s">
        <v>65</v>
      </c>
      <c r="F359" s="43" t="s">
        <v>66</v>
      </c>
      <c r="G359" s="43" t="s">
        <v>100</v>
      </c>
      <c r="H359" s="66">
        <v>21.5</v>
      </c>
      <c r="I359" s="66" t="s">
        <v>144</v>
      </c>
      <c r="J359" s="66">
        <v>1666</v>
      </c>
      <c r="K359" s="66" t="s">
        <v>109</v>
      </c>
      <c r="L359" s="66" t="s">
        <v>103</v>
      </c>
      <c r="M359" s="66" t="s">
        <v>143</v>
      </c>
      <c r="N359" s="66"/>
      <c r="O359" s="66"/>
      <c r="P359" s="66">
        <v>35</v>
      </c>
      <c r="Q359" s="66">
        <v>16.59</v>
      </c>
      <c r="R359" s="66">
        <v>1453</v>
      </c>
      <c r="S359" s="66">
        <v>26.19</v>
      </c>
      <c r="T359" s="66">
        <v>41</v>
      </c>
      <c r="U359" s="66">
        <v>369</v>
      </c>
      <c r="V359" s="66">
        <v>713</v>
      </c>
      <c r="W359" s="66">
        <v>301</v>
      </c>
      <c r="X359" s="66">
        <v>28</v>
      </c>
      <c r="Y359" s="66">
        <v>0</v>
      </c>
      <c r="Z359" s="32">
        <v>127</v>
      </c>
      <c r="AA359" s="43" t="s">
        <v>63</v>
      </c>
      <c r="AB359" s="66">
        <v>35.72</v>
      </c>
      <c r="AC359" s="66">
        <v>18</v>
      </c>
      <c r="AD359" s="66">
        <v>7.63</v>
      </c>
      <c r="AE359" s="66">
        <v>73.48</v>
      </c>
      <c r="AF359" s="66">
        <v>73.48</v>
      </c>
      <c r="AG359" s="66">
        <v>135.99809962856301</v>
      </c>
      <c r="AH359" s="66">
        <v>153.85299989003499</v>
      </c>
      <c r="AI359" s="66">
        <v>162.81095697584499</v>
      </c>
      <c r="AJ359" s="66">
        <v>79.843501932030804</v>
      </c>
      <c r="AK359" s="66">
        <v>0.62868899159079406</v>
      </c>
      <c r="AL359" s="66">
        <v>9.8339837556682894E-2</v>
      </c>
      <c r="AM359" s="66">
        <v>1317.51752392347</v>
      </c>
      <c r="AN359" s="66">
        <v>10.3741537316809</v>
      </c>
      <c r="AO359" s="66">
        <v>2.3636902293788999</v>
      </c>
      <c r="AP359" s="44">
        <v>8</v>
      </c>
      <c r="AQ359" s="67">
        <v>3.6700000000000008</v>
      </c>
      <c r="AR359" s="67">
        <v>76.426346317697025</v>
      </c>
      <c r="AS359" s="67">
        <v>65.381207741265001</v>
      </c>
      <c r="AT359" s="67">
        <v>1.06</v>
      </c>
      <c r="AU359" s="44">
        <v>8.1726509676581252</v>
      </c>
      <c r="AV359" s="44">
        <f t="shared" si="48"/>
        <v>65.381207741265001</v>
      </c>
      <c r="AW359" s="44">
        <f>+VLOOKUP(C359,'Etape 1 - surface'!$A$5:$B$58,2,FALSE)</f>
        <v>0</v>
      </c>
      <c r="AX359" s="44">
        <f t="shared" si="45"/>
        <v>0</v>
      </c>
      <c r="AY359" s="44">
        <f>10.8374384236453+(405.147848531042-10.8374384236453)/(1+EXP(-(1.16387919746889*AU359+-2.8965970117006)))</f>
        <v>404.62033549600176</v>
      </c>
      <c r="AZ359" s="63"/>
      <c r="BA359" s="63">
        <f t="shared" si="46"/>
        <v>0</v>
      </c>
      <c r="BB359" s="45"/>
      <c r="BC359" s="65">
        <v>4.4999999999999998E-2</v>
      </c>
      <c r="BD359" s="63">
        <f t="shared" si="42"/>
        <v>-3503.0716309776817</v>
      </c>
    </row>
    <row r="360" spans="1:56" ht="14.45" customHeight="1" x14ac:dyDescent="0.25">
      <c r="A360" t="str">
        <f>+VLOOKUP(D360,Acronyme!$A$1:$C$50,3,FALSE)</f>
        <v>Chene_pedoncule</v>
      </c>
      <c r="B360" t="str">
        <f>+VLOOKUP(E360,Acronyme!$E$2:$I$50,5,FALSE)</f>
        <v>Guide chênaie continentale</v>
      </c>
      <c r="C360" t="str">
        <f t="shared" si="47"/>
        <v>Chene_pedoncule_F2_Dynamique_Guide chênaie continentale_</v>
      </c>
      <c r="D360" s="43" t="s">
        <v>145</v>
      </c>
      <c r="E360" s="43" t="s">
        <v>65</v>
      </c>
      <c r="F360" s="43" t="s">
        <v>66</v>
      </c>
      <c r="G360" s="43" t="s">
        <v>62</v>
      </c>
      <c r="H360" s="66">
        <v>21.9</v>
      </c>
      <c r="I360" s="66" t="s">
        <v>144</v>
      </c>
      <c r="J360" s="66">
        <v>1600</v>
      </c>
      <c r="K360" s="66" t="s">
        <v>109</v>
      </c>
      <c r="L360" s="66" t="s">
        <v>103</v>
      </c>
      <c r="M360" s="66" t="s">
        <v>143</v>
      </c>
      <c r="N360" s="66"/>
      <c r="O360" s="66"/>
      <c r="P360" s="66">
        <v>38</v>
      </c>
      <c r="Q360" s="66">
        <v>16.27</v>
      </c>
      <c r="R360" s="66">
        <v>1446</v>
      </c>
      <c r="S360" s="66">
        <v>21.44</v>
      </c>
      <c r="T360" s="66">
        <v>65</v>
      </c>
      <c r="U360" s="66">
        <v>525</v>
      </c>
      <c r="V360" s="66">
        <v>696</v>
      </c>
      <c r="W360" s="66">
        <v>155</v>
      </c>
      <c r="X360" s="66">
        <v>5</v>
      </c>
      <c r="Y360" s="66">
        <v>0</v>
      </c>
      <c r="Z360" s="32">
        <v>127</v>
      </c>
      <c r="AA360" s="43" t="s">
        <v>63</v>
      </c>
      <c r="AB360" s="66">
        <v>33.93</v>
      </c>
      <c r="AC360" s="66">
        <v>12</v>
      </c>
      <c r="AD360" s="66">
        <v>5.63</v>
      </c>
      <c r="AE360" s="66">
        <v>77.31</v>
      </c>
      <c r="AF360" s="66">
        <v>77.31</v>
      </c>
      <c r="AG360" s="66">
        <v>93.243382486409004</v>
      </c>
      <c r="AH360" s="66">
        <v>108.35573094851701</v>
      </c>
      <c r="AI360" s="66">
        <v>115.372959403837</v>
      </c>
      <c r="AJ360" s="66">
        <v>67.829323804079394</v>
      </c>
      <c r="AK360" s="66">
        <v>0.53408916381164895</v>
      </c>
      <c r="AL360" s="66">
        <v>0.106186365762085</v>
      </c>
      <c r="AM360" s="66">
        <v>1074.5302077276399</v>
      </c>
      <c r="AN360" s="66">
        <v>8.4608677773829992</v>
      </c>
      <c r="AO360" s="66">
        <v>2.7162314140202102</v>
      </c>
      <c r="AP360" s="44">
        <v>5</v>
      </c>
      <c r="AQ360" s="67">
        <v>2.3600000000000003</v>
      </c>
      <c r="AR360" s="67">
        <v>77.522194571296609</v>
      </c>
      <c r="AS360" s="67">
        <v>39.075403030491984</v>
      </c>
      <c r="AT360" s="67">
        <v>1</v>
      </c>
      <c r="AU360" s="44">
        <v>7.8150806060983964</v>
      </c>
      <c r="AV360" s="44">
        <f t="shared" si="48"/>
        <v>39.075403030491984</v>
      </c>
      <c r="AW360" s="44">
        <f>+VLOOKUP(C360,'Etape 1 - surface'!$A$5:$B$58,2,FALSE)</f>
        <v>0</v>
      </c>
      <c r="AX360" s="44">
        <f t="shared" si="45"/>
        <v>0</v>
      </c>
      <c r="AY360" s="44">
        <f>10.8374384236453+(405.147848531042-10.8374384236453)/(1+EXP(-(1.16387919746889*AU360+-2.8965970117006)))</f>
        <v>404.3486159292724</v>
      </c>
      <c r="AZ360" s="63"/>
      <c r="BA360" s="63">
        <f t="shared" si="46"/>
        <v>0</v>
      </c>
      <c r="BB360" s="45"/>
      <c r="BC360" s="65">
        <v>4.4999999999999998E-2</v>
      </c>
      <c r="BD360" s="63">
        <f t="shared" si="42"/>
        <v>-3503.0716309776817</v>
      </c>
    </row>
    <row r="361" spans="1:56" ht="14.45" customHeight="1" x14ac:dyDescent="0.25">
      <c r="A361" t="str">
        <f>+VLOOKUP(D361,Acronyme!$A$1:$C$50,3,FALSE)</f>
        <v>Sapin pectiné</v>
      </c>
      <c r="B361" t="str">
        <f>+VLOOKUP(E361,Acronyme!$E$2:$I$50,5,FALSE)</f>
        <v>GS Arc Jurassien</v>
      </c>
      <c r="C361" t="str">
        <f t="shared" si="47"/>
        <v>Sapin pectiné_F2_Cas général_GS Arc Jurassien_</v>
      </c>
      <c r="D361" s="43" t="s">
        <v>129</v>
      </c>
      <c r="E361" s="43" t="s">
        <v>119</v>
      </c>
      <c r="F361" s="43" t="s">
        <v>130</v>
      </c>
      <c r="G361" s="43" t="s">
        <v>62</v>
      </c>
      <c r="H361" s="66">
        <v>15.5</v>
      </c>
      <c r="I361" s="66" t="s">
        <v>101</v>
      </c>
      <c r="J361" s="66">
        <v>2000</v>
      </c>
      <c r="K361" s="66" t="s">
        <v>102</v>
      </c>
      <c r="L361" s="66" t="s">
        <v>103</v>
      </c>
      <c r="M361" s="66" t="s">
        <v>123</v>
      </c>
      <c r="N361" s="66"/>
      <c r="O361" s="66"/>
      <c r="P361" s="66">
        <v>57</v>
      </c>
      <c r="Q361" s="66">
        <v>18.22</v>
      </c>
      <c r="R361" s="66">
        <v>1862</v>
      </c>
      <c r="S361" s="66">
        <v>45.64</v>
      </c>
      <c r="T361" s="66">
        <v>0</v>
      </c>
      <c r="U361" s="66">
        <v>0</v>
      </c>
      <c r="V361" s="66">
        <v>1085</v>
      </c>
      <c r="W361" s="66">
        <v>663</v>
      </c>
      <c r="X361" s="66">
        <v>114</v>
      </c>
      <c r="Y361" s="66">
        <v>0</v>
      </c>
      <c r="Z361" s="32">
        <v>128</v>
      </c>
      <c r="AA361" s="43" t="s">
        <v>63</v>
      </c>
      <c r="AB361" s="66">
        <v>34.724367381591698</v>
      </c>
      <c r="AC361" s="66">
        <v>0</v>
      </c>
      <c r="AD361" s="66">
        <v>0</v>
      </c>
      <c r="AE361" s="66">
        <v>0</v>
      </c>
      <c r="AF361" s="66">
        <v>0</v>
      </c>
      <c r="AG361" s="66">
        <v>0</v>
      </c>
      <c r="AH361" s="66">
        <v>0</v>
      </c>
      <c r="AI361" s="66">
        <v>0</v>
      </c>
      <c r="AJ361" s="66">
        <v>99.130619314497807</v>
      </c>
      <c r="AK361" s="66">
        <v>0.774457963394514</v>
      </c>
      <c r="AL361" s="66" t="s">
        <v>105</v>
      </c>
      <c r="AM361" s="66">
        <v>1484.1262072890599</v>
      </c>
      <c r="AN361" s="66">
        <v>11.5947359944458</v>
      </c>
      <c r="AO361" s="66" t="s">
        <v>105</v>
      </c>
      <c r="AP361" s="44">
        <v>201</v>
      </c>
      <c r="AQ361" s="67">
        <v>33.94</v>
      </c>
      <c r="AR361" s="67">
        <v>46.367421950373213</v>
      </c>
      <c r="AS361" s="67">
        <v>580.05551834336904</v>
      </c>
      <c r="AT361" s="67">
        <v>0.99997563762991215</v>
      </c>
      <c r="AU361" s="44">
        <v>2.8858483499670102</v>
      </c>
      <c r="AV361" s="44">
        <f t="shared" si="48"/>
        <v>580.05551834336904</v>
      </c>
      <c r="AW361" s="44">
        <f>+VLOOKUP(C361,'Etape 1 - surface'!$A$5:$B$58,2,FALSE)</f>
        <v>0</v>
      </c>
      <c r="AX361" s="44">
        <f t="shared" si="45"/>
        <v>0</v>
      </c>
      <c r="AY361" s="44">
        <f>12.60067150914+(56.0435691950881-12.60067150914)/(1+EXP(-(0.12255140894824*AU361+-0.18958347271504)))</f>
        <v>36.100174850796819</v>
      </c>
      <c r="AZ361" s="63"/>
      <c r="BA361" s="63">
        <f t="shared" si="46"/>
        <v>0</v>
      </c>
      <c r="BB361" s="45"/>
      <c r="BC361" s="65">
        <v>4.4999999999999998E-2</v>
      </c>
      <c r="BD361" s="63">
        <f t="shared" si="42"/>
        <v>-3503.0716309776817</v>
      </c>
    </row>
    <row r="362" spans="1:56" ht="14.45" customHeight="1" x14ac:dyDescent="0.25">
      <c r="A362" t="str">
        <f>+VLOOKUP(D362,Acronyme!$A$1:$C$50,3,FALSE)</f>
        <v>Hêtre commun</v>
      </c>
      <c r="B362" t="str">
        <f>+VLOOKUP(E362,Acronyme!$E$2:$I$50,5,FALSE)</f>
        <v>GS Hêtraies et hêtraies sapinières des Pyrénées</v>
      </c>
      <c r="C362" t="str">
        <f t="shared" si="47"/>
        <v>Hêtre commun_F2_Entree 19-20m_GS Hêtraies et hêtraies sapinières des Pyrénées_</v>
      </c>
      <c r="D362" s="43" t="s">
        <v>126</v>
      </c>
      <c r="E362" s="43" t="s">
        <v>127</v>
      </c>
      <c r="F362" s="43" t="s">
        <v>113</v>
      </c>
      <c r="G362" s="43" t="s">
        <v>62</v>
      </c>
      <c r="H362" s="66">
        <v>18</v>
      </c>
      <c r="I362" s="66">
        <v>55</v>
      </c>
      <c r="J362" s="66">
        <v>1666</v>
      </c>
      <c r="K362" s="66" t="s">
        <v>109</v>
      </c>
      <c r="L362" s="66" t="s">
        <v>103</v>
      </c>
      <c r="M362" s="66" t="s">
        <v>128</v>
      </c>
      <c r="N362" s="66"/>
      <c r="O362" s="66"/>
      <c r="P362" s="66">
        <v>57</v>
      </c>
      <c r="Q362" s="66">
        <v>19.899999999999999</v>
      </c>
      <c r="R362" s="66">
        <v>1402</v>
      </c>
      <c r="S362" s="66">
        <v>28.51</v>
      </c>
      <c r="T362" s="66">
        <v>50</v>
      </c>
      <c r="U362" s="66">
        <v>303</v>
      </c>
      <c r="V362" s="66">
        <v>595</v>
      </c>
      <c r="W362" s="66">
        <v>375</v>
      </c>
      <c r="X362" s="66">
        <v>75</v>
      </c>
      <c r="Y362" s="66">
        <v>4</v>
      </c>
      <c r="Z362" s="32">
        <v>129</v>
      </c>
      <c r="AA362" s="43" t="s">
        <v>63</v>
      </c>
      <c r="AB362" s="66">
        <v>33.729999999999997</v>
      </c>
      <c r="AC362" s="66">
        <v>84</v>
      </c>
      <c r="AD362" s="66">
        <v>14.59</v>
      </c>
      <c r="AE362" s="66">
        <v>47.02</v>
      </c>
      <c r="AF362" s="66">
        <v>47.02</v>
      </c>
      <c r="AG362" s="66">
        <v>233.51621674076699</v>
      </c>
      <c r="AH362" s="66">
        <v>255.88538407904099</v>
      </c>
      <c r="AI362" s="66">
        <v>282.02225925870101</v>
      </c>
      <c r="AJ362" s="66">
        <v>66.903441196305707</v>
      </c>
      <c r="AK362" s="66">
        <v>0.51863132710314497</v>
      </c>
      <c r="AL362" s="66">
        <v>0.31209867641153199</v>
      </c>
      <c r="AM362" s="66">
        <v>1065.81073180914</v>
      </c>
      <c r="AN362" s="66">
        <v>8.2620986961949203</v>
      </c>
      <c r="AO362" s="66">
        <v>7.3881364591578196</v>
      </c>
      <c r="AP362" s="44">
        <v>35</v>
      </c>
      <c r="AQ362" s="67">
        <v>8.16</v>
      </c>
      <c r="AR362" s="67">
        <v>54.48364023143337</v>
      </c>
      <c r="AS362" s="67">
        <v>131.13906286687501</v>
      </c>
      <c r="AT362" s="67">
        <v>1.22</v>
      </c>
      <c r="AU362" s="44">
        <v>3.7468303676250003</v>
      </c>
      <c r="AV362" s="44">
        <f t="shared" si="48"/>
        <v>131.13906286687501</v>
      </c>
      <c r="AW362" s="44">
        <f>+VLOOKUP(C362,'Etape 1 - surface'!$A$5:$B$58,2,FALSE)</f>
        <v>0</v>
      </c>
      <c r="AX362" s="44">
        <f t="shared" si="45"/>
        <v>0</v>
      </c>
      <c r="AY362" s="44">
        <f>5.93488073153274+(78.4394250513347-5.93488073153274)/(1+EXP(-(1.03516193614659*AU362+-2.09091784316379)))</f>
        <v>68.045169334778393</v>
      </c>
      <c r="AZ362" s="63"/>
      <c r="BA362" s="63">
        <f t="shared" si="46"/>
        <v>0</v>
      </c>
      <c r="BB362" s="45"/>
      <c r="BC362" s="65">
        <v>4.4999999999999998E-2</v>
      </c>
      <c r="BD362" s="63">
        <f t="shared" si="42"/>
        <v>-3503.0716309776817</v>
      </c>
    </row>
    <row r="363" spans="1:56" ht="14.45" customHeight="1" x14ac:dyDescent="0.25">
      <c r="A363" t="str">
        <f>+VLOOKUP(D363,Acronyme!$A$1:$C$50,3,FALSE)</f>
        <v>Chene_pedoncule</v>
      </c>
      <c r="B363" t="str">
        <f>+VLOOKUP(E363,Acronyme!$E$2:$I$50,5,FALSE)</f>
        <v>Guide chênaie continentale</v>
      </c>
      <c r="C363" t="str">
        <f t="shared" si="47"/>
        <v>Chene_pedoncule_F2_Dynamique_Guide chênaie continentale_</v>
      </c>
      <c r="D363" s="43" t="s">
        <v>145</v>
      </c>
      <c r="E363" s="43" t="s">
        <v>65</v>
      </c>
      <c r="F363" s="43" t="s">
        <v>66</v>
      </c>
      <c r="G363" s="43" t="s">
        <v>62</v>
      </c>
      <c r="H363" s="66">
        <v>21.9</v>
      </c>
      <c r="I363" s="66" t="s">
        <v>144</v>
      </c>
      <c r="J363" s="66">
        <v>1600</v>
      </c>
      <c r="K363" s="66" t="s">
        <v>109</v>
      </c>
      <c r="L363" s="66" t="s">
        <v>103</v>
      </c>
      <c r="M363" s="66" t="s">
        <v>143</v>
      </c>
      <c r="N363" s="66"/>
      <c r="O363" s="66"/>
      <c r="P363" s="66">
        <v>38</v>
      </c>
      <c r="Q363" s="66">
        <v>16.27</v>
      </c>
      <c r="R363" s="66">
        <v>1446</v>
      </c>
      <c r="S363" s="66">
        <v>21.44</v>
      </c>
      <c r="T363" s="66">
        <v>65</v>
      </c>
      <c r="U363" s="66">
        <v>525</v>
      </c>
      <c r="V363" s="66">
        <v>696</v>
      </c>
      <c r="W363" s="66">
        <v>155</v>
      </c>
      <c r="X363" s="66">
        <v>5</v>
      </c>
      <c r="Y363" s="66">
        <v>0</v>
      </c>
      <c r="Z363" s="32">
        <v>130</v>
      </c>
      <c r="AA363" s="43" t="s">
        <v>63</v>
      </c>
      <c r="AB363" s="66">
        <v>34.35</v>
      </c>
      <c r="AC363" s="66">
        <v>0</v>
      </c>
      <c r="AD363" s="66">
        <v>0</v>
      </c>
      <c r="AE363" s="66">
        <v>0</v>
      </c>
      <c r="AF363" s="66">
        <v>0</v>
      </c>
      <c r="AG363" s="66">
        <v>0</v>
      </c>
      <c r="AH363" s="66">
        <v>0</v>
      </c>
      <c r="AI363" s="66">
        <v>0</v>
      </c>
      <c r="AJ363" s="66">
        <v>68.147882901365705</v>
      </c>
      <c r="AK363" s="66">
        <v>0.52421448385665903</v>
      </c>
      <c r="AL363" s="66"/>
      <c r="AM363" s="66">
        <v>1082.6789019697001</v>
      </c>
      <c r="AN363" s="66">
        <v>8.3282992459207907</v>
      </c>
      <c r="AO363" s="66"/>
      <c r="AP363" s="44">
        <v>12</v>
      </c>
      <c r="AQ363" s="67">
        <v>5.95</v>
      </c>
      <c r="AR363" s="67">
        <v>79.455308670840338</v>
      </c>
      <c r="AS363" s="67">
        <v>99.870729804023995</v>
      </c>
      <c r="AT363" s="67">
        <v>1</v>
      </c>
      <c r="AU363" s="44">
        <v>8.3225608170019996</v>
      </c>
      <c r="AV363" s="44">
        <f t="shared" si="48"/>
        <v>99.870729804023995</v>
      </c>
      <c r="AW363" s="44">
        <f>+VLOOKUP(C363,'Etape 1 - surface'!$A$5:$B$58,2,FALSE)</f>
        <v>0</v>
      </c>
      <c r="AX363" s="44">
        <f t="shared" si="45"/>
        <v>0</v>
      </c>
      <c r="AY363" s="44">
        <f>10.8374384236453+(405.147848531042-10.8374384236453)/(1+EXP(-(1.16387919746889*AU363+-2.8965970117006)))</f>
        <v>404.70469741459596</v>
      </c>
      <c r="AZ363" s="63"/>
      <c r="BA363" s="63">
        <f t="shared" si="46"/>
        <v>0</v>
      </c>
      <c r="BB363" s="45"/>
      <c r="BC363" s="65">
        <v>4.4999999999999998E-2</v>
      </c>
      <c r="BD363" s="63">
        <f t="shared" si="42"/>
        <v>-3503.0716309776817</v>
      </c>
    </row>
    <row r="364" spans="1:56" ht="14.45" customHeight="1" x14ac:dyDescent="0.25">
      <c r="A364" t="str">
        <f>+VLOOKUP(D364,Acronyme!$A$1:$C$50,3,FALSE)</f>
        <v>Chêne sessile</v>
      </c>
      <c r="B364" t="str">
        <f>+VLOOKUP(E364,Acronyme!$E$2:$I$50,5,FALSE)</f>
        <v>Guide chênaie atlantique</v>
      </c>
      <c r="C364" t="str">
        <f t="shared" si="47"/>
        <v>Chêne sessile_F1_Classique_Guide chênaie atlantique_</v>
      </c>
      <c r="D364" s="43" t="s">
        <v>60</v>
      </c>
      <c r="E364" s="43" t="s">
        <v>150</v>
      </c>
      <c r="F364" s="43" t="s">
        <v>61</v>
      </c>
      <c r="G364" s="43" t="s">
        <v>100</v>
      </c>
      <c r="H364" s="66">
        <v>21.5</v>
      </c>
      <c r="I364" s="66" t="s">
        <v>151</v>
      </c>
      <c r="J364" s="66">
        <v>1666</v>
      </c>
      <c r="K364" s="66" t="s">
        <v>109</v>
      </c>
      <c r="L364" s="66" t="s">
        <v>103</v>
      </c>
      <c r="M364" s="66" t="s">
        <v>143</v>
      </c>
      <c r="N364" s="66"/>
      <c r="O364" s="66"/>
      <c r="P364" s="66">
        <v>34</v>
      </c>
      <c r="Q364" s="66">
        <v>16.2</v>
      </c>
      <c r="R364" s="66">
        <v>1451</v>
      </c>
      <c r="S364" s="66">
        <v>23.57</v>
      </c>
      <c r="T364" s="66">
        <v>44</v>
      </c>
      <c r="U364" s="66">
        <v>444</v>
      </c>
      <c r="V364" s="66">
        <v>742</v>
      </c>
      <c r="W364" s="66">
        <v>211</v>
      </c>
      <c r="X364" s="66">
        <v>10</v>
      </c>
      <c r="Y364" s="66">
        <v>0</v>
      </c>
      <c r="Z364" s="32">
        <v>130</v>
      </c>
      <c r="AA364" s="43" t="s">
        <v>63</v>
      </c>
      <c r="AB364" s="66">
        <v>37.07</v>
      </c>
      <c r="AC364" s="66">
        <v>77</v>
      </c>
      <c r="AD364" s="66">
        <v>25.82</v>
      </c>
      <c r="AE364" s="66">
        <v>65.34</v>
      </c>
      <c r="AF364" s="66">
        <v>65.34</v>
      </c>
      <c r="AG364" s="66">
        <v>479.88206751518698</v>
      </c>
      <c r="AH364" s="66">
        <v>529.61787809398902</v>
      </c>
      <c r="AI364" s="66">
        <v>559.75446314478495</v>
      </c>
      <c r="AJ364" s="66">
        <v>85.400754461028995</v>
      </c>
      <c r="AK364" s="66">
        <v>0.65692888046945397</v>
      </c>
      <c r="AL364" s="66">
        <v>0.39895469429437902</v>
      </c>
      <c r="AM364" s="66">
        <v>1465.08509103392</v>
      </c>
      <c r="AN364" s="66">
        <v>11.269885315645499</v>
      </c>
      <c r="AO364" s="66">
        <v>10.8420088732477</v>
      </c>
      <c r="AP364" s="44">
        <v>12</v>
      </c>
      <c r="AQ364" s="67">
        <v>3.629999999999999</v>
      </c>
      <c r="AR364" s="67">
        <v>62.060854190253188</v>
      </c>
      <c r="AS364" s="67">
        <v>67.276714586945047</v>
      </c>
      <c r="AT364" s="67">
        <v>0.91</v>
      </c>
      <c r="AU364" s="44">
        <v>5.6063928822454203</v>
      </c>
      <c r="AV364" s="44">
        <f t="shared" si="48"/>
        <v>67.276714586945047</v>
      </c>
      <c r="AW364" s="44">
        <f>+VLOOKUP(C364,'Etape 1 - surface'!$A$5:$B$58,2,FALSE)</f>
        <v>0</v>
      </c>
      <c r="AX364" s="44">
        <f t="shared" si="45"/>
        <v>0</v>
      </c>
      <c r="AY364" s="44">
        <f>10.8374384236453+(405.147848531042-10.8374384236453)/(1+EXP(-(1.16387919746889*AU364+-2.8965970117006)))</f>
        <v>394.94809414466283</v>
      </c>
      <c r="AZ364" s="63"/>
      <c r="BA364" s="63">
        <f t="shared" si="46"/>
        <v>0</v>
      </c>
      <c r="BB364" s="45"/>
      <c r="BC364" s="65">
        <v>4.4999999999999998E-2</v>
      </c>
      <c r="BD364" s="63">
        <f t="shared" si="42"/>
        <v>-3503.0716309776817</v>
      </c>
    </row>
    <row r="365" spans="1:56" ht="14.45" customHeight="1" x14ac:dyDescent="0.25">
      <c r="A365" t="str">
        <f>+VLOOKUP(D365,Acronyme!$A$1:$C$50,3,FALSE)</f>
        <v>Chêne sessile</v>
      </c>
      <c r="B365" t="str">
        <f>+VLOOKUP(E365,Acronyme!$E$2:$I$50,5,FALSE)</f>
        <v>Guide chênaie continentale</v>
      </c>
      <c r="C365" t="str">
        <f t="shared" si="47"/>
        <v>Chêne sessile_F1_Dynamique_Guide chênaie continentale_</v>
      </c>
      <c r="D365" s="43" t="s">
        <v>60</v>
      </c>
      <c r="E365" s="43" t="s">
        <v>65</v>
      </c>
      <c r="F365" s="43" t="s">
        <v>66</v>
      </c>
      <c r="G365" s="43" t="s">
        <v>100</v>
      </c>
      <c r="H365" s="66">
        <v>21.5</v>
      </c>
      <c r="I365" s="66" t="s">
        <v>144</v>
      </c>
      <c r="J365" s="66">
        <v>1666</v>
      </c>
      <c r="K365" s="66" t="s">
        <v>109</v>
      </c>
      <c r="L365" s="66" t="s">
        <v>103</v>
      </c>
      <c r="M365" s="66" t="s">
        <v>143</v>
      </c>
      <c r="N365" s="66"/>
      <c r="O365" s="66"/>
      <c r="P365" s="66">
        <v>35</v>
      </c>
      <c r="Q365" s="66">
        <v>16.59</v>
      </c>
      <c r="R365" s="66">
        <v>1453</v>
      </c>
      <c r="S365" s="66">
        <v>26.19</v>
      </c>
      <c r="T365" s="66">
        <v>41</v>
      </c>
      <c r="U365" s="66">
        <v>369</v>
      </c>
      <c r="V365" s="66">
        <v>713</v>
      </c>
      <c r="W365" s="66">
        <v>301</v>
      </c>
      <c r="X365" s="66">
        <v>28</v>
      </c>
      <c r="Y365" s="66">
        <v>0</v>
      </c>
      <c r="Z365" s="32">
        <v>131</v>
      </c>
      <c r="AA365" s="43" t="s">
        <v>63</v>
      </c>
      <c r="AB365" s="66">
        <v>35.909999999999997</v>
      </c>
      <c r="AC365" s="66">
        <v>0</v>
      </c>
      <c r="AD365" s="66">
        <v>0</v>
      </c>
      <c r="AE365" s="66">
        <v>0</v>
      </c>
      <c r="AF365" s="66">
        <v>0</v>
      </c>
      <c r="AG365" s="66">
        <v>0</v>
      </c>
      <c r="AH365" s="66">
        <v>0</v>
      </c>
      <c r="AI365" s="66">
        <v>0</v>
      </c>
      <c r="AJ365" s="66">
        <v>80.236861282257493</v>
      </c>
      <c r="AK365" s="66">
        <v>0.612495124292042</v>
      </c>
      <c r="AL365" s="66"/>
      <c r="AM365" s="66">
        <v>1326.9722848409799</v>
      </c>
      <c r="AN365" s="66">
        <v>10.1295594262671</v>
      </c>
      <c r="AO365" s="66"/>
      <c r="AP365" s="44">
        <v>18</v>
      </c>
      <c r="AQ365" s="67">
        <v>8.0299999999999994</v>
      </c>
      <c r="AR365" s="67">
        <v>75.366193217676098</v>
      </c>
      <c r="AS365" s="67">
        <v>143.652615970407</v>
      </c>
      <c r="AT365" s="67">
        <v>1</v>
      </c>
      <c r="AU365" s="44">
        <v>7.9807008872448328</v>
      </c>
      <c r="AV365" s="44">
        <f t="shared" si="48"/>
        <v>143.652615970407</v>
      </c>
      <c r="AW365" s="44">
        <f>+VLOOKUP(C365,'Etape 1 - surface'!$A$5:$B$58,2,FALSE)</f>
        <v>0</v>
      </c>
      <c r="AX365" s="44">
        <f t="shared" si="45"/>
        <v>0</v>
      </c>
      <c r="AY365" s="44">
        <f>10.8374384236453+(405.147848531042-10.8374384236453)/(1+EXP(-(1.16387919746889*AU365+-2.8965970117006)))</f>
        <v>404.48850450251069</v>
      </c>
      <c r="AZ365" s="63"/>
      <c r="BA365" s="63">
        <f t="shared" si="46"/>
        <v>0</v>
      </c>
      <c r="BB365" s="45"/>
      <c r="BC365" s="65">
        <v>4.4999999999999998E-2</v>
      </c>
      <c r="BD365" s="63">
        <f t="shared" si="42"/>
        <v>-3503.0716309776817</v>
      </c>
    </row>
    <row r="366" spans="1:56" ht="14.45" customHeight="1" x14ac:dyDescent="0.25">
      <c r="C366" t="s">
        <v>263</v>
      </c>
      <c r="D366" s="43" t="s">
        <v>207</v>
      </c>
      <c r="E366" s="43" t="s">
        <v>208</v>
      </c>
      <c r="F366" s="43" t="s">
        <v>259</v>
      </c>
      <c r="G366" s="43" t="s">
        <v>114</v>
      </c>
      <c r="Z366" s="32">
        <v>131</v>
      </c>
      <c r="AA366" s="43" t="s">
        <v>63</v>
      </c>
      <c r="AP366" s="44">
        <v>97</v>
      </c>
      <c r="AU366" s="44">
        <f>AV366/AP366</f>
        <v>3.0309278350515463</v>
      </c>
      <c r="AV366" s="44">
        <v>294</v>
      </c>
      <c r="AW366" s="44">
        <f>+VLOOKUP(C366,'Etape 1 - surface'!$A$5:$B$58,2,FALSE)</f>
        <v>0</v>
      </c>
      <c r="AX366" s="44">
        <f t="shared" si="45"/>
        <v>0</v>
      </c>
      <c r="AY366" s="44">
        <f>82.5251889/(1+EXP(-(0.26195064*AU366+(-0.34406779))))</f>
        <v>50.390875336124452</v>
      </c>
      <c r="AZ366" s="63"/>
      <c r="BA366" s="63">
        <f t="shared" si="46"/>
        <v>0</v>
      </c>
      <c r="BB366" s="45"/>
      <c r="BC366" s="65">
        <v>4.4999999999999998E-2</v>
      </c>
      <c r="BD366" s="63">
        <f t="shared" si="42"/>
        <v>-3503.0716309776817</v>
      </c>
    </row>
    <row r="367" spans="1:56" ht="14.45" customHeight="1" x14ac:dyDescent="0.25">
      <c r="A367" t="str">
        <f>+VLOOKUP(D367,Acronyme!$A$1:$C$50,3,FALSE)</f>
        <v>Hêtre commun</v>
      </c>
      <c r="B367" t="str">
        <f>+VLOOKUP(E367,Acronyme!$E$2:$I$50,5,FALSE)</f>
        <v>GS Hêtraies et hêtraies sapinières des Pyrénées</v>
      </c>
      <c r="C367" t="str">
        <f>+_xlfn.CONCAT(A367,"_",G367,"_",F367,"_",B367,"_")</f>
        <v>Hêtre commun_F2_Entree 19-20m_GS Hêtraies et hêtraies sapinières des Pyrénées_</v>
      </c>
      <c r="D367" s="43" t="s">
        <v>126</v>
      </c>
      <c r="E367" s="43" t="s">
        <v>127</v>
      </c>
      <c r="F367" s="43" t="s">
        <v>113</v>
      </c>
      <c r="G367" s="43" t="s">
        <v>62</v>
      </c>
      <c r="H367" s="66">
        <v>18</v>
      </c>
      <c r="I367" s="66">
        <v>55</v>
      </c>
      <c r="J367" s="66">
        <v>1666</v>
      </c>
      <c r="K367" s="66" t="s">
        <v>109</v>
      </c>
      <c r="L367" s="66" t="s">
        <v>103</v>
      </c>
      <c r="M367" s="66" t="s">
        <v>128</v>
      </c>
      <c r="N367" s="66"/>
      <c r="O367" s="66"/>
      <c r="P367" s="66">
        <v>57</v>
      </c>
      <c r="Q367" s="66">
        <v>19.899999999999999</v>
      </c>
      <c r="R367" s="66">
        <v>1402</v>
      </c>
      <c r="S367" s="66">
        <v>28.51</v>
      </c>
      <c r="T367" s="66">
        <v>50</v>
      </c>
      <c r="U367" s="66">
        <v>303</v>
      </c>
      <c r="V367" s="66">
        <v>595</v>
      </c>
      <c r="W367" s="66">
        <v>375</v>
      </c>
      <c r="X367" s="66">
        <v>75</v>
      </c>
      <c r="Y367" s="66">
        <v>4</v>
      </c>
      <c r="Z367" s="32">
        <v>134</v>
      </c>
      <c r="AA367" s="43" t="s">
        <v>63</v>
      </c>
      <c r="AB367" s="66">
        <v>34.229999999999997</v>
      </c>
      <c r="AC367" s="66">
        <v>53</v>
      </c>
      <c r="AD367" s="66">
        <v>10.47</v>
      </c>
      <c r="AE367" s="66">
        <v>50.15</v>
      </c>
      <c r="AF367" s="66">
        <v>50.15</v>
      </c>
      <c r="AG367" s="66">
        <v>171.20876864490299</v>
      </c>
      <c r="AH367" s="66">
        <v>188.12490589139301</v>
      </c>
      <c r="AI367" s="66">
        <v>206.77769086196599</v>
      </c>
      <c r="AJ367" s="66">
        <v>68.451778787728898</v>
      </c>
      <c r="AK367" s="66">
        <v>0.51083417005767795</v>
      </c>
      <c r="AL367" s="66">
        <v>0.25732332512613199</v>
      </c>
      <c r="AM367" s="66">
        <v>1101.9945747571301</v>
      </c>
      <c r="AN367" s="66">
        <v>8.2238401101278598</v>
      </c>
      <c r="AO367" s="66">
        <v>5.7920817190953704</v>
      </c>
      <c r="AP367" s="44">
        <v>31</v>
      </c>
      <c r="AQ367" s="67">
        <v>5.6599999999999984</v>
      </c>
      <c r="AR367" s="67">
        <v>48.215028520432668</v>
      </c>
      <c r="AS367" s="67">
        <v>92.311398752094988</v>
      </c>
      <c r="AT367" s="67">
        <v>0.95</v>
      </c>
      <c r="AU367" s="44">
        <v>2.9777870565191931</v>
      </c>
      <c r="AV367" s="44">
        <f>+AU367*AP367</f>
        <v>92.311398752094988</v>
      </c>
      <c r="AW367" s="44">
        <f>+VLOOKUP(C367,'Etape 1 - surface'!$A$5:$B$58,2,FALSE)</f>
        <v>0</v>
      </c>
      <c r="AX367" s="44">
        <f t="shared" si="45"/>
        <v>0</v>
      </c>
      <c r="AY367" s="44">
        <f>5.93488073153274+(78.4394250513347-5.93488073153274)/(1+EXP(-(1.03516193614659*AU367+-2.09091784316379)))</f>
        <v>58.819601037701261</v>
      </c>
      <c r="AZ367" s="63"/>
      <c r="BA367" s="63">
        <f t="shared" si="46"/>
        <v>0</v>
      </c>
      <c r="BB367" s="45"/>
      <c r="BC367" s="65">
        <v>4.4999999999999998E-2</v>
      </c>
      <c r="BD367" s="63">
        <f t="shared" si="42"/>
        <v>-3503.0716309776817</v>
      </c>
    </row>
    <row r="368" spans="1:56" ht="14.45" customHeight="1" x14ac:dyDescent="0.25">
      <c r="A368" t="str">
        <f>+VLOOKUP(D368,Acronyme!$A$1:$C$50,3,FALSE)</f>
        <v>Sapin pectiné</v>
      </c>
      <c r="B368" t="str">
        <f>+VLOOKUP(E368,Acronyme!$E$2:$I$50,5,FALSE)</f>
        <v>GS Arc Jurassien</v>
      </c>
      <c r="C368" t="str">
        <f>+_xlfn.CONCAT(A368,"_",G368,"_",F368,"_",B368,"_")</f>
        <v>Sapin pectiné_F1_Cas général_GS Arc Jurassien_</v>
      </c>
      <c r="D368" s="43" t="s">
        <v>129</v>
      </c>
      <c r="E368" s="43" t="s">
        <v>119</v>
      </c>
      <c r="F368" s="43" t="s">
        <v>130</v>
      </c>
      <c r="G368" s="43" t="s">
        <v>100</v>
      </c>
      <c r="H368" s="66">
        <v>20</v>
      </c>
      <c r="I368" s="66" t="s">
        <v>122</v>
      </c>
      <c r="J368" s="66">
        <v>2000</v>
      </c>
      <c r="K368" s="66" t="s">
        <v>102</v>
      </c>
      <c r="L368" s="66" t="s">
        <v>103</v>
      </c>
      <c r="M368" s="66" t="s">
        <v>123</v>
      </c>
      <c r="N368" s="66"/>
      <c r="O368" s="66"/>
      <c r="P368" s="66">
        <v>45</v>
      </c>
      <c r="Q368" s="66">
        <v>17.7</v>
      </c>
      <c r="R368" s="66">
        <v>1853</v>
      </c>
      <c r="S368" s="66">
        <v>45.68</v>
      </c>
      <c r="T368" s="66">
        <v>0</v>
      </c>
      <c r="U368" s="66">
        <v>0</v>
      </c>
      <c r="V368" s="66">
        <v>1079</v>
      </c>
      <c r="W368" s="66">
        <v>672</v>
      </c>
      <c r="X368" s="66">
        <v>94</v>
      </c>
      <c r="Y368" s="66">
        <v>8</v>
      </c>
      <c r="Z368" s="32">
        <v>134</v>
      </c>
      <c r="AA368" s="43" t="s">
        <v>63</v>
      </c>
      <c r="AB368" s="66">
        <v>40.0043338744496</v>
      </c>
      <c r="AC368" s="66">
        <v>0</v>
      </c>
      <c r="AD368" s="66">
        <v>0</v>
      </c>
      <c r="AE368" s="66">
        <v>0</v>
      </c>
      <c r="AF368" s="66">
        <v>0</v>
      </c>
      <c r="AG368" s="66">
        <v>0</v>
      </c>
      <c r="AH368" s="66">
        <v>0</v>
      </c>
      <c r="AI368" s="66">
        <v>0</v>
      </c>
      <c r="AJ368" s="66">
        <v>117.349921858299</v>
      </c>
      <c r="AK368" s="66">
        <v>0.875745685509698</v>
      </c>
      <c r="AL368" s="66" t="s">
        <v>105</v>
      </c>
      <c r="AM368" s="66">
        <v>1912.0610997886799</v>
      </c>
      <c r="AN368" s="66">
        <v>14.269112684990199</v>
      </c>
      <c r="AO368" s="66" t="s">
        <v>105</v>
      </c>
      <c r="AP368" s="44">
        <v>105</v>
      </c>
      <c r="AQ368" s="67">
        <v>31.22</v>
      </c>
      <c r="AR368" s="67">
        <v>61.528575310007113</v>
      </c>
      <c r="AS368" s="67">
        <v>589.45012672595897</v>
      </c>
      <c r="AT368" s="67">
        <v>1</v>
      </c>
      <c r="AU368" s="44">
        <v>5.6138107307234186</v>
      </c>
      <c r="AV368" s="44">
        <f>+AU368*AP368</f>
        <v>589.45012672595897</v>
      </c>
      <c r="AW368" s="44">
        <f>+VLOOKUP(C368,'Etape 1 - surface'!$A$5:$B$58,2,FALSE)</f>
        <v>0</v>
      </c>
      <c r="AX368" s="44">
        <f t="shared" si="45"/>
        <v>0</v>
      </c>
      <c r="AY368" s="44">
        <f>12.60067150914+(56.0435691950881-12.60067150914)/(1+EXP(-(0.12255140894824*AU368+-0.18958347271504)))</f>
        <v>39.625739329875323</v>
      </c>
      <c r="AZ368" s="63"/>
      <c r="BA368" s="63">
        <f t="shared" si="46"/>
        <v>0</v>
      </c>
      <c r="BB368" s="45"/>
      <c r="BC368" s="65">
        <v>4.4999999999999998E-2</v>
      </c>
      <c r="BD368" s="63">
        <f t="shared" si="42"/>
        <v>-3503.0716309776817</v>
      </c>
    </row>
    <row r="369" spans="1:56" ht="14.45" customHeight="1" x14ac:dyDescent="0.25">
      <c r="A369" t="str">
        <f>+VLOOKUP(D369,Acronyme!$A$1:$C$50,3,FALSE)</f>
        <v>Chêne sessile</v>
      </c>
      <c r="B369" t="str">
        <f>+VLOOKUP(E369,Acronyme!$E$2:$I$50,5,FALSE)</f>
        <v>Guide chênaie atlantique</v>
      </c>
      <c r="C369" t="str">
        <f>+_xlfn.CONCAT(A369,"_",G369,"_",F369,"_",B369,"_")</f>
        <v>Chêne sessile_F2_Classique_Guide chênaie atlantique_</v>
      </c>
      <c r="D369" s="43" t="s">
        <v>60</v>
      </c>
      <c r="E369" s="43" t="s">
        <v>150</v>
      </c>
      <c r="F369" s="43" t="s">
        <v>61</v>
      </c>
      <c r="G369" s="43" t="s">
        <v>62</v>
      </c>
      <c r="H369" s="66">
        <v>18.18</v>
      </c>
      <c r="I369" s="66" t="s">
        <v>142</v>
      </c>
      <c r="J369" s="66">
        <v>1666</v>
      </c>
      <c r="K369" s="66" t="s">
        <v>109</v>
      </c>
      <c r="L369" s="66" t="s">
        <v>103</v>
      </c>
      <c r="M369" s="66" t="s">
        <v>143</v>
      </c>
      <c r="N369" s="66"/>
      <c r="O369" s="66"/>
      <c r="P369" s="66">
        <v>42</v>
      </c>
      <c r="Q369" s="66">
        <v>16.02</v>
      </c>
      <c r="R369" s="66">
        <v>1451</v>
      </c>
      <c r="S369" s="66">
        <v>23.57</v>
      </c>
      <c r="T369" s="66">
        <v>44</v>
      </c>
      <c r="U369" s="66">
        <v>444</v>
      </c>
      <c r="V369" s="66">
        <v>742</v>
      </c>
      <c r="W369" s="66">
        <v>211</v>
      </c>
      <c r="X369" s="66">
        <v>10</v>
      </c>
      <c r="Y369" s="66">
        <v>0</v>
      </c>
      <c r="Z369" s="32">
        <v>134</v>
      </c>
      <c r="AA369" s="43" t="s">
        <v>63</v>
      </c>
      <c r="AB369" s="66">
        <v>32.159999999999997</v>
      </c>
      <c r="AC369" s="66">
        <v>103</v>
      </c>
      <c r="AD369" s="66">
        <v>23.84</v>
      </c>
      <c r="AE369" s="66">
        <v>54.28</v>
      </c>
      <c r="AF369" s="66">
        <v>54.61</v>
      </c>
      <c r="AG369" s="66">
        <v>381.31312957059401</v>
      </c>
      <c r="AH369" s="66">
        <v>423.26526755663002</v>
      </c>
      <c r="AI369" s="66">
        <v>452.46804310226997</v>
      </c>
      <c r="AJ369" s="66">
        <v>73.928846947319002</v>
      </c>
      <c r="AK369" s="66">
        <v>0.55170781303969396</v>
      </c>
      <c r="AL369" s="66">
        <v>0.38845879031837199</v>
      </c>
      <c r="AM369" s="66">
        <v>1144.30301930477</v>
      </c>
      <c r="AN369" s="66">
        <v>8.5395747709311003</v>
      </c>
      <c r="AO369" s="66">
        <v>9.4222785117846506</v>
      </c>
      <c r="AP369" s="44">
        <v>16</v>
      </c>
      <c r="AQ369" s="67">
        <v>3.4299999999999997</v>
      </c>
      <c r="AR369" s="67">
        <v>52.24468656261616</v>
      </c>
      <c r="AS369" s="67">
        <v>54.867848548001973</v>
      </c>
      <c r="AT369" s="67">
        <v>0.94</v>
      </c>
      <c r="AU369" s="44">
        <v>3.4292405342501233</v>
      </c>
      <c r="AV369" s="44">
        <f>+AU369*AP369</f>
        <v>54.867848548001973</v>
      </c>
      <c r="AW369" s="44">
        <f>+VLOOKUP(C369,'Etape 1 - surface'!$A$5:$B$58,2,FALSE)</f>
        <v>0</v>
      </c>
      <c r="AX369" s="44">
        <f t="shared" si="45"/>
        <v>0</v>
      </c>
      <c r="AY369" s="44">
        <f>10.8374384236453+(405.147848531042-10.8374384236453)/(1+EXP(-(1.16387919746889*AU369+-2.8965970117006)))</f>
        <v>306.27513768761258</v>
      </c>
      <c r="AZ369" s="63"/>
      <c r="BA369" s="63">
        <f t="shared" si="46"/>
        <v>0</v>
      </c>
      <c r="BB369" s="45"/>
      <c r="BC369" s="65">
        <v>4.4999999999999998E-2</v>
      </c>
      <c r="BD369" s="63">
        <f t="shared" si="42"/>
        <v>-3503.0716309776817</v>
      </c>
    </row>
    <row r="370" spans="1:56" ht="14.45" customHeight="1" x14ac:dyDescent="0.25">
      <c r="C370" t="s">
        <v>266</v>
      </c>
      <c r="D370" s="43" t="s">
        <v>207</v>
      </c>
      <c r="E370" s="43" t="s">
        <v>208</v>
      </c>
      <c r="F370" s="43" t="s">
        <v>258</v>
      </c>
      <c r="G370" s="43" t="s">
        <v>260</v>
      </c>
      <c r="Z370" s="32">
        <v>134</v>
      </c>
      <c r="AA370" s="43" t="s">
        <v>63</v>
      </c>
      <c r="AP370" s="44">
        <v>131</v>
      </c>
      <c r="AU370" s="44">
        <f>AV370/AP370</f>
        <v>1.3129770992366412</v>
      </c>
      <c r="AV370" s="44">
        <v>172</v>
      </c>
      <c r="AW370" s="44">
        <f>+VLOOKUP(C370,'Etape 1 - surface'!$A$5:$B$58,2,FALSE)</f>
        <v>0</v>
      </c>
      <c r="AX370" s="44">
        <f t="shared" si="45"/>
        <v>0</v>
      </c>
      <c r="AY370" s="44">
        <f>82.5251889/(1+EXP(-(0.26195064*AU370+(-0.34406779))))</f>
        <v>41.259858769915233</v>
      </c>
      <c r="AZ370" s="63"/>
      <c r="BA370" s="63">
        <f t="shared" si="46"/>
        <v>0</v>
      </c>
      <c r="BB370" s="45"/>
      <c r="BC370" s="65">
        <v>4.4999999999999998E-2</v>
      </c>
      <c r="BD370" s="63">
        <f t="shared" si="42"/>
        <v>-3503.0716309776817</v>
      </c>
    </row>
    <row r="371" spans="1:56" ht="14.45" customHeight="1" x14ac:dyDescent="0.25">
      <c r="A371" t="str">
        <f>+VLOOKUP(D371,Acronyme!$A$1:$C$50,3,FALSE)</f>
        <v>Sapin pectiné</v>
      </c>
      <c r="B371" t="str">
        <f>+VLOOKUP(E371,Acronyme!$E$2:$I$50,5,FALSE)</f>
        <v>GSM Alpes du Sud</v>
      </c>
      <c r="C371" t="str">
        <f>+_xlfn.CONCAT(A371,"_",G371,"_",F371,"_",B371,"_")</f>
        <v>Sapin pectiné_F2_SP2_4_GSM Alpes du Sud_</v>
      </c>
      <c r="D371" s="43" t="s">
        <v>129</v>
      </c>
      <c r="E371" s="43" t="s">
        <v>132</v>
      </c>
      <c r="F371" s="43" t="s">
        <v>140</v>
      </c>
      <c r="G371" s="43" t="s">
        <v>62</v>
      </c>
      <c r="H371" s="66">
        <v>14</v>
      </c>
      <c r="I371" s="66" t="s">
        <v>108</v>
      </c>
      <c r="J371" s="66">
        <v>3000</v>
      </c>
      <c r="K371" s="66" t="s">
        <v>109</v>
      </c>
      <c r="L371" s="66" t="s">
        <v>134</v>
      </c>
      <c r="M371" s="66" t="s">
        <v>135</v>
      </c>
      <c r="N371" s="66"/>
      <c r="O371" s="66"/>
      <c r="P371" s="66">
        <v>70</v>
      </c>
      <c r="Q371" s="66">
        <v>16.989999999999998</v>
      </c>
      <c r="R371" s="66">
        <v>2299</v>
      </c>
      <c r="S371" s="66">
        <v>46.07</v>
      </c>
      <c r="T371" s="66">
        <v>0</v>
      </c>
      <c r="U371" s="66">
        <v>582</v>
      </c>
      <c r="V371" s="66">
        <v>948</v>
      </c>
      <c r="W371" s="66">
        <v>642</v>
      </c>
      <c r="X371" s="66">
        <v>127</v>
      </c>
      <c r="Y371" s="66">
        <v>0</v>
      </c>
      <c r="Z371" s="32">
        <v>135</v>
      </c>
      <c r="AA371" s="43" t="s">
        <v>63</v>
      </c>
      <c r="AB371" s="66">
        <v>19.71</v>
      </c>
      <c r="AC371" s="66">
        <v>250</v>
      </c>
      <c r="AD371" s="66">
        <v>28.03</v>
      </c>
      <c r="AE371" s="66">
        <v>37.78</v>
      </c>
      <c r="AF371" s="66">
        <v>45.35</v>
      </c>
      <c r="AG371" s="66">
        <v>227.179567682591</v>
      </c>
      <c r="AH371" s="66">
        <v>231.79135106285099</v>
      </c>
      <c r="AI371" s="66">
        <v>307.85225292265699</v>
      </c>
      <c r="AJ371" s="66">
        <v>96.035185787002604</v>
      </c>
      <c r="AK371" s="66">
        <v>0.71137174657039004</v>
      </c>
      <c r="AL371" s="66">
        <v>0.40421566399514602</v>
      </c>
      <c r="AM371" s="66">
        <v>957.41169513585203</v>
      </c>
      <c r="AN371" s="66">
        <v>7.09193848248779</v>
      </c>
      <c r="AO371" s="66">
        <v>4.7330657983173703</v>
      </c>
      <c r="AP371" s="44">
        <v>83</v>
      </c>
      <c r="AQ371" s="67">
        <v>8.9600000000000009</v>
      </c>
      <c r="AR371" s="67">
        <v>37.074048860285366</v>
      </c>
      <c r="AS371" s="67">
        <v>70.170687275832989</v>
      </c>
      <c r="AT371" s="67">
        <v>0.97</v>
      </c>
      <c r="AU371" s="44">
        <v>0.84542996717871066</v>
      </c>
      <c r="AV371" s="44">
        <f>+AU371*AP371</f>
        <v>70.170687275832989</v>
      </c>
      <c r="AW371" s="44">
        <f>+VLOOKUP(C371,'Etape 1 - surface'!$A$5:$B$58,2,FALSE)</f>
        <v>0</v>
      </c>
      <c r="AX371" s="44">
        <f t="shared" si="45"/>
        <v>0</v>
      </c>
      <c r="AY371" s="44">
        <f>12.60067150914+(56.0435691950881-12.60067150914)/(1+EXP(-(0.12255140894824*AU371+-0.18958347271504)))</f>
        <v>33.388946056922848</v>
      </c>
      <c r="AZ371" s="63"/>
      <c r="BA371" s="63">
        <f t="shared" si="46"/>
        <v>0</v>
      </c>
      <c r="BB371" s="45"/>
      <c r="BC371" s="65">
        <v>4.4999999999999998E-2</v>
      </c>
      <c r="BD371" s="63">
        <f t="shared" si="42"/>
        <v>-3503.0716309776817</v>
      </c>
    </row>
    <row r="372" spans="1:56" ht="14.45" customHeight="1" x14ac:dyDescent="0.25">
      <c r="C372" t="s">
        <v>265</v>
      </c>
      <c r="D372" s="43" t="s">
        <v>207</v>
      </c>
      <c r="E372" s="43" t="s">
        <v>208</v>
      </c>
      <c r="F372" s="43" t="s">
        <v>259</v>
      </c>
      <c r="G372" s="43" t="s">
        <v>260</v>
      </c>
      <c r="Z372" s="32">
        <v>135</v>
      </c>
      <c r="AA372" s="43" t="s">
        <v>63</v>
      </c>
      <c r="AP372" s="44">
        <v>73</v>
      </c>
      <c r="AU372" s="44">
        <f>AV372/AP372</f>
        <v>0.95890410958904104</v>
      </c>
      <c r="AV372" s="44">
        <v>70</v>
      </c>
      <c r="AW372" s="44">
        <f>+VLOOKUP(C372,'Etape 1 - surface'!$A$5:$B$58,2,FALSE)</f>
        <v>0</v>
      </c>
      <c r="AX372" s="44">
        <f t="shared" si="45"/>
        <v>0</v>
      </c>
      <c r="AY372" s="44">
        <f>82.5251889/(1+EXP(-(0.26195064*AU372+(-0.34406779))))</f>
        <v>39.347689727510719</v>
      </c>
      <c r="AZ372" s="63"/>
      <c r="BA372" s="63">
        <f t="shared" si="46"/>
        <v>0</v>
      </c>
      <c r="BB372" s="45"/>
      <c r="BC372" s="65">
        <v>4.4999999999999998E-2</v>
      </c>
      <c r="BD372" s="63">
        <f t="shared" si="42"/>
        <v>-3503.0716309776817</v>
      </c>
    </row>
    <row r="373" spans="1:56" ht="14.45" customHeight="1" x14ac:dyDescent="0.25">
      <c r="A373" t="str">
        <f>+VLOOKUP(D373,Acronyme!$A$1:$C$50,3,FALSE)</f>
        <v>Chêne sessile</v>
      </c>
      <c r="B373" t="str">
        <f>+VLOOKUP(E373,Acronyme!$E$2:$I$50,5,FALSE)</f>
        <v>Guide chênaie continentale</v>
      </c>
      <c r="C373" t="str">
        <f>+_xlfn.CONCAT(A373,"_",G373,"_",F373,"_",B373,"_")</f>
        <v>Chêne sessile_F2_Dynamique_Guide chênaie continentale_</v>
      </c>
      <c r="D373" s="43" t="s">
        <v>60</v>
      </c>
      <c r="E373" s="43" t="s">
        <v>65</v>
      </c>
      <c r="F373" s="43" t="s">
        <v>66</v>
      </c>
      <c r="G373" s="43" t="s">
        <v>62</v>
      </c>
      <c r="H373" s="66">
        <v>18</v>
      </c>
      <c r="I373" s="66" t="s">
        <v>142</v>
      </c>
      <c r="J373" s="66">
        <v>1666</v>
      </c>
      <c r="K373" s="66" t="s">
        <v>109</v>
      </c>
      <c r="L373" s="66" t="s">
        <v>103</v>
      </c>
      <c r="M373" s="66" t="s">
        <v>143</v>
      </c>
      <c r="N373" s="66"/>
      <c r="O373" s="66"/>
      <c r="P373" s="66">
        <v>44</v>
      </c>
      <c r="Q373" s="66">
        <v>16.579999999999998</v>
      </c>
      <c r="R373" s="66">
        <v>1453</v>
      </c>
      <c r="S373" s="66">
        <v>26.19</v>
      </c>
      <c r="T373" s="66">
        <v>41</v>
      </c>
      <c r="U373" s="66">
        <v>369</v>
      </c>
      <c r="V373" s="66">
        <v>713</v>
      </c>
      <c r="W373" s="66">
        <v>301</v>
      </c>
      <c r="X373" s="66">
        <v>28</v>
      </c>
      <c r="Y373" s="66">
        <v>0</v>
      </c>
      <c r="Z373" s="32">
        <v>137</v>
      </c>
      <c r="AA373" s="43" t="s">
        <v>63</v>
      </c>
      <c r="AB373" s="66">
        <v>31.36</v>
      </c>
      <c r="AC373" s="66">
        <v>56</v>
      </c>
      <c r="AD373" s="66">
        <v>19.71</v>
      </c>
      <c r="AE373" s="66">
        <v>66.94</v>
      </c>
      <c r="AF373" s="66">
        <v>66.94</v>
      </c>
      <c r="AG373" s="66">
        <v>305.55468021890601</v>
      </c>
      <c r="AH373" s="66">
        <v>350.77365176917101</v>
      </c>
      <c r="AI373" s="66">
        <v>374.746933638234</v>
      </c>
      <c r="AJ373" s="66">
        <v>70.160333339773103</v>
      </c>
      <c r="AK373" s="66">
        <v>0.51211922145819799</v>
      </c>
      <c r="AL373" s="66">
        <v>0.31382123784343702</v>
      </c>
      <c r="AM373" s="66">
        <v>1054.64076825647</v>
      </c>
      <c r="AN373" s="66">
        <v>7.6981077974924697</v>
      </c>
      <c r="AO373" s="66">
        <v>7.3696894324968198</v>
      </c>
      <c r="AP373" s="44">
        <v>12</v>
      </c>
      <c r="AQ373" s="67">
        <v>4.1099999999999994</v>
      </c>
      <c r="AR373" s="67">
        <v>66.036697681803645</v>
      </c>
      <c r="AS373" s="67">
        <v>63.833326602504997</v>
      </c>
      <c r="AT373" s="67">
        <v>0.98</v>
      </c>
      <c r="AU373" s="44">
        <v>5.3194438835420828</v>
      </c>
      <c r="AV373" s="44">
        <f>+AU373*AP373</f>
        <v>63.833326602504997</v>
      </c>
      <c r="AW373" s="44">
        <f>+VLOOKUP(C373,'Etape 1 - surface'!$A$5:$B$58,2,FALSE)</f>
        <v>0</v>
      </c>
      <c r="AX373" s="44">
        <f t="shared" si="45"/>
        <v>0</v>
      </c>
      <c r="AY373" s="44">
        <f>10.8374384236453+(405.147848531042-10.8374384236453)/(1+EXP(-(1.16387919746889*AU373+-2.8965970117006)))</f>
        <v>391.04843386698377</v>
      </c>
      <c r="AZ373" s="63"/>
      <c r="BA373" s="63">
        <f t="shared" si="46"/>
        <v>0</v>
      </c>
      <c r="BB373" s="45"/>
      <c r="BC373" s="65">
        <v>4.4999999999999998E-2</v>
      </c>
      <c r="BD373" s="63">
        <f t="shared" si="42"/>
        <v>-3503.0716309776817</v>
      </c>
    </row>
    <row r="374" spans="1:56" ht="14.45" customHeight="1" x14ac:dyDescent="0.25">
      <c r="A374" t="str">
        <f>+VLOOKUP(D374,Acronyme!$A$1:$C$50,3,FALSE)</f>
        <v>Hêtre commun</v>
      </c>
      <c r="B374" t="str">
        <f>+VLOOKUP(E374,Acronyme!$E$2:$I$50,5,FALSE)</f>
        <v>GS Hêtraies et hêtraies sapinières des Pyrénées</v>
      </c>
      <c r="C374" t="str">
        <f>+_xlfn.CONCAT(A374,"_",G374,"_",F374,"_",B374,"_")</f>
        <v>Hêtre commun_F2_Entree 19-20m_GS Hêtraies et hêtraies sapinières des Pyrénées_</v>
      </c>
      <c r="D374" s="43" t="s">
        <v>126</v>
      </c>
      <c r="E374" s="43" t="s">
        <v>127</v>
      </c>
      <c r="F374" s="43" t="s">
        <v>113</v>
      </c>
      <c r="G374" s="43" t="s">
        <v>62</v>
      </c>
      <c r="H374" s="66">
        <v>18</v>
      </c>
      <c r="I374" s="66">
        <v>55</v>
      </c>
      <c r="J374" s="66">
        <v>1666</v>
      </c>
      <c r="K374" s="66" t="s">
        <v>109</v>
      </c>
      <c r="L374" s="66" t="s">
        <v>103</v>
      </c>
      <c r="M374" s="66" t="s">
        <v>128</v>
      </c>
      <c r="N374" s="66"/>
      <c r="O374" s="66"/>
      <c r="P374" s="66">
        <v>57</v>
      </c>
      <c r="Q374" s="66">
        <v>19.899999999999999</v>
      </c>
      <c r="R374" s="66">
        <v>1402</v>
      </c>
      <c r="S374" s="66">
        <v>28.51</v>
      </c>
      <c r="T374" s="66">
        <v>50</v>
      </c>
      <c r="U374" s="66">
        <v>303</v>
      </c>
      <c r="V374" s="66">
        <v>595</v>
      </c>
      <c r="W374" s="66">
        <v>375</v>
      </c>
      <c r="X374" s="66">
        <v>75</v>
      </c>
      <c r="Y374" s="66">
        <v>4</v>
      </c>
      <c r="Z374" s="32">
        <v>139</v>
      </c>
      <c r="AA374" s="43" t="s">
        <v>63</v>
      </c>
      <c r="AB374" s="66">
        <v>34.700000000000003</v>
      </c>
      <c r="AC374" s="66">
        <v>32</v>
      </c>
      <c r="AD374" s="66">
        <v>6.93</v>
      </c>
      <c r="AE374" s="66">
        <v>52.51</v>
      </c>
      <c r="AF374" s="66">
        <v>52.51</v>
      </c>
      <c r="AG374" s="66">
        <v>114.78480273598301</v>
      </c>
      <c r="AH374" s="66">
        <v>126.480940192638</v>
      </c>
      <c r="AI374" s="66">
        <v>138.786104453701</v>
      </c>
      <c r="AJ374" s="66">
        <v>69.732400778101606</v>
      </c>
      <c r="AK374" s="66">
        <v>0.50167194804389603</v>
      </c>
      <c r="AL374" s="66">
        <v>0.19169986394883101</v>
      </c>
      <c r="AM374" s="66">
        <v>1130.86401966828</v>
      </c>
      <c r="AN374" s="66">
        <v>8.1357123717142397</v>
      </c>
      <c r="AO374" s="66">
        <v>4.3133313923847796</v>
      </c>
      <c r="AP374" s="44">
        <v>21</v>
      </c>
      <c r="AQ374" s="67">
        <v>4.82</v>
      </c>
      <c r="AR374" s="67">
        <v>54.059114933929081</v>
      </c>
      <c r="AS374" s="67">
        <v>79.873837395541997</v>
      </c>
      <c r="AT374" s="67">
        <v>1.04</v>
      </c>
      <c r="AU374" s="44">
        <v>3.8035160664543808</v>
      </c>
      <c r="AV374" s="44">
        <f>+AU374*AP374</f>
        <v>79.873837395541997</v>
      </c>
      <c r="AW374" s="44">
        <f>+VLOOKUP(C374,'Etape 1 - surface'!$A$5:$B$58,2,FALSE)</f>
        <v>0</v>
      </c>
      <c r="AX374" s="44">
        <f t="shared" si="45"/>
        <v>0</v>
      </c>
      <c r="AY374" s="44">
        <f>5.93488073153274+(78.4394250513347-5.93488073153274)/(1+EXP(-(1.03516193614659*AU374+-2.09091784316379)))</f>
        <v>68.556800148511812</v>
      </c>
      <c r="AZ374" s="63"/>
      <c r="BA374" s="63">
        <f t="shared" si="46"/>
        <v>0</v>
      </c>
      <c r="BB374" s="45"/>
      <c r="BC374" s="65">
        <v>4.4999999999999998E-2</v>
      </c>
      <c r="BD374" s="63">
        <f t="shared" si="42"/>
        <v>-3503.0716309776817</v>
      </c>
    </row>
    <row r="375" spans="1:56" ht="14.45" customHeight="1" x14ac:dyDescent="0.25">
      <c r="A375" t="str">
        <f>+VLOOKUP(D375,Acronyme!$A$1:$C$50,3,FALSE)</f>
        <v>Chêne sessile</v>
      </c>
      <c r="B375" t="str">
        <f>+VLOOKUP(E375,Acronyme!$E$2:$I$50,5,FALSE)</f>
        <v>Guide chênaie atlantique</v>
      </c>
      <c r="C375" t="str">
        <f>+_xlfn.CONCAT(A375,"_",G375,"_",F375,"_",B375,"_")</f>
        <v>Chêne sessile_F1_Classique_Guide chênaie atlantique_</v>
      </c>
      <c r="D375" s="43" t="s">
        <v>60</v>
      </c>
      <c r="E375" s="43" t="s">
        <v>150</v>
      </c>
      <c r="F375" s="43" t="s">
        <v>61</v>
      </c>
      <c r="G375" s="43" t="s">
        <v>100</v>
      </c>
      <c r="H375" s="66">
        <v>21.5</v>
      </c>
      <c r="I375" s="66" t="s">
        <v>151</v>
      </c>
      <c r="J375" s="66">
        <v>1666</v>
      </c>
      <c r="K375" s="66" t="s">
        <v>109</v>
      </c>
      <c r="L375" s="66" t="s">
        <v>103</v>
      </c>
      <c r="M375" s="66" t="s">
        <v>143</v>
      </c>
      <c r="N375" s="66"/>
      <c r="O375" s="66"/>
      <c r="P375" s="66">
        <v>34</v>
      </c>
      <c r="Q375" s="66">
        <v>16.2</v>
      </c>
      <c r="R375" s="66">
        <v>1451</v>
      </c>
      <c r="S375" s="66">
        <v>23.57</v>
      </c>
      <c r="T375" s="66">
        <v>44</v>
      </c>
      <c r="U375" s="66">
        <v>444</v>
      </c>
      <c r="V375" s="66">
        <v>742</v>
      </c>
      <c r="W375" s="66">
        <v>211</v>
      </c>
      <c r="X375" s="66">
        <v>10</v>
      </c>
      <c r="Y375" s="66">
        <v>0</v>
      </c>
      <c r="Z375" s="32">
        <v>140</v>
      </c>
      <c r="AA375" s="43" t="s">
        <v>63</v>
      </c>
      <c r="AB375" s="66">
        <v>38.520000000000003</v>
      </c>
      <c r="AC375" s="66">
        <v>67</v>
      </c>
      <c r="AD375" s="66">
        <v>26.34</v>
      </c>
      <c r="AE375" s="66">
        <v>70.75</v>
      </c>
      <c r="AF375" s="66">
        <v>70.75</v>
      </c>
      <c r="AG375" s="66">
        <v>509.15585607863699</v>
      </c>
      <c r="AH375" s="66">
        <v>563.00497949270698</v>
      </c>
      <c r="AI375" s="66">
        <v>593.33584065831405</v>
      </c>
      <c r="AJ375" s="66">
        <v>89.394565021678602</v>
      </c>
      <c r="AK375" s="66">
        <v>0.638532607297705</v>
      </c>
      <c r="AL375" s="66">
        <v>0.38633903209128601</v>
      </c>
      <c r="AM375" s="66">
        <v>1576.38981382566</v>
      </c>
      <c r="AN375" s="66">
        <v>11.2599272416119</v>
      </c>
      <c r="AO375" s="66">
        <v>11.009018746630799</v>
      </c>
      <c r="AP375" s="44">
        <v>10</v>
      </c>
      <c r="AQ375" s="67">
        <v>3.4800000000000004</v>
      </c>
      <c r="AR375" s="67">
        <v>66.564807636455825</v>
      </c>
      <c r="AS375" s="67">
        <v>67.088382177550045</v>
      </c>
      <c r="AT375" s="67">
        <v>0.9</v>
      </c>
      <c r="AU375" s="44">
        <v>6.7088382177550043</v>
      </c>
      <c r="AV375" s="44">
        <f>+AU375*AP375</f>
        <v>67.088382177550045</v>
      </c>
      <c r="AW375" s="44">
        <f>+VLOOKUP(C375,'Etape 1 - surface'!$A$5:$B$58,2,FALSE)</f>
        <v>0</v>
      </c>
      <c r="AX375" s="44">
        <f t="shared" si="45"/>
        <v>0</v>
      </c>
      <c r="AY375" s="44">
        <f>10.8374384236453+(405.147848531042-10.8374384236453)/(1+EXP(-(1.16387919746889*AU375+-2.8965970117006)))</f>
        <v>402.26688425816769</v>
      </c>
      <c r="AZ375" s="63"/>
      <c r="BA375" s="63">
        <f t="shared" si="46"/>
        <v>0</v>
      </c>
      <c r="BB375" s="45"/>
      <c r="BC375" s="65">
        <v>4.4999999999999998E-2</v>
      </c>
      <c r="BD375" s="63">
        <f t="shared" si="42"/>
        <v>-3503.0716309776817</v>
      </c>
    </row>
    <row r="376" spans="1:56" ht="14.45" customHeight="1" x14ac:dyDescent="0.25">
      <c r="A376" t="str">
        <f>+VLOOKUP(D376,Acronyme!$A$1:$C$50,3,FALSE)</f>
        <v>Hêtre commun</v>
      </c>
      <c r="B376" t="str">
        <f>+VLOOKUP(E376,Acronyme!$E$2:$I$50,5,FALSE)</f>
        <v>GS Hêtraies et hêtraies sapinières des Pyrénées</v>
      </c>
      <c r="C376" t="str">
        <f>+_xlfn.CONCAT(A376,"_",G376,"_",F376,"_",B376,"_")</f>
        <v>Hêtre commun_F2_Entree 19-20m_GS Hêtraies et hêtraies sapinières des Pyrénées_</v>
      </c>
      <c r="D376" s="43" t="s">
        <v>126</v>
      </c>
      <c r="E376" s="43" t="s">
        <v>127</v>
      </c>
      <c r="F376" s="43" t="s">
        <v>113</v>
      </c>
      <c r="G376" s="43" t="s">
        <v>62</v>
      </c>
      <c r="H376" s="66">
        <v>18</v>
      </c>
      <c r="I376" s="66">
        <v>55</v>
      </c>
      <c r="J376" s="66">
        <v>1666</v>
      </c>
      <c r="K376" s="66" t="s">
        <v>109</v>
      </c>
      <c r="L376" s="66" t="s">
        <v>103</v>
      </c>
      <c r="M376" s="66" t="s">
        <v>128</v>
      </c>
      <c r="N376" s="66"/>
      <c r="O376" s="66"/>
      <c r="P376" s="66">
        <v>57</v>
      </c>
      <c r="Q376" s="66">
        <v>19.899999999999999</v>
      </c>
      <c r="R376" s="66">
        <v>1402</v>
      </c>
      <c r="S376" s="66">
        <v>28.51</v>
      </c>
      <c r="T376" s="66">
        <v>50</v>
      </c>
      <c r="U376" s="66">
        <v>303</v>
      </c>
      <c r="V376" s="66">
        <v>595</v>
      </c>
      <c r="W376" s="66">
        <v>375</v>
      </c>
      <c r="X376" s="66">
        <v>75</v>
      </c>
      <c r="Y376" s="66">
        <v>4</v>
      </c>
      <c r="Z376" s="32">
        <v>143</v>
      </c>
      <c r="AA376" s="43" t="s">
        <v>63</v>
      </c>
      <c r="AB376" s="66">
        <v>35.049999999999997</v>
      </c>
      <c r="AC376" s="66">
        <v>0</v>
      </c>
      <c r="AD376" s="66">
        <v>0</v>
      </c>
      <c r="AE376" s="66">
        <v>0</v>
      </c>
      <c r="AF376" s="66">
        <v>0</v>
      </c>
      <c r="AG376" s="66">
        <v>0</v>
      </c>
      <c r="AH376" s="66">
        <v>0</v>
      </c>
      <c r="AI376" s="66">
        <v>0</v>
      </c>
      <c r="AJ376" s="66">
        <v>70.4992002338969</v>
      </c>
      <c r="AK376" s="66">
        <v>0.49300140023704098</v>
      </c>
      <c r="AL376" s="66"/>
      <c r="AM376" s="66">
        <v>1148.11734523782</v>
      </c>
      <c r="AN376" s="66">
        <v>8.0287926240406904</v>
      </c>
      <c r="AO376" s="66"/>
      <c r="AP376" s="44">
        <v>32</v>
      </c>
      <c r="AQ376" s="67">
        <v>7.7</v>
      </c>
      <c r="AR376" s="67">
        <v>55.350995063494437</v>
      </c>
      <c r="AS376" s="67">
        <v>128.706997600645</v>
      </c>
      <c r="AT376" s="67">
        <v>1</v>
      </c>
      <c r="AU376" s="44">
        <v>4.0220936750201561</v>
      </c>
      <c r="AV376" s="44">
        <f>+AU376*AP376</f>
        <v>128.706997600645</v>
      </c>
      <c r="AW376" s="44">
        <f>+VLOOKUP(C376,'Etape 1 - surface'!$A$5:$B$58,2,FALSE)</f>
        <v>0</v>
      </c>
      <c r="AX376" s="44">
        <f t="shared" si="45"/>
        <v>0</v>
      </c>
      <c r="AY376" s="44">
        <f>5.93488073153274+(78.4394250513347-5.93488073153274)/(1+EXP(-(1.03516193614659*AU376+-2.09091784316379)))</f>
        <v>70.334245296365609</v>
      </c>
      <c r="AZ376" s="63"/>
      <c r="BA376" s="63">
        <f t="shared" si="46"/>
        <v>0</v>
      </c>
      <c r="BB376" s="45"/>
      <c r="BC376" s="65">
        <v>4.4999999999999998E-2</v>
      </c>
      <c r="BD376" s="63">
        <f t="shared" si="42"/>
        <v>-3503.0716309776817</v>
      </c>
    </row>
    <row r="377" spans="1:56" ht="14.45" customHeight="1" x14ac:dyDescent="0.25">
      <c r="A377" t="str">
        <f>+VLOOKUP(D377,Acronyme!$A$1:$C$50,3,FALSE)</f>
        <v>Chêne sessile</v>
      </c>
      <c r="B377" t="str">
        <f>+VLOOKUP(E377,Acronyme!$E$2:$I$50,5,FALSE)</f>
        <v>Guide chênaie atlantique</v>
      </c>
      <c r="C377" t="str">
        <f>+_xlfn.CONCAT(A377,"_",G377,"_",F377,"_",B377,"_")</f>
        <v>Chêne sessile_F2_Classique_Guide chênaie atlantique_</v>
      </c>
      <c r="D377" s="43" t="s">
        <v>60</v>
      </c>
      <c r="E377" s="43" t="s">
        <v>150</v>
      </c>
      <c r="F377" s="43" t="s">
        <v>61</v>
      </c>
      <c r="G377" s="43" t="s">
        <v>62</v>
      </c>
      <c r="H377" s="66">
        <v>18.18</v>
      </c>
      <c r="I377" s="66" t="s">
        <v>142</v>
      </c>
      <c r="J377" s="66">
        <v>1666</v>
      </c>
      <c r="K377" s="66" t="s">
        <v>109</v>
      </c>
      <c r="L377" s="66" t="s">
        <v>103</v>
      </c>
      <c r="M377" s="66" t="s">
        <v>143</v>
      </c>
      <c r="N377" s="66"/>
      <c r="O377" s="66"/>
      <c r="P377" s="66">
        <v>42</v>
      </c>
      <c r="Q377" s="66">
        <v>16.02</v>
      </c>
      <c r="R377" s="66">
        <v>1451</v>
      </c>
      <c r="S377" s="66">
        <v>23.57</v>
      </c>
      <c r="T377" s="66">
        <v>44</v>
      </c>
      <c r="U377" s="66">
        <v>444</v>
      </c>
      <c r="V377" s="66">
        <v>742</v>
      </c>
      <c r="W377" s="66">
        <v>211</v>
      </c>
      <c r="X377" s="66">
        <v>10</v>
      </c>
      <c r="Y377" s="66">
        <v>0</v>
      </c>
      <c r="Z377" s="32">
        <v>144</v>
      </c>
      <c r="AA377" s="43" t="s">
        <v>63</v>
      </c>
      <c r="AB377" s="66">
        <v>33.47</v>
      </c>
      <c r="AC377" s="66">
        <v>89</v>
      </c>
      <c r="AD377" s="66">
        <v>24.25</v>
      </c>
      <c r="AE377" s="66">
        <v>58.89</v>
      </c>
      <c r="AF377" s="66">
        <v>58.89</v>
      </c>
      <c r="AG377" s="66">
        <v>404.785804033364</v>
      </c>
      <c r="AH377" s="66">
        <v>450.20426217054199</v>
      </c>
      <c r="AI377" s="66">
        <v>479.45913476669301</v>
      </c>
      <c r="AJ377" s="66">
        <v>77.831303739951494</v>
      </c>
      <c r="AK377" s="66">
        <v>0.54049516486077398</v>
      </c>
      <c r="AL377" s="66">
        <v>0.37865234550210403</v>
      </c>
      <c r="AM377" s="66">
        <v>1239.99902333659</v>
      </c>
      <c r="AN377" s="66">
        <v>8.6111043287263502</v>
      </c>
      <c r="AO377" s="66">
        <v>9.4624690503913698</v>
      </c>
      <c r="AP377" s="44">
        <v>14</v>
      </c>
      <c r="AQ377" s="67">
        <v>3.4899999999999984</v>
      </c>
      <c r="AR377" s="67">
        <v>56.338302190084022</v>
      </c>
      <c r="AS377" s="67">
        <v>58.229659741188016</v>
      </c>
      <c r="AT377" s="67">
        <v>0.93</v>
      </c>
      <c r="AU377" s="44">
        <v>4.1592614100848584</v>
      </c>
      <c r="AV377" s="44">
        <f>+AU377*AP377</f>
        <v>58.229659741188016</v>
      </c>
      <c r="AW377" s="44">
        <f>+VLOOKUP(C377,'Etape 1 - surface'!$A$5:$B$58,2,FALSE)</f>
        <v>0</v>
      </c>
      <c r="AX377" s="44">
        <f t="shared" si="45"/>
        <v>0</v>
      </c>
      <c r="AY377" s="44">
        <f>10.8374384236453+(405.147848531042-10.8374384236453)/(1+EXP(-(1.16387919746889*AU377+-2.8965970117006)))</f>
        <v>355.78873512040269</v>
      </c>
      <c r="AZ377" s="63"/>
      <c r="BA377" s="63">
        <f t="shared" si="46"/>
        <v>0</v>
      </c>
      <c r="BB377" s="45"/>
      <c r="BC377" s="65">
        <v>4.4999999999999998E-2</v>
      </c>
      <c r="BD377" s="63">
        <f t="shared" si="42"/>
        <v>-3503.0716309776817</v>
      </c>
    </row>
    <row r="378" spans="1:56" ht="14.45" customHeight="1" x14ac:dyDescent="0.25">
      <c r="C378" t="s">
        <v>266</v>
      </c>
      <c r="D378" s="43" t="s">
        <v>207</v>
      </c>
      <c r="E378" s="43" t="s">
        <v>208</v>
      </c>
      <c r="F378" s="43" t="s">
        <v>258</v>
      </c>
      <c r="G378" s="43" t="s">
        <v>260</v>
      </c>
      <c r="Z378" s="32">
        <v>144</v>
      </c>
      <c r="AA378" s="43" t="s">
        <v>63</v>
      </c>
      <c r="AP378" s="44">
        <v>132</v>
      </c>
      <c r="AU378" s="44">
        <f>AV378/AP378</f>
        <v>1.5227272727272727</v>
      </c>
      <c r="AV378" s="44">
        <v>201</v>
      </c>
      <c r="AW378" s="44">
        <f>+VLOOKUP(C378,'Etape 1 - surface'!$A$5:$B$58,2,FALSE)</f>
        <v>0</v>
      </c>
      <c r="AX378" s="44">
        <f t="shared" si="45"/>
        <v>0</v>
      </c>
      <c r="AY378" s="44">
        <f>82.5251889/(1+EXP(-(0.26195064*AU378+(-0.34406779))))</f>
        <v>42.393145699915372</v>
      </c>
      <c r="AZ378" s="63"/>
      <c r="BA378" s="63">
        <f t="shared" si="46"/>
        <v>0</v>
      </c>
      <c r="BB378" s="45"/>
      <c r="BC378" s="65">
        <v>4.4999999999999998E-2</v>
      </c>
      <c r="BD378" s="63">
        <f t="shared" si="42"/>
        <v>-3503.0716309776817</v>
      </c>
    </row>
    <row r="379" spans="1:56" ht="14.45" customHeight="1" x14ac:dyDescent="0.25">
      <c r="A379" t="str">
        <f>+VLOOKUP(D379,Acronyme!$A$1:$C$50,3,FALSE)</f>
        <v>Chêne sessile</v>
      </c>
      <c r="B379" t="str">
        <f>+VLOOKUP(E379,Acronyme!$E$2:$I$50,5,FALSE)</f>
        <v>Guide chênaie continentale</v>
      </c>
      <c r="C379" t="str">
        <f>+_xlfn.CONCAT(A379,"_",G379,"_",F379,"_",B379,"_")</f>
        <v>Chêne sessile_F2_Dynamique_Guide chênaie continentale_</v>
      </c>
      <c r="D379" s="43" t="s">
        <v>60</v>
      </c>
      <c r="E379" s="43" t="s">
        <v>65</v>
      </c>
      <c r="F379" s="43" t="s">
        <v>66</v>
      </c>
      <c r="G379" s="43" t="s">
        <v>62</v>
      </c>
      <c r="H379" s="66">
        <v>18</v>
      </c>
      <c r="I379" s="66" t="s">
        <v>142</v>
      </c>
      <c r="J379" s="66">
        <v>1666</v>
      </c>
      <c r="K379" s="66" t="s">
        <v>109</v>
      </c>
      <c r="L379" s="66" t="s">
        <v>103</v>
      </c>
      <c r="M379" s="66" t="s">
        <v>143</v>
      </c>
      <c r="N379" s="66"/>
      <c r="O379" s="66"/>
      <c r="P379" s="66">
        <v>44</v>
      </c>
      <c r="Q379" s="66">
        <v>16.579999999999998</v>
      </c>
      <c r="R379" s="66">
        <v>1453</v>
      </c>
      <c r="S379" s="66">
        <v>26.19</v>
      </c>
      <c r="T379" s="66">
        <v>41</v>
      </c>
      <c r="U379" s="66">
        <v>369</v>
      </c>
      <c r="V379" s="66">
        <v>713</v>
      </c>
      <c r="W379" s="66">
        <v>301</v>
      </c>
      <c r="X379" s="66">
        <v>28</v>
      </c>
      <c r="Y379" s="66">
        <v>0</v>
      </c>
      <c r="Z379" s="32">
        <v>149</v>
      </c>
      <c r="AA379" s="43" t="s">
        <v>63</v>
      </c>
      <c r="AB379" s="66">
        <v>32.75</v>
      </c>
      <c r="AC379" s="66">
        <v>33</v>
      </c>
      <c r="AD379" s="66">
        <v>14.11</v>
      </c>
      <c r="AE379" s="66">
        <v>73.790000000000006</v>
      </c>
      <c r="AF379" s="66">
        <v>73.790000000000006</v>
      </c>
      <c r="AG379" s="66">
        <v>228.686691244755</v>
      </c>
      <c r="AH379" s="66">
        <v>263.64153007721097</v>
      </c>
      <c r="AI379" s="66">
        <v>280.529091445414</v>
      </c>
      <c r="AJ379" s="66">
        <v>74.148144212436605</v>
      </c>
      <c r="AK379" s="66">
        <v>0.49763855176131999</v>
      </c>
      <c r="AL379" s="66">
        <v>0.20147536538645699</v>
      </c>
      <c r="AM379" s="66">
        <v>1150.2775334493899</v>
      </c>
      <c r="AN379" s="66">
        <v>7.7199834459690599</v>
      </c>
      <c r="AO379" s="66">
        <v>4.72746718100018</v>
      </c>
      <c r="AP379" s="44">
        <v>23</v>
      </c>
      <c r="AQ379" s="67">
        <v>9.59</v>
      </c>
      <c r="AR379" s="67">
        <v>72.861892091372937</v>
      </c>
      <c r="AS379" s="67">
        <v>155.28423471295699</v>
      </c>
      <c r="AT379" s="67">
        <v>0.98</v>
      </c>
      <c r="AU379" s="44">
        <v>6.7514884657807386</v>
      </c>
      <c r="AV379" s="44">
        <f>+AU379*AP379</f>
        <v>155.28423471295699</v>
      </c>
      <c r="AW379" s="44">
        <f>+VLOOKUP(C379,'Etape 1 - surface'!$A$5:$B$58,2,FALSE)</f>
        <v>0</v>
      </c>
      <c r="AX379" s="44">
        <f t="shared" si="45"/>
        <v>0</v>
      </c>
      <c r="AY379" s="44">
        <f>10.8374384236453+(405.147848531042-10.8374384236453)/(1+EXP(-(1.16387919746889*AU379+-2.8965970117006)))</f>
        <v>402.40543272998445</v>
      </c>
      <c r="AZ379" s="63"/>
      <c r="BA379" s="63">
        <f t="shared" si="46"/>
        <v>0</v>
      </c>
      <c r="BB379" s="45"/>
      <c r="BC379" s="65">
        <v>4.4999999999999998E-2</v>
      </c>
      <c r="BD379" s="63">
        <f t="shared" si="42"/>
        <v>-3503.0716309776817</v>
      </c>
    </row>
    <row r="380" spans="1:56" ht="14.45" customHeight="1" x14ac:dyDescent="0.25">
      <c r="A380" t="str">
        <f>+VLOOKUP(D380,Acronyme!$A$1:$C$50,3,FALSE)</f>
        <v>Sapin pectiné</v>
      </c>
      <c r="B380" t="str">
        <f>+VLOOKUP(E380,Acronyme!$E$2:$I$50,5,FALSE)</f>
        <v>GSM Alpes du Sud</v>
      </c>
      <c r="C380" t="str">
        <f>+_xlfn.CONCAT(A380,"_",G380,"_",F380,"_",B380,"_")</f>
        <v>Sapin pectiné_F2_SP2_4_GSM Alpes du Sud_</v>
      </c>
      <c r="D380" s="43" t="s">
        <v>129</v>
      </c>
      <c r="E380" s="43" t="s">
        <v>132</v>
      </c>
      <c r="F380" s="43" t="s">
        <v>140</v>
      </c>
      <c r="G380" s="43" t="s">
        <v>62</v>
      </c>
      <c r="H380" s="66">
        <v>14</v>
      </c>
      <c r="I380" s="66" t="s">
        <v>108</v>
      </c>
      <c r="J380" s="66">
        <v>3000</v>
      </c>
      <c r="K380" s="66" t="s">
        <v>109</v>
      </c>
      <c r="L380" s="66" t="s">
        <v>134</v>
      </c>
      <c r="M380" s="66" t="s">
        <v>135</v>
      </c>
      <c r="N380" s="66"/>
      <c r="O380" s="66"/>
      <c r="P380" s="66">
        <v>70</v>
      </c>
      <c r="Q380" s="66">
        <v>16.989999999999998</v>
      </c>
      <c r="R380" s="66">
        <v>2299</v>
      </c>
      <c r="S380" s="66">
        <v>46.07</v>
      </c>
      <c r="T380" s="66">
        <v>0</v>
      </c>
      <c r="U380" s="66">
        <v>582</v>
      </c>
      <c r="V380" s="66">
        <v>948</v>
      </c>
      <c r="W380" s="66">
        <v>642</v>
      </c>
      <c r="X380" s="66">
        <v>127</v>
      </c>
      <c r="Y380" s="66">
        <v>0</v>
      </c>
      <c r="Z380" s="32">
        <v>150</v>
      </c>
      <c r="AA380" s="43" t="s">
        <v>63</v>
      </c>
      <c r="AB380" s="66">
        <v>19.440000000000001</v>
      </c>
      <c r="AC380" s="66">
        <v>147</v>
      </c>
      <c r="AD380" s="66">
        <v>22.03</v>
      </c>
      <c r="AE380" s="66">
        <v>43.69</v>
      </c>
      <c r="AF380" s="66">
        <v>48.08</v>
      </c>
      <c r="AG380" s="66">
        <v>185.72262305736899</v>
      </c>
      <c r="AH380" s="66">
        <v>189.983696933635</v>
      </c>
      <c r="AI380" s="66">
        <v>252.34696609976601</v>
      </c>
      <c r="AJ380" s="66">
        <v>101.970647233554</v>
      </c>
      <c r="AK380" s="66">
        <v>0.67980431489035897</v>
      </c>
      <c r="AL380" s="66">
        <v>0.28998845152645503</v>
      </c>
      <c r="AM380" s="66">
        <v>1027.09169696515</v>
      </c>
      <c r="AN380" s="66">
        <v>6.84727797976766</v>
      </c>
      <c r="AO380" s="66">
        <v>3.5403788334534099</v>
      </c>
      <c r="AP380" s="44">
        <v>99</v>
      </c>
      <c r="AQ380" s="67">
        <v>11.280000000000001</v>
      </c>
      <c r="AR380" s="67">
        <v>38.088337068818625</v>
      </c>
      <c r="AS380" s="67">
        <v>83.398463858871992</v>
      </c>
      <c r="AT380" s="67">
        <v>0.84</v>
      </c>
      <c r="AU380" s="44">
        <v>0.84240872584719184</v>
      </c>
      <c r="AV380" s="44">
        <f>+AU380*AP380</f>
        <v>83.398463858871992</v>
      </c>
      <c r="AW380" s="44">
        <f>+VLOOKUP(C380,'Etape 1 - surface'!$A$5:$B$58,2,FALSE)</f>
        <v>0</v>
      </c>
      <c r="AX380" s="44">
        <f t="shared" si="45"/>
        <v>0</v>
      </c>
      <c r="AY380" s="44">
        <f>12.60067150914+(56.0435691950881-12.60067150914)/(1+EXP(-(0.12255140894824*AU380+-0.18958347271504)))</f>
        <v>33.384932247322368</v>
      </c>
      <c r="AZ380" s="63"/>
      <c r="BA380" s="63">
        <f t="shared" si="46"/>
        <v>0</v>
      </c>
      <c r="BB380" s="45"/>
      <c r="BC380" s="65">
        <v>4.4999999999999998E-2</v>
      </c>
      <c r="BD380" s="63">
        <f t="shared" si="42"/>
        <v>-3503.0716309776817</v>
      </c>
    </row>
    <row r="381" spans="1:56" ht="14.45" customHeight="1" x14ac:dyDescent="0.25">
      <c r="A381" t="str">
        <f>+VLOOKUP(D381,Acronyme!$A$1:$C$50,3,FALSE)</f>
        <v>Chêne sessile</v>
      </c>
      <c r="B381" t="str">
        <f>+VLOOKUP(E381,Acronyme!$E$2:$I$50,5,FALSE)</f>
        <v>Guide chênaie atlantique</v>
      </c>
      <c r="C381" t="str">
        <f>+_xlfn.CONCAT(A381,"_",G381,"_",F381,"_",B381,"_")</f>
        <v>Chêne sessile_F1_Classique_Guide chênaie atlantique_</v>
      </c>
      <c r="D381" s="43" t="s">
        <v>60</v>
      </c>
      <c r="E381" s="43" t="s">
        <v>150</v>
      </c>
      <c r="F381" s="43" t="s">
        <v>61</v>
      </c>
      <c r="G381" s="43" t="s">
        <v>100</v>
      </c>
      <c r="H381" s="66">
        <v>21.5</v>
      </c>
      <c r="I381" s="66" t="s">
        <v>151</v>
      </c>
      <c r="J381" s="66">
        <v>1666</v>
      </c>
      <c r="K381" s="66" t="s">
        <v>109</v>
      </c>
      <c r="L381" s="66" t="s">
        <v>103</v>
      </c>
      <c r="M381" s="66" t="s">
        <v>143</v>
      </c>
      <c r="N381" s="66"/>
      <c r="O381" s="66"/>
      <c r="P381" s="66">
        <v>34</v>
      </c>
      <c r="Q381" s="66">
        <v>16.2</v>
      </c>
      <c r="R381" s="66">
        <v>1451</v>
      </c>
      <c r="S381" s="66">
        <v>23.57</v>
      </c>
      <c r="T381" s="66">
        <v>44</v>
      </c>
      <c r="U381" s="66">
        <v>444</v>
      </c>
      <c r="V381" s="66">
        <v>742</v>
      </c>
      <c r="W381" s="66">
        <v>211</v>
      </c>
      <c r="X381" s="66">
        <v>10</v>
      </c>
      <c r="Y381" s="66">
        <v>0</v>
      </c>
      <c r="Z381" s="32">
        <v>150</v>
      </c>
      <c r="AA381" s="43" t="s">
        <v>63</v>
      </c>
      <c r="AB381" s="66">
        <v>39.950000000000003</v>
      </c>
      <c r="AC381" s="66">
        <v>41</v>
      </c>
      <c r="AD381" s="66">
        <v>18.7</v>
      </c>
      <c r="AE381" s="66">
        <v>76.2</v>
      </c>
      <c r="AF381" s="66">
        <v>76.2</v>
      </c>
      <c r="AG381" s="66">
        <v>375.35174113568797</v>
      </c>
      <c r="AH381" s="66">
        <v>415.64040429077698</v>
      </c>
      <c r="AI381" s="66">
        <v>436.89978852005402</v>
      </c>
      <c r="AJ381" s="66">
        <v>93.269001886601899</v>
      </c>
      <c r="AK381" s="66">
        <v>0.62179334591067903</v>
      </c>
      <c r="AL381" s="66">
        <v>0.260293392056823</v>
      </c>
      <c r="AM381" s="66">
        <v>1688.76896541618</v>
      </c>
      <c r="AN381" s="66">
        <v>11.258459769441201</v>
      </c>
      <c r="AO381" s="66">
        <v>7.35106116198184</v>
      </c>
      <c r="AP381" s="44">
        <v>26</v>
      </c>
      <c r="AQ381" s="67">
        <v>11.510000000000002</v>
      </c>
      <c r="AR381" s="67">
        <v>75.076850779978272</v>
      </c>
      <c r="AS381" s="67">
        <v>231.24903040017404</v>
      </c>
      <c r="AT381" s="67">
        <v>0.98</v>
      </c>
      <c r="AU381" s="44">
        <v>8.8941934769297699</v>
      </c>
      <c r="AV381" s="44">
        <f>+AU381*AP381</f>
        <v>231.24903040017401</v>
      </c>
      <c r="AW381" s="44">
        <f>+VLOOKUP(C381,'Etape 1 - surface'!$A$5:$B$58,2,FALSE)</f>
        <v>0</v>
      </c>
      <c r="AX381" s="44">
        <f t="shared" si="45"/>
        <v>0</v>
      </c>
      <c r="AY381" s="44">
        <f>10.8374384236453+(405.147848531042-10.8374384236453)/(1+EXP(-(1.16387919746889*AU381+-2.8965970117006)))</f>
        <v>404.91989411247073</v>
      </c>
      <c r="AZ381" s="63"/>
      <c r="BA381" s="63">
        <f t="shared" si="46"/>
        <v>0</v>
      </c>
      <c r="BB381" s="45"/>
      <c r="BC381" s="65">
        <v>4.4999999999999998E-2</v>
      </c>
      <c r="BD381" s="63">
        <f t="shared" si="42"/>
        <v>-3503.0716309776817</v>
      </c>
    </row>
    <row r="382" spans="1:56" ht="14.45" customHeight="1" x14ac:dyDescent="0.25">
      <c r="C382" t="s">
        <v>265</v>
      </c>
      <c r="D382" s="43" t="s">
        <v>207</v>
      </c>
      <c r="E382" s="43" t="s">
        <v>208</v>
      </c>
      <c r="F382" s="43" t="s">
        <v>259</v>
      </c>
      <c r="G382" s="43" t="s">
        <v>260</v>
      </c>
      <c r="Z382" s="32">
        <v>150</v>
      </c>
      <c r="AA382" s="43" t="s">
        <v>63</v>
      </c>
      <c r="AP382" s="44">
        <v>136</v>
      </c>
      <c r="AU382" s="44">
        <f>AV382/AP382</f>
        <v>1.2720588235294117</v>
      </c>
      <c r="AV382" s="44">
        <v>173</v>
      </c>
      <c r="AW382" s="44">
        <f>+VLOOKUP(C382,'Etape 1 - surface'!$A$5:$B$58,2,FALSE)</f>
        <v>0</v>
      </c>
      <c r="AX382" s="44">
        <f t="shared" si="45"/>
        <v>0</v>
      </c>
      <c r="AY382" s="44">
        <f>82.5251889/(1+EXP(-(0.26195064*AU382+(-0.34406779))))</f>
        <v>41.038722993865093</v>
      </c>
      <c r="AZ382" s="63"/>
      <c r="BA382" s="63">
        <f t="shared" si="46"/>
        <v>0</v>
      </c>
      <c r="BB382" s="45"/>
      <c r="BC382" s="65">
        <v>4.4999999999999998E-2</v>
      </c>
      <c r="BD382" s="63">
        <f t="shared" si="42"/>
        <v>-3503.0716309776817</v>
      </c>
    </row>
    <row r="383" spans="1:56" ht="14.45" customHeight="1" x14ac:dyDescent="0.25">
      <c r="A383" t="str">
        <f>+VLOOKUP(D383,Acronyme!$A$1:$C$50,3,FALSE)</f>
        <v>Chêne sessile</v>
      </c>
      <c r="B383" t="str">
        <f>+VLOOKUP(E383,Acronyme!$E$2:$I$50,5,FALSE)</f>
        <v>Guide chênaie continentale</v>
      </c>
      <c r="C383" t="str">
        <f t="shared" ref="C383:C391" si="49">+_xlfn.CONCAT(A383,"_",G383,"_",F383,"_",B383,"_")</f>
        <v>Chêne sessile_F2_Dynamique_Guide chênaie continentale_</v>
      </c>
      <c r="D383" s="43" t="s">
        <v>60</v>
      </c>
      <c r="E383" s="43" t="s">
        <v>65</v>
      </c>
      <c r="F383" s="43" t="s">
        <v>66</v>
      </c>
      <c r="G383" s="43" t="s">
        <v>62</v>
      </c>
      <c r="H383" s="66">
        <v>18</v>
      </c>
      <c r="I383" s="66" t="s">
        <v>142</v>
      </c>
      <c r="J383" s="66">
        <v>1666</v>
      </c>
      <c r="K383" s="66" t="s">
        <v>109</v>
      </c>
      <c r="L383" s="66" t="s">
        <v>103</v>
      </c>
      <c r="M383" s="66" t="s">
        <v>143</v>
      </c>
      <c r="N383" s="66"/>
      <c r="O383" s="66"/>
      <c r="P383" s="66">
        <v>44</v>
      </c>
      <c r="Q383" s="66">
        <v>16.579999999999998</v>
      </c>
      <c r="R383" s="66">
        <v>1453</v>
      </c>
      <c r="S383" s="66">
        <v>26.19</v>
      </c>
      <c r="T383" s="66">
        <v>41</v>
      </c>
      <c r="U383" s="66">
        <v>369</v>
      </c>
      <c r="V383" s="66">
        <v>713</v>
      </c>
      <c r="W383" s="66">
        <v>301</v>
      </c>
      <c r="X383" s="66">
        <v>28</v>
      </c>
      <c r="Y383" s="66">
        <v>0</v>
      </c>
      <c r="Z383" s="32">
        <v>153</v>
      </c>
      <c r="AA383" s="43" t="s">
        <v>63</v>
      </c>
      <c r="AB383" s="43">
        <v>33.049999999999997</v>
      </c>
      <c r="AC383" s="66">
        <v>22</v>
      </c>
      <c r="AD383" s="66">
        <v>9.7200000000000006</v>
      </c>
      <c r="AE383" s="66">
        <v>75</v>
      </c>
      <c r="AF383" s="66">
        <v>75</v>
      </c>
      <c r="AG383" s="66">
        <v>158.888934733144</v>
      </c>
      <c r="AH383" s="66">
        <v>183.40728890317899</v>
      </c>
      <c r="AI383" s="66">
        <v>194.99698998608201</v>
      </c>
      <c r="AJ383" s="66">
        <v>74.954045673982407</v>
      </c>
      <c r="AK383" s="66">
        <v>0.48989572335936199</v>
      </c>
      <c r="AL383" s="66">
        <v>0.12904840701768799</v>
      </c>
      <c r="AM383" s="66">
        <v>1169.18740217339</v>
      </c>
      <c r="AN383" s="66">
        <v>7.6417477266234703</v>
      </c>
      <c r="AO383" s="66">
        <v>2.9854151738786099</v>
      </c>
      <c r="AP383" s="44">
        <v>11</v>
      </c>
      <c r="AQ383" s="67">
        <v>5.1999999999999993</v>
      </c>
      <c r="AR383" s="67">
        <v>77.581895923673315</v>
      </c>
      <c r="AS383" s="67">
        <v>84.990487802747992</v>
      </c>
      <c r="AT383" s="67">
        <v>1.05</v>
      </c>
      <c r="AU383" s="44">
        <v>7.7264079820679994</v>
      </c>
      <c r="AV383" s="44">
        <f t="shared" ref="AV383:AV391" si="50">+AU383*AP383</f>
        <v>84.990487802747992</v>
      </c>
      <c r="AW383" s="44">
        <f>+VLOOKUP(C383,'Etape 1 - surface'!$A$5:$B$58,2,FALSE)</f>
        <v>0</v>
      </c>
      <c r="AX383" s="44">
        <f t="shared" si="45"/>
        <v>0</v>
      </c>
      <c r="AY383" s="44">
        <f t="shared" ref="AY383:AY388" si="51">10.8374384236453+(405.147848531042-10.8374384236453)/(1+EXP(-(1.16387919746889*AU383+-2.8965970117006)))</f>
        <v>404.26192033470329</v>
      </c>
      <c r="AZ383" s="63"/>
      <c r="BA383" s="63">
        <f t="shared" si="46"/>
        <v>0</v>
      </c>
      <c r="BB383" s="45"/>
      <c r="BC383" s="65">
        <v>4.4999999999999998E-2</v>
      </c>
      <c r="BD383" s="63">
        <f t="shared" si="42"/>
        <v>-3503.0716309776817</v>
      </c>
    </row>
    <row r="384" spans="1:56" ht="14.45" customHeight="1" x14ac:dyDescent="0.25">
      <c r="A384" t="str">
        <f>+VLOOKUP(D384,Acronyme!$A$1:$C$50,3,FALSE)</f>
        <v>Chêne sessile</v>
      </c>
      <c r="B384" t="str">
        <f>+VLOOKUP(E384,Acronyme!$E$2:$I$50,5,FALSE)</f>
        <v>Guide chênaie atlantique</v>
      </c>
      <c r="C384" t="str">
        <f t="shared" si="49"/>
        <v>Chêne sessile_F1_Classique_Guide chênaie atlantique_</v>
      </c>
      <c r="D384" s="43" t="s">
        <v>60</v>
      </c>
      <c r="E384" s="43" t="s">
        <v>150</v>
      </c>
      <c r="F384" s="43" t="s">
        <v>61</v>
      </c>
      <c r="G384" s="43" t="s">
        <v>100</v>
      </c>
      <c r="H384" s="66">
        <v>21.5</v>
      </c>
      <c r="I384" s="66" t="s">
        <v>151</v>
      </c>
      <c r="J384" s="66">
        <v>1666</v>
      </c>
      <c r="K384" s="66" t="s">
        <v>109</v>
      </c>
      <c r="L384" s="66" t="s">
        <v>103</v>
      </c>
      <c r="M384" s="66" t="s">
        <v>143</v>
      </c>
      <c r="N384" s="66"/>
      <c r="O384" s="66"/>
      <c r="P384" s="66">
        <v>34</v>
      </c>
      <c r="Q384" s="66">
        <v>16.2</v>
      </c>
      <c r="R384" s="66">
        <v>1451</v>
      </c>
      <c r="S384" s="66">
        <v>23.57</v>
      </c>
      <c r="T384" s="66">
        <v>44</v>
      </c>
      <c r="U384" s="66">
        <v>444</v>
      </c>
      <c r="V384" s="66">
        <v>742</v>
      </c>
      <c r="W384" s="66">
        <v>211</v>
      </c>
      <c r="X384" s="66">
        <v>10</v>
      </c>
      <c r="Y384" s="66">
        <v>0</v>
      </c>
      <c r="Z384" s="32">
        <v>153</v>
      </c>
      <c r="AA384" s="43" t="s">
        <v>63</v>
      </c>
      <c r="AB384" s="43">
        <v>40.270000000000003</v>
      </c>
      <c r="AC384" s="66">
        <v>26</v>
      </c>
      <c r="AD384" s="66">
        <v>12.59</v>
      </c>
      <c r="AE384" s="66">
        <v>78.510000000000005</v>
      </c>
      <c r="AF384" s="66">
        <v>78.510000000000005</v>
      </c>
      <c r="AG384" s="66">
        <v>254.82312897593701</v>
      </c>
      <c r="AH384" s="66">
        <v>282.68259655406001</v>
      </c>
      <c r="AI384" s="66">
        <v>296.95276152394302</v>
      </c>
      <c r="AJ384" s="66">
        <v>94.049882062772298</v>
      </c>
      <c r="AK384" s="66">
        <v>0.61470511152138796</v>
      </c>
      <c r="AL384" s="66">
        <v>0.15295749659883501</v>
      </c>
      <c r="AM384" s="66">
        <v>1710.82214890213</v>
      </c>
      <c r="AN384" s="66">
        <v>11.181844110471401</v>
      </c>
      <c r="AO384" s="66">
        <v>4.2332407076874796</v>
      </c>
      <c r="AP384" s="44">
        <v>15</v>
      </c>
      <c r="AQ384" s="67">
        <v>6.8900000000000006</v>
      </c>
      <c r="AR384" s="67">
        <v>76.474921655077111</v>
      </c>
      <c r="AS384" s="67">
        <v>139.37534345993001</v>
      </c>
      <c r="AT384" s="67">
        <v>0.97</v>
      </c>
      <c r="AU384" s="44">
        <v>9.2916895639953339</v>
      </c>
      <c r="AV384" s="44">
        <f t="shared" si="50"/>
        <v>139.37534345993001</v>
      </c>
      <c r="AW384" s="44">
        <f>+VLOOKUP(C384,'Etape 1 - surface'!$A$5:$B$58,2,FALSE)</f>
        <v>0</v>
      </c>
      <c r="AX384" s="44">
        <f t="shared" si="45"/>
        <v>0</v>
      </c>
      <c r="AY384" s="44">
        <f t="shared" si="51"/>
        <v>405.00429293255513</v>
      </c>
      <c r="AZ384" s="63"/>
      <c r="BA384" s="63">
        <f t="shared" si="46"/>
        <v>0</v>
      </c>
      <c r="BB384" s="45"/>
      <c r="BC384" s="65">
        <v>4.4999999999999998E-2</v>
      </c>
      <c r="BD384" s="63">
        <f t="shared" si="42"/>
        <v>-3503.0716309776817</v>
      </c>
    </row>
    <row r="385" spans="1:56" ht="14.45" customHeight="1" x14ac:dyDescent="0.25">
      <c r="A385" t="str">
        <f>+VLOOKUP(D385,Acronyme!$A$1:$C$50,3,FALSE)</f>
        <v>Chêne sessile</v>
      </c>
      <c r="B385" t="str">
        <f>+VLOOKUP(E385,Acronyme!$E$2:$I$50,5,FALSE)</f>
        <v>Guide chênaie atlantique</v>
      </c>
      <c r="C385" t="str">
        <f t="shared" si="49"/>
        <v>Chêne sessile_F2_Classique_Guide chênaie atlantique_</v>
      </c>
      <c r="D385" s="43" t="s">
        <v>60</v>
      </c>
      <c r="E385" s="43" t="s">
        <v>150</v>
      </c>
      <c r="F385" s="43" t="s">
        <v>61</v>
      </c>
      <c r="G385" s="43" t="s">
        <v>62</v>
      </c>
      <c r="H385" s="66">
        <v>18.18</v>
      </c>
      <c r="I385" s="66" t="s">
        <v>142</v>
      </c>
      <c r="J385" s="66">
        <v>1666</v>
      </c>
      <c r="K385" s="66" t="s">
        <v>109</v>
      </c>
      <c r="L385" s="66" t="s">
        <v>103</v>
      </c>
      <c r="M385" s="66" t="s">
        <v>143</v>
      </c>
      <c r="N385" s="66"/>
      <c r="O385" s="66"/>
      <c r="P385" s="66">
        <v>42</v>
      </c>
      <c r="Q385" s="66">
        <v>16.02</v>
      </c>
      <c r="R385" s="66">
        <v>1451</v>
      </c>
      <c r="S385" s="66">
        <v>23.57</v>
      </c>
      <c r="T385" s="66">
        <v>44</v>
      </c>
      <c r="U385" s="66">
        <v>444</v>
      </c>
      <c r="V385" s="66">
        <v>742</v>
      </c>
      <c r="W385" s="66">
        <v>211</v>
      </c>
      <c r="X385" s="66">
        <v>10</v>
      </c>
      <c r="Y385" s="66">
        <v>0</v>
      </c>
      <c r="Z385" s="32">
        <v>154</v>
      </c>
      <c r="AA385" s="43" t="s">
        <v>63</v>
      </c>
      <c r="AB385" s="43">
        <v>34.78</v>
      </c>
      <c r="AC385" s="66">
        <v>78</v>
      </c>
      <c r="AD385" s="66">
        <v>24.86</v>
      </c>
      <c r="AE385" s="66">
        <v>63.7</v>
      </c>
      <c r="AF385" s="66">
        <v>63.7</v>
      </c>
      <c r="AG385" s="66">
        <v>431.80881582446301</v>
      </c>
      <c r="AH385" s="66">
        <v>481.20941729396299</v>
      </c>
      <c r="AI385" s="66">
        <v>510.79665873387398</v>
      </c>
      <c r="AJ385" s="66">
        <v>81.638929822605405</v>
      </c>
      <c r="AK385" s="66">
        <v>0.53012292092600899</v>
      </c>
      <c r="AL385" s="66">
        <v>0.37027459754092201</v>
      </c>
      <c r="AM385" s="66">
        <v>1336.5499644962399</v>
      </c>
      <c r="AN385" s="66">
        <v>8.6788958733522303</v>
      </c>
      <c r="AO385" s="66">
        <v>9.6255911415087194</v>
      </c>
      <c r="AP385" s="44">
        <v>11</v>
      </c>
      <c r="AQ385" s="67">
        <v>3.1900000000000013</v>
      </c>
      <c r="AR385" s="67">
        <v>60.765077797465004</v>
      </c>
      <c r="AS385" s="67">
        <v>55.358329142179969</v>
      </c>
      <c r="AT385" s="67">
        <v>0.92</v>
      </c>
      <c r="AU385" s="44">
        <v>5.0325753765618151</v>
      </c>
      <c r="AV385" s="44">
        <f t="shared" si="50"/>
        <v>55.358329142179969</v>
      </c>
      <c r="AW385" s="44">
        <f>+VLOOKUP(C385,'Etape 1 - surface'!$A$5:$B$58,2,FALSE)</f>
        <v>0</v>
      </c>
      <c r="AX385" s="44">
        <f t="shared" si="45"/>
        <v>0</v>
      </c>
      <c r="AY385" s="44">
        <f t="shared" si="51"/>
        <v>385.73490958791189</v>
      </c>
      <c r="AZ385" s="63"/>
      <c r="BA385" s="63">
        <f t="shared" si="46"/>
        <v>0</v>
      </c>
      <c r="BB385" s="45"/>
      <c r="BC385" s="65">
        <v>4.4999999999999998E-2</v>
      </c>
      <c r="BD385" s="63">
        <f t="shared" si="42"/>
        <v>-3503.0716309776817</v>
      </c>
    </row>
    <row r="386" spans="1:56" ht="14.45" customHeight="1" x14ac:dyDescent="0.25">
      <c r="A386" t="str">
        <f>+VLOOKUP(D386,Acronyme!$A$1:$C$50,3,FALSE)</f>
        <v>Chêne sessile</v>
      </c>
      <c r="B386" t="str">
        <f>+VLOOKUP(E386,Acronyme!$E$2:$I$50,5,FALSE)</f>
        <v>Guide chênaie atlantique</v>
      </c>
      <c r="C386" t="str">
        <f t="shared" si="49"/>
        <v>Chêne sessile_F1_Classique_Guide chênaie atlantique_</v>
      </c>
      <c r="D386" s="43" t="s">
        <v>60</v>
      </c>
      <c r="E386" s="43" t="s">
        <v>150</v>
      </c>
      <c r="F386" s="43" t="s">
        <v>61</v>
      </c>
      <c r="G386" s="43" t="s">
        <v>100</v>
      </c>
      <c r="H386" s="66">
        <v>21.5</v>
      </c>
      <c r="I386" s="66" t="s">
        <v>151</v>
      </c>
      <c r="J386" s="66">
        <v>1666</v>
      </c>
      <c r="K386" s="66" t="s">
        <v>109</v>
      </c>
      <c r="L386" s="66" t="s">
        <v>103</v>
      </c>
      <c r="M386" s="66" t="s">
        <v>143</v>
      </c>
      <c r="N386" s="66"/>
      <c r="O386" s="66"/>
      <c r="P386" s="66">
        <v>34</v>
      </c>
      <c r="Q386" s="66">
        <v>16.2</v>
      </c>
      <c r="R386" s="66">
        <v>1451</v>
      </c>
      <c r="S386" s="66">
        <v>23.57</v>
      </c>
      <c r="T386" s="66">
        <v>44</v>
      </c>
      <c r="U386" s="66">
        <v>444</v>
      </c>
      <c r="V386" s="66">
        <v>742</v>
      </c>
      <c r="W386" s="66">
        <v>211</v>
      </c>
      <c r="X386" s="66">
        <v>10</v>
      </c>
      <c r="Y386" s="66">
        <v>0</v>
      </c>
      <c r="Z386" s="32">
        <v>156</v>
      </c>
      <c r="AA386" s="43" t="s">
        <v>63</v>
      </c>
      <c r="AB386" s="43">
        <v>40.49</v>
      </c>
      <c r="AC386" s="66">
        <v>17</v>
      </c>
      <c r="AD386" s="66">
        <v>8.74</v>
      </c>
      <c r="AE386" s="66">
        <v>80.92</v>
      </c>
      <c r="AF386" s="66">
        <v>80.92</v>
      </c>
      <c r="AG386" s="66">
        <v>178.03648435413899</v>
      </c>
      <c r="AH386" s="66">
        <v>197.945031434523</v>
      </c>
      <c r="AI386" s="66">
        <v>207.834682473058</v>
      </c>
      <c r="AJ386" s="66">
        <v>94.508754552568803</v>
      </c>
      <c r="AK386" s="66">
        <v>0.60582534969595403</v>
      </c>
      <c r="AL386" s="66">
        <v>9.1566375299981004E-2</v>
      </c>
      <c r="AM386" s="66">
        <v>1723.52187102519</v>
      </c>
      <c r="AN386" s="66">
        <v>11.0482171219563</v>
      </c>
      <c r="AO386" s="66">
        <v>2.4404713700246998</v>
      </c>
      <c r="AP386" s="44">
        <v>9</v>
      </c>
      <c r="AQ386" s="67">
        <v>4.3100000000000005</v>
      </c>
      <c r="AR386" s="67">
        <v>78.085867534888592</v>
      </c>
      <c r="AS386" s="67">
        <v>87.527814952979014</v>
      </c>
      <c r="AT386" s="67">
        <v>0.95</v>
      </c>
      <c r="AU386" s="44">
        <v>9.7253127725532238</v>
      </c>
      <c r="AV386" s="44">
        <f t="shared" si="50"/>
        <v>87.527814952979014</v>
      </c>
      <c r="AW386" s="44">
        <f>+VLOOKUP(C386,'Etape 1 - surface'!$A$5:$B$58,2,FALSE)</f>
        <v>0</v>
      </c>
      <c r="AX386" s="44">
        <f t="shared" si="45"/>
        <v>0</v>
      </c>
      <c r="AY386" s="44">
        <f t="shared" si="51"/>
        <v>405.06117212911158</v>
      </c>
      <c r="AZ386" s="63"/>
      <c r="BA386" s="63">
        <f t="shared" si="46"/>
        <v>0</v>
      </c>
      <c r="BB386" s="45"/>
      <c r="BC386" s="65">
        <v>4.4999999999999998E-2</v>
      </c>
      <c r="BD386" s="63">
        <f t="shared" si="42"/>
        <v>-3503.0716309776817</v>
      </c>
    </row>
    <row r="387" spans="1:56" ht="14.45" customHeight="1" x14ac:dyDescent="0.25">
      <c r="A387" t="str">
        <f>+VLOOKUP(D387,Acronyme!$A$1:$C$50,3,FALSE)</f>
        <v>Chêne sessile</v>
      </c>
      <c r="B387" t="str">
        <f>+VLOOKUP(E387,Acronyme!$E$2:$I$50,5,FALSE)</f>
        <v>Guide chênaie continentale</v>
      </c>
      <c r="C387" t="str">
        <f t="shared" si="49"/>
        <v>Chêne sessile_F2_Dynamique_Guide chênaie continentale_</v>
      </c>
      <c r="D387" s="43" t="s">
        <v>60</v>
      </c>
      <c r="E387" s="43" t="s">
        <v>65</v>
      </c>
      <c r="F387" s="43" t="s">
        <v>66</v>
      </c>
      <c r="G387" s="43" t="s">
        <v>62</v>
      </c>
      <c r="H387" s="66">
        <v>18</v>
      </c>
      <c r="I387" s="66" t="s">
        <v>142</v>
      </c>
      <c r="J387" s="66">
        <v>1666</v>
      </c>
      <c r="K387" s="66" t="s">
        <v>109</v>
      </c>
      <c r="L387" s="66" t="s">
        <v>103</v>
      </c>
      <c r="M387" s="66" t="s">
        <v>143</v>
      </c>
      <c r="N387" s="66"/>
      <c r="O387" s="66"/>
      <c r="P387" s="66">
        <v>44</v>
      </c>
      <c r="Q387" s="66">
        <v>16.579999999999998</v>
      </c>
      <c r="R387" s="66">
        <v>1453</v>
      </c>
      <c r="S387" s="66">
        <v>26.19</v>
      </c>
      <c r="T387" s="66">
        <v>41</v>
      </c>
      <c r="U387" s="66">
        <v>369</v>
      </c>
      <c r="V387" s="66">
        <v>713</v>
      </c>
      <c r="W387" s="66">
        <v>301</v>
      </c>
      <c r="X387" s="66">
        <v>28</v>
      </c>
      <c r="Y387" s="66">
        <v>0</v>
      </c>
      <c r="Z387" s="32">
        <v>157</v>
      </c>
      <c r="AA387" s="43" t="s">
        <v>63</v>
      </c>
      <c r="AB387" s="43">
        <v>33.26</v>
      </c>
      <c r="AC387" s="66">
        <v>15</v>
      </c>
      <c r="AD387" s="66">
        <v>6.9</v>
      </c>
      <c r="AE387" s="66">
        <v>76.55</v>
      </c>
      <c r="AF387" s="66">
        <v>76.55</v>
      </c>
      <c r="AG387" s="66">
        <v>113.55218816452999</v>
      </c>
      <c r="AH387" s="66">
        <v>131.44301087273399</v>
      </c>
      <c r="AI387" s="66">
        <v>139.644537657738</v>
      </c>
      <c r="AJ387" s="66">
        <v>75.470239302053201</v>
      </c>
      <c r="AK387" s="66">
        <v>0.48070216115957398</v>
      </c>
      <c r="AL387" s="66">
        <v>8.56690561104827E-2</v>
      </c>
      <c r="AM387" s="66">
        <v>1181.1290628689101</v>
      </c>
      <c r="AN387" s="66">
        <v>7.5231150501204098</v>
      </c>
      <c r="AO387" s="66">
        <v>1.89599596173355</v>
      </c>
      <c r="AP387" s="44">
        <v>7</v>
      </c>
      <c r="AQ387" s="67">
        <v>3.34</v>
      </c>
      <c r="AR387" s="67">
        <v>77.943386775415803</v>
      </c>
      <c r="AS387" s="67">
        <v>54.83656095111202</v>
      </c>
      <c r="AT387" s="67">
        <v>1.02</v>
      </c>
      <c r="AU387" s="44">
        <v>7.8337944215874318</v>
      </c>
      <c r="AV387" s="44">
        <f t="shared" si="50"/>
        <v>54.83656095111202</v>
      </c>
      <c r="AW387" s="44">
        <f>+VLOOKUP(C387,'Etape 1 - surface'!$A$5:$B$58,2,FALSE)</f>
        <v>0</v>
      </c>
      <c r="AX387" s="44">
        <f t="shared" si="45"/>
        <v>0</v>
      </c>
      <c r="AY387" s="44">
        <f t="shared" si="51"/>
        <v>404.3658013519796</v>
      </c>
      <c r="AZ387" s="63"/>
      <c r="BA387" s="63">
        <f t="shared" si="46"/>
        <v>0</v>
      </c>
      <c r="BB387" s="45"/>
      <c r="BC387" s="65">
        <v>4.4999999999999998E-2</v>
      </c>
      <c r="BD387" s="63">
        <f t="shared" si="42"/>
        <v>-3503.0716309776817</v>
      </c>
    </row>
    <row r="388" spans="1:56" ht="14.45" customHeight="1" x14ac:dyDescent="0.25">
      <c r="A388" t="str">
        <f>+VLOOKUP(D388,Acronyme!$A$1:$C$50,3,FALSE)</f>
        <v>Chêne sessile</v>
      </c>
      <c r="B388" t="str">
        <f>+VLOOKUP(E388,Acronyme!$E$2:$I$50,5,FALSE)</f>
        <v>Guide chênaie atlantique</v>
      </c>
      <c r="C388" t="str">
        <f t="shared" si="49"/>
        <v>Chêne sessile_F1_Classique_Guide chênaie atlantique_</v>
      </c>
      <c r="D388" s="43" t="s">
        <v>60</v>
      </c>
      <c r="E388" s="43" t="s">
        <v>150</v>
      </c>
      <c r="F388" s="43" t="s">
        <v>61</v>
      </c>
      <c r="G388" s="43" t="s">
        <v>100</v>
      </c>
      <c r="H388" s="66">
        <v>21.5</v>
      </c>
      <c r="I388" s="66" t="s">
        <v>151</v>
      </c>
      <c r="J388" s="66">
        <v>1666</v>
      </c>
      <c r="K388" s="66" t="s">
        <v>109</v>
      </c>
      <c r="L388" s="66" t="s">
        <v>103</v>
      </c>
      <c r="M388" s="66" t="s">
        <v>143</v>
      </c>
      <c r="N388" s="66"/>
      <c r="O388" s="66"/>
      <c r="P388" s="66">
        <v>34</v>
      </c>
      <c r="Q388" s="66">
        <v>16.2</v>
      </c>
      <c r="R388" s="66">
        <v>1451</v>
      </c>
      <c r="S388" s="66">
        <v>23.57</v>
      </c>
      <c r="T388" s="66">
        <v>44</v>
      </c>
      <c r="U388" s="66">
        <v>444</v>
      </c>
      <c r="V388" s="66">
        <v>742</v>
      </c>
      <c r="W388" s="66">
        <v>211</v>
      </c>
      <c r="X388" s="66">
        <v>10</v>
      </c>
      <c r="Y388" s="66">
        <v>0</v>
      </c>
      <c r="Z388" s="32">
        <v>159</v>
      </c>
      <c r="AA388" s="43" t="s">
        <v>63</v>
      </c>
      <c r="AB388" s="43">
        <v>40.64</v>
      </c>
      <c r="AC388" s="66">
        <v>0</v>
      </c>
      <c r="AD388" s="66">
        <v>0</v>
      </c>
      <c r="AE388" s="66">
        <v>0</v>
      </c>
      <c r="AF388" s="66">
        <v>0</v>
      </c>
      <c r="AG388" s="66">
        <v>0</v>
      </c>
      <c r="AH388" s="66">
        <v>0</v>
      </c>
      <c r="AI388" s="66">
        <v>0</v>
      </c>
      <c r="AJ388" s="66">
        <v>94.783453678468803</v>
      </c>
      <c r="AK388" s="66">
        <v>0.59612235017904902</v>
      </c>
      <c r="AL388" s="66"/>
      <c r="AM388" s="66">
        <v>1730.84328513526</v>
      </c>
      <c r="AN388" s="66">
        <v>10.8858068247501</v>
      </c>
      <c r="AO388" s="66"/>
      <c r="AP388" s="44">
        <v>17</v>
      </c>
      <c r="AQ388" s="67">
        <v>9.02</v>
      </c>
      <c r="AR388" s="67">
        <v>82.192817395908492</v>
      </c>
      <c r="AS388" s="67">
        <v>184.12608479042601</v>
      </c>
      <c r="AT388" s="67">
        <v>1</v>
      </c>
      <c r="AU388" s="44">
        <v>10.830946164142706</v>
      </c>
      <c r="AV388" s="44">
        <f t="shared" si="50"/>
        <v>184.12608479042601</v>
      </c>
      <c r="AW388" s="44">
        <f>+VLOOKUP(C388,'Etape 1 - surface'!$A$5:$B$58,2,FALSE)</f>
        <v>0</v>
      </c>
      <c r="AX388" s="44">
        <f t="shared" si="45"/>
        <v>0</v>
      </c>
      <c r="AY388" s="44">
        <f t="shared" si="51"/>
        <v>405.12390933565575</v>
      </c>
      <c r="AZ388" s="63"/>
      <c r="BA388" s="63">
        <f t="shared" si="46"/>
        <v>0</v>
      </c>
      <c r="BB388" s="45"/>
      <c r="BC388" s="65">
        <v>4.4999999999999998E-2</v>
      </c>
      <c r="BD388" s="63">
        <f t="shared" si="42"/>
        <v>-3503.0716309776817</v>
      </c>
    </row>
    <row r="389" spans="1:56" ht="14.45" customHeight="1" x14ac:dyDescent="0.25">
      <c r="A389" t="str">
        <f>+VLOOKUP(D389,Acronyme!$A$1:$C$50,3,FALSE)</f>
        <v>Sapin pectiné</v>
      </c>
      <c r="B389" t="str">
        <f>+VLOOKUP(E389,Acronyme!$E$2:$I$50,5,FALSE)</f>
        <v>GSM Alpes du Sud</v>
      </c>
      <c r="C389" t="str">
        <f t="shared" si="49"/>
        <v>Sapin pectiné_F2_SP2_4_GSM Alpes du Sud_</v>
      </c>
      <c r="D389" s="43" t="s">
        <v>129</v>
      </c>
      <c r="E389" s="43" t="s">
        <v>132</v>
      </c>
      <c r="F389" s="43" t="s">
        <v>140</v>
      </c>
      <c r="G389" s="43" t="s">
        <v>62</v>
      </c>
      <c r="H389" s="66">
        <v>14</v>
      </c>
      <c r="I389" s="66" t="s">
        <v>108</v>
      </c>
      <c r="J389" s="66">
        <v>3000</v>
      </c>
      <c r="K389" s="66" t="s">
        <v>109</v>
      </c>
      <c r="L389" s="66" t="s">
        <v>134</v>
      </c>
      <c r="M389" s="66" t="s">
        <v>135</v>
      </c>
      <c r="N389" s="66"/>
      <c r="O389" s="66"/>
      <c r="P389" s="66">
        <v>70</v>
      </c>
      <c r="Q389" s="66">
        <v>16.989999999999998</v>
      </c>
      <c r="R389" s="66">
        <v>2299</v>
      </c>
      <c r="S389" s="66">
        <v>46.07</v>
      </c>
      <c r="T389" s="66">
        <v>0</v>
      </c>
      <c r="U389" s="66">
        <v>582</v>
      </c>
      <c r="V389" s="66">
        <v>948</v>
      </c>
      <c r="W389" s="66">
        <v>642</v>
      </c>
      <c r="X389" s="66">
        <v>127</v>
      </c>
      <c r="Y389" s="66">
        <v>0</v>
      </c>
      <c r="Z389" s="32">
        <v>160</v>
      </c>
      <c r="AA389" s="43" t="s">
        <v>63</v>
      </c>
      <c r="AB389" s="43">
        <v>18.010000000000002</v>
      </c>
      <c r="AC389" s="66">
        <v>76</v>
      </c>
      <c r="AD389" s="66">
        <v>13.2</v>
      </c>
      <c r="AE389" s="66">
        <v>47.03</v>
      </c>
      <c r="AF389" s="66">
        <v>47.03</v>
      </c>
      <c r="AG389" s="66">
        <v>112.121715440161</v>
      </c>
      <c r="AH389" s="66">
        <v>114.897172205381</v>
      </c>
      <c r="AI389" s="66">
        <v>153.26012035786599</v>
      </c>
      <c r="AJ389" s="66">
        <v>104.85208205481</v>
      </c>
      <c r="AK389" s="66">
        <v>0.65532551284256102</v>
      </c>
      <c r="AL389" s="66">
        <v>0.18955058613907699</v>
      </c>
      <c r="AM389" s="66">
        <v>1062.2886062307</v>
      </c>
      <c r="AN389" s="66">
        <v>6.6393037889418496</v>
      </c>
      <c r="AO389" s="66">
        <v>2.3135751179547701</v>
      </c>
      <c r="AP389" s="44">
        <v>71</v>
      </c>
      <c r="AQ389" s="67">
        <v>11.720000000000002</v>
      </c>
      <c r="AR389" s="67">
        <v>45.844758657667008</v>
      </c>
      <c r="AS389" s="67">
        <v>97.56592317029201</v>
      </c>
      <c r="AT389" s="67">
        <v>0.97</v>
      </c>
      <c r="AU389" s="44">
        <v>1.3741679319759439</v>
      </c>
      <c r="AV389" s="44">
        <f t="shared" si="50"/>
        <v>97.56592317029201</v>
      </c>
      <c r="AW389" s="44">
        <f>+VLOOKUP(C389,'Etape 1 - surface'!$A$5:$B$58,2,FALSE)</f>
        <v>0</v>
      </c>
      <c r="AX389" s="44">
        <f t="shared" si="45"/>
        <v>0</v>
      </c>
      <c r="AY389" s="44">
        <f>12.60067150914+(56.0435691950881-12.60067150914)/(1+EXP(-(0.12255140894824*AU389+-0.18958347271504)))</f>
        <v>34.092128600469486</v>
      </c>
      <c r="AZ389" s="63"/>
      <c r="BA389" s="63">
        <f t="shared" si="46"/>
        <v>0</v>
      </c>
      <c r="BB389" s="45"/>
      <c r="BC389" s="65">
        <v>4.4999999999999998E-2</v>
      </c>
      <c r="BD389" s="63">
        <f t="shared" si="42"/>
        <v>-3503.0716309776817</v>
      </c>
    </row>
    <row r="390" spans="1:56" ht="14.45" customHeight="1" x14ac:dyDescent="0.25">
      <c r="A390" t="str">
        <f>+VLOOKUP(D390,Acronyme!$A$1:$C$50,3,FALSE)</f>
        <v>Chêne sessile</v>
      </c>
      <c r="B390" t="str">
        <f>+VLOOKUP(E390,Acronyme!$E$2:$I$50,5,FALSE)</f>
        <v>Guide chênaie continentale</v>
      </c>
      <c r="C390" t="str">
        <f t="shared" si="49"/>
        <v>Chêne sessile_F2_Dynamique_Guide chênaie continentale_</v>
      </c>
      <c r="D390" s="43" t="s">
        <v>60</v>
      </c>
      <c r="E390" s="43" t="s">
        <v>65</v>
      </c>
      <c r="F390" s="43" t="s">
        <v>66</v>
      </c>
      <c r="G390" s="43" t="s">
        <v>62</v>
      </c>
      <c r="H390" s="66">
        <v>18</v>
      </c>
      <c r="I390" s="66" t="s">
        <v>142</v>
      </c>
      <c r="J390" s="66">
        <v>1666</v>
      </c>
      <c r="K390" s="66" t="s">
        <v>109</v>
      </c>
      <c r="L390" s="66" t="s">
        <v>103</v>
      </c>
      <c r="M390" s="66" t="s">
        <v>143</v>
      </c>
      <c r="N390" s="66"/>
      <c r="O390" s="66"/>
      <c r="P390" s="66">
        <v>44</v>
      </c>
      <c r="Q390" s="66">
        <v>16.579999999999998</v>
      </c>
      <c r="R390" s="66">
        <v>1453</v>
      </c>
      <c r="S390" s="66">
        <v>26.19</v>
      </c>
      <c r="T390" s="66">
        <v>41</v>
      </c>
      <c r="U390" s="66">
        <v>369</v>
      </c>
      <c r="V390" s="66">
        <v>713</v>
      </c>
      <c r="W390" s="66">
        <v>301</v>
      </c>
      <c r="X390" s="66">
        <v>28</v>
      </c>
      <c r="Y390" s="66">
        <v>0</v>
      </c>
      <c r="Z390" s="32">
        <v>161</v>
      </c>
      <c r="AA390" s="43" t="s">
        <v>63</v>
      </c>
      <c r="AB390" s="43">
        <v>33.409999999999997</v>
      </c>
      <c r="AC390" s="66">
        <v>0</v>
      </c>
      <c r="AD390" s="66">
        <v>0</v>
      </c>
      <c r="AE390" s="66">
        <v>0</v>
      </c>
      <c r="AF390" s="66">
        <v>0</v>
      </c>
      <c r="AG390" s="66">
        <v>0</v>
      </c>
      <c r="AH390" s="66">
        <v>0</v>
      </c>
      <c r="AI390" s="66">
        <v>0</v>
      </c>
      <c r="AJ390" s="66">
        <v>75.812915526495104</v>
      </c>
      <c r="AK390" s="66">
        <v>0.47088767407760901</v>
      </c>
      <c r="AL390" s="66"/>
      <c r="AM390" s="66">
        <v>1188.7130467158399</v>
      </c>
      <c r="AN390" s="66">
        <v>7.3833108491667003</v>
      </c>
      <c r="AO390" s="66"/>
      <c r="AP390" s="44">
        <v>15</v>
      </c>
      <c r="AQ390" s="67">
        <v>7.25</v>
      </c>
      <c r="AR390" s="67">
        <v>78.447378113526653</v>
      </c>
      <c r="AS390" s="67">
        <v>119.43687153616401</v>
      </c>
      <c r="AT390" s="67">
        <v>1</v>
      </c>
      <c r="AU390" s="44">
        <v>7.9624581024109338</v>
      </c>
      <c r="AV390" s="44">
        <f t="shared" si="50"/>
        <v>119.43687153616401</v>
      </c>
      <c r="AW390" s="44">
        <f>+VLOOKUP(C390,'Etape 1 - surface'!$A$5:$B$58,2,FALSE)</f>
        <v>0</v>
      </c>
      <c r="AX390" s="44">
        <f t="shared" si="45"/>
        <v>0</v>
      </c>
      <c r="AY390" s="44">
        <f>10.8374384236453+(405.147848531042-10.8374384236453)/(1+EXP(-(1.16387919746889*AU390+-2.8965970117006)))</f>
        <v>404.47437953561212</v>
      </c>
      <c r="AZ390" s="63"/>
      <c r="BA390" s="63">
        <f t="shared" si="46"/>
        <v>0</v>
      </c>
      <c r="BB390" s="45"/>
      <c r="BC390" s="65">
        <v>4.4999999999999998E-2</v>
      </c>
      <c r="BD390" s="63">
        <f t="shared" si="42"/>
        <v>-3503.0716309776817</v>
      </c>
    </row>
    <row r="391" spans="1:56" ht="14.45" customHeight="1" x14ac:dyDescent="0.25">
      <c r="A391" t="str">
        <f>+VLOOKUP(D391,Acronyme!$A$1:$C$50,3,FALSE)</f>
        <v>Chêne sessile</v>
      </c>
      <c r="B391" t="str">
        <f>+VLOOKUP(E391,Acronyme!$E$2:$I$50,5,FALSE)</f>
        <v>Guide chênaie atlantique</v>
      </c>
      <c r="C391" t="str">
        <f t="shared" si="49"/>
        <v>Chêne sessile_F2_Classique_Guide chênaie atlantique_</v>
      </c>
      <c r="D391" s="43" t="s">
        <v>60</v>
      </c>
      <c r="E391" s="43" t="s">
        <v>150</v>
      </c>
      <c r="F391" s="43" t="s">
        <v>61</v>
      </c>
      <c r="G391" s="43" t="s">
        <v>62</v>
      </c>
      <c r="H391" s="66">
        <v>18.18</v>
      </c>
      <c r="I391" s="66" t="s">
        <v>142</v>
      </c>
      <c r="J391" s="66">
        <v>1666</v>
      </c>
      <c r="K391" s="66" t="s">
        <v>109</v>
      </c>
      <c r="L391" s="66" t="s">
        <v>103</v>
      </c>
      <c r="M391" s="66" t="s">
        <v>143</v>
      </c>
      <c r="N391" s="66"/>
      <c r="O391" s="66"/>
      <c r="P391" s="66">
        <v>42</v>
      </c>
      <c r="Q391" s="66">
        <v>16.02</v>
      </c>
      <c r="R391" s="66">
        <v>1451</v>
      </c>
      <c r="S391" s="66">
        <v>23.57</v>
      </c>
      <c r="T391" s="66">
        <v>44</v>
      </c>
      <c r="U391" s="66">
        <v>444</v>
      </c>
      <c r="V391" s="66">
        <v>742</v>
      </c>
      <c r="W391" s="66">
        <v>211</v>
      </c>
      <c r="X391" s="66">
        <v>10</v>
      </c>
      <c r="Y391" s="66">
        <v>0</v>
      </c>
      <c r="Z391" s="32">
        <v>164</v>
      </c>
      <c r="AA391" s="43" t="s">
        <v>63</v>
      </c>
      <c r="AB391" s="43">
        <v>36.08</v>
      </c>
      <c r="AC391" s="66">
        <v>69</v>
      </c>
      <c r="AD391" s="66">
        <v>25.52</v>
      </c>
      <c r="AE391" s="66">
        <v>68.63</v>
      </c>
      <c r="AF391" s="66">
        <v>68.63</v>
      </c>
      <c r="AG391" s="66">
        <v>460.47776288903202</v>
      </c>
      <c r="AH391" s="66">
        <v>514.015137230405</v>
      </c>
      <c r="AI391" s="66">
        <v>543.99660086801805</v>
      </c>
      <c r="AJ391" s="66">
        <v>85.362624142032303</v>
      </c>
      <c r="AK391" s="66">
        <v>0.52050380574409905</v>
      </c>
      <c r="AL391" s="66">
        <v>0.363680009715935</v>
      </c>
      <c r="AM391" s="66">
        <v>1434.6935807873399</v>
      </c>
      <c r="AN391" s="66">
        <v>8.7481315901666896</v>
      </c>
      <c r="AO391" s="66">
        <v>9.7813213135311798</v>
      </c>
      <c r="AP391" s="44">
        <v>9</v>
      </c>
      <c r="AQ391" s="67">
        <v>3.0700000000000003</v>
      </c>
      <c r="AR391" s="67">
        <v>65.902667306810628</v>
      </c>
      <c r="AS391" s="67">
        <v>55.198786903636972</v>
      </c>
      <c r="AT391" s="67">
        <v>0.93</v>
      </c>
      <c r="AU391" s="44">
        <v>6.1331985448485522</v>
      </c>
      <c r="AV391" s="44">
        <f t="shared" si="50"/>
        <v>55.198786903636972</v>
      </c>
      <c r="AW391" s="44">
        <f>+VLOOKUP(C391,'Etape 1 - surface'!$A$5:$B$58,2,FALSE)</f>
        <v>0</v>
      </c>
      <c r="AX391" s="44">
        <f t="shared" si="45"/>
        <v>0</v>
      </c>
      <c r="AY391" s="44">
        <f>10.8374384236453+(405.147848531042-10.8374384236453)/(1+EXP(-(1.16387919746889*AU391+-2.8965970117006)))</f>
        <v>399.55687927573558</v>
      </c>
      <c r="AZ391" s="63"/>
      <c r="BA391" s="63">
        <f t="shared" si="46"/>
        <v>0</v>
      </c>
      <c r="BB391" s="45"/>
      <c r="BC391" s="65">
        <v>4.4999999999999998E-2</v>
      </c>
      <c r="BD391" s="63">
        <f t="shared" si="42"/>
        <v>-3503.0716309776817</v>
      </c>
    </row>
    <row r="392" spans="1:56" ht="14.45" customHeight="1" x14ac:dyDescent="0.25">
      <c r="C392" t="s">
        <v>265</v>
      </c>
      <c r="D392" s="43" t="s">
        <v>207</v>
      </c>
      <c r="E392" s="43" t="s">
        <v>208</v>
      </c>
      <c r="F392" s="43" t="s">
        <v>259</v>
      </c>
      <c r="G392" s="43" t="s">
        <v>260</v>
      </c>
      <c r="Z392" s="32">
        <v>165</v>
      </c>
      <c r="AA392" s="43" t="s">
        <v>63</v>
      </c>
      <c r="AP392" s="44">
        <v>138</v>
      </c>
      <c r="AU392" s="44">
        <f>AV392/AP392</f>
        <v>1.5507246376811594</v>
      </c>
      <c r="AV392" s="44">
        <v>214</v>
      </c>
      <c r="AW392" s="44">
        <f>+VLOOKUP(C392,'Etape 1 - surface'!$A$5:$B$58,2,FALSE)</f>
        <v>0</v>
      </c>
      <c r="AX392" s="44">
        <f t="shared" si="45"/>
        <v>0</v>
      </c>
      <c r="AY392" s="44">
        <f>82.5251889/(1+EXP(-(0.26195064*AU392+(-0.34406779))))</f>
        <v>42.544324687237733</v>
      </c>
      <c r="AZ392" s="63"/>
      <c r="BA392" s="63">
        <f t="shared" si="46"/>
        <v>0</v>
      </c>
      <c r="BB392" s="45"/>
      <c r="BC392" s="65">
        <v>4.4999999999999998E-2</v>
      </c>
      <c r="BD392" s="63">
        <f t="shared" si="42"/>
        <v>-3503.0716309776817</v>
      </c>
    </row>
    <row r="393" spans="1:56" ht="14.45" customHeight="1" x14ac:dyDescent="0.25">
      <c r="A393" t="str">
        <f>+VLOOKUP(D393,Acronyme!$A$1:$C$50,3,FALSE)</f>
        <v>Sapin pectiné</v>
      </c>
      <c r="B393" t="str">
        <f>+VLOOKUP(E393,Acronyme!$E$2:$I$50,5,FALSE)</f>
        <v>GSM Alpes du Sud</v>
      </c>
      <c r="C393" t="str">
        <f>+_xlfn.CONCAT(A393,"_",G393,"_",F393,"_",B393,"_")</f>
        <v>Sapin pectiné_F2_SP2_4_GSM Alpes du Sud_</v>
      </c>
      <c r="D393" s="43" t="s">
        <v>129</v>
      </c>
      <c r="E393" s="43" t="s">
        <v>132</v>
      </c>
      <c r="F393" s="43" t="s">
        <v>140</v>
      </c>
      <c r="G393" s="43" t="s">
        <v>62</v>
      </c>
      <c r="H393" s="66">
        <v>14</v>
      </c>
      <c r="I393" s="66" t="s">
        <v>108</v>
      </c>
      <c r="J393" s="66">
        <v>3000</v>
      </c>
      <c r="K393" s="66" t="s">
        <v>109</v>
      </c>
      <c r="L393" s="66" t="s">
        <v>134</v>
      </c>
      <c r="M393" s="66" t="s">
        <v>135</v>
      </c>
      <c r="N393" s="66"/>
      <c r="O393" s="66"/>
      <c r="P393" s="66">
        <v>70</v>
      </c>
      <c r="Q393" s="66">
        <v>16.989999999999998</v>
      </c>
      <c r="R393" s="66">
        <v>2299</v>
      </c>
      <c r="S393" s="66">
        <v>46.07</v>
      </c>
      <c r="T393" s="66">
        <v>0</v>
      </c>
      <c r="U393" s="66">
        <v>582</v>
      </c>
      <c r="V393" s="66">
        <v>948</v>
      </c>
      <c r="W393" s="66">
        <v>642</v>
      </c>
      <c r="X393" s="66">
        <v>127</v>
      </c>
      <c r="Y393" s="66">
        <v>0</v>
      </c>
      <c r="Z393" s="32">
        <v>170</v>
      </c>
      <c r="AA393" s="43" t="s">
        <v>63</v>
      </c>
      <c r="AB393" s="66">
        <v>18.079999999999998</v>
      </c>
      <c r="AC393" s="66">
        <v>0</v>
      </c>
      <c r="AD393" s="66">
        <v>0</v>
      </c>
      <c r="AE393" s="66">
        <v>0</v>
      </c>
      <c r="AF393" s="66">
        <v>0</v>
      </c>
      <c r="AG393" s="66">
        <v>0</v>
      </c>
      <c r="AH393" s="66">
        <v>0</v>
      </c>
      <c r="AI393" s="66">
        <v>0</v>
      </c>
      <c r="AJ393" s="66">
        <v>106.72960481938701</v>
      </c>
      <c r="AK393" s="66">
        <v>0.62782120481992298</v>
      </c>
      <c r="AL393" s="66"/>
      <c r="AM393" s="66">
        <v>1085.2903518815499</v>
      </c>
      <c r="AN393" s="66">
        <v>6.3840608934208598</v>
      </c>
      <c r="AO393" s="66"/>
      <c r="AP393" s="44">
        <v>75</v>
      </c>
      <c r="AQ393" s="67">
        <v>14.85</v>
      </c>
      <c r="AR393" s="67">
        <v>50.209703231304033</v>
      </c>
      <c r="AS393" s="67">
        <v>125.338355659881</v>
      </c>
      <c r="AT393" s="67">
        <v>1</v>
      </c>
      <c r="AU393" s="44">
        <v>1.67117807546508</v>
      </c>
      <c r="AV393" s="44">
        <f>+AU393*AP393</f>
        <v>125.338355659881</v>
      </c>
      <c r="AW393" s="44">
        <f>+VLOOKUP(C393,'Etape 1 - surface'!$A$5:$B$58,2,FALSE)</f>
        <v>0</v>
      </c>
      <c r="AX393" s="44">
        <f t="shared" si="45"/>
        <v>0</v>
      </c>
      <c r="AY393" s="44">
        <f>12.60067150914+(56.0435691950881-12.60067150914)/(1+EXP(-(0.12255140894824*AU393+-0.18958347271504)))</f>
        <v>34.487436446786994</v>
      </c>
      <c r="AZ393" s="63"/>
      <c r="BA393" s="63">
        <f t="shared" si="46"/>
        <v>0</v>
      </c>
      <c r="BB393" s="45"/>
      <c r="BC393" s="65">
        <v>4.4999999999999998E-2</v>
      </c>
      <c r="BD393" s="63">
        <f t="shared" si="42"/>
        <v>-3503.0716309776817</v>
      </c>
    </row>
    <row r="394" spans="1:56" ht="14.45" customHeight="1" x14ac:dyDescent="0.25">
      <c r="A394" t="str">
        <f>+VLOOKUP(D394,Acronyme!$A$1:$C$50,3,FALSE)</f>
        <v>Chêne sessile</v>
      </c>
      <c r="B394" t="str">
        <f>+VLOOKUP(E394,Acronyme!$E$2:$I$50,5,FALSE)</f>
        <v>Guide chênaie atlantique</v>
      </c>
      <c r="C394" t="str">
        <f>+_xlfn.CONCAT(A394,"_",G394,"_",F394,"_",B394,"_")</f>
        <v>Chêne sessile_F2_Classique_Guide chênaie atlantique_</v>
      </c>
      <c r="D394" s="43" t="s">
        <v>60</v>
      </c>
      <c r="E394" s="43" t="s">
        <v>150</v>
      </c>
      <c r="F394" s="43" t="s">
        <v>61</v>
      </c>
      <c r="G394" s="43" t="s">
        <v>62</v>
      </c>
      <c r="H394" s="66">
        <v>18.18</v>
      </c>
      <c r="I394" s="66" t="s">
        <v>142</v>
      </c>
      <c r="J394" s="66">
        <v>1666</v>
      </c>
      <c r="K394" s="66" t="s">
        <v>109</v>
      </c>
      <c r="L394" s="66" t="s">
        <v>103</v>
      </c>
      <c r="M394" s="66" t="s">
        <v>143</v>
      </c>
      <c r="N394" s="66"/>
      <c r="O394" s="66"/>
      <c r="P394" s="66">
        <v>42</v>
      </c>
      <c r="Q394" s="66">
        <v>16.02</v>
      </c>
      <c r="R394" s="66">
        <v>1451</v>
      </c>
      <c r="S394" s="66">
        <v>23.57</v>
      </c>
      <c r="T394" s="66">
        <v>44</v>
      </c>
      <c r="U394" s="66">
        <v>444</v>
      </c>
      <c r="V394" s="66">
        <v>742</v>
      </c>
      <c r="W394" s="66">
        <v>211</v>
      </c>
      <c r="X394" s="66">
        <v>10</v>
      </c>
      <c r="Y394" s="66">
        <v>0</v>
      </c>
      <c r="Z394" s="32">
        <v>174</v>
      </c>
      <c r="AA394" s="43" t="s">
        <v>63</v>
      </c>
      <c r="AB394" s="66">
        <v>37.380000000000003</v>
      </c>
      <c r="AC394" s="66">
        <v>41</v>
      </c>
      <c r="AD394" s="66">
        <v>17.7</v>
      </c>
      <c r="AE394" s="66">
        <v>74.150000000000006</v>
      </c>
      <c r="AF394" s="66">
        <v>74.150000000000006</v>
      </c>
      <c r="AG394" s="66">
        <v>331.40704419193901</v>
      </c>
      <c r="AH394" s="66">
        <v>370.62006566047199</v>
      </c>
      <c r="AI394" s="66">
        <v>391.16176187475799</v>
      </c>
      <c r="AJ394" s="66">
        <v>89.017649207223798</v>
      </c>
      <c r="AK394" s="66">
        <v>0.51159568509898701</v>
      </c>
      <c r="AL394" s="66">
        <v>0.23797892647374899</v>
      </c>
      <c r="AM394" s="66">
        <v>1534.6680445427301</v>
      </c>
      <c r="AN394" s="66">
        <v>8.8199312904754805</v>
      </c>
      <c r="AO394" s="66">
        <v>6.2765296770308696</v>
      </c>
      <c r="AP394" s="44">
        <v>28</v>
      </c>
      <c r="AQ394" s="67">
        <v>11.48</v>
      </c>
      <c r="AR394" s="67">
        <v>72.251519938435663</v>
      </c>
      <c r="AS394" s="67">
        <v>214.63211176146797</v>
      </c>
      <c r="AT394" s="67">
        <v>0.97</v>
      </c>
      <c r="AU394" s="44">
        <v>7.6654325629095705</v>
      </c>
      <c r="AV394" s="44">
        <f>+AU394*AP394</f>
        <v>214.63211176146797</v>
      </c>
      <c r="AW394" s="44">
        <f>+VLOOKUP(C394,'Etape 1 - surface'!$A$5:$B$58,2,FALSE)</f>
        <v>0</v>
      </c>
      <c r="AX394" s="44">
        <f t="shared" si="45"/>
        <v>0</v>
      </c>
      <c r="AY394" s="44">
        <f>10.8374384236453+(405.147848531042-10.8374384236453)/(1+EXP(-(1.16387919746889*AU394+-2.8965970117006)))</f>
        <v>404.19692020117549</v>
      </c>
      <c r="AZ394" s="63"/>
      <c r="BA394" s="63">
        <f t="shared" si="46"/>
        <v>0</v>
      </c>
      <c r="BB394" s="45"/>
      <c r="BC394" s="65">
        <v>4.4999999999999998E-2</v>
      </c>
      <c r="BD394" s="63">
        <f t="shared" si="42"/>
        <v>-3503.0716309776817</v>
      </c>
    </row>
    <row r="395" spans="1:56" ht="14.45" customHeight="1" x14ac:dyDescent="0.25">
      <c r="A395" t="str">
        <f>+VLOOKUP(D395,Acronyme!$A$1:$C$50,3,FALSE)</f>
        <v>Chêne sessile</v>
      </c>
      <c r="B395" t="str">
        <f>+VLOOKUP(E395,Acronyme!$E$2:$I$50,5,FALSE)</f>
        <v>Guide chênaie atlantique</v>
      </c>
      <c r="C395" t="str">
        <f>+_xlfn.CONCAT(A395,"_",G395,"_",F395,"_",B395,"_")</f>
        <v>Chêne sessile_F2_Classique_Guide chênaie atlantique_</v>
      </c>
      <c r="D395" s="43" t="s">
        <v>60</v>
      </c>
      <c r="E395" s="43" t="s">
        <v>150</v>
      </c>
      <c r="F395" s="43" t="s">
        <v>61</v>
      </c>
      <c r="G395" s="43" t="s">
        <v>62</v>
      </c>
      <c r="H395" s="66">
        <v>18.18</v>
      </c>
      <c r="I395" s="66" t="s">
        <v>142</v>
      </c>
      <c r="J395" s="66">
        <v>1666</v>
      </c>
      <c r="K395" s="66" t="s">
        <v>109</v>
      </c>
      <c r="L395" s="66" t="s">
        <v>103</v>
      </c>
      <c r="M395" s="66" t="s">
        <v>143</v>
      </c>
      <c r="N395" s="66"/>
      <c r="O395" s="66"/>
      <c r="P395" s="66">
        <v>42</v>
      </c>
      <c r="Q395" s="66">
        <v>16.02</v>
      </c>
      <c r="R395" s="66">
        <v>1451</v>
      </c>
      <c r="S395" s="66">
        <v>23.57</v>
      </c>
      <c r="T395" s="66">
        <v>44</v>
      </c>
      <c r="U395" s="66">
        <v>444</v>
      </c>
      <c r="V395" s="66">
        <v>742</v>
      </c>
      <c r="W395" s="66">
        <v>211</v>
      </c>
      <c r="X395" s="66">
        <v>10</v>
      </c>
      <c r="Y395" s="66">
        <v>0</v>
      </c>
      <c r="Z395" s="32">
        <v>177</v>
      </c>
      <c r="AA395" s="43" t="s">
        <v>63</v>
      </c>
      <c r="AB395" s="66">
        <v>37.67</v>
      </c>
      <c r="AC395" s="66">
        <v>27</v>
      </c>
      <c r="AD395" s="66">
        <v>12.29</v>
      </c>
      <c r="AE395" s="66">
        <v>76.13</v>
      </c>
      <c r="AF395" s="66">
        <v>76.13</v>
      </c>
      <c r="AG395" s="66">
        <v>231.739183897065</v>
      </c>
      <c r="AH395" s="66">
        <v>259.571015192044</v>
      </c>
      <c r="AI395" s="66">
        <v>273.79151007971399</v>
      </c>
      <c r="AJ395" s="66">
        <v>89.731585986645001</v>
      </c>
      <c r="AK395" s="66">
        <v>0.50695811291889803</v>
      </c>
      <c r="AL395" s="66">
        <v>0.14835495078758701</v>
      </c>
      <c r="AM395" s="66">
        <v>1553.4976335738299</v>
      </c>
      <c r="AN395" s="66">
        <v>8.7768227885526908</v>
      </c>
      <c r="AO395" s="66">
        <v>3.8476041097304301</v>
      </c>
      <c r="AP395" s="44">
        <v>14</v>
      </c>
      <c r="AQ395" s="67">
        <v>6.1300000000000026</v>
      </c>
      <c r="AR395" s="67">
        <v>74.665723677633238</v>
      </c>
      <c r="AS395" s="67">
        <v>115.477242163933</v>
      </c>
      <c r="AT395" s="67">
        <v>0.97</v>
      </c>
      <c r="AU395" s="44">
        <v>8.2483744402809283</v>
      </c>
      <c r="AV395" s="44">
        <f>+AU395*AP395</f>
        <v>115.477242163933</v>
      </c>
      <c r="AW395" s="44">
        <f>+VLOOKUP(C395,'Etape 1 - surface'!$A$5:$B$58,2,FALSE)</f>
        <v>0</v>
      </c>
      <c r="AX395" s="44">
        <f t="shared" si="45"/>
        <v>0</v>
      </c>
      <c r="AY395" s="44">
        <f>10.8374384236453+(405.147848531042-10.8374384236453)/(1+EXP(-(1.16387919746889*AU395+-2.8965970117006)))</f>
        <v>404.66478244576234</v>
      </c>
      <c r="AZ395" s="63"/>
      <c r="BA395" s="63">
        <f t="shared" si="46"/>
        <v>0</v>
      </c>
      <c r="BB395" s="45"/>
      <c r="BC395" s="65">
        <v>4.4999999999999998E-2</v>
      </c>
      <c r="BD395" s="63">
        <f t="shared" si="42"/>
        <v>-3503.0716309776817</v>
      </c>
    </row>
    <row r="396" spans="1:56" ht="14.45" customHeight="1" x14ac:dyDescent="0.25">
      <c r="A396" t="str">
        <f>+VLOOKUP(D396,Acronyme!$A$1:$C$50,3,FALSE)</f>
        <v>Chêne sessile</v>
      </c>
      <c r="B396" t="str">
        <f>+VLOOKUP(E396,Acronyme!$E$2:$I$50,5,FALSE)</f>
        <v>Guide chênaie atlantique</v>
      </c>
      <c r="C396" t="str">
        <f>+_xlfn.CONCAT(A396,"_",G396,"_",F396,"_",B396,"_")</f>
        <v>Chêne sessile_F2_Classique_Guide chênaie atlantique_</v>
      </c>
      <c r="D396" s="43" t="s">
        <v>60</v>
      </c>
      <c r="E396" s="43" t="s">
        <v>150</v>
      </c>
      <c r="F396" s="43" t="s">
        <v>61</v>
      </c>
      <c r="G396" s="43" t="s">
        <v>62</v>
      </c>
      <c r="H396" s="66">
        <v>18.18</v>
      </c>
      <c r="I396" s="66" t="s">
        <v>142</v>
      </c>
      <c r="J396" s="66">
        <v>1666</v>
      </c>
      <c r="K396" s="66" t="s">
        <v>109</v>
      </c>
      <c r="L396" s="66" t="s">
        <v>103</v>
      </c>
      <c r="M396" s="66" t="s">
        <v>143</v>
      </c>
      <c r="N396" s="66"/>
      <c r="O396" s="66"/>
      <c r="P396" s="66">
        <v>42</v>
      </c>
      <c r="Q396" s="66">
        <v>16.02</v>
      </c>
      <c r="R396" s="66">
        <v>1451</v>
      </c>
      <c r="S396" s="66">
        <v>23.57</v>
      </c>
      <c r="T396" s="66">
        <v>44</v>
      </c>
      <c r="U396" s="66">
        <v>444</v>
      </c>
      <c r="V396" s="66">
        <v>742</v>
      </c>
      <c r="W396" s="66">
        <v>211</v>
      </c>
      <c r="X396" s="66">
        <v>10</v>
      </c>
      <c r="Y396" s="66">
        <v>0</v>
      </c>
      <c r="Z396" s="32">
        <v>180</v>
      </c>
      <c r="AA396" s="43" t="s">
        <v>63</v>
      </c>
      <c r="AB396" s="66">
        <v>37.86</v>
      </c>
      <c r="AC396" s="66">
        <v>18</v>
      </c>
      <c r="AD396" s="66">
        <v>8.56</v>
      </c>
      <c r="AE396" s="66">
        <v>77.819999999999993</v>
      </c>
      <c r="AF396" s="66">
        <v>77.819999999999993</v>
      </c>
      <c r="AG396" s="66">
        <v>162.29983825006099</v>
      </c>
      <c r="AH396" s="66">
        <v>182.06557038471601</v>
      </c>
      <c r="AI396" s="66">
        <v>191.951048291456</v>
      </c>
      <c r="AJ396" s="66">
        <v>90.176650839007806</v>
      </c>
      <c r="AK396" s="66">
        <v>0.50098139355004301</v>
      </c>
      <c r="AL396" s="66">
        <v>9.2324017492288094E-2</v>
      </c>
      <c r="AM396" s="66">
        <v>1565.0404459030201</v>
      </c>
      <c r="AN396" s="66">
        <v>8.6946691439056494</v>
      </c>
      <c r="AO396" s="66">
        <v>2.3458757126037</v>
      </c>
      <c r="AP396" s="44">
        <v>9</v>
      </c>
      <c r="AQ396" s="67">
        <v>4.18</v>
      </c>
      <c r="AR396" s="67">
        <v>76.899221907586295</v>
      </c>
      <c r="AS396" s="67">
        <v>79.039470143776015</v>
      </c>
      <c r="AT396" s="67">
        <v>0.98</v>
      </c>
      <c r="AU396" s="44">
        <v>8.7821633493084459</v>
      </c>
      <c r="AV396" s="44">
        <f>+AU396*AP396</f>
        <v>79.039470143776015</v>
      </c>
      <c r="AW396" s="44">
        <f>+VLOOKUP(C396,'Etape 1 - surface'!$A$5:$B$58,2,FALSE)</f>
        <v>0</v>
      </c>
      <c r="AX396" s="44">
        <f t="shared" si="45"/>
        <v>0</v>
      </c>
      <c r="AY396" s="44">
        <f>10.8374384236453+(405.147848531042-10.8374384236453)/(1+EXP(-(1.16387919746889*AU396+-2.8965970117006)))</f>
        <v>404.8881673337919</v>
      </c>
      <c r="AZ396" s="63"/>
      <c r="BA396" s="63">
        <f t="shared" si="46"/>
        <v>0</v>
      </c>
      <c r="BB396" s="45"/>
      <c r="BC396" s="65">
        <v>4.4999999999999998E-2</v>
      </c>
      <c r="BD396" s="63">
        <f t="shared" si="42"/>
        <v>-3503.0716309776817</v>
      </c>
    </row>
    <row r="397" spans="1:56" ht="14.45" customHeight="1" x14ac:dyDescent="0.25">
      <c r="A397" t="str">
        <f>+VLOOKUP(D397,Acronyme!$A$1:$C$50,3,FALSE)</f>
        <v>Chêne sessile</v>
      </c>
      <c r="B397" t="str">
        <f>+VLOOKUP(E397,Acronyme!$E$2:$I$50,5,FALSE)</f>
        <v>Guide chênaie atlantique</v>
      </c>
      <c r="C397" t="str">
        <f>+_xlfn.CONCAT(A397,"_",G397,"_",F397,"_",B397,"_")</f>
        <v>Chêne sessile_F2_Classique_Guide chênaie atlantique_</v>
      </c>
      <c r="D397" s="69" t="s">
        <v>60</v>
      </c>
      <c r="E397" s="69" t="s">
        <v>150</v>
      </c>
      <c r="F397" s="69" t="s">
        <v>61</v>
      </c>
      <c r="G397" s="69" t="s">
        <v>62</v>
      </c>
      <c r="H397" s="66">
        <v>18.18</v>
      </c>
      <c r="I397" s="66" t="s">
        <v>142</v>
      </c>
      <c r="J397" s="66">
        <v>1666</v>
      </c>
      <c r="K397" s="66" t="s">
        <v>109</v>
      </c>
      <c r="L397" s="66" t="s">
        <v>103</v>
      </c>
      <c r="M397" s="66" t="s">
        <v>143</v>
      </c>
      <c r="N397" s="66"/>
      <c r="O397" s="66"/>
      <c r="P397" s="66">
        <v>42</v>
      </c>
      <c r="Q397" s="66">
        <v>16.02</v>
      </c>
      <c r="R397" s="66">
        <v>1451</v>
      </c>
      <c r="S397" s="66">
        <v>23.57</v>
      </c>
      <c r="T397" s="66">
        <v>44</v>
      </c>
      <c r="U397" s="66">
        <v>444</v>
      </c>
      <c r="V397" s="66">
        <v>742</v>
      </c>
      <c r="W397" s="66">
        <v>211</v>
      </c>
      <c r="X397" s="66">
        <v>10</v>
      </c>
      <c r="Y397" s="66">
        <v>0</v>
      </c>
      <c r="Z397" s="32">
        <v>183</v>
      </c>
      <c r="AA397" s="69" t="s">
        <v>63</v>
      </c>
      <c r="AB397" s="66">
        <v>38</v>
      </c>
      <c r="AC397" s="66">
        <v>0</v>
      </c>
      <c r="AD397" s="66">
        <v>0</v>
      </c>
      <c r="AE397" s="66">
        <v>0</v>
      </c>
      <c r="AF397" s="66">
        <v>0</v>
      </c>
      <c r="AG397" s="66">
        <v>0</v>
      </c>
      <c r="AH397" s="66">
        <v>0</v>
      </c>
      <c r="AI397" s="66">
        <v>0</v>
      </c>
      <c r="AJ397" s="66">
        <v>90.453622891484599</v>
      </c>
      <c r="AK397" s="66">
        <v>0.49428209230319498</v>
      </c>
      <c r="AL397" s="66"/>
      <c r="AM397" s="66">
        <v>1572.0780730408301</v>
      </c>
      <c r="AN397" s="66">
        <v>8.5905905630646409</v>
      </c>
      <c r="AO397" s="66"/>
      <c r="AP397" s="70">
        <v>18</v>
      </c>
      <c r="AQ397" s="67">
        <v>8.84</v>
      </c>
      <c r="AR397" s="67">
        <v>79.07604488879619</v>
      </c>
      <c r="AS397" s="67">
        <v>168.09186309068599</v>
      </c>
      <c r="AT397" s="67">
        <v>1</v>
      </c>
      <c r="AU397" s="70">
        <v>9.3384368383714431</v>
      </c>
      <c r="AV397" s="44">
        <f>+AU397*AP397</f>
        <v>168.09186309068599</v>
      </c>
      <c r="AW397" s="44">
        <f>+VLOOKUP(C397,'Etape 1 - surface'!$A$5:$B$58,2,FALSE)</f>
        <v>0</v>
      </c>
      <c r="AX397" s="44">
        <f t="shared" si="45"/>
        <v>0</v>
      </c>
      <c r="AY397" s="44">
        <f>10.8374384236453+(405.147848531042-10.8374384236453)/(1+EXP(-(1.16387919746889*AU397+-2.8965970117006)))</f>
        <v>405.01189223178721</v>
      </c>
      <c r="AZ397" s="63"/>
      <c r="BA397" s="63">
        <f t="shared" si="46"/>
        <v>0</v>
      </c>
      <c r="BB397" s="45"/>
      <c r="BC397" s="65">
        <v>4.4999999999999998E-2</v>
      </c>
      <c r="BD397" s="63">
        <f t="shared" si="42"/>
        <v>-3503.0716309776817</v>
      </c>
    </row>
    <row r="398" spans="1:56" ht="14.45" customHeight="1" x14ac:dyDescent="0.25">
      <c r="Z398"/>
    </row>
    <row r="399" spans="1:56" ht="14.45" customHeight="1" x14ac:dyDescent="0.25">
      <c r="Z399"/>
    </row>
    <row r="400" spans="1:56" ht="14.45" customHeight="1" x14ac:dyDescent="0.25">
      <c r="Z400"/>
    </row>
  </sheetData>
  <autoFilter ref="A11:BD397" xr:uid="{83D19EB1-F1FD-4C5F-8798-E289F02F93B4}">
    <sortState xmlns:xlrd2="http://schemas.microsoft.com/office/spreadsheetml/2017/richdata2" ref="A12:BD397">
      <sortCondition ref="Z11:Z397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46"/>
  <sheetViews>
    <sheetView showGridLines="0" tabSelected="1" zoomScaleNormal="100" workbookViewId="0">
      <selection activeCell="P24" sqref="P24"/>
    </sheetView>
  </sheetViews>
  <sheetFormatPr baseColWidth="10" defaultColWidth="9.140625" defaultRowHeight="15" x14ac:dyDescent="0.25"/>
  <cols>
    <col min="1" max="1" width="3.7109375" customWidth="1"/>
    <col min="2" max="2" width="26.85546875" customWidth="1"/>
    <col min="3" max="3" width="16.85546875" customWidth="1"/>
    <col min="4" max="4" width="11.28515625" customWidth="1"/>
    <col min="5" max="5" width="19.85546875" customWidth="1"/>
    <col min="6" max="6" width="17.7109375" customWidth="1"/>
    <col min="7" max="7" width="12" customWidth="1"/>
    <col min="8" max="8" width="9.7109375" customWidth="1"/>
    <col min="9" max="9" width="14.85546875" customWidth="1"/>
    <col min="10" max="10" width="16.85546875" customWidth="1"/>
    <col min="13" max="13" width="23" customWidth="1"/>
  </cols>
  <sheetData>
    <row r="1" spans="2:9" x14ac:dyDescent="0.25">
      <c r="B1" s="13" t="s">
        <v>22</v>
      </c>
      <c r="C1" s="78"/>
      <c r="D1" s="78"/>
      <c r="E1" s="78"/>
    </row>
    <row r="2" spans="2:9" ht="15.75" thickBot="1" x14ac:dyDescent="0.3">
      <c r="B2" s="14" t="s">
        <v>23</v>
      </c>
      <c r="C2" s="79" t="s">
        <v>288</v>
      </c>
      <c r="D2" s="79"/>
      <c r="E2" s="79"/>
    </row>
    <row r="3" spans="2:9" ht="16.5" thickTop="1" thickBot="1" x14ac:dyDescent="0.3">
      <c r="B3" s="19"/>
      <c r="C3" s="7"/>
      <c r="D3" s="7"/>
      <c r="E3" s="7"/>
    </row>
    <row r="4" spans="2:9" ht="15.75" thickBot="1" x14ac:dyDescent="0.3">
      <c r="B4" s="18" t="s">
        <v>47</v>
      </c>
      <c r="C4" s="85" t="str">
        <f>IF(D10&lt;&gt;"Ok","Projet non additionnel",IF(C17="VAN non calculée","Projet additionnel avec 10% de rabais",IF(C17&gt;0,"Projet non additionnel",IF(H17&lt;&gt;"Oui","projet additionnel avec 5% de rabais","Projet additionnel sans rabais"))))</f>
        <v>Projet additionnel sans rabais</v>
      </c>
      <c r="D4" s="86"/>
      <c r="E4" s="87"/>
    </row>
    <row r="5" spans="2:9" x14ac:dyDescent="0.25">
      <c r="B5" s="19"/>
      <c r="C5" s="7"/>
      <c r="D5" s="7"/>
      <c r="E5" s="7"/>
    </row>
    <row r="6" spans="2:9" x14ac:dyDescent="0.25">
      <c r="B6" s="84" t="s">
        <v>44</v>
      </c>
      <c r="C6" s="84"/>
      <c r="D6" s="84"/>
      <c r="E6" s="84"/>
      <c r="F6" s="84"/>
      <c r="G6" s="84"/>
      <c r="H6" s="84"/>
      <c r="I6" s="84"/>
    </row>
    <row r="7" spans="2:9" x14ac:dyDescent="0.25">
      <c r="B7" s="19"/>
      <c r="C7" s="7"/>
      <c r="D7" s="7"/>
      <c r="E7" s="7"/>
    </row>
    <row r="8" spans="2:9" x14ac:dyDescent="0.25">
      <c r="B8" s="20" t="s">
        <v>45</v>
      </c>
      <c r="C8" s="7"/>
      <c r="D8" s="60">
        <v>0</v>
      </c>
      <c r="E8" s="27" t="s">
        <v>52</v>
      </c>
    </row>
    <row r="9" spans="2:9" ht="15.75" thickBot="1" x14ac:dyDescent="0.3">
      <c r="B9" s="20" t="s">
        <v>93</v>
      </c>
      <c r="C9" s="7"/>
      <c r="D9" s="31">
        <f>+SUM('Etape 2 - calcul VAN'!BB12:BB21)</f>
        <v>-12477</v>
      </c>
      <c r="E9" s="30" t="s">
        <v>53</v>
      </c>
      <c r="F9" s="28">
        <f>+D9/'Etape 1 - surface'!B2</f>
        <v>-3111.4713216957607</v>
      </c>
      <c r="G9" s="29" t="s">
        <v>50</v>
      </c>
    </row>
    <row r="10" spans="2:9" ht="15.75" thickBot="1" x14ac:dyDescent="0.3">
      <c r="B10" s="18" t="s">
        <v>46</v>
      </c>
      <c r="C10" s="21"/>
      <c r="D10" s="26" t="str">
        <f>IFERROR(IF(-D8/D9&lt;50%,"Ok","Projet non additionnel"),"-")</f>
        <v>Ok</v>
      </c>
      <c r="E10" s="7"/>
      <c r="F10" s="23" t="s">
        <v>51</v>
      </c>
      <c r="G10" s="80" t="s">
        <v>94</v>
      </c>
      <c r="H10" s="81"/>
      <c r="I10" s="81"/>
    </row>
    <row r="11" spans="2:9" x14ac:dyDescent="0.25">
      <c r="B11" s="19"/>
      <c r="C11" s="7"/>
      <c r="D11" s="7"/>
      <c r="E11" s="7"/>
      <c r="G11" s="81"/>
      <c r="H11" s="81"/>
      <c r="I11" s="81"/>
    </row>
    <row r="12" spans="2:9" x14ac:dyDescent="0.25">
      <c r="B12" s="19"/>
      <c r="C12" s="7"/>
      <c r="D12" s="7"/>
      <c r="E12" s="7"/>
    </row>
    <row r="13" spans="2:9" x14ac:dyDescent="0.25">
      <c r="B13" s="75" t="s">
        <v>37</v>
      </c>
      <c r="C13" s="76"/>
      <c r="D13" s="76"/>
      <c r="E13" s="76"/>
      <c r="F13" s="76"/>
      <c r="G13" s="76"/>
      <c r="H13" s="76"/>
      <c r="I13" s="77"/>
    </row>
    <row r="14" spans="2:9" ht="15.75" thickBot="1" x14ac:dyDescent="0.3"/>
    <row r="15" spans="2:9" ht="15.75" thickBot="1" x14ac:dyDescent="0.3">
      <c r="B15" s="17" t="s">
        <v>25</v>
      </c>
      <c r="C15" s="22">
        <v>7207.48</v>
      </c>
      <c r="D15" s="38"/>
    </row>
    <row r="16" spans="2:9" ht="15.75" thickBot="1" x14ac:dyDescent="0.3">
      <c r="B16" s="17" t="s">
        <v>26</v>
      </c>
      <c r="C16" s="40">
        <f>G22</f>
        <v>-3503.0716309776817</v>
      </c>
      <c r="D16" s="38"/>
    </row>
    <row r="17" spans="2:10" ht="15.75" thickBot="1" x14ac:dyDescent="0.3">
      <c r="B17" s="18" t="s">
        <v>27</v>
      </c>
      <c r="C17" s="24">
        <f>IF(OR(C15=0,C16=0),"VAN non calculée",C16-C15)</f>
        <v>-10710.551630977681</v>
      </c>
      <c r="F17" t="s">
        <v>41</v>
      </c>
      <c r="H17" s="25" t="s">
        <v>0</v>
      </c>
    </row>
    <row r="19" spans="2:10" x14ac:dyDescent="0.25">
      <c r="B19" s="6"/>
      <c r="C19" s="6"/>
      <c r="D19" s="6"/>
      <c r="E19" s="6"/>
      <c r="F19" s="6"/>
      <c r="G19" s="6"/>
      <c r="H19" s="6"/>
      <c r="I19" s="6"/>
    </row>
    <row r="20" spans="2:10" x14ac:dyDescent="0.25">
      <c r="B20" t="s">
        <v>38</v>
      </c>
      <c r="C20" s="7" t="s">
        <v>36</v>
      </c>
      <c r="D20" s="61">
        <v>0</v>
      </c>
      <c r="E20" s="82" t="s">
        <v>40</v>
      </c>
      <c r="F20" s="83"/>
      <c r="G20" s="80"/>
      <c r="H20" s="81"/>
      <c r="I20" s="81"/>
    </row>
    <row r="21" spans="2:10" ht="15.75" thickBot="1" x14ac:dyDescent="0.3">
      <c r="B21" s="6"/>
      <c r="C21" s="6"/>
      <c r="D21" s="6"/>
      <c r="E21" s="16"/>
      <c r="F21" s="16"/>
      <c r="G21" s="81"/>
      <c r="H21" s="81"/>
      <c r="I21" s="81"/>
    </row>
    <row r="22" spans="2:10" ht="15.75" thickBot="1" x14ac:dyDescent="0.3">
      <c r="B22" s="11" t="s">
        <v>25</v>
      </c>
      <c r="C22" s="12">
        <v>7207.48</v>
      </c>
      <c r="F22" s="11" t="s">
        <v>29</v>
      </c>
      <c r="G22" s="12">
        <f>I25</f>
        <v>-3503.0716309776817</v>
      </c>
      <c r="J22" s="39"/>
    </row>
    <row r="24" spans="2:10" ht="45" x14ac:dyDescent="0.25">
      <c r="F24" s="4" t="s">
        <v>87</v>
      </c>
      <c r="G24" s="3" t="s">
        <v>39</v>
      </c>
      <c r="H24" s="5" t="s">
        <v>24</v>
      </c>
      <c r="I24" s="5" t="s">
        <v>28</v>
      </c>
    </row>
    <row r="25" spans="2:10" x14ac:dyDescent="0.25">
      <c r="B25" t="s">
        <v>31</v>
      </c>
      <c r="C25" s="7" t="s">
        <v>30</v>
      </c>
      <c r="D25" s="8">
        <v>80</v>
      </c>
      <c r="F25" s="8" t="s">
        <v>95</v>
      </c>
      <c r="G25" s="15">
        <f>I25/H25</f>
        <v>-873.58394787473367</v>
      </c>
      <c r="H25" s="41">
        <f>+'Etape 1 - surface'!B2</f>
        <v>4.01</v>
      </c>
      <c r="I25" s="10">
        <f>'Etape 2 - calcul VAN'!E4</f>
        <v>-3503.0716309776817</v>
      </c>
    </row>
    <row r="26" spans="2:10" x14ac:dyDescent="0.25">
      <c r="B26" t="s">
        <v>33</v>
      </c>
      <c r="C26" s="7" t="s">
        <v>32</v>
      </c>
      <c r="D26" s="9">
        <v>4.4999999999999998E-2</v>
      </c>
    </row>
    <row r="27" spans="2:10" x14ac:dyDescent="0.25">
      <c r="B27" t="s">
        <v>83</v>
      </c>
      <c r="C27" s="7" t="s">
        <v>84</v>
      </c>
      <c r="D27">
        <f>80</f>
        <v>80</v>
      </c>
    </row>
    <row r="28" spans="2:10" x14ac:dyDescent="0.25">
      <c r="B28" t="s">
        <v>85</v>
      </c>
      <c r="C28" s="7" t="s">
        <v>86</v>
      </c>
      <c r="D28">
        <v>10</v>
      </c>
    </row>
    <row r="29" spans="2:10" x14ac:dyDescent="0.25">
      <c r="B29" t="s">
        <v>48</v>
      </c>
      <c r="C29" s="7" t="s">
        <v>34</v>
      </c>
      <c r="D29" s="15">
        <f>D27*D28</f>
        <v>800</v>
      </c>
    </row>
    <row r="30" spans="2:10" ht="15" customHeight="1" x14ac:dyDescent="0.25">
      <c r="B30" t="s">
        <v>49</v>
      </c>
      <c r="C30" s="7" t="s">
        <v>35</v>
      </c>
      <c r="D30" s="15">
        <v>0</v>
      </c>
    </row>
    <row r="32" spans="2:10" x14ac:dyDescent="0.25">
      <c r="B32" s="37"/>
      <c r="C32" s="36"/>
      <c r="D32" s="36"/>
    </row>
    <row r="46" spans="2:2" x14ac:dyDescent="0.25">
      <c r="B46" s="6"/>
    </row>
  </sheetData>
  <mergeCells count="8">
    <mergeCell ref="B13:I13"/>
    <mergeCell ref="C1:E1"/>
    <mergeCell ref="C2:E2"/>
    <mergeCell ref="G20:I21"/>
    <mergeCell ref="E20:F20"/>
    <mergeCell ref="B6:I6"/>
    <mergeCell ref="C4:E4"/>
    <mergeCell ref="G10:I11"/>
  </mergeCells>
  <pageMargins left="0.7" right="0.7" top="0.75" bottom="0.75" header="0.3" footer="0.3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B54F07-6932-4B19-BAB4-3B8AEE936FD1}">
          <x14:formula1>
            <xm:f>Référencement!$B$3:$B$4</xm:f>
          </x14:formula1>
          <xm:sqref>H17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88AC-E2BC-4DE9-BDCF-4D87226C853A}">
  <dimension ref="A1:N16"/>
  <sheetViews>
    <sheetView workbookViewId="0">
      <selection activeCell="A7" sqref="A7:M7"/>
    </sheetView>
  </sheetViews>
  <sheetFormatPr baseColWidth="10" defaultRowHeight="15" x14ac:dyDescent="0.25"/>
  <sheetData>
    <row r="1" spans="1:14" x14ac:dyDescent="0.25">
      <c r="A1" s="6" t="s">
        <v>153</v>
      </c>
      <c r="B1" s="6" t="s">
        <v>154</v>
      </c>
      <c r="C1" s="6" t="s">
        <v>155</v>
      </c>
      <c r="D1" s="6" t="s">
        <v>156</v>
      </c>
      <c r="E1" s="6" t="s">
        <v>157</v>
      </c>
      <c r="F1" s="6" t="s">
        <v>158</v>
      </c>
      <c r="H1" s="6" t="s">
        <v>171</v>
      </c>
      <c r="K1" t="s">
        <v>172</v>
      </c>
    </row>
    <row r="2" spans="1:14" x14ac:dyDescent="0.25">
      <c r="A2" t="s">
        <v>159</v>
      </c>
      <c r="B2" t="s">
        <v>160</v>
      </c>
      <c r="C2">
        <v>405.14784853104197</v>
      </c>
      <c r="D2">
        <v>10.837438423645301</v>
      </c>
      <c r="E2">
        <v>1.16387919746889</v>
      </c>
      <c r="F2">
        <v>-2.8965970117005999</v>
      </c>
      <c r="H2">
        <v>0</v>
      </c>
      <c r="K2" s="46">
        <f>+$D$2+($C$2-$D$2)/(1+EXP(-($E$2*H2+$F$2)))</f>
        <v>31.468564079526203</v>
      </c>
      <c r="M2" s="46">
        <f>10.8374384236453+(405.147848531042-10.8374384236453)/(1+EXP(-(1.16387919746889*J2+-2.8965970117006)))</f>
        <v>31.468564079526203</v>
      </c>
      <c r="N2" s="46">
        <f>+M2-K2</f>
        <v>0</v>
      </c>
    </row>
    <row r="3" spans="1:14" x14ac:dyDescent="0.25">
      <c r="A3" t="s">
        <v>97</v>
      </c>
      <c r="B3" t="s">
        <v>160</v>
      </c>
      <c r="C3">
        <v>70.704224902470301</v>
      </c>
      <c r="D3">
        <v>17.058316746382999</v>
      </c>
      <c r="E3">
        <v>0.37858323447956799</v>
      </c>
      <c r="F3">
        <v>-0.73675928557405002</v>
      </c>
      <c r="H3">
        <v>0</v>
      </c>
      <c r="K3" s="46">
        <f>+$D$3+($C$3-$D$3)/(1+EXP(-($E$3*H3+$F$3)))</f>
        <v>34.424205603825804</v>
      </c>
      <c r="M3" s="46">
        <f>17.058316746383+(70.7042249024703-17.058316746383)/(1+EXP(-(0.378583234479568*J3+-0.73675928557405)))</f>
        <v>34.424205603825804</v>
      </c>
      <c r="N3" s="46">
        <f t="shared" ref="N3:N15" si="0">+M3-K3</f>
        <v>0</v>
      </c>
    </row>
    <row r="4" spans="1:14" x14ac:dyDescent="0.25">
      <c r="A4" t="s">
        <v>118</v>
      </c>
      <c r="B4" t="s">
        <v>160</v>
      </c>
      <c r="C4">
        <v>63.966942148760303</v>
      </c>
      <c r="D4">
        <v>5.9476406705017002</v>
      </c>
      <c r="E4">
        <v>0.30242857479235702</v>
      </c>
      <c r="F4">
        <v>-0.378232364909735</v>
      </c>
      <c r="H4">
        <v>0</v>
      </c>
      <c r="K4" s="46">
        <f>+$D$4+($C$4-$D$4)/(1+EXP(-($E$4*H4+$F$4)))</f>
        <v>29.535579138554176</v>
      </c>
      <c r="M4" s="46">
        <f>5.9476406705017+(63.9669421487603-5.9476406705017)/(1+EXP(-(0.302428574792357*J4+-0.378232364909735)))</f>
        <v>29.535579138554176</v>
      </c>
      <c r="N4" s="46">
        <f t="shared" si="0"/>
        <v>0</v>
      </c>
    </row>
    <row r="5" spans="1:14" x14ac:dyDescent="0.25">
      <c r="A5" t="s">
        <v>161</v>
      </c>
      <c r="B5" t="s">
        <v>160</v>
      </c>
      <c r="C5">
        <v>268.69654879602109</v>
      </c>
      <c r="D5">
        <v>6.3345135008318003</v>
      </c>
      <c r="E5">
        <v>2.1304805260531898</v>
      </c>
      <c r="F5">
        <v>-3.7608164974385501</v>
      </c>
      <c r="H5">
        <v>0</v>
      </c>
      <c r="K5" s="46">
        <f>+$D$5+($C$5-$D$5)/(1+EXP(-($E$5*H5+$F$5)))</f>
        <v>12.299522881362416</v>
      </c>
      <c r="M5" s="46">
        <f>6.3345135008318+(268.696548796021-6.3345135008318)/(1+EXP(-(2.13048052605319*J5+-3.76081649743855)))</f>
        <v>12.299522881362414</v>
      </c>
      <c r="N5" s="46">
        <f t="shared" si="0"/>
        <v>0</v>
      </c>
    </row>
    <row r="6" spans="1:14" x14ac:dyDescent="0.25">
      <c r="A6" t="s">
        <v>162</v>
      </c>
      <c r="B6" t="s">
        <v>160</v>
      </c>
      <c r="C6">
        <v>84.544305028693699</v>
      </c>
      <c r="D6">
        <v>8.1962123564110492</v>
      </c>
      <c r="E6">
        <v>1.6858798264078201</v>
      </c>
      <c r="F6">
        <v>-2.3037922804131101</v>
      </c>
      <c r="H6">
        <v>0</v>
      </c>
      <c r="K6" s="46">
        <f>+$D$6+($C$6-$D$6)/(1+EXP(-($E$6*H6+$F$6)))</f>
        <v>15.129334752083064</v>
      </c>
      <c r="M6" s="46">
        <f>8.19621235641105+(84.5443050286937-8.19621235641105)/(1+EXP(-(1.68587982640782*J6+-2.30379228041311)))</f>
        <v>15.129334752083064</v>
      </c>
      <c r="N6" s="46">
        <f t="shared" si="0"/>
        <v>0</v>
      </c>
    </row>
    <row r="7" spans="1:14" x14ac:dyDescent="0.25">
      <c r="A7" t="s">
        <v>126</v>
      </c>
      <c r="B7" t="s">
        <v>160</v>
      </c>
      <c r="C7">
        <v>78.439425051334695</v>
      </c>
      <c r="D7">
        <v>5.9348807315327399</v>
      </c>
      <c r="E7">
        <v>1.03516193614659</v>
      </c>
      <c r="F7">
        <v>-2.09091784316379</v>
      </c>
      <c r="H7">
        <v>0</v>
      </c>
      <c r="K7" s="46">
        <f>+$D$7+($C$7-$D$7)/(1+EXP(-($E$7*H7+$F$7)))</f>
        <v>13.909126114001127</v>
      </c>
      <c r="M7" s="46">
        <f>5.93488073153274+(78.4394250513347-5.93488073153274)/(1+EXP(-(1.03516193614659*J7+-2.09091784316379)))</f>
        <v>13.909126114001127</v>
      </c>
      <c r="N7" s="46">
        <f t="shared" si="0"/>
        <v>0</v>
      </c>
    </row>
    <row r="8" spans="1:14" x14ac:dyDescent="0.25">
      <c r="A8" t="s">
        <v>163</v>
      </c>
      <c r="B8" t="s">
        <v>160</v>
      </c>
      <c r="C8">
        <v>52.588398731357003</v>
      </c>
      <c r="D8">
        <v>14.966500601271299</v>
      </c>
      <c r="E8">
        <v>0.92790741295743895</v>
      </c>
      <c r="F8">
        <v>-0.60504453272285297</v>
      </c>
      <c r="H8">
        <v>0</v>
      </c>
      <c r="K8" s="46">
        <f>+$D$8+($C$8-$D$8)/(1+EXP(-($E$8*H8+$F$8)))</f>
        <v>28.25419513014387</v>
      </c>
      <c r="M8" s="46">
        <f>14.9665006012713+(52.588398731357-14.9665006012713)/(1+EXP(-(0.927907412957439*J8+-0.605044532722853)))</f>
        <v>28.25419513014387</v>
      </c>
      <c r="N8" s="46">
        <f t="shared" si="0"/>
        <v>0</v>
      </c>
    </row>
    <row r="9" spans="1:14" x14ac:dyDescent="0.25">
      <c r="A9" t="s">
        <v>164</v>
      </c>
      <c r="B9" t="s">
        <v>160</v>
      </c>
      <c r="C9">
        <v>37.111235180137299</v>
      </c>
      <c r="D9">
        <v>10.0046474463505</v>
      </c>
      <c r="E9">
        <v>0.58118094978207502</v>
      </c>
      <c r="F9">
        <v>-0.95544761458499405</v>
      </c>
      <c r="H9">
        <v>0</v>
      </c>
      <c r="K9" s="46">
        <f>+$D$9+($C$9-$D$9)/(1+EXP(-($E$9*H9+$F$9)))</f>
        <v>17.534602268241812</v>
      </c>
      <c r="M9" s="46">
        <f>10.0046474463505+(37.1112351801373-10.0046474463505)/(1+EXP(-(0.581180949782075*J9+-0.955447614584994)))</f>
        <v>17.534602268241812</v>
      </c>
      <c r="N9" s="46">
        <f t="shared" si="0"/>
        <v>0</v>
      </c>
    </row>
    <row r="10" spans="1:14" x14ac:dyDescent="0.25">
      <c r="A10" t="s">
        <v>165</v>
      </c>
      <c r="B10" t="s">
        <v>160</v>
      </c>
      <c r="C10">
        <v>40.060173558445399</v>
      </c>
      <c r="D10">
        <v>5.9943801553010898</v>
      </c>
      <c r="E10">
        <v>1.1424335075746099</v>
      </c>
      <c r="F10">
        <v>-1.1731265519765299</v>
      </c>
      <c r="H10">
        <v>0</v>
      </c>
      <c r="K10" s="46">
        <f>+$D$10+($C$10-$D$10)/(1+EXP(-($E$10*H10+$F$10)))</f>
        <v>14.043797050654526</v>
      </c>
      <c r="M10" s="46">
        <f>5.99438015530109+(40.0601735584454-5.99438015530109)/(1+EXP(-(1.14243350757461*J10+-1.17312655197653)))</f>
        <v>14.043797050654526</v>
      </c>
      <c r="N10" s="46">
        <f t="shared" si="0"/>
        <v>0</v>
      </c>
    </row>
    <row r="11" spans="1:14" x14ac:dyDescent="0.25">
      <c r="A11" t="s">
        <v>166</v>
      </c>
      <c r="B11" t="s">
        <v>160</v>
      </c>
      <c r="C11">
        <v>56.709367774482097</v>
      </c>
      <c r="D11">
        <v>13.2156630080095</v>
      </c>
      <c r="E11">
        <v>-0.28261606180645699</v>
      </c>
      <c r="F11">
        <v>-3.4092519844585799E-2</v>
      </c>
      <c r="H11">
        <v>0</v>
      </c>
      <c r="K11" s="46">
        <f>+$D$11+($C$11-$D$11)/(1+EXP(-($E$11*H11+$F$11)))</f>
        <v>34.591848794479937</v>
      </c>
      <c r="M11" s="46">
        <f>13.2156630080095+(56.7093677744821-13.2156630080095)/(1+EXP(-(0.282616061806457*J11+-0.0340925198445858)))</f>
        <v>34.591848794479937</v>
      </c>
      <c r="N11" s="46">
        <f t="shared" si="0"/>
        <v>0</v>
      </c>
    </row>
    <row r="12" spans="1:14" x14ac:dyDescent="0.25">
      <c r="A12" t="s">
        <v>167</v>
      </c>
      <c r="B12" t="s">
        <v>160</v>
      </c>
      <c r="C12">
        <v>47.783030189191201</v>
      </c>
      <c r="D12">
        <v>12.7758097165992</v>
      </c>
      <c r="E12">
        <v>0.286700644363722</v>
      </c>
      <c r="F12">
        <v>-0.30984165281434201</v>
      </c>
      <c r="H12">
        <v>0</v>
      </c>
      <c r="K12" s="46">
        <f>+$D$12+($C$12-$D$12)/(1+EXP(-($E$12*H12+$F$12)))</f>
        <v>27.589233737213718</v>
      </c>
      <c r="M12" s="46">
        <f>12.7758097165992+(47.7830301891912-12.7758097165992)/(1+EXP(-(0.286700644363722*J12+-0.309841652814342)))</f>
        <v>27.589233737213718</v>
      </c>
      <c r="N12" s="46">
        <f t="shared" si="0"/>
        <v>0</v>
      </c>
    </row>
    <row r="13" spans="1:14" x14ac:dyDescent="0.25">
      <c r="A13" t="s">
        <v>168</v>
      </c>
      <c r="B13" t="s">
        <v>160</v>
      </c>
      <c r="C13">
        <v>30.156092156287698</v>
      </c>
      <c r="D13">
        <v>7.5794944395805004</v>
      </c>
      <c r="E13">
        <v>0.87720207788952498</v>
      </c>
      <c r="F13">
        <v>-0.558505426161784</v>
      </c>
      <c r="H13">
        <v>0</v>
      </c>
      <c r="K13" s="46">
        <f>+$D$13+($C$13-$D$13)/(1+EXP(-($E$13*H13+$F$13)))</f>
        <v>15.794968118155616</v>
      </c>
      <c r="M13" s="46">
        <f>7.5794944395805+(30.1560921562877-7.5794944395805)/(1+EXP(-(0.877202077889525*J13+-0.558505426161784)))</f>
        <v>15.794968118155616</v>
      </c>
      <c r="N13" s="46">
        <f t="shared" si="0"/>
        <v>0</v>
      </c>
    </row>
    <row r="14" spans="1:14" x14ac:dyDescent="0.25">
      <c r="A14" t="s">
        <v>169</v>
      </c>
      <c r="B14" t="s">
        <v>160</v>
      </c>
      <c r="C14">
        <v>56.043569195088097</v>
      </c>
      <c r="D14">
        <v>12.60067150914</v>
      </c>
      <c r="E14">
        <v>0.12255140894824</v>
      </c>
      <c r="F14">
        <v>-0.18958347271504</v>
      </c>
      <c r="H14">
        <v>0</v>
      </c>
      <c r="K14" s="46">
        <f>+$D$14+($C$14-$D$14)/(1+EXP(-($E$14*H14+$F$14)))</f>
        <v>32.269251486107059</v>
      </c>
      <c r="M14" s="46">
        <f>12.60067150914+(56.0435691950881-12.60067150914)/(1+EXP(-(0.12255140894824*J14+-0.18958347271504)))</f>
        <v>32.269251486107059</v>
      </c>
      <c r="N14" s="46">
        <f t="shared" si="0"/>
        <v>0</v>
      </c>
    </row>
    <row r="15" spans="1:14" x14ac:dyDescent="0.25">
      <c r="A15" t="s">
        <v>170</v>
      </c>
      <c r="B15" t="s">
        <v>160</v>
      </c>
      <c r="C15">
        <v>19.129262590306901</v>
      </c>
      <c r="D15">
        <v>7.2216338430415901</v>
      </c>
      <c r="E15">
        <v>5.9589601869915096</v>
      </c>
      <c r="F15">
        <v>-1.18617128874724</v>
      </c>
      <c r="H15">
        <v>0</v>
      </c>
      <c r="K15" s="46">
        <f>+$D$15+($C$15-$D$15)/(1+EXP(-($E$15*H15+$F$15)))</f>
        <v>10.007356869312375</v>
      </c>
      <c r="M15" s="46">
        <f>7.22163384304159+(19.1292625903069-7.22163384304159)/(1+EXP(-(5.95896018699151*J15+-1.18617128874724)))</f>
        <v>10.007356869312375</v>
      </c>
      <c r="N15" s="46">
        <f t="shared" si="0"/>
        <v>0</v>
      </c>
    </row>
    <row r="16" spans="1:14" x14ac:dyDescent="0.25">
      <c r="A16" t="s">
        <v>246</v>
      </c>
      <c r="B16" t="s">
        <v>160</v>
      </c>
      <c r="C16">
        <v>86.135208047095162</v>
      </c>
      <c r="D16">
        <v>0</v>
      </c>
      <c r="E16">
        <v>0.50064483314353248</v>
      </c>
      <c r="F16">
        <v>-0.62042461416979111</v>
      </c>
      <c r="H16">
        <v>0</v>
      </c>
      <c r="K16" s="46">
        <f>+$D$16+($C$16-$D$16)/(1+EXP(-($E$16*H16+$F$16)))</f>
        <v>30.120180382706295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568F-0F22-49ED-A1AF-5055BD4526B8}">
  <dimension ref="A1:I41"/>
  <sheetViews>
    <sheetView workbookViewId="0">
      <selection activeCell="A38" sqref="A38"/>
    </sheetView>
  </sheetViews>
  <sheetFormatPr baseColWidth="10" defaultRowHeight="15" x14ac:dyDescent="0.25"/>
  <sheetData>
    <row r="1" spans="1:9" x14ac:dyDescent="0.25">
      <c r="A1" s="1" t="s">
        <v>207</v>
      </c>
      <c r="B1" s="1" t="s">
        <v>208</v>
      </c>
      <c r="C1" s="53" t="s">
        <v>209</v>
      </c>
      <c r="E1" s="55" t="s">
        <v>225</v>
      </c>
      <c r="F1" s="55" t="s">
        <v>20</v>
      </c>
      <c r="G1" s="55" t="s">
        <v>226</v>
      </c>
      <c r="H1" s="55" t="s">
        <v>227</v>
      </c>
      <c r="I1" s="55" t="s">
        <v>228</v>
      </c>
    </row>
    <row r="2" spans="1:9" x14ac:dyDescent="0.25">
      <c r="A2" s="1" t="s">
        <v>60</v>
      </c>
      <c r="B2" s="1" t="s">
        <v>150</v>
      </c>
      <c r="C2" s="53" t="s">
        <v>210</v>
      </c>
      <c r="E2" s="1" t="s">
        <v>208</v>
      </c>
      <c r="F2" s="53" t="s">
        <v>209</v>
      </c>
      <c r="G2" s="53" t="s">
        <v>62</v>
      </c>
      <c r="H2" s="53" t="s">
        <v>61</v>
      </c>
      <c r="I2" s="53" t="s">
        <v>208</v>
      </c>
    </row>
    <row r="3" spans="1:9" x14ac:dyDescent="0.25">
      <c r="A3" s="1" t="s">
        <v>60</v>
      </c>
      <c r="B3" s="1" t="s">
        <v>65</v>
      </c>
      <c r="C3" s="53" t="s">
        <v>210</v>
      </c>
      <c r="E3" s="1" t="s">
        <v>150</v>
      </c>
      <c r="F3" s="53" t="s">
        <v>210</v>
      </c>
      <c r="G3" s="53" t="s">
        <v>100</v>
      </c>
      <c r="H3" s="53" t="s">
        <v>61</v>
      </c>
      <c r="I3" s="53" t="s">
        <v>229</v>
      </c>
    </row>
    <row r="4" spans="1:9" x14ac:dyDescent="0.25">
      <c r="A4" s="1" t="s">
        <v>60</v>
      </c>
      <c r="B4" s="1" t="s">
        <v>150</v>
      </c>
      <c r="C4" s="53" t="s">
        <v>210</v>
      </c>
      <c r="E4" s="1" t="s">
        <v>65</v>
      </c>
      <c r="F4" s="53" t="s">
        <v>210</v>
      </c>
      <c r="G4" s="53" t="s">
        <v>100</v>
      </c>
      <c r="H4" s="53" t="s">
        <v>66</v>
      </c>
      <c r="I4" s="53" t="s">
        <v>230</v>
      </c>
    </row>
    <row r="5" spans="1:9" x14ac:dyDescent="0.25">
      <c r="A5" s="1" t="s">
        <v>60</v>
      </c>
      <c r="B5" s="1" t="s">
        <v>65</v>
      </c>
      <c r="C5" s="53" t="s">
        <v>210</v>
      </c>
      <c r="E5" s="1" t="s">
        <v>150</v>
      </c>
      <c r="F5" s="53" t="s">
        <v>210</v>
      </c>
      <c r="G5" s="53" t="s">
        <v>62</v>
      </c>
      <c r="H5" s="53" t="s">
        <v>61</v>
      </c>
      <c r="I5" s="53" t="s">
        <v>229</v>
      </c>
    </row>
    <row r="6" spans="1:9" x14ac:dyDescent="0.25">
      <c r="A6" s="1" t="s">
        <v>60</v>
      </c>
      <c r="B6" s="1" t="s">
        <v>150</v>
      </c>
      <c r="C6" s="53" t="s">
        <v>210</v>
      </c>
      <c r="E6" s="1" t="s">
        <v>65</v>
      </c>
      <c r="F6" s="53" t="s">
        <v>210</v>
      </c>
      <c r="G6" s="53" t="s">
        <v>62</v>
      </c>
      <c r="H6" s="53" t="s">
        <v>66</v>
      </c>
      <c r="I6" s="53" t="s">
        <v>230</v>
      </c>
    </row>
    <row r="7" spans="1:9" x14ac:dyDescent="0.25">
      <c r="A7" s="1" t="s">
        <v>145</v>
      </c>
      <c r="B7" s="1" t="s">
        <v>65</v>
      </c>
      <c r="C7" s="53" t="s">
        <v>211</v>
      </c>
      <c r="E7" s="1" t="s">
        <v>150</v>
      </c>
      <c r="F7" s="53" t="s">
        <v>210</v>
      </c>
      <c r="G7" s="53" t="s">
        <v>114</v>
      </c>
      <c r="H7" s="53" t="s">
        <v>61</v>
      </c>
      <c r="I7" s="53" t="s">
        <v>231</v>
      </c>
    </row>
    <row r="8" spans="1:9" x14ac:dyDescent="0.25">
      <c r="A8" s="1" t="s">
        <v>145</v>
      </c>
      <c r="B8" s="1" t="s">
        <v>65</v>
      </c>
      <c r="C8" s="53" t="s">
        <v>211</v>
      </c>
      <c r="E8" s="1" t="s">
        <v>65</v>
      </c>
      <c r="F8" s="53" t="s">
        <v>211</v>
      </c>
      <c r="G8" s="53" t="s">
        <v>100</v>
      </c>
      <c r="H8" s="53" t="s">
        <v>66</v>
      </c>
      <c r="I8" s="53" t="s">
        <v>230</v>
      </c>
    </row>
    <row r="9" spans="1:9" x14ac:dyDescent="0.25">
      <c r="A9" s="1" t="s">
        <v>97</v>
      </c>
      <c r="B9" s="1" t="s">
        <v>98</v>
      </c>
      <c r="C9" s="53" t="s">
        <v>212</v>
      </c>
      <c r="E9" s="1" t="s">
        <v>65</v>
      </c>
      <c r="F9" s="53" t="s">
        <v>211</v>
      </c>
      <c r="G9" s="53" t="s">
        <v>62</v>
      </c>
      <c r="H9" s="53" t="s">
        <v>66</v>
      </c>
      <c r="I9" s="53" t="s">
        <v>230</v>
      </c>
    </row>
    <row r="10" spans="1:9" x14ac:dyDescent="0.25">
      <c r="A10" s="1" t="s">
        <v>97</v>
      </c>
      <c r="B10" s="1" t="s">
        <v>98</v>
      </c>
      <c r="C10" s="53" t="s">
        <v>212</v>
      </c>
      <c r="E10" s="1" t="s">
        <v>98</v>
      </c>
      <c r="F10" s="53" t="s">
        <v>212</v>
      </c>
      <c r="G10" s="53" t="s">
        <v>100</v>
      </c>
      <c r="H10" s="53" t="s">
        <v>99</v>
      </c>
      <c r="I10" s="53" t="s">
        <v>98</v>
      </c>
    </row>
    <row r="11" spans="1:9" x14ac:dyDescent="0.25">
      <c r="A11" s="1" t="s">
        <v>97</v>
      </c>
      <c r="B11" s="1" t="s">
        <v>98</v>
      </c>
      <c r="C11" s="53" t="s">
        <v>212</v>
      </c>
      <c r="E11" s="1" t="s">
        <v>98</v>
      </c>
      <c r="F11" s="53" t="s">
        <v>212</v>
      </c>
      <c r="G11" s="53" t="s">
        <v>62</v>
      </c>
      <c r="H11" s="53" t="s">
        <v>99</v>
      </c>
      <c r="I11" s="53" t="s">
        <v>98</v>
      </c>
    </row>
    <row r="12" spans="1:9" x14ac:dyDescent="0.25">
      <c r="A12" s="1" t="s">
        <v>118</v>
      </c>
      <c r="B12" s="1" t="s">
        <v>119</v>
      </c>
      <c r="C12" s="53" t="s">
        <v>213</v>
      </c>
      <c r="E12" s="1" t="s">
        <v>98</v>
      </c>
      <c r="F12" s="53" t="s">
        <v>212</v>
      </c>
      <c r="G12" s="53" t="s">
        <v>114</v>
      </c>
      <c r="H12" s="53" t="s">
        <v>113</v>
      </c>
      <c r="I12" s="53" t="s">
        <v>98</v>
      </c>
    </row>
    <row r="13" spans="1:9" x14ac:dyDescent="0.25">
      <c r="A13" s="1" t="s">
        <v>118</v>
      </c>
      <c r="B13" s="1" t="s">
        <v>119</v>
      </c>
      <c r="C13" s="53" t="s">
        <v>213</v>
      </c>
      <c r="E13" s="1" t="s">
        <v>119</v>
      </c>
      <c r="F13" s="53" t="s">
        <v>213</v>
      </c>
      <c r="G13" s="53" t="s">
        <v>232</v>
      </c>
      <c r="H13" s="53" t="s">
        <v>120</v>
      </c>
      <c r="I13" s="53" t="s">
        <v>233</v>
      </c>
    </row>
    <row r="14" spans="1:9" x14ac:dyDescent="0.25">
      <c r="A14" s="1" t="s">
        <v>126</v>
      </c>
      <c r="B14" s="1" t="s">
        <v>127</v>
      </c>
      <c r="C14" s="53" t="s">
        <v>214</v>
      </c>
      <c r="E14" s="1" t="s">
        <v>119</v>
      </c>
      <c r="F14" s="53" t="s">
        <v>213</v>
      </c>
      <c r="G14" s="53" t="s">
        <v>234</v>
      </c>
      <c r="H14" s="53" t="s">
        <v>120</v>
      </c>
      <c r="I14" s="53" t="s">
        <v>233</v>
      </c>
    </row>
    <row r="15" spans="1:9" x14ac:dyDescent="0.25">
      <c r="A15" s="1" t="s">
        <v>126</v>
      </c>
      <c r="B15" s="1" t="s">
        <v>127</v>
      </c>
      <c r="C15" s="53" t="s">
        <v>214</v>
      </c>
      <c r="E15" s="1" t="s">
        <v>127</v>
      </c>
      <c r="F15" s="53" t="s">
        <v>214</v>
      </c>
      <c r="G15" s="53" t="s">
        <v>100</v>
      </c>
      <c r="H15" s="53" t="s">
        <v>113</v>
      </c>
      <c r="I15" s="53" t="s">
        <v>235</v>
      </c>
    </row>
    <row r="16" spans="1:9" x14ac:dyDescent="0.25">
      <c r="A16" s="1" t="s">
        <v>146</v>
      </c>
      <c r="B16" s="1" t="s">
        <v>215</v>
      </c>
      <c r="C16" s="53" t="s">
        <v>216</v>
      </c>
      <c r="E16" s="1" t="s">
        <v>127</v>
      </c>
      <c r="F16" s="53" t="s">
        <v>214</v>
      </c>
      <c r="G16" s="53" t="s">
        <v>62</v>
      </c>
      <c r="H16" s="53" t="s">
        <v>113</v>
      </c>
      <c r="I16" s="53" t="s">
        <v>235</v>
      </c>
    </row>
    <row r="17" spans="1:9" x14ac:dyDescent="0.25">
      <c r="A17" s="49" t="s">
        <v>146</v>
      </c>
      <c r="B17" s="49" t="s">
        <v>147</v>
      </c>
      <c r="C17" s="54" t="s">
        <v>216</v>
      </c>
      <c r="E17" s="1" t="s">
        <v>215</v>
      </c>
      <c r="F17" s="53" t="s">
        <v>216</v>
      </c>
      <c r="G17" s="53" t="s">
        <v>100</v>
      </c>
      <c r="H17" s="53" t="s">
        <v>61</v>
      </c>
      <c r="I17" s="53" t="s">
        <v>215</v>
      </c>
    </row>
    <row r="18" spans="1:9" x14ac:dyDescent="0.25">
      <c r="A18" s="49" t="s">
        <v>146</v>
      </c>
      <c r="B18" s="49" t="s">
        <v>147</v>
      </c>
      <c r="C18" s="54" t="s">
        <v>216</v>
      </c>
      <c r="E18" s="49" t="s">
        <v>147</v>
      </c>
      <c r="F18" s="54" t="s">
        <v>216</v>
      </c>
      <c r="G18" s="54" t="s">
        <v>100</v>
      </c>
      <c r="H18" s="54" t="s">
        <v>61</v>
      </c>
      <c r="I18" s="54" t="s">
        <v>216</v>
      </c>
    </row>
    <row r="19" spans="1:9" x14ac:dyDescent="0.25">
      <c r="A19" s="1" t="s">
        <v>146</v>
      </c>
      <c r="B19" s="1" t="s">
        <v>147</v>
      </c>
      <c r="C19" s="53" t="s">
        <v>216</v>
      </c>
      <c r="E19" s="49" t="s">
        <v>147</v>
      </c>
      <c r="F19" s="54" t="s">
        <v>216</v>
      </c>
      <c r="G19" s="54" t="s">
        <v>100</v>
      </c>
      <c r="H19" s="54" t="s">
        <v>66</v>
      </c>
      <c r="I19" s="54" t="s">
        <v>216</v>
      </c>
    </row>
    <row r="20" spans="1:9" x14ac:dyDescent="0.25">
      <c r="A20" s="49" t="s">
        <v>88</v>
      </c>
      <c r="B20" s="49" t="s">
        <v>89</v>
      </c>
      <c r="C20" s="54" t="s">
        <v>217</v>
      </c>
      <c r="E20" s="1" t="s">
        <v>147</v>
      </c>
      <c r="F20" s="53" t="s">
        <v>216</v>
      </c>
      <c r="G20" s="53" t="s">
        <v>62</v>
      </c>
      <c r="H20" s="53" t="s">
        <v>61</v>
      </c>
      <c r="I20" s="53" t="s">
        <v>216</v>
      </c>
    </row>
    <row r="21" spans="1:9" x14ac:dyDescent="0.25">
      <c r="A21" s="1" t="s">
        <v>88</v>
      </c>
      <c r="B21" s="1" t="s">
        <v>89</v>
      </c>
      <c r="C21" s="53" t="s">
        <v>217</v>
      </c>
      <c r="E21" s="49" t="s">
        <v>89</v>
      </c>
      <c r="F21" s="54" t="s">
        <v>217</v>
      </c>
      <c r="G21" s="54" t="s">
        <v>100</v>
      </c>
      <c r="H21" s="54" t="s">
        <v>61</v>
      </c>
      <c r="I21" s="54" t="s">
        <v>236</v>
      </c>
    </row>
    <row r="22" spans="1:9" x14ac:dyDescent="0.25">
      <c r="A22" s="1" t="s">
        <v>124</v>
      </c>
      <c r="B22" s="1" t="s">
        <v>89</v>
      </c>
      <c r="C22" s="53" t="s">
        <v>218</v>
      </c>
      <c r="E22" s="1" t="s">
        <v>89</v>
      </c>
      <c r="F22" s="53" t="s">
        <v>217</v>
      </c>
      <c r="G22" s="53" t="s">
        <v>62</v>
      </c>
      <c r="H22" s="53" t="s">
        <v>61</v>
      </c>
      <c r="I22" s="53" t="s">
        <v>236</v>
      </c>
    </row>
    <row r="23" spans="1:9" x14ac:dyDescent="0.25">
      <c r="A23" s="1" t="s">
        <v>124</v>
      </c>
      <c r="B23" s="1" t="s">
        <v>89</v>
      </c>
      <c r="C23" s="53" t="s">
        <v>218</v>
      </c>
      <c r="E23" s="1" t="s">
        <v>89</v>
      </c>
      <c r="F23" s="53" t="s">
        <v>218</v>
      </c>
      <c r="G23" s="53" t="s">
        <v>100</v>
      </c>
      <c r="H23" s="53" t="s">
        <v>61</v>
      </c>
      <c r="I23" s="53" t="s">
        <v>236</v>
      </c>
    </row>
    <row r="24" spans="1:9" x14ac:dyDescent="0.25">
      <c r="A24" s="1" t="s">
        <v>124</v>
      </c>
      <c r="B24" s="1" t="s">
        <v>219</v>
      </c>
      <c r="C24" s="53" t="s">
        <v>218</v>
      </c>
      <c r="E24" s="1" t="s">
        <v>89</v>
      </c>
      <c r="F24" s="53" t="s">
        <v>218</v>
      </c>
      <c r="G24" s="53" t="s">
        <v>62</v>
      </c>
      <c r="H24" s="53" t="s">
        <v>61</v>
      </c>
      <c r="I24" s="53" t="s">
        <v>236</v>
      </c>
    </row>
    <row r="25" spans="1:9" x14ac:dyDescent="0.25">
      <c r="A25" s="1" t="s">
        <v>131</v>
      </c>
      <c r="B25" s="1" t="s">
        <v>132</v>
      </c>
      <c r="C25" s="53" t="s">
        <v>220</v>
      </c>
      <c r="E25" s="1" t="s">
        <v>219</v>
      </c>
      <c r="F25" s="53" t="s">
        <v>218</v>
      </c>
      <c r="G25" s="53" t="s">
        <v>114</v>
      </c>
      <c r="H25" s="53" t="s">
        <v>61</v>
      </c>
      <c r="I25" s="53" t="s">
        <v>237</v>
      </c>
    </row>
    <row r="26" spans="1:9" x14ac:dyDescent="0.25">
      <c r="A26" s="1" t="s">
        <v>131</v>
      </c>
      <c r="B26" s="1" t="s">
        <v>132</v>
      </c>
      <c r="C26" s="53" t="s">
        <v>220</v>
      </c>
      <c r="E26" s="1" t="s">
        <v>132</v>
      </c>
      <c r="F26" s="53" t="s">
        <v>220</v>
      </c>
      <c r="G26" s="53" t="s">
        <v>100</v>
      </c>
      <c r="H26" s="53" t="s">
        <v>133</v>
      </c>
      <c r="I26" s="53" t="s">
        <v>238</v>
      </c>
    </row>
    <row r="27" spans="1:9" x14ac:dyDescent="0.25">
      <c r="A27" s="1" t="s">
        <v>106</v>
      </c>
      <c r="B27" s="1" t="s">
        <v>89</v>
      </c>
      <c r="C27" s="53" t="s">
        <v>221</v>
      </c>
      <c r="E27" s="1" t="s">
        <v>132</v>
      </c>
      <c r="F27" s="53" t="s">
        <v>220</v>
      </c>
      <c r="G27" s="53" t="s">
        <v>62</v>
      </c>
      <c r="H27" s="53" t="s">
        <v>136</v>
      </c>
      <c r="I27" s="53" t="s">
        <v>238</v>
      </c>
    </row>
    <row r="28" spans="1:9" x14ac:dyDescent="0.25">
      <c r="A28" s="1" t="s">
        <v>106</v>
      </c>
      <c r="B28" s="1" t="s">
        <v>89</v>
      </c>
      <c r="C28" s="53" t="s">
        <v>221</v>
      </c>
      <c r="E28" s="1" t="s">
        <v>89</v>
      </c>
      <c r="F28" s="53" t="s">
        <v>221</v>
      </c>
      <c r="G28" s="53" t="s">
        <v>100</v>
      </c>
      <c r="H28" s="53" t="s">
        <v>115</v>
      </c>
      <c r="I28" s="53" t="s">
        <v>236</v>
      </c>
    </row>
    <row r="29" spans="1:9" x14ac:dyDescent="0.25">
      <c r="A29" s="1" t="s">
        <v>106</v>
      </c>
      <c r="B29" s="1" t="s">
        <v>89</v>
      </c>
      <c r="C29" s="53" t="s">
        <v>221</v>
      </c>
      <c r="E29" s="1" t="s">
        <v>89</v>
      </c>
      <c r="F29" s="53" t="s">
        <v>221</v>
      </c>
      <c r="G29" s="53" t="s">
        <v>62</v>
      </c>
      <c r="H29" s="53" t="s">
        <v>107</v>
      </c>
      <c r="I29" s="53" t="s">
        <v>236</v>
      </c>
    </row>
    <row r="30" spans="1:9" x14ac:dyDescent="0.25">
      <c r="A30" s="1" t="s">
        <v>129</v>
      </c>
      <c r="B30" s="1" t="s">
        <v>119</v>
      </c>
      <c r="C30" s="53" t="s">
        <v>222</v>
      </c>
      <c r="E30" s="1" t="s">
        <v>89</v>
      </c>
      <c r="F30" s="53" t="s">
        <v>221</v>
      </c>
      <c r="G30" s="53" t="s">
        <v>62</v>
      </c>
      <c r="H30" s="53" t="s">
        <v>115</v>
      </c>
      <c r="I30" s="53" t="s">
        <v>236</v>
      </c>
    </row>
    <row r="31" spans="1:9" x14ac:dyDescent="0.25">
      <c r="A31" s="1" t="s">
        <v>129</v>
      </c>
      <c r="B31" s="1" t="s">
        <v>132</v>
      </c>
      <c r="C31" s="53" t="s">
        <v>222</v>
      </c>
      <c r="E31" s="1" t="s">
        <v>119</v>
      </c>
      <c r="F31" s="53" t="s">
        <v>222</v>
      </c>
      <c r="G31" s="53" t="s">
        <v>100</v>
      </c>
      <c r="H31" s="53" t="s">
        <v>130</v>
      </c>
      <c r="I31" s="53" t="s">
        <v>233</v>
      </c>
    </row>
    <row r="32" spans="1:9" x14ac:dyDescent="0.25">
      <c r="A32" s="1" t="s">
        <v>129</v>
      </c>
      <c r="B32" s="1" t="s">
        <v>119</v>
      </c>
      <c r="C32" s="53" t="s">
        <v>222</v>
      </c>
      <c r="E32" s="1" t="s">
        <v>132</v>
      </c>
      <c r="F32" s="53" t="s">
        <v>222</v>
      </c>
      <c r="G32" s="53" t="s">
        <v>100</v>
      </c>
      <c r="H32" s="53" t="s">
        <v>141</v>
      </c>
      <c r="I32" s="53" t="s">
        <v>238</v>
      </c>
    </row>
    <row r="33" spans="1:9" x14ac:dyDescent="0.25">
      <c r="A33" s="1" t="s">
        <v>129</v>
      </c>
      <c r="B33" s="1" t="s">
        <v>132</v>
      </c>
      <c r="C33" s="53" t="s">
        <v>222</v>
      </c>
      <c r="E33" s="1" t="s">
        <v>119</v>
      </c>
      <c r="F33" s="53" t="s">
        <v>222</v>
      </c>
      <c r="G33" s="53" t="s">
        <v>62</v>
      </c>
      <c r="H33" s="53" t="s">
        <v>130</v>
      </c>
      <c r="I33" s="53" t="s">
        <v>233</v>
      </c>
    </row>
    <row r="34" spans="1:9" x14ac:dyDescent="0.25">
      <c r="A34" s="1" t="s">
        <v>129</v>
      </c>
      <c r="B34" s="1" t="s">
        <v>119</v>
      </c>
      <c r="C34" s="53" t="s">
        <v>222</v>
      </c>
      <c r="E34" s="1" t="s">
        <v>132</v>
      </c>
      <c r="F34" s="53" t="s">
        <v>222</v>
      </c>
      <c r="G34" s="53" t="s">
        <v>62</v>
      </c>
      <c r="H34" s="53" t="s">
        <v>140</v>
      </c>
      <c r="I34" s="53" t="s">
        <v>238</v>
      </c>
    </row>
    <row r="35" spans="1:9" x14ac:dyDescent="0.25">
      <c r="A35" s="1" t="s">
        <v>106</v>
      </c>
      <c r="B35" s="1" t="s">
        <v>132</v>
      </c>
      <c r="C35" s="53" t="s">
        <v>221</v>
      </c>
      <c r="E35" s="1" t="s">
        <v>119</v>
      </c>
      <c r="F35" s="53" t="s">
        <v>222</v>
      </c>
      <c r="G35" s="53" t="s">
        <v>114</v>
      </c>
      <c r="H35" s="53" t="s">
        <v>130</v>
      </c>
      <c r="I35" s="53" t="s">
        <v>233</v>
      </c>
    </row>
    <row r="36" spans="1:9" x14ac:dyDescent="0.25">
      <c r="A36" s="1" t="s">
        <v>106</v>
      </c>
      <c r="B36" s="1" t="s">
        <v>132</v>
      </c>
      <c r="C36" s="53" t="s">
        <v>221</v>
      </c>
      <c r="E36" s="1" t="s">
        <v>132</v>
      </c>
      <c r="F36" s="53" t="s">
        <v>221</v>
      </c>
      <c r="G36" s="53" t="s">
        <v>100</v>
      </c>
      <c r="H36" s="53" t="s">
        <v>137</v>
      </c>
      <c r="I36" s="53" t="s">
        <v>238</v>
      </c>
    </row>
    <row r="37" spans="1:9" x14ac:dyDescent="0.25">
      <c r="A37" s="1" t="s">
        <v>246</v>
      </c>
      <c r="B37" s="1" t="s">
        <v>254</v>
      </c>
      <c r="C37" s="53" t="s">
        <v>253</v>
      </c>
      <c r="E37" s="1" t="s">
        <v>132</v>
      </c>
      <c r="F37" s="53" t="s">
        <v>221</v>
      </c>
      <c r="G37" s="53" t="s">
        <v>62</v>
      </c>
      <c r="H37" s="53" t="s">
        <v>138</v>
      </c>
      <c r="I37" s="53" t="s">
        <v>238</v>
      </c>
    </row>
    <row r="38" spans="1:9" x14ac:dyDescent="0.25">
      <c r="A38" s="72" t="s">
        <v>283</v>
      </c>
      <c r="B38" s="72" t="s">
        <v>275</v>
      </c>
      <c r="C38" s="73" t="s">
        <v>284</v>
      </c>
      <c r="E38" s="1" t="s">
        <v>254</v>
      </c>
      <c r="F38" s="53" t="s">
        <v>253</v>
      </c>
      <c r="G38" s="53" t="s">
        <v>100</v>
      </c>
      <c r="H38" s="53" t="s">
        <v>61</v>
      </c>
      <c r="I38" s="53" t="s">
        <v>255</v>
      </c>
    </row>
    <row r="39" spans="1:9" x14ac:dyDescent="0.25">
      <c r="E39" s="1" t="s">
        <v>254</v>
      </c>
      <c r="F39" s="53" t="s">
        <v>253</v>
      </c>
      <c r="G39" s="53" t="s">
        <v>62</v>
      </c>
      <c r="H39" s="53" t="s">
        <v>61</v>
      </c>
      <c r="I39" s="53" t="s">
        <v>256</v>
      </c>
    </row>
    <row r="40" spans="1:9" x14ac:dyDescent="0.25">
      <c r="E40" s="1" t="s">
        <v>254</v>
      </c>
      <c r="F40" s="53" t="s">
        <v>253</v>
      </c>
      <c r="G40" s="53" t="s">
        <v>114</v>
      </c>
      <c r="H40" s="53" t="s">
        <v>61</v>
      </c>
      <c r="I40" s="53" t="s">
        <v>257</v>
      </c>
    </row>
    <row r="41" spans="1:9" x14ac:dyDescent="0.25">
      <c r="E41" s="72" t="s">
        <v>275</v>
      </c>
      <c r="F41" s="73" t="s">
        <v>284</v>
      </c>
      <c r="G41" s="73" t="s">
        <v>62</v>
      </c>
      <c r="H41" s="73" t="s">
        <v>286</v>
      </c>
      <c r="I41" t="s">
        <v>285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Référencement</vt:lpstr>
      <vt:lpstr>Etape 1 - surface</vt:lpstr>
      <vt:lpstr>Etape 2 - calcul VAN</vt:lpstr>
      <vt:lpstr>Etape 3 - comparaison VAN</vt:lpstr>
      <vt:lpstr>Fonction de prix</vt:lpstr>
      <vt:lpstr>Acronyme</vt:lpstr>
      <vt:lpstr>'Etape 3 - comparaison VAN'!Zone_d_impression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2025-06-30T12:01:17Z</dcterms:modified>
</cp:coreProperties>
</file>