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codeName="ThisWorkbook"/>
  <mc:AlternateContent xmlns:mc="http://schemas.openxmlformats.org/markup-compatibility/2006">
    <mc:Choice Requires="x15">
      <x15ac:absPath xmlns:x15ac="http://schemas.microsoft.com/office/spreadsheetml/2010/11/ac" url="P:\Bureau\PARTAGE\Label Bas Carbone\05_Bordeaux\2025 CHAMPEAUX  - AG 22 245 416\"/>
    </mc:Choice>
  </mc:AlternateContent>
  <xr:revisionPtr revIDLastSave="0" documentId="13_ncr:1_{EF688F1B-C68E-48DD-88F5-9FF61E52687B}" xr6:coauthVersionLast="47" xr6:coauthVersionMax="47" xr10:uidLastSave="{00000000-0000-0000-0000-000000000000}"/>
  <bookViews>
    <workbookView xWindow="-108" yWindow="-108" windowWidth="23256" windowHeight="12576" tabRatio="866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21" i="1" l="1"/>
  <c r="B120" i="1"/>
  <c r="B119" i="1"/>
  <c r="B118" i="1"/>
  <c r="B117" i="1"/>
  <c r="B116" i="1"/>
  <c r="B115" i="1"/>
  <c r="B114" i="1"/>
  <c r="B95" i="1"/>
  <c r="D95" i="1" s="1"/>
  <c r="D94" i="1"/>
  <c r="D93" i="1"/>
  <c r="D92" i="1"/>
  <c r="D91" i="1"/>
  <c r="D90" i="1"/>
  <c r="D89" i="1"/>
  <c r="B68" i="1"/>
  <c r="D68" i="1" s="1"/>
  <c r="D43" i="1"/>
  <c r="B43" i="1"/>
  <c r="D42" i="1"/>
  <c r="B42" i="1"/>
  <c r="D41" i="1"/>
  <c r="B41" i="1"/>
  <c r="D40" i="1"/>
  <c r="B40" i="1"/>
  <c r="D39" i="1"/>
  <c r="B39" i="1"/>
  <c r="D38" i="1"/>
  <c r="B38" i="1"/>
  <c r="D37" i="1"/>
  <c r="B37" i="1"/>
  <c r="B36" i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FQ4" i="2" s="1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FR4" i="2" l="1"/>
  <c r="BR4" i="2"/>
  <c r="BQ4" i="2"/>
  <c r="EA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X7" i="2" l="1"/>
  <c r="HI7" i="2"/>
  <c r="EA7" i="2"/>
  <c r="EW7" i="2"/>
  <c r="EB7" i="2"/>
  <c r="EV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B10" i="2" l="1"/>
  <c r="HG10" i="2"/>
  <c r="EA10" i="2"/>
  <c r="HH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W12" i="2" l="1"/>
  <c r="EV12" i="2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C14" i="2" l="1"/>
  <c r="EB14" i="2"/>
  <c r="HH14" i="2"/>
  <c r="EX14" i="2"/>
  <c r="HG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HH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EV18" i="2"/>
  <c r="EW18" i="2"/>
  <c r="HG18" i="2"/>
  <c r="EA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C20" i="2" l="1"/>
  <c r="EW20" i="2"/>
  <c r="EV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EV21" i="2"/>
  <c r="EB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C22" i="2" l="1"/>
  <c r="EA22" i="2"/>
  <c r="EB22" i="2"/>
  <c r="EW22" i="2"/>
  <c r="HG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FR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HH26" i="2" s="1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FS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FS28" i="2" l="1"/>
  <c r="EC28" i="2"/>
  <c r="EB28" i="2"/>
  <c r="HG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S29" i="2" s="1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V33" i="2" l="1"/>
  <c r="EW33" i="2"/>
  <c r="EB33" i="2"/>
  <c r="HG33" i="2"/>
  <c r="HH33" i="2"/>
  <c r="EA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FQ35" i="2"/>
  <c r="HH35" i="2"/>
  <c r="EB35" i="2"/>
  <c r="EA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G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S38" i="2" s="1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A38" i="2" l="1"/>
  <c r="HH38" i="2"/>
  <c r="EX38" i="2"/>
  <c r="HI38" i="2"/>
  <c r="EW38" i="2"/>
  <c r="HG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HH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HG42" i="2"/>
  <c r="EV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DG43" i="2"/>
  <c r="EA43" i="2"/>
  <c r="HI43" i="2"/>
  <c r="H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H44" i="2" l="1"/>
  <c r="EC44" i="2"/>
  <c r="EW44" i="2"/>
  <c r="HG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HG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EC50" i="2" l="1"/>
  <c r="HI50" i="2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A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EV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EC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I57" i="2" l="1"/>
  <c r="EB57" i="2"/>
  <c r="HG57" i="2"/>
  <c r="FS57" i="2"/>
  <c r="EV57" i="2"/>
  <c r="HH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A59" i="2" l="1"/>
  <c r="EC59" i="2"/>
  <c r="EB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HG60" i="2"/>
  <c r="EW60" i="2"/>
  <c r="EV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X61" i="2"/>
  <c r="EA61" i="2"/>
  <c r="EV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EB62" i="2"/>
  <c r="HH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EB63" i="2"/>
  <c r="HG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A64" i="2" l="1"/>
  <c r="HH64" i="2"/>
  <c r="EC64" i="2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X66" i="2" l="1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EV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I70" i="2" l="1"/>
  <c r="EW70" i="2"/>
  <c r="HG70" i="2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X72" i="2" l="1"/>
  <c r="HH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FS75" i="2" l="1"/>
  <c r="HG75" i="2"/>
  <c r="EA75" i="2"/>
  <c r="EB75" i="2"/>
  <c r="HH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HI77" i="2" l="1"/>
  <c r="EB77" i="2"/>
  <c r="EA77" i="2"/>
  <c r="EW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C78" i="2" l="1"/>
  <c r="EV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G79" i="2" l="1"/>
  <c r="EB79" i="2"/>
  <c r="HH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HH82" i="2" s="1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V83" i="2" l="1"/>
  <c r="EW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C85" i="2" l="1"/>
  <c r="EV85" i="2"/>
  <c r="EW85" i="2"/>
  <c r="HG85" i="2"/>
  <c r="HH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EB86" i="2"/>
  <c r="EA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A87" i="2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X95" i="2" l="1"/>
  <c r="FQ95" i="2"/>
  <c r="HG95" i="2"/>
  <c r="EB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S98" i="2" s="1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X98" i="2" l="1"/>
  <c r="HI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W100" i="2" l="1"/>
  <c r="EX100" i="2"/>
  <c r="EV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EX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HH105" i="2"/>
  <c r="FS105" i="2"/>
  <c r="EV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X107" i="2" l="1"/>
  <c r="EA107" i="2"/>
  <c r="HG107" i="2"/>
  <c r="EC107" i="2"/>
  <c r="EB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W108" i="2" l="1"/>
  <c r="EB108" i="2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X109" i="2" l="1"/>
  <c r="EB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G110" i="2"/>
  <c r="HH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X112" i="2" l="1"/>
  <c r="EB112" i="2"/>
  <c r="FQ112" i="2"/>
  <c r="EC112" i="2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C113" i="2" l="1"/>
  <c r="EW113" i="2"/>
  <c r="EX113" i="2"/>
  <c r="FS113" i="2"/>
  <c r="HI113" i="2"/>
  <c r="EB113" i="2"/>
  <c r="HG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HG114" i="2"/>
  <c r="EV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FS115" i="2" s="1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EC116" i="2"/>
  <c r="EV116" i="2"/>
  <c r="HG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C118" i="2" l="1"/>
  <c r="HH118" i="2"/>
  <c r="EX118" i="2"/>
  <c r="FS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FR119" i="2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X120" i="2" l="1"/>
  <c r="FQ120" i="2"/>
  <c r="FR120" i="2"/>
  <c r="HI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EB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C122" i="2" l="1"/>
  <c r="HH122" i="2"/>
  <c r="FS122" i="2"/>
  <c r="HI122" i="2"/>
  <c r="EW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W124" i="2" l="1"/>
  <c r="HH124" i="2"/>
  <c r="EX124" i="2"/>
  <c r="HG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HI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EA126" i="2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I127" i="2" s="1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HG128" i="2" l="1"/>
  <c r="FS128" i="2"/>
  <c r="EX128" i="2"/>
  <c r="EB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B130" i="2" l="1"/>
  <c r="EX130" i="2"/>
  <c r="EW130" i="2"/>
  <c r="HG130" i="2"/>
  <c r="FS130" i="2"/>
  <c r="HH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H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HI134" i="2"/>
  <c r="EW134" i="2"/>
  <c r="HG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X135" i="2" l="1"/>
  <c r="EW135" i="2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HH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C138" i="2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W139" i="2"/>
  <c r="HH139" i="2"/>
  <c r="EA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C140" i="2" l="1"/>
  <c r="HH140" i="2"/>
  <c r="EX140" i="2"/>
  <c r="EB140" i="2"/>
  <c r="FR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H141" i="2" l="1"/>
  <c r="EA141" i="2"/>
  <c r="EB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HG142" i="2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A144" i="2" l="1"/>
  <c r="FR144" i="2"/>
  <c r="HG144" i="2"/>
  <c r="EX144" i="2"/>
  <c r="EB144" i="2"/>
  <c r="HH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FR145" i="2"/>
  <c r="HG145" i="2"/>
  <c r="EA145" i="2"/>
  <c r="EB145" i="2"/>
  <c r="HH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HH146" i="2" s="1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S146" i="2" s="1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HI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C149" i="2" l="1"/>
  <c r="EX149" i="2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C150" i="2" l="1"/>
  <c r="EV150" i="2"/>
  <c r="FS150" i="2"/>
  <c r="HI150" i="2"/>
  <c r="HG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X151" i="2" l="1"/>
  <c r="EC151" i="2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EV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EB154" i="2" l="1"/>
  <c r="AB154" i="2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D194" i="2"/>
  <c r="G194" i="2" s="1"/>
  <c r="DI153" i="2"/>
  <c r="FT153" i="2"/>
  <c r="CN153" i="2"/>
  <c r="HJ153" i="2"/>
  <c r="GO153" i="2"/>
  <c r="EY153" i="2"/>
  <c r="ED153" i="2"/>
  <c r="AC153" i="2"/>
  <c r="AX151" i="2"/>
  <c r="EA155" i="2" l="1"/>
  <c r="AC154" i="2"/>
  <c r="EY154" i="2"/>
  <c r="ED154" i="2"/>
  <c r="DI154" i="2"/>
  <c r="EW155" i="2"/>
  <c r="EX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ED155" i="2" s="1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AX152" i="2"/>
  <c r="EY155" i="2" l="1"/>
  <c r="AB156" i="2"/>
  <c r="EX156" i="2"/>
  <c r="EB156" i="2"/>
  <c r="DH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X157" i="2" l="1"/>
  <c r="EC157" i="2"/>
  <c r="EA157" i="2"/>
  <c r="CN156" i="2"/>
  <c r="EB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EC158" i="2" l="1"/>
  <c r="EV158" i="2"/>
  <c r="EW158" i="2"/>
  <c r="ED157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D158" i="2" l="1"/>
  <c r="EA159" i="2"/>
  <c r="EC159" i="2"/>
  <c r="HI159" i="2"/>
  <c r="HH159" i="2"/>
  <c r="FS159" i="2"/>
  <c r="EX159" i="2"/>
  <c r="EV159" i="2"/>
  <c r="EB159" i="2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D159" i="2" l="1"/>
  <c r="EY159" i="2"/>
  <c r="DG160" i="2"/>
  <c r="HH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D160" i="2" l="1"/>
  <c r="EA161" i="2"/>
  <c r="AB161" i="2"/>
  <c r="EB161" i="2"/>
  <c r="EX161" i="2"/>
  <c r="FS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DI161" i="2" l="1"/>
  <c r="EY161" i="2"/>
  <c r="EW162" i="2"/>
  <c r="ED161" i="2"/>
  <c r="EC162" i="2"/>
  <c r="EB162" i="2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ED162" i="2" l="1"/>
  <c r="EY162" i="2"/>
  <c r="EB163" i="2"/>
  <c r="EA163" i="2"/>
  <c r="EV163" i="2"/>
  <c r="HI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DI163" i="2" l="1"/>
  <c r="EY163" i="2"/>
  <c r="ED163" i="2"/>
  <c r="DH164" i="2"/>
  <c r="EA164" i="2"/>
  <c r="EX164" i="2"/>
  <c r="EV164" i="2"/>
  <c r="FR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A165" i="2" l="1"/>
  <c r="EX165" i="2"/>
  <c r="EB165" i="2"/>
  <c r="HG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ED165" i="2" l="1"/>
  <c r="EC166" i="2"/>
  <c r="CN165" i="2"/>
  <c r="FS166" i="2"/>
  <c r="HG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HI167" i="2" s="1"/>
  <c r="GI167" i="2"/>
  <c r="FP167" i="2"/>
  <c r="EG167" i="2"/>
  <c r="FL167" i="2"/>
  <c r="EQ167" i="2"/>
  <c r="FW167" i="2"/>
  <c r="EU167" i="2"/>
  <c r="DW167" i="2"/>
  <c r="EC167" i="2" s="1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Y166" i="2" l="1"/>
  <c r="EX167" i="2"/>
  <c r="EA167" i="2"/>
  <c r="DG167" i="2"/>
  <c r="EB167" i="2"/>
  <c r="HH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I167" i="2" l="1"/>
  <c r="DG168" i="2"/>
  <c r="EC168" i="2"/>
  <c r="EW168" i="2"/>
  <c r="EB168" i="2"/>
  <c r="EV168" i="2"/>
  <c r="HH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Y168" i="2" l="1"/>
  <c r="EX169" i="2"/>
  <c r="EA169" i="2"/>
  <c r="EB169" i="2"/>
  <c r="FS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EB171" i="2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Y171" i="2" l="1"/>
  <c r="ED171" i="2"/>
  <c r="EA172" i="2"/>
  <c r="EW172" i="2"/>
  <c r="EV172" i="2"/>
  <c r="HG172" i="2"/>
  <c r="EC172" i="2"/>
  <c r="ED172" i="2" s="1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X173" i="2" l="1"/>
  <c r="EW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Y173" i="2" l="1"/>
  <c r="EC174" i="2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AX172" i="2"/>
  <c r="EA175" i="2" l="1"/>
  <c r="ED174" i="2"/>
  <c r="EB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Y175" i="2" l="1"/>
  <c r="EB176" i="2"/>
  <c r="EC176" i="2"/>
  <c r="HH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C177" i="2" l="1"/>
  <c r="EW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A178" i="2" l="1"/>
  <c r="EW178" i="2"/>
  <c r="ED177" i="2"/>
  <c r="EB178" i="2"/>
  <c r="HH178" i="2"/>
  <c r="HG178" i="2"/>
  <c r="FS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A179" i="2" l="1"/>
  <c r="EB179" i="2"/>
  <c r="ED178" i="2"/>
  <c r="DF179" i="2"/>
  <c r="EV179" i="2"/>
  <c r="HI179" i="2"/>
  <c r="HH179" i="2"/>
  <c r="HG179" i="2"/>
  <c r="FS179" i="2"/>
  <c r="EX179" i="2"/>
  <c r="AW179" i="2"/>
  <c r="EC179" i="2"/>
  <c r="ED179" i="2" s="1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EY179" i="2" l="1"/>
  <c r="EX180" i="2"/>
  <c r="HI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EW181" i="2" l="1"/>
  <c r="ED180" i="2"/>
  <c r="HG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X182" i="2" l="1"/>
  <c r="DG182" i="2"/>
  <c r="EC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ED182" i="2" s="1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Y182" i="2" l="1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EY183" i="2" l="1"/>
  <c r="FS184" i="2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Y184" i="2" l="1"/>
  <c r="ED184" i="2"/>
  <c r="EA185" i="2"/>
  <c r="EW185" i="2"/>
  <c r="EB185" i="2"/>
  <c r="EV185" i="2"/>
  <c r="HH185" i="2"/>
  <c r="HG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D185" i="2" l="1"/>
  <c r="EW186" i="2"/>
  <c r="FS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Y186" i="2" l="1"/>
  <c r="EC187" i="2"/>
  <c r="EB187" i="2"/>
  <c r="HH187" i="2"/>
  <c r="HG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ED187" i="2" l="1"/>
  <c r="HI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AA189" i="2" l="1"/>
  <c r="EY188" i="2"/>
  <c r="EV189" i="2"/>
  <c r="EB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ED189" i="2" l="1"/>
  <c r="EY189" i="2"/>
  <c r="EV190" i="2"/>
  <c r="EW190" i="2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D190" i="2" l="1"/>
  <c r="EW191" i="2"/>
  <c r="HH191" i="2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HG192" i="2" s="1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EY191" i="2" l="1"/>
  <c r="EW192" i="2"/>
  <c r="EV192" i="2"/>
  <c r="EC192" i="2"/>
  <c r="EB192" i="2"/>
  <c r="EA192" i="2"/>
  <c r="HH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ED192" i="2" l="1"/>
  <c r="EY192" i="2"/>
  <c r="DI192" i="2"/>
  <c r="EB193" i="2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B194" i="2" l="1"/>
  <c r="EA194" i="2"/>
  <c r="ED193" i="2"/>
  <c r="CN193" i="2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AA195" i="2" l="1"/>
  <c r="ED194" i="2"/>
  <c r="EY194" i="2"/>
  <c r="EB195" i="2"/>
  <c r="EX195" i="2"/>
  <c r="DH195" i="2"/>
  <c r="EA195" i="2"/>
  <c r="HI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HH196" i="2" s="1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W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A197" i="2" l="1"/>
  <c r="EW197" i="2"/>
  <c r="EY196" i="2"/>
  <c r="EC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D197" i="2" l="1"/>
  <c r="EW198" i="2"/>
  <c r="HI198" i="2"/>
  <c r="EV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 l="1"/>
  <c r="EV199" i="2"/>
  <c r="EB199" i="2"/>
  <c r="EA199" i="2"/>
  <c r="EW199" i="2"/>
  <c r="HH199" i="2"/>
  <c r="HG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EW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 l="1"/>
  <c r="DI200" i="2"/>
  <c r="ED200" i="2"/>
  <c r="EA201" i="2"/>
  <c r="FS201" i="2"/>
  <c r="EB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FR202" i="2" s="1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W202" i="2" l="1"/>
  <c r="EY201" i="2"/>
  <c r="EX202" i="2"/>
  <c r="FZ6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82" i="2" a="1"/>
  <c r="BC82" i="2" s="1"/>
  <c r="BC126" i="2" a="1"/>
  <c r="BC126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29" i="2" a="1"/>
  <c r="EI29" i="2" s="1"/>
  <c r="EI150" i="2" a="1"/>
  <c r="EI150" i="2" s="1"/>
  <c r="EI162" i="2" a="1"/>
  <c r="EI162" i="2" s="1"/>
  <c r="EI178" i="2" a="1"/>
  <c r="EI178" i="2" s="1"/>
  <c r="EI142" i="2" a="1"/>
  <c r="EI142" i="2" s="1"/>
  <c r="DN155" i="2" a="1"/>
  <c r="DN155" i="2" s="1"/>
  <c r="DN124" i="2" a="1"/>
  <c r="DN124" i="2" s="1"/>
  <c r="CS52" i="2" a="1"/>
  <c r="CS52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AX200" i="2"/>
  <c r="EI106" i="2" l="1" a="1"/>
  <c r="EI106" i="2" s="1"/>
  <c r="EY202" i="2"/>
  <c r="EI195" i="2" a="1"/>
  <c r="EI195" i="2" s="1"/>
  <c r="EI153" i="2" a="1"/>
  <c r="EI153" i="2" s="1"/>
  <c r="EI166" i="2" a="1"/>
  <c r="EI166" i="2" s="1"/>
  <c r="EI198" i="2" a="1"/>
  <c r="EI198" i="2" s="1"/>
  <c r="EI145" i="2" a="1"/>
  <c r="EI145" i="2" s="1"/>
  <c r="BC114" i="2" a="1"/>
  <c r="BC114" i="2" s="1"/>
  <c r="BC47" i="2" a="1"/>
  <c r="BC47" i="2" s="1"/>
  <c r="BC65" i="2" a="1"/>
  <c r="BC65" i="2" s="1"/>
  <c r="CS129" i="2" a="1"/>
  <c r="CS129" i="2" s="1"/>
  <c r="CS66" i="2" a="1"/>
  <c r="CS66" i="2" s="1"/>
  <c r="BP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CN203" i="2" l="1"/>
  <c r="EY203" i="2"/>
  <c r="ED203" i="2"/>
  <c r="DI203" i="2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Z195" i="2" l="1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CY24" i="2" l="1"/>
  <c r="CY6" i="2"/>
  <c r="CY41" i="2"/>
  <c r="CY70" i="2"/>
  <c r="CY129" i="2"/>
  <c r="CY173" i="2"/>
  <c r="CY169" i="2"/>
  <c r="CY27" i="2"/>
  <c r="CY190" i="2"/>
  <c r="CY130" i="2"/>
  <c r="CY156" i="2"/>
  <c r="CY104" i="2"/>
  <c r="CY88" i="2"/>
  <c r="CY109" i="2"/>
  <c r="CY29" i="2"/>
  <c r="CY31" i="2"/>
  <c r="CY121" i="2"/>
  <c r="CY153" i="2"/>
  <c r="CY102" i="2"/>
  <c r="CY132" i="2"/>
  <c r="CY159" i="2"/>
  <c r="CY69" i="2"/>
  <c r="CY93" i="2"/>
  <c r="CY191" i="2"/>
  <c r="CY5" i="2"/>
  <c r="CY22" i="2"/>
  <c r="CY47" i="2"/>
  <c r="CY152" i="2"/>
  <c r="CY40" i="2"/>
  <c r="CY97" i="2"/>
  <c r="CY80" i="2"/>
  <c r="CY42" i="2"/>
  <c r="CY163" i="2"/>
  <c r="CY195" i="2"/>
  <c r="CY198" i="2"/>
  <c r="CY36" i="2"/>
  <c r="CY64" i="2"/>
  <c r="CY94" i="2"/>
  <c r="CY193" i="2"/>
  <c r="CY197" i="2"/>
  <c r="CY13" i="2"/>
  <c r="CY183" i="2"/>
  <c r="CY181" i="2"/>
  <c r="CY63" i="2"/>
  <c r="CY162" i="2"/>
  <c r="CY28" i="2"/>
  <c r="CY12" i="2"/>
  <c r="CY103" i="2"/>
  <c r="CY16" i="2"/>
  <c r="CY9" i="2"/>
  <c r="CY77" i="2"/>
  <c r="CY119" i="2"/>
  <c r="CY52" i="2"/>
  <c r="CY98" i="2"/>
  <c r="CY177" i="2"/>
  <c r="CY160" i="2"/>
  <c r="CY118" i="2"/>
  <c r="CY56" i="2"/>
  <c r="CY81" i="2"/>
  <c r="CY194" i="2"/>
  <c r="CY172" i="2"/>
  <c r="CY44" i="2"/>
  <c r="CY161" i="2"/>
  <c r="CY49" i="2"/>
  <c r="CY178" i="2"/>
  <c r="CY37" i="2"/>
  <c r="CY26" i="2"/>
  <c r="CY180" i="2"/>
  <c r="CY158" i="2"/>
  <c r="CY78" i="2"/>
  <c r="CY110" i="2"/>
  <c r="CY202" i="2"/>
  <c r="CY174" i="2"/>
  <c r="CY127" i="2"/>
  <c r="CY164" i="2"/>
  <c r="CY73" i="2"/>
  <c r="CY62" i="2"/>
  <c r="CY120" i="2"/>
  <c r="CY168" i="2"/>
  <c r="CY128" i="2"/>
  <c r="CY122" i="2"/>
  <c r="CY84" i="2"/>
  <c r="CY82" i="2"/>
  <c r="CY146" i="2"/>
  <c r="CY76" i="2"/>
  <c r="CY131" i="2"/>
  <c r="CY86" i="2"/>
  <c r="CY34" i="2"/>
  <c r="CY157" i="2"/>
  <c r="CY149" i="2"/>
  <c r="CY85" i="2"/>
  <c r="CY45" i="2"/>
  <c r="CY116" i="2"/>
  <c r="CY66" i="2"/>
  <c r="CY71" i="2"/>
  <c r="CY39" i="2"/>
  <c r="CY167" i="2"/>
  <c r="CY18" i="2"/>
  <c r="CY58" i="2"/>
  <c r="CY117" i="2"/>
  <c r="CY201" i="2"/>
  <c r="CY57" i="2"/>
  <c r="CY92" i="2"/>
  <c r="CY53" i="2"/>
  <c r="CY165" i="2"/>
  <c r="CY30" i="2"/>
  <c r="CY46" i="2"/>
  <c r="CY166" i="2"/>
  <c r="CY141" i="2"/>
  <c r="CY125" i="2"/>
  <c r="CY186" i="2"/>
  <c r="CY15" i="2"/>
  <c r="CY101" i="2"/>
  <c r="CY170" i="2"/>
  <c r="CY105" i="2"/>
  <c r="CY196" i="2"/>
  <c r="CY72" i="2"/>
  <c r="CY43" i="2"/>
  <c r="CY147" i="2"/>
  <c r="CY140" i="2"/>
  <c r="CY155" i="2"/>
  <c r="CY50" i="2"/>
  <c r="CY124" i="2"/>
  <c r="CY17" i="2"/>
  <c r="CY96" i="2"/>
  <c r="CY176" i="2"/>
  <c r="CY179" i="2"/>
  <c r="CY192" i="2"/>
  <c r="CY3" i="2"/>
  <c r="C10" i="4" s="1"/>
  <c r="E10" i="4" s="1"/>
  <c r="F10" i="4" s="1"/>
  <c r="G10" i="4" s="1"/>
  <c r="L10" i="4" s="1"/>
  <c r="CY55" i="2"/>
  <c r="CY35" i="2"/>
  <c r="CY203" i="2"/>
  <c r="CY188" i="2"/>
  <c r="CY91" i="2"/>
  <c r="CY21" i="2"/>
  <c r="CY106" i="2"/>
  <c r="CY151" i="2"/>
  <c r="CY48" i="2"/>
  <c r="CY199" i="2"/>
  <c r="CY107" i="2"/>
  <c r="CY11" i="2"/>
  <c r="CY100" i="2"/>
  <c r="CY113" i="2"/>
  <c r="CY54" i="2"/>
  <c r="CY150" i="2"/>
  <c r="CY25" i="2"/>
  <c r="CY200" i="2"/>
  <c r="CY75" i="2"/>
  <c r="CY23" i="2"/>
  <c r="CY108" i="2"/>
  <c r="CY99" i="2"/>
  <c r="CY32" i="2"/>
  <c r="CY184" i="2"/>
  <c r="CY112" i="2"/>
  <c r="CY7" i="2"/>
  <c r="CY4" i="2"/>
  <c r="CY114" i="2"/>
  <c r="CY111" i="2"/>
  <c r="CY65" i="2"/>
  <c r="CY133" i="2"/>
  <c r="CY83" i="2"/>
  <c r="CY79" i="2"/>
  <c r="CY74" i="2"/>
  <c r="CY135" i="2"/>
  <c r="CY67" i="2"/>
  <c r="CY144" i="2"/>
  <c r="CY126" i="2"/>
  <c r="CY61" i="2"/>
  <c r="CY148" i="2"/>
  <c r="CY19" i="2"/>
  <c r="CY59" i="2"/>
  <c r="CY136" i="2"/>
  <c r="CY89" i="2"/>
  <c r="CY115" i="2"/>
  <c r="CY33" i="2"/>
  <c r="CY8" i="2"/>
  <c r="CY189" i="2"/>
  <c r="CY185" i="2"/>
  <c r="CY143" i="2"/>
  <c r="CY14" i="2"/>
  <c r="CY68" i="2"/>
  <c r="CY51" i="2"/>
  <c r="CY38" i="2"/>
  <c r="CY175" i="2"/>
  <c r="CY154" i="2"/>
  <c r="CY187" i="2"/>
  <c r="CY137" i="2"/>
  <c r="CY87" i="2"/>
  <c r="CY171" i="2"/>
  <c r="CY10" i="2"/>
  <c r="CY123" i="2"/>
  <c r="CY182" i="2"/>
  <c r="CY134" i="2"/>
  <c r="CY90" i="2"/>
  <c r="CY95" i="2"/>
  <c r="CY145" i="2"/>
  <c r="CY142" i="2"/>
  <c r="CY60" i="2"/>
  <c r="CY20" i="2"/>
  <c r="CY139" i="2"/>
  <c r="CY138" i="2"/>
  <c r="FE166" i="2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<sst xmlns="http://schemas.openxmlformats.org/spreadsheetml/2006/main" count="1173" uniqueCount="324">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</sst>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1.9371373631158919</c:v>
                </c:pt>
                <c:pt idx="2">
                  <c:v>2.582043612011879</c:v>
                </c:pt>
                <c:pt idx="3">
                  <c:v>3.4425466249226413</c:v>
                </c:pt>
                <c:pt idx="4">
                  <c:v>4.591004491739012</c:v>
                </c:pt>
                <c:pt idx="5">
                  <c:v>6.124148648935722</c:v>
                </c:pt>
                <c:pt idx="6">
                  <c:v>8.1713216117174081</c:v>
                </c:pt>
                <c:pt idx="7">
                  <c:v>10.905507543402789</c:v>
                </c:pt>
                <c:pt idx="8">
                  <c:v>14.558105199493902</c:v>
                </c:pt>
                <c:pt idx="9">
                  <c:v>19.438716447552824</c:v>
                </c:pt>
                <c:pt idx="10">
                  <c:v>25.96165780940046</c:v>
                </c:pt>
                <c:pt idx="11">
                  <c:v>34.681485159077681</c:v>
                </c:pt>
                <c:pt idx="12">
                  <c:v>46.340603684565174</c:v>
                </c:pt>
                <c:pt idx="13">
                  <c:v>61.933084777661577</c:v>
                </c:pt>
                <c:pt idx="14">
                  <c:v>82.790220394132618</c:v>
                </c:pt>
                <c:pt idx="15">
                  <c:v>110.69523687133828</c:v>
                </c:pt>
                <c:pt idx="16">
                  <c:v>148.03712979275406</c:v>
                </c:pt>
                <c:pt idx="17">
                  <c:v>198.01699175113845</c:v>
                </c:pt>
                <c:pt idx="18">
                  <c:v>225.9481518705777</c:v>
                </c:pt>
                <c:pt idx="19">
                  <c:v>167.1629650420995</c:v>
                </c:pt>
                <c:pt idx="20">
                  <c:v>192.18884671776516</c:v>
                </c:pt>
                <c:pt idx="21">
                  <c:v>217.13883006272945</c:v>
                </c:pt>
                <c:pt idx="22">
                  <c:v>242.02286551975575</c:v>
                </c:pt>
                <c:pt idx="23">
                  <c:v>266.84868654930165</c:v>
                </c:pt>
                <c:pt idx="24">
                  <c:v>291.62246862735793</c:v>
                </c:pt>
                <c:pt idx="25">
                  <c:v>267.83973843136442</c:v>
                </c:pt>
                <c:pt idx="26">
                  <c:v>295.20984437767919</c:v>
                </c:pt>
                <c:pt idx="27">
                  <c:v>322.52334410117277</c:v>
                </c:pt>
                <c:pt idx="28">
                  <c:v>349.785701644997</c:v>
                </c:pt>
                <c:pt idx="29">
                  <c:v>377.00145984165829</c:v>
                </c:pt>
                <c:pt idx="30">
                  <c:v>404.17445231612891</c:v>
                </c:pt>
                <c:pt idx="31">
                  <c:v>353.2119291038573</c:v>
                </c:pt>
                <c:pt idx="32">
                  <c:v>380.4892939371228</c:v>
                </c:pt>
                <c:pt idx="33">
                  <c:v>407.72413216850492</c:v>
                </c:pt>
                <c:pt idx="34">
                  <c:v>434.91968079517761</c:v>
                </c:pt>
                <c:pt idx="35">
                  <c:v>462.07873925701455</c:v>
                </c:pt>
                <c:pt idx="36">
                  <c:v>489.20375134717227</c:v>
                </c:pt>
                <c:pt idx="37">
                  <c:v>433.59961838636008</c:v>
                </c:pt>
                <c:pt idx="38">
                  <c:v>460.20839311111894</c:v>
                </c:pt>
                <c:pt idx="39">
                  <c:v>486.78434108389047</c:v>
                </c:pt>
                <c:pt idx="40">
                  <c:v>513.32950438861201</c:v>
                </c:pt>
                <c:pt idx="41">
                  <c:v>539.84569689767909</c:v>
                </c:pt>
                <c:pt idx="42">
                  <c:v>566.33453995655486</c:v>
                </c:pt>
                <c:pt idx="43">
                  <c:v>505.12943761341859</c:v>
                </c:pt>
                <c:pt idx="44">
                  <c:v>530.71596265986329</c:v>
                </c:pt>
                <c:pt idx="45">
                  <c:v>556.27653997817106</c:v>
                </c:pt>
                <c:pt idx="46">
                  <c:v>581.81252811346212</c:v>
                </c:pt>
                <c:pt idx="47">
                  <c:v>607.32515676835726</c:v>
                </c:pt>
                <c:pt idx="48">
                  <c:v>632.81554402908341</c:v>
                </c:pt>
                <c:pt idx="49">
                  <c:v>561.06523629540231</c:v>
                </c:pt>
                <c:pt idx="50">
                  <c:v>585.27746751979441</c:v>
                </c:pt>
                <c:pt idx="51">
                  <c:v>609.46883490395442</c:v>
                </c:pt>
                <c:pt idx="52">
                  <c:v>633.64028211551329</c:v>
                </c:pt>
                <c:pt idx="53">
                  <c:v>657.79267504043685</c:v>
                </c:pt>
                <c:pt idx="54">
                  <c:v>681.92681087155916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2.0615802021639595</c:v>
                </c:pt>
                <c:pt idx="2">
                  <c:v>2.6306720199279545</c:v>
                </c:pt>
                <c:pt idx="3">
                  <c:v>3.357488018453298</c:v>
                </c:pt>
                <c:pt idx="4">
                  <c:v>4.2859059270606634</c:v>
                </c:pt>
                <c:pt idx="5">
                  <c:v>5.4720527619498105</c:v>
                </c:pt>
                <c:pt idx="6">
                  <c:v>6.9877355562224617</c:v>
                </c:pt>
                <c:pt idx="7">
                  <c:v>8.9248358288257617</c:v>
                </c:pt>
                <c:pt idx="8">
                  <c:v>11.400939260761424</c:v>
                </c:pt>
                <c:pt idx="9">
                  <c:v>14.566548705207111</c:v>
                </c:pt>
                <c:pt idx="10">
                  <c:v>18.614327012382446</c:v>
                </c:pt>
                <c:pt idx="11">
                  <c:v>23.790942352926717</c:v>
                </c:pt>
                <c:pt idx="12">
                  <c:v>30.41225067621362</c:v>
                </c:pt>
                <c:pt idx="13">
                  <c:v>38.88275778896849</c:v>
                </c:pt>
                <c:pt idx="14">
                  <c:v>49.720570316163929</c:v>
                </c:pt>
                <c:pt idx="15">
                  <c:v>63.589387248149137</c:v>
                </c:pt>
                <c:pt idx="16">
                  <c:v>81.339523385051294</c:v>
                </c:pt>
                <c:pt idx="17">
                  <c:v>104.0605203802959</c:v>
                </c:pt>
                <c:pt idx="18">
                  <c:v>133.14862574111029</c:v>
                </c:pt>
                <c:pt idx="19">
                  <c:v>170.39335065109825</c:v>
                </c:pt>
                <c:pt idx="20">
                  <c:v>218.08851241049035</c:v>
                </c:pt>
                <c:pt idx="21">
                  <c:v>159.32874195250244</c:v>
                </c:pt>
                <c:pt idx="22">
                  <c:v>181.66813736078151</c:v>
                </c:pt>
                <c:pt idx="23">
                  <c:v>203.94321057745549</c:v>
                </c:pt>
                <c:pt idx="24">
                  <c:v>226.16197789995076</c:v>
                </c:pt>
                <c:pt idx="25">
                  <c:v>248.33074918569818</c:v>
                </c:pt>
                <c:pt idx="26">
                  <c:v>270.45461449361864</c:v>
                </c:pt>
                <c:pt idx="27">
                  <c:v>292.53776259751828</c:v>
                </c:pt>
                <c:pt idx="28">
                  <c:v>314.583698040076</c:v>
                </c:pt>
                <c:pt idx="29">
                  <c:v>336.59539404232538</c:v>
                </c:pt>
                <c:pt idx="30">
                  <c:v>358.57540326704753</c:v>
                </c:pt>
                <c:pt idx="31">
                  <c:v>266.56923588073727</c:v>
                </c:pt>
                <c:pt idx="32">
                  <c:v>286.78647711903716</c:v>
                </c:pt>
                <c:pt idx="33">
                  <c:v>306.97184146318881</c:v>
                </c:pt>
                <c:pt idx="34">
                  <c:v>327.1277190437109</c:v>
                </c:pt>
                <c:pt idx="35">
                  <c:v>347.25618143588719</c:v>
                </c:pt>
                <c:pt idx="36">
                  <c:v>367.3590405061089</c:v>
                </c:pt>
                <c:pt idx="37">
                  <c:v>387.43789369626415</c:v>
                </c:pt>
                <c:pt idx="38">
                  <c:v>407.49415942665138</c:v>
                </c:pt>
                <c:pt idx="39">
                  <c:v>427.5291051635549</c:v>
                </c:pt>
                <c:pt idx="40">
                  <c:v>447.54386995067108</c:v>
                </c:pt>
                <c:pt idx="41">
                  <c:v>355.11389600890448</c:v>
                </c:pt>
                <c:pt idx="42">
                  <c:v>371.6161159842477</c:v>
                </c:pt>
                <c:pt idx="43">
                  <c:v>388.10236266830719</c:v>
                </c:pt>
                <c:pt idx="44">
                  <c:v>404.57340992986133</c:v>
                </c:pt>
                <c:pt idx="45">
                  <c:v>421.02996350009448</c:v>
                </c:pt>
                <c:pt idx="46">
                  <c:v>437.47266945596533</c:v>
                </c:pt>
                <c:pt idx="47">
                  <c:v>453.90212136173136</c:v>
                </c:pt>
                <c:pt idx="48">
                  <c:v>470.31886632272807</c:v>
                </c:pt>
                <c:pt idx="49">
                  <c:v>486.72341015001916</c:v>
                </c:pt>
                <c:pt idx="50">
                  <c:v>503.11622179266834</c:v>
                </c:pt>
                <c:pt idx="51">
                  <c:v>426.33554561113533</c:v>
                </c:pt>
                <c:pt idx="52">
                  <c:v>439.59333149267508</c:v>
                </c:pt>
                <c:pt idx="53">
                  <c:v>452.84254581303099</c:v>
                </c:pt>
                <c:pt idx="54">
                  <c:v>466.08347466593301</c:v>
                </c:pt>
                <c:pt idx="55">
                  <c:v>479.31638656594276</c:v>
                </c:pt>
                <c:pt idx="56">
                  <c:v>492.54153399430987</c:v>
                </c:pt>
                <c:pt idx="57">
                  <c:v>505.75915477017423</c:v>
                </c:pt>
                <c:pt idx="58">
                  <c:v>518.96947327099519</c:v>
                </c:pt>
                <c:pt idx="59">
                  <c:v>532.17270152227172</c:v>
                </c:pt>
                <c:pt idx="60">
                  <c:v>545.36904017352083</c:v>
                </c:pt>
                <c:pt idx="61">
                  <c:v>483.02020001617831</c:v>
                </c:pt>
                <c:pt idx="62">
                  <c:v>493.33480119409711</c:v>
                </c:pt>
                <c:pt idx="63">
                  <c:v>503.64483183617267</c:v>
                </c:pt>
                <c:pt idx="64">
                  <c:v>513.9503987019458</c:v>
                </c:pt>
                <c:pt idx="65">
                  <c:v>524.2516039201148</c:v>
                </c:pt>
                <c:pt idx="66">
                  <c:v>534.54854527839552</c:v>
                </c:pt>
                <c:pt idx="67">
                  <c:v>544.84131648988216</c:v>
                </c:pt>
                <c:pt idx="68">
                  <c:v>555.13000743824</c:v>
                </c:pt>
                <c:pt idx="69">
                  <c:v>565.4147044037735</c:v>
                </c:pt>
                <c:pt idx="70">
                  <c:v>575.69549027219523</c:v>
                </c:pt>
                <c:pt idx="71">
                  <c:v>524.25160392011492</c:v>
                </c:pt>
                <c:pt idx="72">
                  <c:v>532.17270152227195</c:v>
                </c:pt>
                <c:pt idx="73">
                  <c:v>540.0913190698044</c:v>
                </c:pt>
                <c:pt idx="74">
                  <c:v>548.00749806060492</c:v>
                </c:pt>
                <c:pt idx="75">
                  <c:v>555.92127869561818</c:v>
                </c:pt>
                <c:pt idx="76">
                  <c:v>563.83269993765953</c:v>
                </c:pt>
                <c:pt idx="77">
                  <c:v>571.74179956676232</c:v>
                </c:pt>
                <c:pt idx="78">
                  <c:v>579.64861423230275</c:v>
                </c:pt>
                <c:pt idx="79">
                  <c:v>587.55317950213146</c:v>
                </c:pt>
                <c:pt idx="80">
                  <c:v>595.45552990892566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2.5717272485907814</c:v>
                </c:pt>
                <c:pt idx="2">
                  <c:v>3.2402608019311159</c:v>
                </c:pt>
                <c:pt idx="3">
                  <c:v>4.0832624280532892</c:v>
                </c:pt>
                <c:pt idx="4">
                  <c:v>5.14643042029713</c:v>
                </c:pt>
                <c:pt idx="5">
                  <c:v>6.4874737480469413</c:v>
                </c:pt>
                <c:pt idx="6">
                  <c:v>8.1792787679743544</c:v>
                </c:pt>
                <c:pt idx="7">
                  <c:v>10.313913297230501</c:v>
                </c:pt>
                <c:pt idx="8">
                  <c:v>13.007690059316532</c:v>
                </c:pt>
                <c:pt idx="9">
                  <c:v>16.407570518045844</c:v>
                </c:pt>
                <c:pt idx="10">
                  <c:v>20.699264836034356</c:v>
                </c:pt>
                <c:pt idx="11">
                  <c:v>42.877836075412638</c:v>
                </c:pt>
                <c:pt idx="12">
                  <c:v>64.733806454200504</c:v>
                </c:pt>
                <c:pt idx="13">
                  <c:v>86.395962294999478</c:v>
                </c:pt>
                <c:pt idx="14">
                  <c:v>107.92051495671599</c:v>
                </c:pt>
                <c:pt idx="15">
                  <c:v>129.33897912798705</c:v>
                </c:pt>
                <c:pt idx="16">
                  <c:v>150.67146408356317</c:v>
                </c:pt>
                <c:pt idx="17">
                  <c:v>171.93188138002924</c:v>
                </c:pt>
                <c:pt idx="18">
                  <c:v>193.13040620890987</c:v>
                </c:pt>
                <c:pt idx="19">
                  <c:v>214.27479126445158</c:v>
                </c:pt>
                <c:pt idx="20">
                  <c:v>235.3711313482562</c:v>
                </c:pt>
                <c:pt idx="21">
                  <c:v>144.95568422614897</c:v>
                </c:pt>
                <c:pt idx="22">
                  <c:v>170.03319377205972</c:v>
                </c:pt>
                <c:pt idx="23">
                  <c:v>195.02347174102519</c:v>
                </c:pt>
                <c:pt idx="24">
                  <c:v>219.93927876011423</c:v>
                </c:pt>
                <c:pt idx="25">
                  <c:v>244.79024008779683</c:v>
                </c:pt>
                <c:pt idx="26">
                  <c:v>269.58386372150017</c:v>
                </c:pt>
                <c:pt idx="27">
                  <c:v>294.32616248385813</c:v>
                </c:pt>
                <c:pt idx="28">
                  <c:v>319.02205522459639</c:v>
                </c:pt>
                <c:pt idx="29">
                  <c:v>343.67563696746635</c:v>
                </c:pt>
                <c:pt idx="30">
                  <c:v>368.29036734139123</c:v>
                </c:pt>
                <c:pt idx="31">
                  <c:v>269.75466982033333</c:v>
                </c:pt>
                <c:pt idx="32">
                  <c:v>290.40473451571626</c:v>
                </c:pt>
                <c:pt idx="33">
                  <c:v>311.02199783983951</c:v>
                </c:pt>
                <c:pt idx="34">
                  <c:v>331.60893904924779</c:v>
                </c:pt>
                <c:pt idx="35">
                  <c:v>352.16770447084974</c:v>
                </c:pt>
                <c:pt idx="36">
                  <c:v>372.70016944091395</c:v>
                </c:pt>
                <c:pt idx="37">
                  <c:v>393.20798587349418</c:v>
                </c:pt>
                <c:pt idx="38">
                  <c:v>413.69261938302407</c:v>
                </c:pt>
                <c:pt idx="39">
                  <c:v>434.15537866888457</c:v>
                </c:pt>
                <c:pt idx="40">
                  <c:v>454.59743907080411</c:v>
                </c:pt>
                <c:pt idx="41">
                  <c:v>351.65830822367656</c:v>
                </c:pt>
                <c:pt idx="42">
                  <c:v>367.27255754339438</c:v>
                </c:pt>
                <c:pt idx="43">
                  <c:v>382.87232013864946</c:v>
                </c:pt>
                <c:pt idx="44">
                  <c:v>398.45826925810184</c:v>
                </c:pt>
                <c:pt idx="45">
                  <c:v>414.03102119238065</c:v>
                </c:pt>
                <c:pt idx="46">
                  <c:v>429.591142098538</c:v>
                </c:pt>
                <c:pt idx="47">
                  <c:v>445.1391537842141</c:v>
                </c:pt>
                <c:pt idx="48">
                  <c:v>460.67553864161073</c:v>
                </c:pt>
                <c:pt idx="49">
                  <c:v>476.20074388127472</c:v>
                </c:pt>
                <c:pt idx="50">
                  <c:v>491.71518518509475</c:v>
                </c:pt>
                <c:pt idx="51">
                  <c:v>430.6055065568043</c:v>
                </c:pt>
                <c:pt idx="52">
                  <c:v>442.09808097469619</c:v>
                </c:pt>
                <c:pt idx="53">
                  <c:v>453.58425425555083</c:v>
                </c:pt>
                <c:pt idx="54">
                  <c:v>465.06421135415462</c:v>
                </c:pt>
                <c:pt idx="55">
                  <c:v>476.53812734890556</c:v>
                </c:pt>
                <c:pt idx="56">
                  <c:v>488.00616819935334</c:v>
                </c:pt>
                <c:pt idx="57">
                  <c:v>499.46849142882706</c:v>
                </c:pt>
                <c:pt idx="58">
                  <c:v>510.92524674114156</c:v>
                </c:pt>
                <c:pt idx="59">
                  <c:v>522.37657657911507</c:v>
                </c:pt>
                <c:pt idx="60">
                  <c:v>533.82261663157112</c:v>
                </c:pt>
                <c:pt idx="61">
                  <c:v>491.5466064127836</c:v>
                </c:pt>
                <c:pt idx="62">
                  <c:v>499.80553357858707</c:v>
                </c:pt>
                <c:pt idx="63">
                  <c:v>508.06157199630115</c:v>
                </c:pt>
                <c:pt idx="64">
                  <c:v>516.3147752413438</c:v>
                </c:pt>
                <c:pt idx="65">
                  <c:v>524.5651950361904</c:v>
                </c:pt>
                <c:pt idx="66">
                  <c:v>532.8128813432246</c:v>
                </c:pt>
                <c:pt idx="67">
                  <c:v>541.05788245154292</c:v>
                </c:pt>
                <c:pt idx="68">
                  <c:v>549.30024505818926</c:v>
                </c:pt>
                <c:pt idx="69">
                  <c:v>557.54001434426425</c:v>
                </c:pt>
                <c:pt idx="70">
                  <c:v>565.7772340462966</c:v>
                </c:pt>
                <c:pt idx="71">
                  <c:v>528.60521663450174</c:v>
                </c:pt>
                <c:pt idx="72">
                  <c:v>535.16886787415797</c:v>
                </c:pt>
                <c:pt idx="73">
                  <c:v>541.73082666097946</c:v>
                </c:pt>
                <c:pt idx="74">
                  <c:v>548.29111639483494</c:v>
                </c:pt>
                <c:pt idx="75">
                  <c:v>554.84975986976053</c:v>
                </c:pt>
                <c:pt idx="76">
                  <c:v>561.40677929677668</c:v>
                </c:pt>
                <c:pt idx="77">
                  <c:v>567.96219632558564</c:v>
                </c:pt>
                <c:pt idx="78">
                  <c:v>574.51603206521338</c:v>
                </c:pt>
                <c:pt idx="79">
                  <c:v>581.06830710366069</c:v>
                </c:pt>
                <c:pt idx="80">
                  <c:v>587.61904152662237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2.1348347392367106</c:v>
                </c:pt>
                <c:pt idx="2">
                  <c:v>2.6915563514210823</c:v>
                </c:pt>
                <c:pt idx="3">
                  <c:v>3.3940330654724176</c:v>
                </c:pt>
                <c:pt idx="4">
                  <c:v>4.2805666661616186</c:v>
                </c:pt>
                <c:pt idx="5">
                  <c:v>5.3995588240726482</c:v>
                </c:pt>
                <c:pt idx="6">
                  <c:v>6.8121829098729174</c:v>
                </c:pt>
                <c:pt idx="7">
                  <c:v>8.5957646977583835</c:v>
                </c:pt>
                <c:pt idx="8">
                  <c:v>10.848060550555623</c:v>
                </c:pt>
                <c:pt idx="9">
                  <c:v>13.692671975651422</c:v>
                </c:pt>
                <c:pt idx="10">
                  <c:v>17.285899181438445</c:v>
                </c:pt>
                <c:pt idx="11">
                  <c:v>21.825417048959562</c:v>
                </c:pt>
                <c:pt idx="12">
                  <c:v>27.561259329649861</c:v>
                </c:pt>
                <c:pt idx="13">
                  <c:v>34.809726680001525</c:v>
                </c:pt>
                <c:pt idx="14">
                  <c:v>43.970998695353103</c:v>
                </c:pt>
                <c:pt idx="15">
                  <c:v>55.551438729053842</c:v>
                </c:pt>
                <c:pt idx="16">
                  <c:v>70.191844805518215</c:v>
                </c:pt>
                <c:pt idx="17">
                  <c:v>88.703235359865559</c:v>
                </c:pt>
                <c:pt idx="18">
                  <c:v>112.11218390015274</c:v>
                </c:pt>
                <c:pt idx="19">
                  <c:v>141.71825614727868</c:v>
                </c:pt>
                <c:pt idx="20">
                  <c:v>179.16678741707778</c:v>
                </c:pt>
                <c:pt idx="21">
                  <c:v>168.50982140403696</c:v>
                </c:pt>
                <c:pt idx="22">
                  <c:v>183.42535972935536</c:v>
                </c:pt>
                <c:pt idx="23">
                  <c:v>198.31254539082451</c:v>
                </c:pt>
                <c:pt idx="24">
                  <c:v>213.17380733743667</c:v>
                </c:pt>
                <c:pt idx="25">
                  <c:v>228.01120786322747</c:v>
                </c:pt>
                <c:pt idx="26">
                  <c:v>242.8265187332286</c:v>
                </c:pt>
                <c:pt idx="27">
                  <c:v>257.62127772428227</c:v>
                </c:pt>
                <c:pt idx="28">
                  <c:v>272.39683147829231</c:v>
                </c:pt>
                <c:pt idx="29">
                  <c:v>287.15436855951606</c:v>
                </c:pt>
                <c:pt idx="30">
                  <c:v>301.89494535388934</c:v>
                </c:pt>
                <c:pt idx="31">
                  <c:v>244.51836163877581</c:v>
                </c:pt>
                <c:pt idx="32">
                  <c:v>257.48046784349401</c:v>
                </c:pt>
                <c:pt idx="33">
                  <c:v>270.42782310427435</c:v>
                </c:pt>
                <c:pt idx="34">
                  <c:v>283.36123337871345</c:v>
                </c:pt>
                <c:pt idx="35">
                  <c:v>296.28142501216263</c:v>
                </c:pt>
                <c:pt idx="36">
                  <c:v>309.18905580466077</c:v>
                </c:pt>
                <c:pt idx="37">
                  <c:v>322.08472413201116</c:v>
                </c:pt>
                <c:pt idx="38">
                  <c:v>334.96897652893739</c:v>
                </c:pt>
                <c:pt idx="39">
                  <c:v>347.84231404401606</c:v>
                </c:pt>
                <c:pt idx="40">
                  <c:v>360.70519760433893</c:v>
                </c:pt>
                <c:pt idx="41">
                  <c:v>293.19298034625757</c:v>
                </c:pt>
                <c:pt idx="42">
                  <c:v>304.13970022013865</c:v>
                </c:pt>
                <c:pt idx="43">
                  <c:v>315.07765869370593</c:v>
                </c:pt>
                <c:pt idx="44">
                  <c:v>326.00720293449416</c:v>
                </c:pt>
                <c:pt idx="45">
                  <c:v>336.92865492077641</c:v>
                </c:pt>
                <c:pt idx="46">
                  <c:v>347.84231404401612</c:v>
                </c:pt>
                <c:pt idx="47">
                  <c:v>358.748459367507</c:v>
                </c:pt>
                <c:pt idx="48">
                  <c:v>369.64735159591163</c:v>
                </c:pt>
                <c:pt idx="49">
                  <c:v>380.53923480030829</c:v>
                </c:pt>
                <c:pt idx="50">
                  <c:v>391.42433793537316</c:v>
                </c:pt>
                <c:pt idx="51">
                  <c:v>323.76591506204619</c:v>
                </c:pt>
                <c:pt idx="52">
                  <c:v>333.00904545770453</c:v>
                </c:pt>
                <c:pt idx="53">
                  <c:v>342.24652151025947</c:v>
                </c:pt>
                <c:pt idx="54">
                  <c:v>351.47851745062457</c:v>
                </c:pt>
                <c:pt idx="55">
                  <c:v>360.70519760433905</c:v>
                </c:pt>
                <c:pt idx="56">
                  <c:v>369.9267171991865</c:v>
                </c:pt>
                <c:pt idx="57">
                  <c:v>379.14322308804412</c:v>
                </c:pt>
                <c:pt idx="58">
                  <c:v>388.35485439775078</c:v>
                </c:pt>
                <c:pt idx="59">
                  <c:v>397.56174311317324</c:v>
                </c:pt>
                <c:pt idx="60">
                  <c:v>406.76401460432822</c:v>
                </c:pt>
                <c:pt idx="61">
                  <c:v>346.16378539221347</c:v>
                </c:pt>
                <c:pt idx="62">
                  <c:v>353.99540526070876</c:v>
                </c:pt>
                <c:pt idx="63">
                  <c:v>361.8232294072007</c:v>
                </c:pt>
                <c:pt idx="64">
                  <c:v>369.64735159591191</c:v>
                </c:pt>
                <c:pt idx="65">
                  <c:v>377.46786129486048</c:v>
                </c:pt>
                <c:pt idx="66">
                  <c:v>385.28484395959794</c:v>
                </c:pt>
                <c:pt idx="67">
                  <c:v>393.09838129270634</c:v>
                </c:pt>
                <c:pt idx="68">
                  <c:v>400.90855148157783</c:v>
                </c:pt>
                <c:pt idx="69">
                  <c:v>408.71542941668878</c:v>
                </c:pt>
                <c:pt idx="70">
                  <c:v>416.5190868923217</c:v>
                </c:pt>
                <c:pt idx="71">
                  <c:v>363.08092490118628</c:v>
                </c:pt>
                <c:pt idx="72">
                  <c:v>369.64735159591197</c:v>
                </c:pt>
                <c:pt idx="73">
                  <c:v>376.21123372058287</c:v>
                </c:pt>
                <c:pt idx="74">
                  <c:v>382.77262197501415</c:v>
                </c:pt>
                <c:pt idx="75">
                  <c:v>389.3315651774754</c:v>
                </c:pt>
                <c:pt idx="76">
                  <c:v>395.88811036574526</c:v>
                </c:pt>
                <c:pt idx="77">
                  <c:v>402.44230289111488</c:v>
                </c:pt>
                <c:pt idx="78">
                  <c:v>408.99418650594743</c:v>
                </c:pt>
                <c:pt idx="79">
                  <c:v>415.5438034453295</c:v>
                </c:pt>
                <c:pt idx="80">
                  <c:v>422.09119450330428</c:v>
                </c:pt>
                <c:pt idx="81">
                  <c:v>376.07160279648741</c:v>
                </c:pt>
                <c:pt idx="82">
                  <c:v>381.65596392356247</c:v>
                </c:pt>
                <c:pt idx="83">
                  <c:v>387.23854818019021</c:v>
                </c:pt>
                <c:pt idx="84">
                  <c:v>392.81938482304889</c:v>
                </c:pt>
                <c:pt idx="85">
                  <c:v>398.39850220884665</c:v>
                </c:pt>
                <c:pt idx="86">
                  <c:v>403.97592783450415</c:v>
                </c:pt>
                <c:pt idx="87">
                  <c:v>409.55168837499906</c:v>
                </c:pt>
                <c:pt idx="88">
                  <c:v>415.12580971904339</c:v>
                </c:pt>
                <c:pt idx="89">
                  <c:v>420.69831700274108</c:v>
                </c:pt>
                <c:pt idx="90">
                  <c:v>426.2692346413703</c:v>
                </c:pt>
                <c:pt idx="91">
                  <c:v>383.05177541071242</c:v>
                </c:pt>
                <c:pt idx="92">
                  <c:v>383.05177541071242</c:v>
                </c:pt>
                <c:pt idx="93">
                  <c:v>383.05177541071242</c:v>
                </c:pt>
                <c:pt idx="94">
                  <c:v>383.05177541071242</c:v>
                </c:pt>
                <c:pt idx="95">
                  <c:v>383.05177541071242</c:v>
                </c:pt>
                <c:pt idx="96">
                  <c:v>383.05177541071242</c:v>
                </c:pt>
                <c:pt idx="97">
                  <c:v>383.05177541071242</c:v>
                </c:pt>
                <c:pt idx="98">
                  <c:v>383.05177541071242</c:v>
                </c:pt>
                <c:pt idx="99">
                  <c:v>383.05177541071242</c:v>
                </c:pt>
                <c:pt idx="100">
                  <c:v>383.05177541071242</c:v>
                </c:pt>
                <c:pt idx="101">
                  <c:v>383.05177541071242</c:v>
                </c:pt>
                <c:pt idx="102">
                  <c:v>383.05177541071242</c:v>
                </c:pt>
                <c:pt idx="103">
                  <c:v>383.05177541071242</c:v>
                </c:pt>
                <c:pt idx="104">
                  <c:v>383.05177541071242</c:v>
                </c:pt>
                <c:pt idx="105">
                  <c:v>383.05177541071242</c:v>
                </c:pt>
                <c:pt idx="106">
                  <c:v>383.05177541071242</c:v>
                </c:pt>
                <c:pt idx="107">
                  <c:v>383.05177541071242</c:v>
                </c:pt>
                <c:pt idx="108">
                  <c:v>383.05177541071242</c:v>
                </c:pt>
                <c:pt idx="109">
                  <c:v>383.05177541071242</c:v>
                </c:pt>
                <c:pt idx="110">
                  <c:v>383.05177541071242</c:v>
                </c:pt>
                <c:pt idx="111">
                  <c:v>383.05177541071242</c:v>
                </c:pt>
                <c:pt idx="112">
                  <c:v>383.05177541071242</c:v>
                </c:pt>
                <c:pt idx="113">
                  <c:v>383.05177541071242</c:v>
                </c:pt>
                <c:pt idx="114">
                  <c:v>383.05177541071242</c:v>
                </c:pt>
                <c:pt idx="115">
                  <c:v>383.05177541071242</c:v>
                </c:pt>
                <c:pt idx="116">
                  <c:v>383.05177541071242</c:v>
                </c:pt>
                <c:pt idx="117">
                  <c:v>383.05177541071242</c:v>
                </c:pt>
                <c:pt idx="118">
                  <c:v>383.05177541071242</c:v>
                </c:pt>
                <c:pt idx="119">
                  <c:v>383.05177541071242</c:v>
                </c:pt>
                <c:pt idx="120">
                  <c:v>383.05177541071242</c:v>
                </c:pt>
                <c:pt idx="121">
                  <c:v>383.05177541071242</c:v>
                </c:pt>
                <c:pt idx="122">
                  <c:v>383.05177541071242</c:v>
                </c:pt>
                <c:pt idx="123">
                  <c:v>383.05177541071242</c:v>
                </c:pt>
                <c:pt idx="124">
                  <c:v>383.05177541071242</c:v>
                </c:pt>
                <c:pt idx="125">
                  <c:v>383.05177541071242</c:v>
                </c:pt>
                <c:pt idx="126">
                  <c:v>383.05177541071242</c:v>
                </c:pt>
                <c:pt idx="127">
                  <c:v>383.05177541071242</c:v>
                </c:pt>
                <c:pt idx="128">
                  <c:v>383.05177541071242</c:v>
                </c:pt>
                <c:pt idx="129">
                  <c:v>383.05177541071242</c:v>
                </c:pt>
                <c:pt idx="130">
                  <c:v>383.05177541071242</c:v>
                </c:pt>
                <c:pt idx="131">
                  <c:v>383.05177541071242</c:v>
                </c:pt>
                <c:pt idx="132">
                  <c:v>383.05177541071242</c:v>
                </c:pt>
                <c:pt idx="133">
                  <c:v>383.05177541071242</c:v>
                </c:pt>
                <c:pt idx="134">
                  <c:v>383.05177541071242</c:v>
                </c:pt>
                <c:pt idx="135">
                  <c:v>383.05177541071242</c:v>
                </c:pt>
                <c:pt idx="136">
                  <c:v>383.05177541071242</c:v>
                </c:pt>
                <c:pt idx="137">
                  <c:v>383.05177541071242</c:v>
                </c:pt>
                <c:pt idx="138">
                  <c:v>383.05177541071242</c:v>
                </c:pt>
                <c:pt idx="139">
                  <c:v>383.05177541071242</c:v>
                </c:pt>
                <c:pt idx="140">
                  <c:v>383.05177541071242</c:v>
                </c:pt>
                <c:pt idx="141">
                  <c:v>383.05177541071242</c:v>
                </c:pt>
                <c:pt idx="142">
                  <c:v>383.05177541071242</c:v>
                </c:pt>
                <c:pt idx="143">
                  <c:v>383.05177541071242</c:v>
                </c:pt>
                <c:pt idx="144">
                  <c:v>383.05177541071242</c:v>
                </c:pt>
                <c:pt idx="145">
                  <c:v>383.05177541071242</c:v>
                </c:pt>
                <c:pt idx="146">
                  <c:v>383.05177541071242</c:v>
                </c:pt>
                <c:pt idx="147">
                  <c:v>383.05177541071242</c:v>
                </c:pt>
                <c:pt idx="148">
                  <c:v>383.05177541071242</c:v>
                </c:pt>
                <c:pt idx="149">
                  <c:v>383.05177541071242</c:v>
                </c:pt>
                <c:pt idx="150">
                  <c:v>383.05177541071242</c:v>
                </c:pt>
                <c:pt idx="151">
                  <c:v>383.05177541071242</c:v>
                </c:pt>
                <c:pt idx="152">
                  <c:v>383.05177541071242</c:v>
                </c:pt>
                <c:pt idx="153">
                  <c:v>383.05177541071242</c:v>
                </c:pt>
                <c:pt idx="154">
                  <c:v>383.05177541071242</c:v>
                </c:pt>
                <c:pt idx="155">
                  <c:v>383.05177541071242</c:v>
                </c:pt>
                <c:pt idx="156">
                  <c:v>383.05177541071242</c:v>
                </c:pt>
                <c:pt idx="157">
                  <c:v>383.05177541071242</c:v>
                </c:pt>
                <c:pt idx="158">
                  <c:v>383.05177541071242</c:v>
                </c:pt>
                <c:pt idx="159">
                  <c:v>383.05177541071242</c:v>
                </c:pt>
                <c:pt idx="160">
                  <c:v>383.05177541071242</c:v>
                </c:pt>
                <c:pt idx="161">
                  <c:v>383.05177541071242</c:v>
                </c:pt>
                <c:pt idx="162">
                  <c:v>383.05177541071242</c:v>
                </c:pt>
                <c:pt idx="163">
                  <c:v>383.05177541071242</c:v>
                </c:pt>
                <c:pt idx="164">
                  <c:v>383.05177541071242</c:v>
                </c:pt>
                <c:pt idx="165">
                  <c:v>383.05177541071242</c:v>
                </c:pt>
                <c:pt idx="166">
                  <c:v>383.05177541071242</c:v>
                </c:pt>
                <c:pt idx="167">
                  <c:v>383.05177541071242</c:v>
                </c:pt>
                <c:pt idx="168">
                  <c:v>383.05177541071242</c:v>
                </c:pt>
                <c:pt idx="169">
                  <c:v>383.05177541071242</c:v>
                </c:pt>
                <c:pt idx="170">
                  <c:v>383.05177541071242</c:v>
                </c:pt>
                <c:pt idx="171">
                  <c:v>383.05177541071242</c:v>
                </c:pt>
                <c:pt idx="172">
                  <c:v>383.05177541071242</c:v>
                </c:pt>
                <c:pt idx="173">
                  <c:v>383.05177541071242</c:v>
                </c:pt>
                <c:pt idx="174">
                  <c:v>383.05177541071242</c:v>
                </c:pt>
                <c:pt idx="175">
                  <c:v>383.05177541071242</c:v>
                </c:pt>
                <c:pt idx="176">
                  <c:v>383.05177541071242</c:v>
                </c:pt>
                <c:pt idx="177">
                  <c:v>383.05177541071242</c:v>
                </c:pt>
                <c:pt idx="178">
                  <c:v>383.05177541071242</c:v>
                </c:pt>
                <c:pt idx="179">
                  <c:v>383.05177541071242</c:v>
                </c:pt>
                <c:pt idx="180">
                  <c:v>383.05177541071242</c:v>
                </c:pt>
                <c:pt idx="181">
                  <c:v>383.05177541071242</c:v>
                </c:pt>
                <c:pt idx="182">
                  <c:v>383.05177541071242</c:v>
                </c:pt>
                <c:pt idx="183">
                  <c:v>383.05177541071242</c:v>
                </c:pt>
                <c:pt idx="184">
                  <c:v>383.05177541071242</c:v>
                </c:pt>
                <c:pt idx="185">
                  <c:v>383.05177541071242</c:v>
                </c:pt>
                <c:pt idx="186">
                  <c:v>383.05177541071242</c:v>
                </c:pt>
                <c:pt idx="187">
                  <c:v>383.05177541071242</c:v>
                </c:pt>
                <c:pt idx="188">
                  <c:v>383.05177541071242</c:v>
                </c:pt>
                <c:pt idx="189">
                  <c:v>383.05177541071242</c:v>
                </c:pt>
                <c:pt idx="190">
                  <c:v>383.05177541071242</c:v>
                </c:pt>
                <c:pt idx="191">
                  <c:v>383.05177541071242</c:v>
                </c:pt>
                <c:pt idx="192">
                  <c:v>383.05177541071242</c:v>
                </c:pt>
                <c:pt idx="193">
                  <c:v>383.05177541071242</c:v>
                </c:pt>
                <c:pt idx="194">
                  <c:v>383.05177541071242</c:v>
                </c:pt>
                <c:pt idx="195">
                  <c:v>383.05177541071242</c:v>
                </c:pt>
                <c:pt idx="196">
                  <c:v>383.05177541071242</c:v>
                </c:pt>
                <c:pt idx="197">
                  <c:v>383.05177541071242</c:v>
                </c:pt>
                <c:pt idx="198">
                  <c:v>383.05177541071242</c:v>
                </c:pt>
                <c:pt idx="199">
                  <c:v>383.05177541071242</c:v>
                </c:pt>
                <c:pt idx="200">
                  <c:v>383.05177541071242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4.4" x14ac:dyDescent="0.3"/>
  <cols>
    <col min="1" max="1" width="6.6640625" customWidth="1"/>
    <col min="2" max="13" width="15.88671875" customWidth="1"/>
  </cols>
  <sheetData>
    <row r="12" spans="2:13" ht="15" customHeight="1" x14ac:dyDescent="0.3">
      <c r="B12" s="257" t="s">
        <v>291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 x14ac:dyDescent="0.3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 x14ac:dyDescent="0.3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 x14ac:dyDescent="0.3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 x14ac:dyDescent="0.3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 x14ac:dyDescent="0.3">
      <c r="B18" s="257" t="s">
        <v>292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 x14ac:dyDescent="0.3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 x14ac:dyDescent="0.3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 x14ac:dyDescent="0.3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 x14ac:dyDescent="0.3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 x14ac:dyDescent="0.3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 x14ac:dyDescent="0.3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 x14ac:dyDescent="0.3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 x14ac:dyDescent="0.3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 x14ac:dyDescent="0.3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 x14ac:dyDescent="0.3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 x14ac:dyDescent="0.3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 x14ac:dyDescent="0.3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 x14ac:dyDescent="0.3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abSelected="1" zoomScale="80" zoomScaleNormal="80" workbookViewId="0">
      <selection activeCell="C9" sqref="C9"/>
    </sheetView>
  </sheetViews>
  <sheetFormatPr baseColWidth="10" defaultColWidth="11.44140625" defaultRowHeight="14.4" x14ac:dyDescent="0.3"/>
  <cols>
    <col min="1" max="1" width="13.6640625" style="23" customWidth="1"/>
    <col min="2" max="2" width="36.109375" style="23" customWidth="1"/>
    <col min="3" max="3" width="14.88671875" style="23" bestFit="1" customWidth="1"/>
    <col min="4" max="4" width="16.44140625" style="23" customWidth="1"/>
    <col min="5" max="5" width="23.33203125" style="23" customWidth="1"/>
    <col min="6" max="6" width="28.88671875" style="23" bestFit="1" customWidth="1"/>
    <col min="7" max="8" width="14.6640625" style="23" customWidth="1"/>
    <col min="9" max="9" width="17" style="23" customWidth="1"/>
    <col min="10" max="10" width="13.88671875" style="23" customWidth="1"/>
    <col min="11" max="16384" width="11.44140625" style="23"/>
  </cols>
  <sheetData>
    <row r="1" spans="1:38" x14ac:dyDescent="0.3">
      <c r="A1" s="4"/>
      <c r="B1" s="4"/>
      <c r="C1" s="258" t="s">
        <v>190</v>
      </c>
      <c r="D1" s="258"/>
      <c r="E1" s="258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35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4" thickBot="1" x14ac:dyDescent="0.35">
      <c r="A3" s="4"/>
      <c r="B3" s="263" t="s">
        <v>192</v>
      </c>
      <c r="C3" s="264"/>
      <c r="D3" s="264"/>
      <c r="E3" s="264"/>
      <c r="F3" s="265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5.8" x14ac:dyDescent="0.3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5.8" x14ac:dyDescent="0.3">
      <c r="A5" s="268" t="s">
        <v>231</v>
      </c>
      <c r="B5" s="268"/>
      <c r="C5" s="24">
        <v>5.71</v>
      </c>
      <c r="D5" s="269" t="s">
        <v>229</v>
      </c>
      <c r="E5" s="270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5.8" x14ac:dyDescent="0.3">
      <c r="A7" s="267" t="s">
        <v>226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">
      <c r="A9" s="30" t="s">
        <v>165</v>
      </c>
      <c r="B9" s="31" t="s">
        <v>18</v>
      </c>
      <c r="C9" s="32">
        <v>0.39</v>
      </c>
      <c r="D9" s="33">
        <f t="shared" ref="D9:D18" si="0">C9*$C$5</f>
        <v>2.2269000000000001</v>
      </c>
      <c r="E9" s="34">
        <v>54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">
      <c r="A10" s="30" t="s">
        <v>166</v>
      </c>
      <c r="B10" s="31" t="s">
        <v>27</v>
      </c>
      <c r="C10" s="32">
        <v>0.39</v>
      </c>
      <c r="D10" s="33">
        <f t="shared" si="0"/>
        <v>2.2269000000000001</v>
      </c>
      <c r="E10" s="34">
        <v>80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">
      <c r="A11" s="30" t="s">
        <v>167</v>
      </c>
      <c r="B11" s="31" t="s">
        <v>23</v>
      </c>
      <c r="C11" s="32">
        <v>0.19</v>
      </c>
      <c r="D11" s="33">
        <f t="shared" si="0"/>
        <v>1.0849</v>
      </c>
      <c r="E11" s="34">
        <v>80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">
      <c r="A12" s="30" t="s">
        <v>168</v>
      </c>
      <c r="B12" s="31" t="s">
        <v>4</v>
      </c>
      <c r="C12" s="32">
        <v>0.03</v>
      </c>
      <c r="D12" s="33">
        <f t="shared" si="0"/>
        <v>0.17129999999999998</v>
      </c>
      <c r="E12" s="34">
        <v>90</v>
      </c>
      <c r="F12" s="35" t="str">
        <f t="array" ref="F12">IF(E12="","",IF(INDEX(A:A,MAX(IF(ISNUMBER($A$114:$A$133),ROW($A$114:$A$133),"")))&lt;&gt;E12,"Corrigez : révolution incorrecte","OK"))</f>
        <v>OK</v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">
      <c r="A19" s="78"/>
      <c r="B19" s="36" t="s">
        <v>175</v>
      </c>
      <c r="C19" s="37">
        <f>SUM(C9:C18)</f>
        <v>1</v>
      </c>
      <c r="D19" s="38">
        <f>SUM(D9:D18)</f>
        <v>5.71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4">
      <c r="A22" s="266" t="s">
        <v>232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">
      <c r="A26" s="41" t="s">
        <v>222</v>
      </c>
      <c r="B26" s="42" t="s">
        <v>221</v>
      </c>
      <c r="C26" s="43">
        <v>0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">
      <c r="A30" s="267" t="s">
        <v>227</v>
      </c>
      <c r="B30" s="26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">
      <c r="A32" s="46" t="s">
        <v>165</v>
      </c>
      <c r="B32" s="47" t="str">
        <f>IF(B9="","",B9)</f>
        <v>Douglas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">
      <c r="A34" s="4"/>
      <c r="B34" s="85" t="s">
        <v>185</v>
      </c>
      <c r="C34" s="259" t="s">
        <v>186</v>
      </c>
      <c r="D34" s="259"/>
      <c r="E34" s="260" t="s">
        <v>187</v>
      </c>
      <c r="F34" s="261"/>
      <c r="G34" s="261"/>
      <c r="H34" s="262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2" x14ac:dyDescent="0.3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">
      <c r="A36" s="50">
        <v>17</v>
      </c>
      <c r="B36" s="60">
        <f>207.67/1.3</f>
        <v>159.74615384615385</v>
      </c>
      <c r="C36" s="60"/>
      <c r="D36" s="60"/>
      <c r="E36" s="51"/>
      <c r="F36" s="51"/>
      <c r="G36" s="51"/>
      <c r="H36" s="51"/>
      <c r="I36" s="49">
        <f>IFERROR(B36/A36,"")</f>
        <v>9.3968325791855207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">
      <c r="A37" s="50">
        <v>18</v>
      </c>
      <c r="B37" s="60">
        <f>237.76/1.3</f>
        <v>182.89230769230767</v>
      </c>
      <c r="C37" s="60">
        <v>1</v>
      </c>
      <c r="D37" s="60">
        <f>90.07/1.3</f>
        <v>69.284615384615378</v>
      </c>
      <c r="E37" s="51"/>
      <c r="F37" s="51">
        <v>0.5</v>
      </c>
      <c r="G37" s="51">
        <v>0.5</v>
      </c>
      <c r="H37" s="51"/>
      <c r="I37" s="53">
        <f t="shared" ref="I37:I55" si="1">IF(A37&lt;&gt;0,(B37-(B36-D36))/(A37-A36),"")</f>
        <v>23.146153846153823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">
      <c r="A38" s="50">
        <v>24</v>
      </c>
      <c r="B38" s="60">
        <f>308.83/1.3</f>
        <v>237.56153846153845</v>
      </c>
      <c r="C38" s="60">
        <v>2</v>
      </c>
      <c r="D38" s="60">
        <f>55.46/1.3</f>
        <v>42.661538461538463</v>
      </c>
      <c r="E38" s="51">
        <v>0.2</v>
      </c>
      <c r="F38" s="51">
        <v>0.4</v>
      </c>
      <c r="G38" s="51">
        <v>0.4</v>
      </c>
      <c r="H38" s="51"/>
      <c r="I38" s="53">
        <f t="shared" si="1"/>
        <v>20.658974358974358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">
      <c r="A39" s="50">
        <v>30</v>
      </c>
      <c r="B39" s="60">
        <f>431.43/1.3</f>
        <v>331.86923076923074</v>
      </c>
      <c r="C39" s="60">
        <v>3</v>
      </c>
      <c r="D39" s="60">
        <f>85.37/1.3</f>
        <v>65.669230769230765</v>
      </c>
      <c r="E39" s="51"/>
      <c r="F39" s="51"/>
      <c r="G39" s="51"/>
      <c r="H39" s="51"/>
      <c r="I39" s="49">
        <f t="shared" si="1"/>
        <v>22.828205128205127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">
      <c r="A40" s="50">
        <v>36</v>
      </c>
      <c r="B40" s="60">
        <f>524.56/1.3</f>
        <v>403.50769230769225</v>
      </c>
      <c r="C40" s="60">
        <v>4</v>
      </c>
      <c r="D40" s="60">
        <f>90.09/1.3</f>
        <v>69.3</v>
      </c>
      <c r="E40" s="51"/>
      <c r="F40" s="51"/>
      <c r="G40" s="51"/>
      <c r="H40" s="51"/>
      <c r="I40" s="49">
        <f t="shared" si="1"/>
        <v>22.884615384615376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">
      <c r="A41" s="50">
        <v>42</v>
      </c>
      <c r="B41" s="60">
        <f>609.34/1.3</f>
        <v>468.72307692307692</v>
      </c>
      <c r="C41" s="60">
        <v>5</v>
      </c>
      <c r="D41" s="60">
        <f>95.41/1.3</f>
        <v>73.392307692307682</v>
      </c>
      <c r="E41" s="51"/>
      <c r="F41" s="51"/>
      <c r="G41" s="51"/>
      <c r="H41" s="51"/>
      <c r="I41" s="53">
        <f t="shared" si="1"/>
        <v>22.419230769230779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">
      <c r="A42" s="50">
        <v>48</v>
      </c>
      <c r="B42" s="60">
        <f>682.61/1.3</f>
        <v>525.0846153846154</v>
      </c>
      <c r="C42" s="60">
        <v>6</v>
      </c>
      <c r="D42" s="60">
        <f>105.73/1.3</f>
        <v>81.330769230769235</v>
      </c>
      <c r="E42" s="51"/>
      <c r="F42" s="51"/>
      <c r="G42" s="51"/>
      <c r="H42" s="51"/>
      <c r="I42" s="53">
        <f t="shared" si="1"/>
        <v>21.625641025641027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">
      <c r="A43" s="50">
        <v>54</v>
      </c>
      <c r="B43" s="60">
        <f>736.84/1.3</f>
        <v>566.79999999999995</v>
      </c>
      <c r="C43" s="60">
        <v>7</v>
      </c>
      <c r="D43" s="60">
        <f>736.84/1.3</f>
        <v>566.79999999999995</v>
      </c>
      <c r="E43" s="51"/>
      <c r="F43" s="51"/>
      <c r="G43" s="51"/>
      <c r="H43" s="51"/>
      <c r="I43" s="49">
        <f t="shared" si="1"/>
        <v>20.507692307692299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">
      <c r="A44" s="50"/>
      <c r="B44" s="60"/>
      <c r="C44" s="60"/>
      <c r="D44" s="60"/>
      <c r="E44" s="51"/>
      <c r="F44" s="51"/>
      <c r="G44" s="51"/>
      <c r="H44" s="51"/>
      <c r="I44" s="49" t="str">
        <f t="shared" si="1"/>
        <v/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">
      <c r="A45" s="50"/>
      <c r="B45" s="60"/>
      <c r="C45" s="60"/>
      <c r="D45" s="60"/>
      <c r="E45" s="51"/>
      <c r="F45" s="51"/>
      <c r="G45" s="51"/>
      <c r="H45" s="51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">
      <c r="A58" s="46" t="s">
        <v>166</v>
      </c>
      <c r="B58" s="52" t="str">
        <f>IF(B10="","",B10)</f>
        <v>Mélèze d'Europe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">
      <c r="A60" s="4"/>
      <c r="B60" s="85" t="s">
        <v>185</v>
      </c>
      <c r="C60" s="259" t="s">
        <v>186</v>
      </c>
      <c r="D60" s="259"/>
      <c r="E60" s="260" t="s">
        <v>187</v>
      </c>
      <c r="F60" s="261"/>
      <c r="G60" s="261"/>
      <c r="H60" s="262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2" x14ac:dyDescent="0.3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">
      <c r="A62" s="50">
        <v>20</v>
      </c>
      <c r="B62" s="60">
        <v>158</v>
      </c>
      <c r="C62" s="60">
        <v>1</v>
      </c>
      <c r="D62" s="60">
        <v>60</v>
      </c>
      <c r="E62" s="51"/>
      <c r="F62" s="51">
        <v>0.5</v>
      </c>
      <c r="G62" s="51">
        <v>0.5</v>
      </c>
      <c r="H62" s="51"/>
      <c r="I62" s="53">
        <f>IFERROR(B62/A62,"")</f>
        <v>7.9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">
      <c r="A63" s="50">
        <v>30</v>
      </c>
      <c r="B63" s="60">
        <v>263</v>
      </c>
      <c r="C63" s="60">
        <v>2</v>
      </c>
      <c r="D63" s="60">
        <v>84</v>
      </c>
      <c r="E63" s="51">
        <v>0.2</v>
      </c>
      <c r="F63" s="51">
        <v>0.4</v>
      </c>
      <c r="G63" s="51">
        <v>0.4</v>
      </c>
      <c r="H63" s="51"/>
      <c r="I63" s="49">
        <f>IF(A63&lt;&gt;0,(B63-(B62-D62))/(A63-A62),"")</f>
        <v>16.5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">
      <c r="A64" s="50">
        <v>40</v>
      </c>
      <c r="B64" s="60">
        <v>330</v>
      </c>
      <c r="C64" s="60">
        <v>3</v>
      </c>
      <c r="D64" s="60">
        <v>82</v>
      </c>
      <c r="E64" s="51"/>
      <c r="F64" s="51"/>
      <c r="G64" s="51"/>
      <c r="H64" s="51"/>
      <c r="I64" s="49">
        <f>IF(A64&lt;&gt;0,(B64-(B63-D63))/(A64-A63),"")</f>
        <v>15.1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">
      <c r="A65" s="50">
        <v>50</v>
      </c>
      <c r="B65" s="60">
        <v>372</v>
      </c>
      <c r="C65" s="60">
        <v>4</v>
      </c>
      <c r="D65" s="60">
        <v>68</v>
      </c>
      <c r="E65" s="51"/>
      <c r="F65" s="51"/>
      <c r="G65" s="51"/>
      <c r="H65" s="51"/>
      <c r="I65" s="49">
        <f>IF(A65&lt;&gt;0,(B65-(B64-D64))/(A65-A64),"")</f>
        <v>12.4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">
      <c r="A66" s="50">
        <v>60</v>
      </c>
      <c r="B66" s="60">
        <v>404</v>
      </c>
      <c r="C66" s="60">
        <v>5</v>
      </c>
      <c r="D66" s="60">
        <v>55</v>
      </c>
      <c r="E66" s="51"/>
      <c r="F66" s="51"/>
      <c r="G66" s="51"/>
      <c r="H66" s="51"/>
      <c r="I66" s="49">
        <f t="shared" ref="I66:I81" si="2">IF(A66&lt;&gt;0,(B66-(B65-D65))/(A66-A65),"")</f>
        <v>10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">
      <c r="A67" s="50">
        <v>70</v>
      </c>
      <c r="B67" s="60">
        <v>427</v>
      </c>
      <c r="C67" s="60">
        <v>6</v>
      </c>
      <c r="D67" s="60">
        <v>45</v>
      </c>
      <c r="E67" s="51"/>
      <c r="F67" s="51"/>
      <c r="G67" s="51"/>
      <c r="H67" s="51"/>
      <c r="I67" s="49">
        <f t="shared" si="2"/>
        <v>7.8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">
      <c r="A68" s="50">
        <v>80</v>
      </c>
      <c r="B68" s="60">
        <f>406+36</f>
        <v>442</v>
      </c>
      <c r="C68" s="60">
        <v>7</v>
      </c>
      <c r="D68" s="60">
        <f>B68</f>
        <v>442</v>
      </c>
      <c r="E68" s="51"/>
      <c r="F68" s="51"/>
      <c r="G68" s="51"/>
      <c r="H68" s="51"/>
      <c r="I68" s="49">
        <f t="shared" si="2"/>
        <v>6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">
      <c r="A69" s="50"/>
      <c r="B69" s="50"/>
      <c r="C69" s="50"/>
      <c r="D69" s="50"/>
      <c r="E69" s="51"/>
      <c r="F69" s="51"/>
      <c r="G69" s="51"/>
      <c r="H69" s="51"/>
      <c r="I69" s="49" t="str">
        <f t="shared" si="2"/>
        <v/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">
      <c r="A70" s="50"/>
      <c r="B70" s="50"/>
      <c r="C70" s="50"/>
      <c r="D70" s="50"/>
      <c r="E70" s="51"/>
      <c r="F70" s="51"/>
      <c r="G70" s="51"/>
      <c r="H70" s="51"/>
      <c r="I70" s="49" t="str">
        <f t="shared" si="2"/>
        <v/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">
      <c r="A71" s="50"/>
      <c r="B71" s="50"/>
      <c r="C71" s="50"/>
      <c r="D71" s="50"/>
      <c r="E71" s="51"/>
      <c r="F71" s="51"/>
      <c r="G71" s="51"/>
      <c r="H71" s="51"/>
      <c r="I71" s="49" t="str">
        <f t="shared" si="2"/>
        <v/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">
      <c r="A72" s="50"/>
      <c r="B72" s="50"/>
      <c r="C72" s="50"/>
      <c r="D72" s="50"/>
      <c r="E72" s="51"/>
      <c r="F72" s="51"/>
      <c r="G72" s="51"/>
      <c r="H72" s="51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">
      <c r="A84" s="46" t="s">
        <v>167</v>
      </c>
      <c r="B84" s="52" t="str">
        <f>IF(B11="","",B11)</f>
        <v>Erable sycomore</v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">
      <c r="A86" s="4"/>
      <c r="B86" s="85" t="s">
        <v>185</v>
      </c>
      <c r="C86" s="259" t="s">
        <v>186</v>
      </c>
      <c r="D86" s="259"/>
      <c r="E86" s="260" t="s">
        <v>187</v>
      </c>
      <c r="F86" s="261"/>
      <c r="G86" s="261"/>
      <c r="H86" s="262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2" x14ac:dyDescent="0.3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">
      <c r="A88" s="50">
        <v>10</v>
      </c>
      <c r="B88" s="60">
        <v>11</v>
      </c>
      <c r="C88" s="60"/>
      <c r="D88" s="60"/>
      <c r="E88" s="51"/>
      <c r="F88" s="51">
        <v>0.25</v>
      </c>
      <c r="G88" s="51">
        <v>0.25</v>
      </c>
      <c r="H88" s="87">
        <v>0.5</v>
      </c>
      <c r="I88" s="53">
        <f>IFERROR(B88/A88,"")</f>
        <v>1.1000000000000001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">
      <c r="A89" s="50">
        <v>20</v>
      </c>
      <c r="B89" s="60">
        <v>134</v>
      </c>
      <c r="C89" s="60">
        <v>1</v>
      </c>
      <c r="D89" s="60">
        <f>32+35</f>
        <v>67</v>
      </c>
      <c r="E89" s="51"/>
      <c r="F89" s="51">
        <v>0.25</v>
      </c>
      <c r="G89" s="51">
        <v>0.25</v>
      </c>
      <c r="H89" s="87">
        <v>0.5</v>
      </c>
      <c r="I89" s="53">
        <f t="shared" ref="I89:I107" si="3">IF(A89&lt;&gt;0,(B89-(B88-D88))/(A89-A88),"")</f>
        <v>12.3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">
      <c r="A90" s="50">
        <v>30</v>
      </c>
      <c r="B90" s="60">
        <v>212</v>
      </c>
      <c r="C90" s="60">
        <v>2</v>
      </c>
      <c r="D90" s="60">
        <f>35+35</f>
        <v>70</v>
      </c>
      <c r="E90" s="87">
        <v>0.1</v>
      </c>
      <c r="F90" s="87">
        <v>0.45</v>
      </c>
      <c r="G90" s="87">
        <v>0.45</v>
      </c>
      <c r="H90" s="87"/>
      <c r="I90" s="53">
        <f t="shared" si="3"/>
        <v>14.5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">
      <c r="A91" s="50">
        <v>40</v>
      </c>
      <c r="B91" s="60">
        <v>263</v>
      </c>
      <c r="C91" s="60">
        <v>3</v>
      </c>
      <c r="D91" s="60">
        <f>35+35</f>
        <v>70</v>
      </c>
      <c r="E91" s="87"/>
      <c r="F91" s="87"/>
      <c r="G91" s="87"/>
      <c r="H91" s="87"/>
      <c r="I91" s="53">
        <f t="shared" si="3"/>
        <v>12.1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">
      <c r="A92" s="50">
        <v>50</v>
      </c>
      <c r="B92" s="60">
        <v>285</v>
      </c>
      <c r="C92" s="60">
        <v>4</v>
      </c>
      <c r="D92" s="60">
        <f>24+19</f>
        <v>43</v>
      </c>
      <c r="E92" s="87"/>
      <c r="F92" s="87"/>
      <c r="G92" s="87"/>
      <c r="H92" s="87"/>
      <c r="I92" s="53">
        <f t="shared" si="3"/>
        <v>9.1999999999999993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">
      <c r="A93" s="50">
        <v>60</v>
      </c>
      <c r="B93" s="60">
        <v>310</v>
      </c>
      <c r="C93" s="60">
        <v>5</v>
      </c>
      <c r="D93" s="60">
        <f>16+14</f>
        <v>30</v>
      </c>
      <c r="E93" s="87"/>
      <c r="F93" s="87"/>
      <c r="G93" s="87"/>
      <c r="H93" s="87"/>
      <c r="I93" s="53">
        <f t="shared" si="3"/>
        <v>6.8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">
      <c r="A94" s="50">
        <v>70</v>
      </c>
      <c r="B94" s="60">
        <v>329</v>
      </c>
      <c r="C94" s="60">
        <v>6</v>
      </c>
      <c r="D94" s="60">
        <f>13+13</f>
        <v>26</v>
      </c>
      <c r="E94" s="87"/>
      <c r="F94" s="87"/>
      <c r="G94" s="87"/>
      <c r="H94" s="87"/>
      <c r="I94" s="53">
        <f t="shared" si="3"/>
        <v>4.9000000000000004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">
      <c r="A95" s="60">
        <v>80</v>
      </c>
      <c r="B95" s="60">
        <f>319+12+11</f>
        <v>342</v>
      </c>
      <c r="C95" s="60">
        <v>7</v>
      </c>
      <c r="D95" s="60">
        <f>B95</f>
        <v>342</v>
      </c>
      <c r="E95" s="87"/>
      <c r="F95" s="87"/>
      <c r="G95" s="87"/>
      <c r="H95" s="87"/>
      <c r="I95" s="53">
        <f t="shared" si="3"/>
        <v>3.9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">
      <c r="A96" s="60"/>
      <c r="B96" s="60"/>
      <c r="C96" s="60"/>
      <c r="D96" s="60"/>
      <c r="E96" s="87"/>
      <c r="F96" s="87"/>
      <c r="G96" s="87"/>
      <c r="H96" s="87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">
      <c r="A97" s="60"/>
      <c r="B97" s="60"/>
      <c r="C97" s="60"/>
      <c r="D97" s="60"/>
      <c r="E97" s="87"/>
      <c r="F97" s="87"/>
      <c r="G97" s="87"/>
      <c r="H97" s="87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">
      <c r="A98" s="60"/>
      <c r="B98" s="60"/>
      <c r="C98" s="60"/>
      <c r="D98" s="60"/>
      <c r="E98" s="87"/>
      <c r="F98" s="87"/>
      <c r="G98" s="87"/>
      <c r="H98" s="87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">
      <c r="A99" s="60"/>
      <c r="B99" s="60"/>
      <c r="C99" s="60"/>
      <c r="D99" s="60"/>
      <c r="E99" s="87"/>
      <c r="F99" s="87"/>
      <c r="G99" s="87"/>
      <c r="H99" s="87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">
      <c r="A110" s="46" t="s">
        <v>168</v>
      </c>
      <c r="B110" s="52" t="str">
        <f>IF(B12="","",B12)</f>
        <v>Aulne glutineux</v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">
      <c r="A112" s="4"/>
      <c r="B112" s="85" t="s">
        <v>185</v>
      </c>
      <c r="C112" s="259" t="s">
        <v>186</v>
      </c>
      <c r="D112" s="259"/>
      <c r="E112" s="260" t="s">
        <v>187</v>
      </c>
      <c r="F112" s="261"/>
      <c r="G112" s="261"/>
      <c r="H112" s="262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2" x14ac:dyDescent="0.3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">
      <c r="A114" s="50">
        <v>20</v>
      </c>
      <c r="B114" s="60">
        <f>105+18</f>
        <v>123</v>
      </c>
      <c r="C114" s="50">
        <v>1</v>
      </c>
      <c r="D114" s="60">
        <v>18</v>
      </c>
      <c r="E114" s="51"/>
      <c r="F114" s="51">
        <v>0.25</v>
      </c>
      <c r="G114" s="51">
        <v>0.25</v>
      </c>
      <c r="H114" s="51">
        <v>0.5</v>
      </c>
      <c r="I114" s="53">
        <f>IFERROR(B114/A114,"")</f>
        <v>6.15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">
      <c r="A115" s="50">
        <v>30</v>
      </c>
      <c r="B115" s="60">
        <f>160+50</f>
        <v>210</v>
      </c>
      <c r="C115" s="50">
        <v>2</v>
      </c>
      <c r="D115" s="60">
        <v>50</v>
      </c>
      <c r="E115" s="51">
        <v>0.1</v>
      </c>
      <c r="F115" s="51">
        <v>0.45</v>
      </c>
      <c r="G115" s="51">
        <v>0.45</v>
      </c>
      <c r="H115" s="51"/>
      <c r="I115" s="53">
        <f t="shared" ref="I115:I133" si="4">IF(A115&lt;&gt;0,(B115-(B114-D114))/(A115-A114),"")</f>
        <v>10.5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">
      <c r="A116" s="50">
        <v>40</v>
      </c>
      <c r="B116" s="60">
        <f>196+56</f>
        <v>252</v>
      </c>
      <c r="C116" s="50">
        <v>3</v>
      </c>
      <c r="D116" s="60">
        <v>56</v>
      </c>
      <c r="E116" s="51"/>
      <c r="F116" s="51"/>
      <c r="G116" s="51"/>
      <c r="H116" s="51"/>
      <c r="I116" s="53">
        <f t="shared" si="4"/>
        <v>9.1999999999999993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">
      <c r="A117" s="50">
        <v>50</v>
      </c>
      <c r="B117" s="60">
        <f>219+55</f>
        <v>274</v>
      </c>
      <c r="C117" s="50">
        <v>4</v>
      </c>
      <c r="D117" s="60">
        <v>55</v>
      </c>
      <c r="E117" s="51"/>
      <c r="F117" s="51"/>
      <c r="G117" s="51"/>
      <c r="H117" s="51"/>
      <c r="I117" s="53">
        <f t="shared" si="4"/>
        <v>7.8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">
      <c r="A118" s="50">
        <v>60</v>
      </c>
      <c r="B118" s="60">
        <f>236+49</f>
        <v>285</v>
      </c>
      <c r="C118" s="50">
        <v>5</v>
      </c>
      <c r="D118" s="60">
        <v>49</v>
      </c>
      <c r="E118" s="51"/>
      <c r="F118" s="51"/>
      <c r="G118" s="51"/>
      <c r="H118" s="51"/>
      <c r="I118" s="53">
        <f t="shared" si="4"/>
        <v>6.6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">
      <c r="A119" s="50">
        <v>70</v>
      </c>
      <c r="B119" s="60">
        <f>249+43</f>
        <v>292</v>
      </c>
      <c r="C119" s="50">
        <v>6</v>
      </c>
      <c r="D119" s="60">
        <v>43</v>
      </c>
      <c r="E119" s="51"/>
      <c r="F119" s="51"/>
      <c r="G119" s="51"/>
      <c r="H119" s="51"/>
      <c r="I119" s="53">
        <f t="shared" si="4"/>
        <v>5.6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">
      <c r="A120" s="60">
        <v>80</v>
      </c>
      <c r="B120" s="60">
        <f>259+37</f>
        <v>296</v>
      </c>
      <c r="C120" s="60">
        <v>7</v>
      </c>
      <c r="D120" s="60">
        <v>37</v>
      </c>
      <c r="E120" s="87"/>
      <c r="F120" s="87"/>
      <c r="G120" s="87"/>
      <c r="H120" s="87"/>
      <c r="I120" s="53">
        <f t="shared" si="4"/>
        <v>4.7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">
      <c r="A121" s="60">
        <v>90</v>
      </c>
      <c r="B121" s="60">
        <f>268+31</f>
        <v>299</v>
      </c>
      <c r="C121" s="60">
        <v>8</v>
      </c>
      <c r="D121" s="60">
        <v>31</v>
      </c>
      <c r="E121" s="87"/>
      <c r="F121" s="87"/>
      <c r="G121" s="87"/>
      <c r="H121" s="87"/>
      <c r="I121" s="53">
        <f t="shared" si="4"/>
        <v>4</v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">
      <c r="A122" s="60"/>
      <c r="B122" s="60"/>
      <c r="C122" s="60"/>
      <c r="D122" s="60"/>
      <c r="E122" s="87"/>
      <c r="F122" s="87"/>
      <c r="G122" s="87"/>
      <c r="H122" s="87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">
      <c r="A123" s="60"/>
      <c r="B123" s="60"/>
      <c r="C123" s="60"/>
      <c r="D123" s="60"/>
      <c r="E123" s="87"/>
      <c r="F123" s="87"/>
      <c r="G123" s="87"/>
      <c r="H123" s="87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">
      <c r="A124" s="60"/>
      <c r="B124" s="60"/>
      <c r="C124" s="60"/>
      <c r="D124" s="60"/>
      <c r="E124" s="87"/>
      <c r="F124" s="87"/>
      <c r="G124" s="87"/>
      <c r="H124" s="87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">
      <c r="A136" s="46" t="s">
        <v>169</v>
      </c>
      <c r="B136" s="52" t="str">
        <f>IF(B13="","",B13)</f>
        <v/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">
      <c r="A138" s="4"/>
      <c r="B138" s="85" t="s">
        <v>185</v>
      </c>
      <c r="C138" s="259" t="s">
        <v>186</v>
      </c>
      <c r="D138" s="259"/>
      <c r="E138" s="260" t="s">
        <v>187</v>
      </c>
      <c r="F138" s="261"/>
      <c r="G138" s="261"/>
      <c r="H138" s="262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2" x14ac:dyDescent="0.3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">
      <c r="A162" s="46" t="s">
        <v>170</v>
      </c>
      <c r="B162" s="52" t="str">
        <f>IF(B14="","",B14)</f>
        <v/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">
      <c r="A164" s="4"/>
      <c r="B164" s="85" t="s">
        <v>185</v>
      </c>
      <c r="C164" s="259" t="s">
        <v>186</v>
      </c>
      <c r="D164" s="259"/>
      <c r="E164" s="260" t="s">
        <v>187</v>
      </c>
      <c r="F164" s="261"/>
      <c r="G164" s="261"/>
      <c r="H164" s="262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2" x14ac:dyDescent="0.3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">
      <c r="A188" s="46" t="s">
        <v>171</v>
      </c>
      <c r="B188" s="52" t="str">
        <f>IF(B15="","",B15)</f>
        <v/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">
      <c r="A190" s="4"/>
      <c r="B190" s="85" t="s">
        <v>185</v>
      </c>
      <c r="C190" s="259" t="s">
        <v>186</v>
      </c>
      <c r="D190" s="259"/>
      <c r="E190" s="260" t="s">
        <v>187</v>
      </c>
      <c r="F190" s="261"/>
      <c r="G190" s="261"/>
      <c r="H190" s="262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2" x14ac:dyDescent="0.3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">
      <c r="A216" s="4"/>
      <c r="B216" s="85" t="s">
        <v>185</v>
      </c>
      <c r="C216" s="259" t="s">
        <v>186</v>
      </c>
      <c r="D216" s="259"/>
      <c r="E216" s="260" t="s">
        <v>187</v>
      </c>
      <c r="F216" s="261"/>
      <c r="G216" s="261"/>
      <c r="H216" s="262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2" x14ac:dyDescent="0.3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">
      <c r="A242" s="4"/>
      <c r="B242" s="85" t="s">
        <v>185</v>
      </c>
      <c r="C242" s="259" t="s">
        <v>186</v>
      </c>
      <c r="D242" s="259"/>
      <c r="E242" s="260" t="s">
        <v>187</v>
      </c>
      <c r="F242" s="261"/>
      <c r="G242" s="261"/>
      <c r="H242" s="262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2" x14ac:dyDescent="0.3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">
      <c r="A268" s="4"/>
      <c r="B268" s="85" t="s">
        <v>185</v>
      </c>
      <c r="C268" s="259" t="s">
        <v>186</v>
      </c>
      <c r="D268" s="259"/>
      <c r="E268" s="260" t="s">
        <v>187</v>
      </c>
      <c r="F268" s="261"/>
      <c r="G268" s="261"/>
      <c r="H268" s="262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2" x14ac:dyDescent="0.3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G21" sqref="G21"/>
    </sheetView>
  </sheetViews>
  <sheetFormatPr baseColWidth="10" defaultColWidth="11.44140625" defaultRowHeight="14.4" x14ac:dyDescent="0.3"/>
  <cols>
    <col min="1" max="1" width="5.886718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4" thickBot="1" x14ac:dyDescent="0.55000000000000004">
      <c r="A2" s="4"/>
      <c r="B2" s="272" t="s">
        <v>191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3">
      <c r="A8" s="105">
        <v>1</v>
      </c>
      <c r="B8" s="61">
        <v>0</v>
      </c>
      <c r="C8" s="49" t="s">
        <v>177</v>
      </c>
      <c r="D8" s="23"/>
      <c r="E8" s="105">
        <v>4</v>
      </c>
      <c r="F8" s="61">
        <v>1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1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3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3">
      <c r="A15" s="23"/>
      <c r="B15" s="26" t="s">
        <v>295</v>
      </c>
      <c r="C15" s="4"/>
      <c r="D15" s="23"/>
      <c r="E15" s="4"/>
      <c r="F15" s="4"/>
      <c r="G15" s="2" t="s">
        <v>149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">
      <c r="A17" s="23"/>
      <c r="B17" s="61">
        <v>0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">
      <c r="A19" s="23"/>
      <c r="B19" s="106">
        <f>SUM(B16:B18)</f>
        <v>0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">
      <c r="C104" s="4"/>
      <c r="F104" s="4"/>
    </row>
    <row r="105" spans="3:35" x14ac:dyDescent="0.3">
      <c r="C105" s="4"/>
      <c r="F105" s="4"/>
    </row>
    <row r="106" spans="3:35" x14ac:dyDescent="0.3">
      <c r="C106" s="4"/>
      <c r="F106" s="4"/>
    </row>
    <row r="107" spans="3:35" x14ac:dyDescent="0.3">
      <c r="C107" s="4"/>
      <c r="F107" s="4"/>
    </row>
    <row r="108" spans="3:35" x14ac:dyDescent="0.3">
      <c r="C108" s="4"/>
      <c r="F108" s="4"/>
    </row>
    <row r="109" spans="3:35" x14ac:dyDescent="0.3">
      <c r="C109" s="4"/>
      <c r="F109" s="4"/>
    </row>
    <row r="110" spans="3:35" x14ac:dyDescent="0.3">
      <c r="C110" s="4"/>
      <c r="F110" s="4"/>
    </row>
    <row r="111" spans="3:35" x14ac:dyDescent="0.3">
      <c r="C111" s="4"/>
      <c r="F111" s="4"/>
    </row>
    <row r="112" spans="3:35" x14ac:dyDescent="0.3">
      <c r="C112" s="4"/>
      <c r="F112" s="4"/>
    </row>
    <row r="113" spans="3:6" x14ac:dyDescent="0.3">
      <c r="C113" s="4"/>
      <c r="F113" s="4"/>
    </row>
    <row r="114" spans="3:6" x14ac:dyDescent="0.3">
      <c r="C114" s="4"/>
      <c r="F114" s="4"/>
    </row>
    <row r="115" spans="3:6" x14ac:dyDescent="0.3">
      <c r="C115" s="4"/>
      <c r="F115" s="4"/>
    </row>
    <row r="116" spans="3:6" x14ac:dyDescent="0.3">
      <c r="C116" s="4"/>
      <c r="F116" s="4"/>
    </row>
    <row r="117" spans="3:6" x14ac:dyDescent="0.3">
      <c r="C117" s="4"/>
      <c r="F117" s="4"/>
    </row>
    <row r="118" spans="3:6" x14ac:dyDescent="0.3">
      <c r="C118" s="4"/>
      <c r="F118" s="4"/>
    </row>
    <row r="119" spans="3:6" x14ac:dyDescent="0.3">
      <c r="C119" s="4"/>
      <c r="F119" s="4"/>
    </row>
    <row r="120" spans="3:6" x14ac:dyDescent="0.3">
      <c r="C120" s="4"/>
      <c r="F120" s="4"/>
    </row>
    <row r="121" spans="3:6" x14ac:dyDescent="0.3">
      <c r="C121" s="4"/>
      <c r="F121" s="4"/>
    </row>
    <row r="122" spans="3:6" x14ac:dyDescent="0.3">
      <c r="C122" s="4"/>
      <c r="F122" s="4"/>
    </row>
    <row r="123" spans="3:6" x14ac:dyDescent="0.3">
      <c r="C123" s="4"/>
      <c r="F123" s="4"/>
    </row>
    <row r="124" spans="3:6" x14ac:dyDescent="0.3">
      <c r="C124" s="4"/>
      <c r="F124" s="4"/>
    </row>
    <row r="125" spans="3:6" x14ac:dyDescent="0.3">
      <c r="C125" s="4"/>
      <c r="F125" s="4"/>
    </row>
    <row r="126" spans="3:6" x14ac:dyDescent="0.3">
      <c r="C126" s="4"/>
      <c r="F126" s="4"/>
    </row>
    <row r="127" spans="3:6" x14ac:dyDescent="0.3">
      <c r="C127" s="4"/>
      <c r="F127" s="4"/>
    </row>
    <row r="128" spans="3:6" x14ac:dyDescent="0.3">
      <c r="C128" s="4"/>
      <c r="F128" s="4"/>
    </row>
    <row r="129" spans="3:6" x14ac:dyDescent="0.3">
      <c r="C129" s="4"/>
      <c r="F129" s="4"/>
    </row>
    <row r="130" spans="3:6" x14ac:dyDescent="0.3">
      <c r="C130" s="4"/>
      <c r="F130" s="4"/>
    </row>
    <row r="131" spans="3:6" x14ac:dyDescent="0.3">
      <c r="C131" s="4"/>
      <c r="F131" s="4"/>
    </row>
    <row r="132" spans="3:6" x14ac:dyDescent="0.3">
      <c r="F132" s="4"/>
    </row>
    <row r="133" spans="3:6" x14ac:dyDescent="0.3">
      <c r="F133" s="4"/>
    </row>
    <row r="134" spans="3:6" x14ac:dyDescent="0.3">
      <c r="F134" s="4"/>
    </row>
    <row r="135" spans="3:6" x14ac:dyDescent="0.3">
      <c r="F135" s="4"/>
    </row>
    <row r="136" spans="3:6" x14ac:dyDescent="0.3">
      <c r="F136" s="4"/>
    </row>
    <row r="137" spans="3:6" x14ac:dyDescent="0.3">
      <c r="F137" s="4"/>
    </row>
    <row r="138" spans="3:6" x14ac:dyDescent="0.3">
      <c r="F138" s="4"/>
    </row>
    <row r="139" spans="3:6" x14ac:dyDescent="0.3">
      <c r="F139" s="4"/>
    </row>
    <row r="140" spans="3:6" x14ac:dyDescent="0.3">
      <c r="F140" s="4"/>
    </row>
    <row r="141" spans="3:6" x14ac:dyDescent="0.3">
      <c r="F141" s="4"/>
    </row>
    <row r="142" spans="3:6" x14ac:dyDescent="0.3">
      <c r="F142" s="4"/>
    </row>
    <row r="143" spans="3:6" x14ac:dyDescent="0.3">
      <c r="F143" s="4"/>
    </row>
    <row r="144" spans="3:6" x14ac:dyDescent="0.3">
      <c r="F144" s="4"/>
    </row>
    <row r="145" spans="6:6" x14ac:dyDescent="0.3">
      <c r="F145" s="4"/>
    </row>
    <row r="146" spans="6:6" x14ac:dyDescent="0.3">
      <c r="F146" s="4"/>
    </row>
    <row r="147" spans="6:6" x14ac:dyDescent="0.3">
      <c r="F147" s="4"/>
    </row>
    <row r="148" spans="6:6" x14ac:dyDescent="0.3">
      <c r="F148" s="4"/>
    </row>
    <row r="149" spans="6:6" x14ac:dyDescent="0.3">
      <c r="F149" s="4"/>
    </row>
    <row r="150" spans="6:6" x14ac:dyDescent="0.3">
      <c r="F150" s="4"/>
    </row>
    <row r="151" spans="6:6" x14ac:dyDescent="0.3">
      <c r="F151" s="4"/>
    </row>
    <row r="152" spans="6:6" x14ac:dyDescent="0.3">
      <c r="F152" s="4"/>
    </row>
    <row r="153" spans="6:6" x14ac:dyDescent="0.3">
      <c r="F153" s="4"/>
    </row>
    <row r="154" spans="6:6" x14ac:dyDescent="0.3">
      <c r="F154" s="4"/>
    </row>
    <row r="155" spans="6:6" x14ac:dyDescent="0.3">
      <c r="F155" s="4"/>
    </row>
    <row r="156" spans="6:6" x14ac:dyDescent="0.3">
      <c r="F156" s="4"/>
    </row>
    <row r="157" spans="6:6" x14ac:dyDescent="0.3">
      <c r="F157" s="4"/>
    </row>
    <row r="158" spans="6:6" x14ac:dyDescent="0.3">
      <c r="F158" s="4"/>
    </row>
    <row r="159" spans="6:6" x14ac:dyDescent="0.3">
      <c r="F159" s="4"/>
    </row>
    <row r="160" spans="6:6" x14ac:dyDescent="0.3">
      <c r="F160" s="4"/>
    </row>
    <row r="161" spans="6:6" x14ac:dyDescent="0.3">
      <c r="F161" s="4"/>
    </row>
    <row r="162" spans="6:6" x14ac:dyDescent="0.3">
      <c r="F162" s="4"/>
    </row>
    <row r="163" spans="6:6" x14ac:dyDescent="0.3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88671875" style="4" bestFit="1" customWidth="1"/>
    <col min="2" max="4" width="11.44140625" style="4"/>
    <col min="5" max="5" width="9.5546875" style="4" customWidth="1"/>
    <col min="6" max="7" width="11.44140625" style="4"/>
    <col min="8" max="8" width="10.6640625" style="4" customWidth="1"/>
    <col min="9" max="9" width="9.44140625" style="4" customWidth="1"/>
    <col min="10" max="11" width="10.5546875" style="4" bestFit="1" customWidth="1"/>
    <col min="12" max="12" width="14" style="4" bestFit="1" customWidth="1"/>
    <col min="13" max="13" width="14" style="4" customWidth="1"/>
    <col min="14" max="23" width="11.44140625" style="4"/>
    <col min="24" max="24" width="11.6640625" style="4" bestFit="1" customWidth="1"/>
    <col min="25" max="25" width="14.5546875" style="4" bestFit="1" customWidth="1"/>
    <col min="26" max="26" width="12.44140625" style="4" bestFit="1" customWidth="1"/>
    <col min="27" max="27" width="9.6640625" style="4" bestFit="1" customWidth="1"/>
    <col min="28" max="28" width="11" style="4" bestFit="1" customWidth="1"/>
    <col min="29" max="29" width="9.44140625" style="4" bestFit="1" customWidth="1"/>
    <col min="30" max="31" width="9.44140625" style="4" customWidth="1"/>
    <col min="32" max="32" width="11.44140625" style="4"/>
    <col min="33" max="34" width="14" style="4" bestFit="1" customWidth="1"/>
    <col min="35" max="35" width="10.5546875" style="4" bestFit="1" customWidth="1"/>
    <col min="36" max="36" width="9.44140625" style="4" bestFit="1" customWidth="1"/>
    <col min="37" max="38" width="10.5546875" style="4" bestFit="1" customWidth="1"/>
    <col min="39" max="41" width="10.5546875" style="4" customWidth="1"/>
    <col min="42" max="42" width="9" style="4" bestFit="1" customWidth="1"/>
    <col min="43" max="43" width="10.5546875" style="4" bestFit="1" customWidth="1"/>
    <col min="44" max="44" width="9.33203125" style="4" bestFit="1" customWidth="1"/>
    <col min="45" max="45" width="11.6640625" style="4" bestFit="1" customWidth="1"/>
    <col min="46" max="46" width="8.44140625" style="4" bestFit="1" customWidth="1"/>
    <col min="47" max="47" width="9.44140625" style="4" bestFit="1" customWidth="1"/>
    <col min="48" max="48" width="9.6640625" style="4" bestFit="1" customWidth="1"/>
    <col min="49" max="49" width="11" style="4" bestFit="1" customWidth="1"/>
    <col min="50" max="50" width="9.44140625" style="4" bestFit="1" customWidth="1"/>
    <col min="51" max="52" width="9.44140625" style="4" customWidth="1"/>
    <col min="53" max="53" width="10.5546875" style="4" bestFit="1" customWidth="1"/>
    <col min="54" max="54" width="14.33203125" style="4" customWidth="1"/>
    <col min="55" max="55" width="14" style="4" customWidth="1"/>
    <col min="56" max="56" width="10.5546875" style="4" bestFit="1" customWidth="1"/>
    <col min="57" max="57" width="9.44140625" style="4" bestFit="1" customWidth="1"/>
    <col min="58" max="59" width="10.5546875" style="4" bestFit="1" customWidth="1"/>
    <col min="60" max="62" width="10.5546875" style="4" customWidth="1"/>
    <col min="63" max="63" width="9" style="4" bestFit="1" customWidth="1"/>
    <col min="64" max="64" width="10.5546875" style="4" bestFit="1" customWidth="1"/>
    <col min="65" max="65" width="9.33203125" style="4" bestFit="1" customWidth="1"/>
    <col min="66" max="66" width="11.6640625" style="4" bestFit="1" customWidth="1"/>
    <col min="67" max="67" width="8.44140625" style="4" bestFit="1" customWidth="1"/>
    <col min="68" max="68" width="9.44140625" style="4" bestFit="1" customWidth="1"/>
    <col min="69" max="69" width="9.6640625" style="4" bestFit="1" customWidth="1"/>
    <col min="70" max="70" width="11" style="4" bestFit="1" customWidth="1"/>
    <col min="71" max="71" width="9.44140625" style="4" bestFit="1" customWidth="1"/>
    <col min="72" max="73" width="9.44140625" style="4" customWidth="1"/>
    <col min="74" max="74" width="10.5546875" style="4" bestFit="1" customWidth="1"/>
    <col min="75" max="75" width="14" style="4" bestFit="1" customWidth="1"/>
    <col min="76" max="76" width="13.88671875" style="4" customWidth="1"/>
    <col min="77" max="77" width="10.5546875" style="4" bestFit="1" customWidth="1"/>
    <col min="78" max="78" width="9.44140625" style="4" bestFit="1" customWidth="1"/>
    <col min="79" max="80" width="10.5546875" style="4" bestFit="1" customWidth="1"/>
    <col min="81" max="83" width="10.5546875" style="4" customWidth="1"/>
    <col min="84" max="84" width="11.44140625" style="4"/>
    <col min="85" max="85" width="10.5546875" style="4" bestFit="1" customWidth="1"/>
    <col min="86" max="86" width="9.33203125" style="4" bestFit="1" customWidth="1"/>
    <col min="87" max="87" width="11.6640625" style="4" bestFit="1" customWidth="1"/>
    <col min="88" max="88" width="8.44140625" style="4" bestFit="1" customWidth="1"/>
    <col min="89" max="89" width="9.44140625" style="4" bestFit="1" customWidth="1"/>
    <col min="90" max="90" width="9.6640625" style="4" bestFit="1" customWidth="1"/>
    <col min="91" max="91" width="11" style="4" bestFit="1" customWidth="1"/>
    <col min="92" max="92" width="9.44140625" style="4" bestFit="1" customWidth="1"/>
    <col min="93" max="94" width="9.44140625" style="4" customWidth="1"/>
    <col min="95" max="95" width="11.44140625" style="4"/>
    <col min="96" max="97" width="14" style="4" customWidth="1"/>
    <col min="98" max="98" width="10.5546875" style="4" bestFit="1" customWidth="1"/>
    <col min="99" max="99" width="9.44140625" style="4" bestFit="1" customWidth="1"/>
    <col min="100" max="101" width="10.5546875" style="4" bestFit="1" customWidth="1"/>
    <col min="102" max="104" width="10.5546875" style="4" customWidth="1"/>
    <col min="105" max="105" width="9" style="4" bestFit="1" customWidth="1"/>
    <col min="106" max="106" width="10.5546875" style="4" bestFit="1" customWidth="1"/>
    <col min="107" max="107" width="9.33203125" style="4" bestFit="1" customWidth="1"/>
    <col min="108" max="108" width="11.6640625" style="4" bestFit="1" customWidth="1"/>
    <col min="109" max="109" width="8.44140625" style="4" bestFit="1" customWidth="1"/>
    <col min="110" max="110" width="9.44140625" style="4" bestFit="1" customWidth="1"/>
    <col min="111" max="111" width="9.6640625" style="4" bestFit="1" customWidth="1"/>
    <col min="112" max="112" width="11" style="4" bestFit="1" customWidth="1"/>
    <col min="113" max="113" width="9.44140625" style="4" bestFit="1" customWidth="1"/>
    <col min="114" max="115" width="9.44140625" style="4" customWidth="1"/>
    <col min="116" max="116" width="10.5546875" style="4" bestFit="1" customWidth="1"/>
    <col min="117" max="117" width="14.33203125" style="4" customWidth="1"/>
    <col min="118" max="118" width="14" style="4" bestFit="1" customWidth="1"/>
    <col min="119" max="119" width="10.5546875" style="4" bestFit="1" customWidth="1"/>
    <col min="120" max="120" width="9.44140625" style="4" bestFit="1" customWidth="1"/>
    <col min="121" max="122" width="10.5546875" style="4" bestFit="1" customWidth="1"/>
    <col min="123" max="125" width="10.5546875" style="4" customWidth="1"/>
    <col min="126" max="126" width="9" style="4" bestFit="1" customWidth="1"/>
    <col min="127" max="127" width="10.5546875" style="4" bestFit="1" customWidth="1"/>
    <col min="128" max="128" width="9.33203125" style="4" bestFit="1" customWidth="1"/>
    <col min="129" max="129" width="11.6640625" style="4" bestFit="1" customWidth="1"/>
    <col min="130" max="130" width="8.44140625" style="4" bestFit="1" customWidth="1"/>
    <col min="131" max="131" width="9.44140625" style="4" bestFit="1" customWidth="1"/>
    <col min="132" max="132" width="9.6640625" style="4" bestFit="1" customWidth="1"/>
    <col min="133" max="133" width="11" style="4" bestFit="1" customWidth="1"/>
    <col min="134" max="134" width="9.44140625" style="4" bestFit="1" customWidth="1"/>
    <col min="135" max="136" width="9.44140625" style="4" customWidth="1"/>
    <col min="137" max="137" width="10.5546875" style="4" bestFit="1" customWidth="1"/>
    <col min="138" max="139" width="14" style="4" customWidth="1"/>
    <col min="140" max="140" width="10.5546875" style="4" bestFit="1" customWidth="1"/>
    <col min="141" max="141" width="9.44140625" style="4" bestFit="1" customWidth="1"/>
    <col min="142" max="143" width="10.5546875" style="4" bestFit="1" customWidth="1"/>
    <col min="144" max="146" width="10.5546875" style="4" customWidth="1"/>
    <col min="147" max="147" width="9" style="4" bestFit="1" customWidth="1"/>
    <col min="148" max="148" width="10.5546875" style="4" bestFit="1" customWidth="1"/>
    <col min="149" max="149" width="9.33203125" style="4" bestFit="1" customWidth="1"/>
    <col min="150" max="150" width="11.6640625" style="4" bestFit="1" customWidth="1"/>
    <col min="151" max="151" width="8.44140625" style="4" bestFit="1" customWidth="1"/>
    <col min="152" max="152" width="9.44140625" style="4" bestFit="1" customWidth="1"/>
    <col min="153" max="153" width="9.6640625" style="4" bestFit="1" customWidth="1"/>
    <col min="154" max="154" width="11" style="4" bestFit="1" customWidth="1"/>
    <col min="155" max="155" width="9.44140625" style="4" bestFit="1" customWidth="1"/>
    <col min="156" max="157" width="9.44140625" style="4" customWidth="1"/>
    <col min="158" max="158" width="11.44140625" style="4"/>
    <col min="159" max="160" width="14" style="4" bestFit="1" customWidth="1"/>
    <col min="161" max="161" width="10.5546875" style="4" bestFit="1" customWidth="1"/>
    <col min="162" max="162" width="9.44140625" style="4" bestFit="1" customWidth="1"/>
    <col min="163" max="164" width="10.5546875" style="4" bestFit="1" customWidth="1"/>
    <col min="165" max="167" width="10.5546875" style="4" customWidth="1"/>
    <col min="168" max="168" width="9" style="4" bestFit="1" customWidth="1"/>
    <col min="169" max="169" width="10.5546875" style="4" bestFit="1" customWidth="1"/>
    <col min="170" max="170" width="9.33203125" style="4" bestFit="1" customWidth="1"/>
    <col min="171" max="171" width="11.6640625" style="4" bestFit="1" customWidth="1"/>
    <col min="172" max="172" width="8.109375" style="4" bestFit="1" customWidth="1"/>
    <col min="173" max="173" width="9.44140625" style="4" bestFit="1" customWidth="1"/>
    <col min="174" max="174" width="9.6640625" style="4" bestFit="1" customWidth="1"/>
    <col min="175" max="175" width="11" style="4" bestFit="1" customWidth="1"/>
    <col min="176" max="176" width="9.44140625" style="4" bestFit="1" customWidth="1"/>
    <col min="177" max="178" width="9.44140625" style="4" customWidth="1"/>
    <col min="179" max="179" width="10.5546875" style="4" bestFit="1" customWidth="1"/>
    <col min="180" max="181" width="14" style="4" bestFit="1" customWidth="1"/>
    <col min="182" max="182" width="10.5546875" style="4" bestFit="1" customWidth="1"/>
    <col min="183" max="183" width="9.44140625" style="4" bestFit="1" customWidth="1"/>
    <col min="184" max="185" width="10.5546875" style="4" bestFit="1" customWidth="1"/>
    <col min="186" max="188" width="10.5546875" style="4" customWidth="1"/>
    <col min="189" max="189" width="9" style="4" bestFit="1" customWidth="1"/>
    <col min="190" max="190" width="10.5546875" style="4" bestFit="1" customWidth="1"/>
    <col min="191" max="191" width="9.33203125" style="4" bestFit="1" customWidth="1"/>
    <col min="192" max="192" width="11.44140625" style="4"/>
    <col min="193" max="193" width="8.44140625" style="4" bestFit="1" customWidth="1"/>
    <col min="194" max="194" width="9.44140625" style="4" bestFit="1" customWidth="1"/>
    <col min="195" max="195" width="9.6640625" style="4" bestFit="1" customWidth="1"/>
    <col min="196" max="196" width="11" style="4" bestFit="1" customWidth="1"/>
    <col min="197" max="197" width="9.44140625" style="4" bestFit="1" customWidth="1"/>
    <col min="198" max="199" width="9.44140625" style="4" customWidth="1"/>
    <col min="200" max="200" width="10.5546875" style="4" bestFit="1" customWidth="1"/>
    <col min="201" max="201" width="14" style="4" customWidth="1"/>
    <col min="202" max="202" width="14.33203125" style="4" customWidth="1"/>
    <col min="203" max="203" width="10.5546875" style="4" bestFit="1" customWidth="1"/>
    <col min="204" max="204" width="9.44140625" style="4" bestFit="1" customWidth="1"/>
    <col min="205" max="206" width="10.5546875" style="4" bestFit="1" customWidth="1"/>
    <col min="207" max="209" width="10.5546875" style="4" customWidth="1"/>
    <col min="210" max="210" width="9" style="4" bestFit="1" customWidth="1"/>
    <col min="211" max="211" width="10.5546875" style="4" bestFit="1" customWidth="1"/>
    <col min="212" max="212" width="9.33203125" style="4" bestFit="1" customWidth="1"/>
    <col min="213" max="213" width="11.6640625" style="4" bestFit="1" customWidth="1"/>
    <col min="214" max="214" width="8.44140625" style="4" bestFit="1" customWidth="1"/>
    <col min="215" max="215" width="9.44140625" style="4" bestFit="1" customWidth="1"/>
    <col min="216" max="216" width="9.6640625" style="4" bestFit="1" customWidth="1"/>
    <col min="217" max="217" width="11" style="4" bestFit="1" customWidth="1"/>
    <col min="218" max="218" width="9.44140625" style="4" bestFit="1" customWidth="1"/>
    <col min="219" max="16384" width="11.44140625" style="4"/>
  </cols>
  <sheetData>
    <row r="1" spans="1:218" ht="26.4" thickBot="1" x14ac:dyDescent="0.55000000000000004">
      <c r="B1" s="278" t="s">
        <v>176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Douglas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>Mélèze d'Europe</v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>Erable sycomore</v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>Aulne glutineux</v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/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/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/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/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/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/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58.2" thickBot="1" x14ac:dyDescent="0.35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293.33333333333331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255.5374979188561</v>
      </c>
      <c r="T3" s="59">
        <f>IF('Données projet'!E9&gt;30,$R$33-$H$33,LOOKUP('Données projet'!$E$9,$A$3:$A$203,R3:R203)-LOOKUP('Données projet'!$E$9,$A$3:$A$203,$H$3:$H$203))</f>
        <v>343.10418468620901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293.33333333333331</v>
      </c>
      <c r="AN3" s="59">
        <f ca="1">AVERAGE(OFFSET($AM$3,0,0,'Données projet'!$E$10+1,1))-AVERAGE(OFFSET($H$3,0,0,'Données projet'!$E$10+1,1))</f>
        <v>255.41017495879987</v>
      </c>
      <c r="AO3" s="59">
        <f>IF('Données projet'!E10&gt;30,$AM$33-$H$33,LOOKUP('Données projet'!$E$10,$A$3:$A$203,AM3:AM203)-LOOKUP('Données projet'!$E$10,$A$3:$A$203,$H$3:$H$203))</f>
        <v>297.50513563712764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293.33333333333331</v>
      </c>
      <c r="BI3" s="59">
        <f ca="1">AVERAGE(OFFSET($BH$3,0,0,'Données projet'!$E$11+1,1))-AVERAGE(OFFSET($H$3,0,0,'Données projet'!$E$11+1,1))</f>
        <v>260.20517190557814</v>
      </c>
      <c r="BJ3" s="59">
        <f>IF('Données projet'!E11&gt;30,$BH$33-$H$33,LOOKUP('Données projet'!$E$11,$A$3:$A$203,BH3:BH203)-LOOKUP('Données projet'!$E$11,$A$3:$A$203,$H$3:$H$203))</f>
        <v>307.22009971147133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293.33333333333331</v>
      </c>
      <c r="CD3" s="59">
        <f ca="1">AVERAGE(OFFSET($CC$3,0,0,'Données projet'!$E$12+1,1))-AVERAGE(OFFSET($H$3,0,0,'Données projet'!$E$12+1,1))</f>
        <v>185.21927898775016</v>
      </c>
      <c r="CE3" s="59">
        <f>IF('Données projet'!E12&gt;30,$CC$33-$H$33,LOOKUP('Données projet'!$E$12,$A$3:$A$203,CC3:CC203)-LOOKUP('Données projet'!$E$12,$A$3:$A$203,$H$3:$H$203))</f>
        <v>240.82467772396944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0.88919999999999999</v>
      </c>
      <c r="D4" s="11">
        <f>IFERROR(EXP(-1.0587+0.8836*LN(C4)+0.284),0)</f>
        <v>0.41542055579923082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10.07075516757301</v>
      </c>
      <c r="H4" s="67">
        <f t="shared" ref="H4:H67" si="1">(B4+E4+F4)*44/12+(C4+D4)*0.475*44/12</f>
        <v>295.60554746801699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9.3968325791855207</v>
      </c>
      <c r="N4" s="13">
        <f>IF('Données projet'!$A$36&gt;35,N3+M4-V3,IF(A4&lt;'Données projet'!$A$36,$K$205^A4,IF(A4='Données projet'!$A$36,'Données projet'!$B$36,N3+M4-V3)))</f>
        <v>1.3477630745024085</v>
      </c>
      <c r="O4" s="13">
        <f>N4*VLOOKUP('Données projet'!$B$9,Paramètres!$A$1:$I$89,3,0)*VLOOKUP('Données projet'!$B$9,Paramètres!$A$1:$I$89,5,0)</f>
        <v>0.75339955864684627</v>
      </c>
      <c r="P4" s="13">
        <f>EXP(-1.0587+0.8836*LN(O4)+0.284)</f>
        <v>0.3588324201756754</v>
      </c>
      <c r="Q4" s="20">
        <f t="shared" ref="Q4:Q34" si="2">(O4+P4)*0.475*44/12</f>
        <v>1.9371373631158919</v>
      </c>
      <c r="R4" s="59">
        <f t="shared" si="0"/>
        <v>295.27047069644919</v>
      </c>
      <c r="S4" s="59">
        <f ca="1">AVERAGE(OFFSET($R$3,0,0,'Données projet'!$E$9+1,1))-AVERAGE(OFFSET($H$3,0,0,'Données projet'!$E$9+1,1))</f>
        <v>255.5374979188561</v>
      </c>
      <c r="T4" s="59">
        <f>$T$3</f>
        <v>343.10418468620901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7.9</v>
      </c>
      <c r="AI4" s="13">
        <f>IF('Données projet'!$A$62&gt;35,AI3+AH4-AQ3,IF(A4&lt;'Données projet'!$A$62,$AF$205^A4,IF(A4='Données projet'!$A$62,'Données projet'!$B$62,AI3+AH4-AQ3)))</f>
        <v>1.2880503926580862</v>
      </c>
      <c r="AJ4" s="13">
        <f>AI4*VLOOKUP('Données projet'!$B$10,Paramètres!$A$1:$I$89,3,0)*VLOOKUP('Données projet'!$B$10,Paramètres!$A$1:$I$89,5,0)</f>
        <v>0.80374344501864581</v>
      </c>
      <c r="AK4" s="13">
        <f>EXP(-1.0587+0.8836*LN(AJ4)+0.284)</f>
        <v>0.37993896770707264</v>
      </c>
      <c r="AL4" s="20">
        <f t="shared" ref="AL4:AL67" si="4">(AJ4+AK4)*0.475*44/12</f>
        <v>2.0615802021639595</v>
      </c>
      <c r="AM4" s="59">
        <f t="shared" ref="AM4:AM67" si="5">AL4+(AD4+AE4)*44/12</f>
        <v>295.39491353549727</v>
      </c>
      <c r="AN4" s="59">
        <f ca="1">AVERAGE(OFFSET($AM$3,0,0,'Données projet'!$E$10+1,1))-AVERAGE(OFFSET($H$3,0,0,'Données projet'!$E$10+1,1))</f>
        <v>255.41017495879987</v>
      </c>
      <c r="AO4" s="59">
        <f>$AO$3</f>
        <v>297.50513563712764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1.1000000000000001</v>
      </c>
      <c r="BD4" s="12">
        <f>IF('Données projet'!$A$88&gt;35,BD3+BC4-BL3,IF(A4&lt;'Données projet'!$A$88,$BA$205^A4,IF(A4='Données projet'!$A$88,'Données projet'!$B$88,BD3+BC4-BL3)))</f>
        <v>1.2709816152101407</v>
      </c>
      <c r="BE4" s="13">
        <f>BD4*VLOOKUP('Données projet'!$B$11,Paramètres!$A$1:$I$89,3,0)*VLOOKUP('Données projet'!$B$11,Paramètres!$A$1:$I$89,5,0)</f>
        <v>1.0111929730611879</v>
      </c>
      <c r="BF4" s="13">
        <f>EXP(-1.0587+0.8836*LN(BE4)+0.284)</f>
        <v>0.46539683474213156</v>
      </c>
      <c r="BG4" s="20">
        <f t="shared" ref="BG4:BG67" si="7">(BE4+BF4)*0.475*44/12</f>
        <v>2.5717272485907814</v>
      </c>
      <c r="BH4" s="59">
        <f t="shared" ref="BH4:BH67" si="8">BG4+(AY4+AZ4)*44/12</f>
        <v>295.90506058192409</v>
      </c>
      <c r="BI4" s="59">
        <f ca="1">AVERAGE(OFFSET($BH$3,0,0,'Données projet'!$E$11+1,1))-AVERAGE(OFFSET($H$3,0,0,'Données projet'!$E$11+1,1))</f>
        <v>260.20517190557814</v>
      </c>
      <c r="BJ4" s="59">
        <f>$BJ$3</f>
        <v>307.22009971147133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6.15</v>
      </c>
      <c r="BY4" s="12">
        <f>IF('Données projet'!$A$114&gt;35,BY3+BX4-CG3,IF(A4&lt;'Données projet'!$A$114,$BV$205^A4,IF(A4='Données projet'!$A$114,'Données projet'!$B$114,BY3+BX4-CG3)))</f>
        <v>1.2720238538497415</v>
      </c>
      <c r="BZ4" s="13">
        <f>BY4*VLOOKUP('Données projet'!$B$12,Paramètres!$A$1:$I$89,3,0)*VLOOKUP('Données projet'!$B$12,Paramètres!$A$1:$I$89,5,0)</f>
        <v>0.83343002904235053</v>
      </c>
      <c r="CA4" s="13">
        <f>EXP(-1.0587+0.8836*LN(BZ4)+0.284)</f>
        <v>0.39231240496915815</v>
      </c>
      <c r="CB4" s="20">
        <f t="shared" ref="CB4:CB67" si="10">(BZ4+CA4)*0.475*44/12</f>
        <v>2.1348347392367106</v>
      </c>
      <c r="CC4" s="59">
        <f t="shared" ref="CC4:CC67" si="11">CB4+(BT4+BU4)*44/12</f>
        <v>295.46816807257005</v>
      </c>
      <c r="CD4" s="59">
        <f ca="1">AVERAGE(OFFSET($CC$3,0,0,'Données projet'!$E$12+1,1))-AVERAGE(OFFSET($H$3,0,0,'Données projet'!$E$12+1,1))</f>
        <v>185.21927898775016</v>
      </c>
      <c r="CE4" s="59">
        <f>$CE$3</f>
        <v>240.82467772396944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1.7784</v>
      </c>
      <c r="D5" s="11">
        <f t="shared" ref="D5:D68" si="32">IFERROR(EXP(-1.0587+0.8836*LN(C5)+0.284),0)</f>
        <v>0.76643986660078545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19.644377917620098</v>
      </c>
      <c r="H5" s="67">
        <f t="shared" si="1"/>
        <v>297.76559610099633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9.3968325791855207</v>
      </c>
      <c r="N5" s="13">
        <f>IF('Données projet'!$A$36&gt;35,N4+M5-V4,IF(A5&lt;'Données projet'!$A$36,$K$205^A5,IF(A5='Données projet'!$A$36,'Données projet'!$B$36,N4+M5-V4)))</f>
        <v>1.8164653049921848</v>
      </c>
      <c r="O5" s="13">
        <f>N5*VLOOKUP('Données projet'!$B$9,Paramètres!$A$1:$I$89,3,0)*VLOOKUP('Données projet'!$B$9,Paramètres!$A$1:$I$89,5,0)</f>
        <v>1.0154041054906313</v>
      </c>
      <c r="P5" s="13">
        <f t="shared" ref="P5:P68" si="33">EXP(-1.0587+0.8836*LN(O5)+0.284)</f>
        <v>0.46710897317647637</v>
      </c>
      <c r="Q5" s="20">
        <f t="shared" si="2"/>
        <v>2.582043612011879</v>
      </c>
      <c r="R5" s="59">
        <f t="shared" si="0"/>
        <v>295.9153769453452</v>
      </c>
      <c r="S5" s="59">
        <f ca="1">AVERAGE(OFFSET($R$3,0,0,'Données projet'!$E$9+1,1))-AVERAGE(OFFSET($H$3,0,0,'Données projet'!$E$9+1,1))</f>
        <v>255.5374979188561</v>
      </c>
      <c r="T5" s="59">
        <f t="shared" ref="T5:T68" si="34">$T$3</f>
        <v>343.10418468620901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7.9</v>
      </c>
      <c r="AI5" s="13">
        <f>IF('Données projet'!$A$62&gt;35,AI4+AH5-AQ4,IF(A5&lt;'Données projet'!$A$62,$AF$205^A5,IF(A5='Données projet'!$A$62,'Données projet'!$B$62,AI4+AH5-AQ4)))</f>
        <v>1.6590738140266501</v>
      </c>
      <c r="AJ5" s="13">
        <f>AI5*VLOOKUP('Données projet'!$B$10,Paramètres!$A$1:$I$89,3,0)*VLOOKUP('Données projet'!$B$10,Paramètres!$A$1:$I$89,5,0)</f>
        <v>1.0352620599526297</v>
      </c>
      <c r="AK5" s="13">
        <f t="shared" ref="AK5:AK68" si="35">EXP(-1.0587+0.8836*LN(AJ5)+0.284)</f>
        <v>0.4751716356997846</v>
      </c>
      <c r="AL5" s="20">
        <f t="shared" si="4"/>
        <v>2.6306720199279545</v>
      </c>
      <c r="AM5" s="59">
        <f t="shared" si="5"/>
        <v>295.96400535326126</v>
      </c>
      <c r="AN5" s="59">
        <f ca="1">AVERAGE(OFFSET($AM$3,0,0,'Données projet'!$E$10+1,1))-AVERAGE(OFFSET($H$3,0,0,'Données projet'!$E$10+1,1))</f>
        <v>255.41017495879987</v>
      </c>
      <c r="AO5" s="59">
        <f t="shared" ref="AO5:AO68" si="36">$AO$3</f>
        <v>297.50513563712764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1.1000000000000001</v>
      </c>
      <c r="BD5" s="12">
        <f>IF('Données projet'!$A$88&gt;35,BD4+BC5-BL4,IF(A5&lt;'Données projet'!$A$88,$BA$205^A5,IF(A5='Données projet'!$A$88,'Données projet'!$B$88,BD4+BC5-BL4)))</f>
        <v>1.6153942662021783</v>
      </c>
      <c r="BE5" s="13">
        <f>BD5*VLOOKUP('Données projet'!$B$11,Paramètres!$A$1:$I$89,3,0)*VLOOKUP('Données projet'!$B$11,Paramètres!$A$1:$I$89,5,0)</f>
        <v>1.2852076781904531</v>
      </c>
      <c r="BF5" s="13">
        <f t="shared" ref="BF5:BF68" si="37">EXP(-1.0587+0.8836*LN(BE5)+0.284)</f>
        <v>0.57522914588482876</v>
      </c>
      <c r="BG5" s="20">
        <f t="shared" si="7"/>
        <v>3.2402608019311159</v>
      </c>
      <c r="BH5" s="59">
        <f t="shared" si="8"/>
        <v>296.57359413526444</v>
      </c>
      <c r="BI5" s="59">
        <f ca="1">AVERAGE(OFFSET($BH$3,0,0,'Données projet'!$E$11+1,1))-AVERAGE(OFFSET($H$3,0,0,'Données projet'!$E$11+1,1))</f>
        <v>260.20517190557814</v>
      </c>
      <c r="BJ5" s="59">
        <f t="shared" ref="BJ5:BJ68" si="38">$BJ$3</f>
        <v>307.22009971147133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6.15</v>
      </c>
      <c r="BY5" s="12">
        <f>IF('Données projet'!$A$114&gt;35,BY4+BX5-CG4,IF(A5&lt;'Données projet'!$A$114,$BV$205^A5,IF(A5='Données projet'!$A$114,'Données projet'!$B$114,BY4+BX5-CG4)))</f>
        <v>1.6180446847627485</v>
      </c>
      <c r="BZ5" s="13">
        <f>BY5*VLOOKUP('Données projet'!$B$12,Paramètres!$A$1:$I$89,3,0)*VLOOKUP('Données projet'!$B$12,Paramètres!$A$1:$I$89,5,0)</f>
        <v>1.0601428774565529</v>
      </c>
      <c r="CA5" s="13">
        <f t="shared" ref="CA5:CA68" si="39">EXP(-1.0587+0.8836*LN(BZ5)+0.284)</f>
        <v>0.48524832910100646</v>
      </c>
      <c r="CB5" s="20">
        <f t="shared" si="10"/>
        <v>2.6915563514210823</v>
      </c>
      <c r="CC5" s="59">
        <f t="shared" si="11"/>
        <v>296.02488968475438</v>
      </c>
      <c r="CD5" s="59">
        <f ca="1">AVERAGE(OFFSET($CC$3,0,0,'Données projet'!$E$12+1,1))-AVERAGE(OFFSET($H$3,0,0,'Données projet'!$E$12+1,1))</f>
        <v>185.21927898775016</v>
      </c>
      <c r="CE5" s="59">
        <f t="shared" ref="CE5:CE68" si="40">$CE$3</f>
        <v>240.82467772396944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2.6676000000000002</v>
      </c>
      <c r="D6" s="11">
        <f t="shared" si="32"/>
        <v>1.0966608080083624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29.057451851292623</v>
      </c>
      <c r="H6" s="67">
        <f t="shared" si="1"/>
        <v>299.88942090728119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9.3968325791855207</v>
      </c>
      <c r="N6" s="13">
        <f>IF('Données projet'!$A$36&gt;35,N5+M6-V5,IF(A6&lt;'Données projet'!$A$36,$K$205^A6,IF(A6='Données projet'!$A$36,'Données projet'!$B$36,N5+M6-V5)))</f>
        <v>2.4481648641832221</v>
      </c>
      <c r="O6" s="13">
        <f>N6*VLOOKUP('Données projet'!$B$9,Paramètres!$A$1:$I$89,3,0)*VLOOKUP('Données projet'!$B$9,Paramètres!$A$1:$I$89,5,0)</f>
        <v>1.3685241590784212</v>
      </c>
      <c r="P6" s="13">
        <f t="shared" si="33"/>
        <v>0.60805763513553568</v>
      </c>
      <c r="Q6" s="20">
        <f t="shared" si="2"/>
        <v>3.4425466249226413</v>
      </c>
      <c r="R6" s="59">
        <f t="shared" si="0"/>
        <v>296.77587995825593</v>
      </c>
      <c r="S6" s="59">
        <f ca="1">AVERAGE(OFFSET($R$3,0,0,'Données projet'!$E$9+1,1))-AVERAGE(OFFSET($H$3,0,0,'Données projet'!$E$9+1,1))</f>
        <v>255.5374979188561</v>
      </c>
      <c r="T6" s="59">
        <f t="shared" si="34"/>
        <v>343.10418468620901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7.9</v>
      </c>
      <c r="AI6" s="13">
        <f>IF('Données projet'!$A$62&gt;35,AI5+AH6-AQ5,IF(A6&lt;'Données projet'!$A$62,$AF$205^A6,IF(A6='Données projet'!$A$62,'Données projet'!$B$62,AI5+AH6-AQ5)))</f>
        <v>2.1369706776057753</v>
      </c>
      <c r="AJ6" s="13">
        <f>AI6*VLOOKUP('Données projet'!$B$10,Paramètres!$A$1:$I$89,3,0)*VLOOKUP('Données projet'!$B$10,Paramètres!$A$1:$I$89,5,0)</f>
        <v>1.3334697028260039</v>
      </c>
      <c r="AK6" s="13">
        <f t="shared" si="35"/>
        <v>0.59427461398928705</v>
      </c>
      <c r="AL6" s="20">
        <f t="shared" si="4"/>
        <v>3.357488018453298</v>
      </c>
      <c r="AM6" s="59">
        <f t="shared" si="5"/>
        <v>296.69082135178661</v>
      </c>
      <c r="AN6" s="59">
        <f ca="1">AVERAGE(OFFSET($AM$3,0,0,'Données projet'!$E$10+1,1))-AVERAGE(OFFSET($H$3,0,0,'Données projet'!$E$10+1,1))</f>
        <v>255.41017495879987</v>
      </c>
      <c r="AO6" s="59">
        <f t="shared" si="36"/>
        <v>297.50513563712764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1.1000000000000001</v>
      </c>
      <c r="BD6" s="12">
        <f>IF('Données projet'!$A$88&gt;35,BD5+BC6-BL5,IF(A6&lt;'Données projet'!$A$88,$BA$205^A6,IF(A6='Données projet'!$A$88,'Données projet'!$B$88,BD5+BC6-BL5)))</f>
        <v>2.0531364136588448</v>
      </c>
      <c r="BE6" s="13">
        <f>BD6*VLOOKUP('Données projet'!$B$11,Paramètres!$A$1:$I$89,3,0)*VLOOKUP('Données projet'!$B$11,Paramètres!$A$1:$I$89,5,0)</f>
        <v>1.6334753307069771</v>
      </c>
      <c r="BF6" s="13">
        <f t="shared" si="37"/>
        <v>0.71098156578295024</v>
      </c>
      <c r="BG6" s="20">
        <f t="shared" si="7"/>
        <v>4.0832624280532892</v>
      </c>
      <c r="BH6" s="59">
        <f t="shared" si="8"/>
        <v>297.41659576138659</v>
      </c>
      <c r="BI6" s="59">
        <f ca="1">AVERAGE(OFFSET($BH$3,0,0,'Données projet'!$E$11+1,1))-AVERAGE(OFFSET($H$3,0,0,'Données projet'!$E$11+1,1))</f>
        <v>260.20517190557814</v>
      </c>
      <c r="BJ6" s="59">
        <f t="shared" si="38"/>
        <v>307.22009971147133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6.15</v>
      </c>
      <c r="BY6" s="12">
        <f>IF('Données projet'!$A$114&gt;35,BY5+BX6-CG5,IF(A6&lt;'Données projet'!$A$114,$BV$205^A6,IF(A6='Données projet'!$A$114,'Données projet'!$B$114,BY5+BX6-CG5)))</f>
        <v>2.0581914356130016</v>
      </c>
      <c r="BZ6" s="13">
        <f>BY6*VLOOKUP('Données projet'!$B$12,Paramètres!$A$1:$I$89,3,0)*VLOOKUP('Données projet'!$B$12,Paramètres!$A$1:$I$89,5,0)</f>
        <v>1.3485270286136386</v>
      </c>
      <c r="CA6" s="13">
        <f t="shared" si="39"/>
        <v>0.60020009031789323</v>
      </c>
      <c r="CB6" s="20">
        <f t="shared" si="10"/>
        <v>3.3940330654724176</v>
      </c>
      <c r="CC6" s="59">
        <f t="shared" si="11"/>
        <v>296.72736639880571</v>
      </c>
      <c r="CD6" s="59">
        <f ca="1">AVERAGE(OFFSET($CC$3,0,0,'Données projet'!$E$12+1,1))-AVERAGE(OFFSET($H$3,0,0,'Données projet'!$E$12+1,1))</f>
        <v>185.21927898775016</v>
      </c>
      <c r="CE6" s="59">
        <f t="shared" si="40"/>
        <v>240.82467772396944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3.5568</v>
      </c>
      <c r="D7" s="11">
        <f t="shared" si="32"/>
        <v>1.4140611505968179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38.37155975899298</v>
      </c>
      <c r="H7" s="67">
        <f t="shared" si="1"/>
        <v>301.9909165039561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9.3968325791855207</v>
      </c>
      <c r="N7" s="13">
        <f>IF('Données projet'!$A$36&gt;35,N6+M7-V6,IF(A7&lt;'Données projet'!$A$36,$K$205^A7,IF(A7='Données projet'!$A$36,'Données projet'!$B$36,N6+M7-V6)))</f>
        <v>3.2995462042403512</v>
      </c>
      <c r="O7" s="13">
        <f>N7*VLOOKUP('Données projet'!$B$9,Paramètres!$A$1:$I$89,3,0)*VLOOKUP('Données projet'!$B$9,Paramètres!$A$1:$I$89,5,0)</f>
        <v>1.8444463281703563</v>
      </c>
      <c r="P7" s="13">
        <f t="shared" si="33"/>
        <v>0.79153711206256949</v>
      </c>
      <c r="Q7" s="20">
        <f t="shared" si="2"/>
        <v>4.591004491739012</v>
      </c>
      <c r="R7" s="59">
        <f t="shared" si="0"/>
        <v>297.92433782507231</v>
      </c>
      <c r="S7" s="59">
        <f ca="1">AVERAGE(OFFSET($R$3,0,0,'Données projet'!$E$9+1,1))-AVERAGE(OFFSET($H$3,0,0,'Données projet'!$E$9+1,1))</f>
        <v>255.5374979188561</v>
      </c>
      <c r="T7" s="59">
        <f t="shared" si="34"/>
        <v>343.10418468620901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7.9</v>
      </c>
      <c r="AI7" s="13">
        <f>IF('Données projet'!$A$62&gt;35,AI6+AH7-AQ6,IF(A7&lt;'Données projet'!$A$62,$AF$205^A7,IF(A7='Données projet'!$A$62,'Données projet'!$B$62,AI6+AH7-AQ6)))</f>
        <v>2.7525259203889356</v>
      </c>
      <c r="AJ7" s="13">
        <f>AI7*VLOOKUP('Données projet'!$B$10,Paramètres!$A$1:$I$89,3,0)*VLOOKUP('Données projet'!$B$10,Paramètres!$A$1:$I$89,5,0)</f>
        <v>1.7175761743226958</v>
      </c>
      <c r="AK7" s="13">
        <f t="shared" si="35"/>
        <v>0.74323105652553223</v>
      </c>
      <c r="AL7" s="20">
        <f t="shared" si="4"/>
        <v>4.2859059270606634</v>
      </c>
      <c r="AM7" s="59">
        <f t="shared" si="5"/>
        <v>297.61923926039395</v>
      </c>
      <c r="AN7" s="59">
        <f ca="1">AVERAGE(OFFSET($AM$3,0,0,'Données projet'!$E$10+1,1))-AVERAGE(OFFSET($H$3,0,0,'Données projet'!$E$10+1,1))</f>
        <v>255.41017495879987</v>
      </c>
      <c r="AO7" s="59">
        <f t="shared" si="36"/>
        <v>297.50513563712764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1.1000000000000001</v>
      </c>
      <c r="BD7" s="12">
        <f>IF('Données projet'!$A$88&gt;35,BD6+BC7-BL6,IF(A7&lt;'Données projet'!$A$88,$BA$205^A7,IF(A7='Données projet'!$A$88,'Données projet'!$B$88,BD6+BC7-BL6)))</f>
        <v>2.6094986352788743</v>
      </c>
      <c r="BE7" s="13">
        <f>BD7*VLOOKUP('Données projet'!$B$11,Paramètres!$A$1:$I$89,3,0)*VLOOKUP('Données projet'!$B$11,Paramètres!$A$1:$I$89,5,0)</f>
        <v>2.0761171142278725</v>
      </c>
      <c r="BF7" s="13">
        <f t="shared" si="37"/>
        <v>0.87877116536856548</v>
      </c>
      <c r="BG7" s="20">
        <f t="shared" si="7"/>
        <v>5.14643042029713</v>
      </c>
      <c r="BH7" s="59">
        <f t="shared" si="8"/>
        <v>298.47976375363044</v>
      </c>
      <c r="BI7" s="59">
        <f ca="1">AVERAGE(OFFSET($BH$3,0,0,'Données projet'!$E$11+1,1))-AVERAGE(OFFSET($H$3,0,0,'Données projet'!$E$11+1,1))</f>
        <v>260.20517190557814</v>
      </c>
      <c r="BJ7" s="59">
        <f t="shared" si="38"/>
        <v>307.22009971147133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6.15</v>
      </c>
      <c r="BY7" s="12">
        <f>IF('Données projet'!$A$114&gt;35,BY6+BX7-CG6,IF(A7&lt;'Données projet'!$A$114,$BV$205^A7,IF(A7='Données projet'!$A$114,'Données projet'!$B$114,BY6+BX7-CG6)))</f>
        <v>2.6180686018889823</v>
      </c>
      <c r="BZ7" s="13">
        <f>BY7*VLOOKUP('Données projet'!$B$12,Paramètres!$A$1:$I$89,3,0)*VLOOKUP('Données projet'!$B$12,Paramètres!$A$1:$I$89,5,0)</f>
        <v>1.7153585479576614</v>
      </c>
      <c r="CA7" s="13">
        <f t="shared" si="39"/>
        <v>0.74238307854661723</v>
      </c>
      <c r="CB7" s="20">
        <f t="shared" si="10"/>
        <v>4.2805666661616186</v>
      </c>
      <c r="CC7" s="59">
        <f t="shared" si="11"/>
        <v>297.61389999949495</v>
      </c>
      <c r="CD7" s="59">
        <f ca="1">AVERAGE(OFFSET($CC$3,0,0,'Données projet'!$E$12+1,1))-AVERAGE(OFFSET($H$3,0,0,'Données projet'!$E$12+1,1))</f>
        <v>185.21927898775016</v>
      </c>
      <c r="CE7" s="59">
        <f t="shared" si="40"/>
        <v>240.82467772396944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4.4459999999999997</v>
      </c>
      <c r="D8" s="11">
        <f t="shared" si="32"/>
        <v>1.7222566815192897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47.614612980148905</v>
      </c>
      <c r="H8" s="67">
        <f t="shared" si="1"/>
        <v>304.07638038697939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9.3968325791855207</v>
      </c>
      <c r="N8" s="13">
        <f>IF('Données projet'!$A$36&gt;35,N7+M8-V7,IF(A8&lt;'Données projet'!$A$36,$K$205^A8,IF(A8='Données projet'!$A$36,'Données projet'!$B$36,N7+M8-V7)))</f>
        <v>4.4470065366897273</v>
      </c>
      <c r="O8" s="13">
        <f>N8*VLOOKUP('Données projet'!$B$9,Paramètres!$A$1:$I$89,3,0)*VLOOKUP('Données projet'!$B$9,Paramètres!$A$1:$I$89,5,0)</f>
        <v>2.4858766540095578</v>
      </c>
      <c r="P8" s="13">
        <f t="shared" si="33"/>
        <v>1.0303809434654976</v>
      </c>
      <c r="Q8" s="20">
        <f t="shared" si="2"/>
        <v>6.124148648935722</v>
      </c>
      <c r="R8" s="59">
        <f t="shared" si="0"/>
        <v>299.45748198226903</v>
      </c>
      <c r="S8" s="59">
        <f ca="1">AVERAGE(OFFSET($R$3,0,0,'Données projet'!$E$9+1,1))-AVERAGE(OFFSET($H$3,0,0,'Données projet'!$E$9+1,1))</f>
        <v>255.5374979188561</v>
      </c>
      <c r="T8" s="59">
        <f t="shared" si="34"/>
        <v>343.10418468620901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7.9</v>
      </c>
      <c r="AI8" s="13">
        <f>IF('Données projet'!$A$62&gt;35,AI7+AH8-AQ7,IF(A8&lt;'Données projet'!$A$62,$AF$205^A8,IF(A8='Données projet'!$A$62,'Données projet'!$B$62,AI7+AH8-AQ7)))</f>
        <v>3.5453920925585285</v>
      </c>
      <c r="AJ8" s="13">
        <f>AI8*VLOOKUP('Données projet'!$B$10,Paramètres!$A$1:$I$89,3,0)*VLOOKUP('Données projet'!$B$10,Paramètres!$A$1:$I$89,5,0)</f>
        <v>2.2123246657565216</v>
      </c>
      <c r="AK8" s="13">
        <f t="shared" si="35"/>
        <v>0.9295238100041352</v>
      </c>
      <c r="AL8" s="20">
        <f t="shared" si="4"/>
        <v>5.4720527619498105</v>
      </c>
      <c r="AM8" s="59">
        <f t="shared" si="5"/>
        <v>298.8053860952831</v>
      </c>
      <c r="AN8" s="59">
        <f ca="1">AVERAGE(OFFSET($AM$3,0,0,'Données projet'!$E$10+1,1))-AVERAGE(OFFSET($H$3,0,0,'Données projet'!$E$10+1,1))</f>
        <v>255.41017495879987</v>
      </c>
      <c r="AO8" s="59">
        <f t="shared" si="36"/>
        <v>297.50513563712764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1.1000000000000001</v>
      </c>
      <c r="BD8" s="12">
        <f>IF('Données projet'!$A$88&gt;35,BD7+BC8-BL7,IF(A8&lt;'Données projet'!$A$88,$BA$205^A8,IF(A8='Données projet'!$A$88,'Données projet'!$B$88,BD7+BC8-BL7)))</f>
        <v>3.3166247903554016</v>
      </c>
      <c r="BE8" s="13">
        <f>BD8*VLOOKUP('Données projet'!$B$11,Paramètres!$A$1:$I$89,3,0)*VLOOKUP('Données projet'!$B$11,Paramètres!$A$1:$I$89,5,0)</f>
        <v>2.6387066832067574</v>
      </c>
      <c r="BF8" s="13">
        <f t="shared" si="37"/>
        <v>1.0861586266766543</v>
      </c>
      <c r="BG8" s="20">
        <f t="shared" si="7"/>
        <v>6.4874737480469413</v>
      </c>
      <c r="BH8" s="59">
        <f t="shared" si="8"/>
        <v>299.82080708138028</v>
      </c>
      <c r="BI8" s="59">
        <f ca="1">AVERAGE(OFFSET($BH$3,0,0,'Données projet'!$E$11+1,1))-AVERAGE(OFFSET($H$3,0,0,'Données projet'!$E$11+1,1))</f>
        <v>260.20517190557814</v>
      </c>
      <c r="BJ8" s="59">
        <f t="shared" si="38"/>
        <v>307.22009971147133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6.15</v>
      </c>
      <c r="BY8" s="12">
        <f>IF('Données projet'!$A$114&gt;35,BY7+BX8-CG7,IF(A8&lt;'Données projet'!$A$114,$BV$205^A8,IF(A8='Données projet'!$A$114,'Données projet'!$B$114,BY7+BX8-CG7)))</f>
        <v>3.330245712617828</v>
      </c>
      <c r="BZ8" s="13">
        <f>BY8*VLOOKUP('Données projet'!$B$12,Paramètres!$A$1:$I$89,3,0)*VLOOKUP('Données projet'!$B$12,Paramètres!$A$1:$I$89,5,0)</f>
        <v>2.1819769909072009</v>
      </c>
      <c r="CA8" s="13">
        <f t="shared" si="39"/>
        <v>0.91824817123977398</v>
      </c>
      <c r="CB8" s="20">
        <f t="shared" si="10"/>
        <v>5.3995588240726482</v>
      </c>
      <c r="CC8" s="59">
        <f t="shared" si="11"/>
        <v>298.73289215740596</v>
      </c>
      <c r="CD8" s="59">
        <f ca="1">AVERAGE(OFFSET($CC$3,0,0,'Données projet'!$E$12+1,1))-AVERAGE(OFFSET($H$3,0,0,'Données projet'!$E$12+1,1))</f>
        <v>185.21927898775016</v>
      </c>
      <c r="CE8" s="59">
        <f t="shared" si="40"/>
        <v>240.82467772396944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5.3351999999999995</v>
      </c>
      <c r="D9" s="11">
        <f t="shared" si="32"/>
        <v>2.0233099967312578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56.802533308100926</v>
      </c>
      <c r="H9" s="67">
        <f t="shared" si="1"/>
        <v>306.1494049109736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9.3968325791855207</v>
      </c>
      <c r="N9" s="13">
        <f>IF('Données projet'!$A$36&gt;35,N8+M9-V8,IF(A9&lt;'Données projet'!$A$36,$K$205^A9,IF(A9='Données projet'!$A$36,'Données projet'!$B$36,N8+M9-V8)))</f>
        <v>5.9935112022212556</v>
      </c>
      <c r="O9" s="13">
        <f>N9*VLOOKUP('Données projet'!$B$9,Paramètres!$A$1:$I$89,3,0)*VLOOKUP('Données projet'!$B$9,Paramètres!$A$1:$I$89,5,0)</f>
        <v>3.3503727620416819</v>
      </c>
      <c r="P9" s="13">
        <f t="shared" si="33"/>
        <v>1.3412951489922369</v>
      </c>
      <c r="Q9" s="20">
        <f t="shared" si="2"/>
        <v>8.1713216117174081</v>
      </c>
      <c r="R9" s="59">
        <f t="shared" si="0"/>
        <v>301.50465494505073</v>
      </c>
      <c r="S9" s="59">
        <f ca="1">AVERAGE(OFFSET($R$3,0,0,'Données projet'!$E$9+1,1))-AVERAGE(OFFSET($H$3,0,0,'Données projet'!$E$9+1,1))</f>
        <v>255.5374979188561</v>
      </c>
      <c r="T9" s="59">
        <f t="shared" si="34"/>
        <v>343.10418468620901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7.9</v>
      </c>
      <c r="AI9" s="13">
        <f>IF('Données projet'!$A$62&gt;35,AI8+AH9-AQ8,IF(A9&lt;'Données projet'!$A$62,$AF$205^A9,IF(A9='Données projet'!$A$62,'Données projet'!$B$62,AI8+AH9-AQ8)))</f>
        <v>4.566643676946887</v>
      </c>
      <c r="AJ9" s="13">
        <f>AI9*VLOOKUP('Données projet'!$B$10,Paramètres!$A$1:$I$89,3,0)*VLOOKUP('Données projet'!$B$10,Paramètres!$A$1:$I$89,5,0)</f>
        <v>2.8495856544148572</v>
      </c>
      <c r="AK9" s="13">
        <f t="shared" si="35"/>
        <v>1.1625113156650257</v>
      </c>
      <c r="AL9" s="20">
        <f t="shared" si="4"/>
        <v>6.9877355562224617</v>
      </c>
      <c r="AM9" s="59">
        <f t="shared" si="5"/>
        <v>300.32106888955576</v>
      </c>
      <c r="AN9" s="59">
        <f ca="1">AVERAGE(OFFSET($AM$3,0,0,'Données projet'!$E$10+1,1))-AVERAGE(OFFSET($H$3,0,0,'Données projet'!$E$10+1,1))</f>
        <v>255.41017495879987</v>
      </c>
      <c r="AO9" s="59">
        <f t="shared" si="36"/>
        <v>297.50513563712764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1.1000000000000001</v>
      </c>
      <c r="BD9" s="12">
        <f>IF('Données projet'!$A$88&gt;35,BD8+BC9-BL8,IF(A9&lt;'Données projet'!$A$88,$BA$205^A9,IF(A9='Données projet'!$A$88,'Données projet'!$B$88,BD8+BC9-BL8)))</f>
        <v>4.2153691330919028</v>
      </c>
      <c r="BE9" s="13">
        <f>BD9*VLOOKUP('Données projet'!$B$11,Paramètres!$A$1:$I$89,3,0)*VLOOKUP('Données projet'!$B$11,Paramètres!$A$1:$I$89,5,0)</f>
        <v>3.353747682287918</v>
      </c>
      <c r="BF9" s="13">
        <f t="shared" si="37"/>
        <v>1.3424889309030987</v>
      </c>
      <c r="BG9" s="20">
        <f t="shared" si="7"/>
        <v>8.1792787679743544</v>
      </c>
      <c r="BH9" s="59">
        <f t="shared" si="8"/>
        <v>301.5126121013077</v>
      </c>
      <c r="BI9" s="59">
        <f ca="1">AVERAGE(OFFSET($BH$3,0,0,'Données projet'!$E$11+1,1))-AVERAGE(OFFSET($H$3,0,0,'Données projet'!$E$11+1,1))</f>
        <v>260.20517190557814</v>
      </c>
      <c r="BJ9" s="59">
        <f t="shared" si="38"/>
        <v>307.22009971147133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6.15</v>
      </c>
      <c r="BY9" s="12">
        <f>IF('Données projet'!$A$114&gt;35,BY8+BX9-CG8,IF(A9&lt;'Données projet'!$A$114,$BV$205^A9,IF(A9='Données projet'!$A$114,'Données projet'!$B$114,BY8+BX9-CG8)))</f>
        <v>4.2361519856307082</v>
      </c>
      <c r="BZ9" s="13">
        <f>BY9*VLOOKUP('Données projet'!$B$12,Paramètres!$A$1:$I$89,3,0)*VLOOKUP('Données projet'!$B$12,Paramètres!$A$1:$I$89,5,0)</f>
        <v>2.7755267809852397</v>
      </c>
      <c r="CA9" s="13">
        <f t="shared" si="39"/>
        <v>1.1357744112862924</v>
      </c>
      <c r="CB9" s="20">
        <f t="shared" si="10"/>
        <v>6.8121829098729174</v>
      </c>
      <c r="CC9" s="59">
        <f t="shared" si="11"/>
        <v>300.14551624320626</v>
      </c>
      <c r="CD9" s="59">
        <f ca="1">AVERAGE(OFFSET($CC$3,0,0,'Données projet'!$E$12+1,1))-AVERAGE(OFFSET($H$3,0,0,'Données projet'!$E$12+1,1))</f>
        <v>185.21927898775016</v>
      </c>
      <c r="CE9" s="59">
        <f t="shared" si="40"/>
        <v>240.82467772396944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6.2243999999999993</v>
      </c>
      <c r="D10" s="11">
        <f t="shared" si="32"/>
        <v>2.3185507720937846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65.945584907390625</v>
      </c>
      <c r="H10" s="67">
        <f t="shared" si="1"/>
        <v>308.2123059280633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9.3968325791855207</v>
      </c>
      <c r="N10" s="13">
        <f>IF('Données projet'!$A$36&gt;35,N9+M10-V9,IF(A10&lt;'Données projet'!$A$36,$K$205^A10,IF(A10='Données projet'!$A$36,'Données projet'!$B$36,N9+M10-V9)))</f>
        <v>8.0778330849703455</v>
      </c>
      <c r="O10" s="13">
        <f>N10*VLOOKUP('Données projet'!$B$9,Paramètres!$A$1:$I$89,3,0)*VLOOKUP('Données projet'!$B$9,Paramètres!$A$1:$I$89,5,0)</f>
        <v>4.5155086944984228</v>
      </c>
      <c r="P10" s="13">
        <f t="shared" si="33"/>
        <v>1.7460267371204046</v>
      </c>
      <c r="Q10" s="20">
        <f t="shared" si="2"/>
        <v>10.905507543402789</v>
      </c>
      <c r="R10" s="59">
        <f t="shared" si="0"/>
        <v>304.23884087673611</v>
      </c>
      <c r="S10" s="59">
        <f ca="1">AVERAGE(OFFSET($R$3,0,0,'Données projet'!$E$9+1,1))-AVERAGE(OFFSET($H$3,0,0,'Données projet'!$E$9+1,1))</f>
        <v>255.5374979188561</v>
      </c>
      <c r="T10" s="59">
        <f t="shared" si="34"/>
        <v>343.10418468620901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7.9</v>
      </c>
      <c r="AI10" s="13">
        <f>IF('Données projet'!$A$62&gt;35,AI9+AH10-AQ9,IF(A10&lt;'Données projet'!$A$62,$AF$205^A10,IF(A10='Données projet'!$A$62,'Données projet'!$B$62,AI9+AH10-AQ9)))</f>
        <v>5.8820671812210037</v>
      </c>
      <c r="AJ10" s="13">
        <f>AI10*VLOOKUP('Données projet'!$B$10,Paramètres!$A$1:$I$89,3,0)*VLOOKUP('Données projet'!$B$10,Paramètres!$A$1:$I$89,5,0)</f>
        <v>3.6704099210819061</v>
      </c>
      <c r="AK10" s="13">
        <f t="shared" si="35"/>
        <v>1.4538977318324067</v>
      </c>
      <c r="AL10" s="20">
        <f t="shared" si="4"/>
        <v>8.9248358288257617</v>
      </c>
      <c r="AM10" s="59">
        <f t="shared" si="5"/>
        <v>302.25816916215905</v>
      </c>
      <c r="AN10" s="59">
        <f ca="1">AVERAGE(OFFSET($AM$3,0,0,'Données projet'!$E$10+1,1))-AVERAGE(OFFSET($H$3,0,0,'Données projet'!$E$10+1,1))</f>
        <v>255.41017495879987</v>
      </c>
      <c r="AO10" s="59">
        <f t="shared" si="36"/>
        <v>297.50513563712764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1.1000000000000001</v>
      </c>
      <c r="BD10" s="12">
        <f>IF('Données projet'!$A$88&gt;35,BD9+BC10-BL9,IF(A10&lt;'Données projet'!$A$88,$BA$205^A10,IF(A10='Données projet'!$A$88,'Données projet'!$B$88,BD9+BC10-BL9)))</f>
        <v>5.3576566694841175</v>
      </c>
      <c r="BE10" s="13">
        <f>BD10*VLOOKUP('Données projet'!$B$11,Paramètres!$A$1:$I$89,3,0)*VLOOKUP('Données projet'!$B$11,Paramètres!$A$1:$I$89,5,0)</f>
        <v>4.2625516462415645</v>
      </c>
      <c r="BF10" s="13">
        <f t="shared" si="37"/>
        <v>1.6593124478620722</v>
      </c>
      <c r="BG10" s="20">
        <f t="shared" si="7"/>
        <v>10.313913297230501</v>
      </c>
      <c r="BH10" s="59">
        <f t="shared" si="8"/>
        <v>303.64724663056381</v>
      </c>
      <c r="BI10" s="59">
        <f ca="1">AVERAGE(OFFSET($BH$3,0,0,'Données projet'!$E$11+1,1))-AVERAGE(OFFSET($H$3,0,0,'Données projet'!$E$11+1,1))</f>
        <v>260.20517190557814</v>
      </c>
      <c r="BJ10" s="59">
        <f t="shared" si="38"/>
        <v>307.22009971147133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6.15</v>
      </c>
      <c r="BY10" s="12">
        <f>IF('Données projet'!$A$114&gt;35,BY9+BX10-CG9,IF(A10&lt;'Données projet'!$A$114,$BV$205^A10,IF(A10='Données projet'!$A$114,'Données projet'!$B$114,BY9+BX10-CG9)))</f>
        <v>5.3884863742552085</v>
      </c>
      <c r="BZ10" s="13">
        <f>BY10*VLOOKUP('Données projet'!$B$12,Paramètres!$A$1:$I$89,3,0)*VLOOKUP('Données projet'!$B$12,Paramètres!$A$1:$I$89,5,0)</f>
        <v>3.5305362724120126</v>
      </c>
      <c r="CA10" s="13">
        <f t="shared" si="39"/>
        <v>1.4048310181669637</v>
      </c>
      <c r="CB10" s="20">
        <f t="shared" si="10"/>
        <v>8.5957646977583835</v>
      </c>
      <c r="CC10" s="59">
        <f t="shared" si="11"/>
        <v>301.92909803109171</v>
      </c>
      <c r="CD10" s="59">
        <f ca="1">AVERAGE(OFFSET($CC$3,0,0,'Données projet'!$E$12+1,1))-AVERAGE(OFFSET($H$3,0,0,'Données projet'!$E$12+1,1))</f>
        <v>185.21927898775016</v>
      </c>
      <c r="CE10" s="59">
        <f t="shared" si="40"/>
        <v>240.82467772396944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7.113599999999999</v>
      </c>
      <c r="D11" s="11">
        <f t="shared" si="32"/>
        <v>2.6089051793396716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75.050917173850095</v>
      </c>
      <c r="H11" s="67">
        <f t="shared" si="1"/>
        <v>310.26669652068324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9.3968325791855207</v>
      </c>
      <c r="N11" s="13">
        <f>IF('Données projet'!$A$36&gt;35,N10+M11-V10,IF(A11&lt;'Données projet'!$A$36,$K$205^A11,IF(A11='Données projet'!$A$36,'Données projet'!$B$36,N10+M11-V10)))</f>
        <v>10.88700515391691</v>
      </c>
      <c r="O11" s="13">
        <f>N11*VLOOKUP('Données projet'!$B$9,Paramètres!$A$1:$I$89,3,0)*VLOOKUP('Données projet'!$B$9,Paramètres!$A$1:$I$89,5,0)</f>
        <v>6.0858358810395528</v>
      </c>
      <c r="P11" s="13">
        <f t="shared" si="33"/>
        <v>2.2728848076650809</v>
      </c>
      <c r="Q11" s="20">
        <f t="shared" si="2"/>
        <v>14.558105199493902</v>
      </c>
      <c r="R11" s="59">
        <f t="shared" si="0"/>
        <v>307.89143853282724</v>
      </c>
      <c r="S11" s="59">
        <f ca="1">AVERAGE(OFFSET($R$3,0,0,'Données projet'!$E$9+1,1))-AVERAGE(OFFSET($H$3,0,0,'Données projet'!$E$9+1,1))</f>
        <v>255.5374979188561</v>
      </c>
      <c r="T11" s="59">
        <f t="shared" si="34"/>
        <v>343.10418468620901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7.9</v>
      </c>
      <c r="AI11" s="13">
        <f>IF('Données projet'!$A$62&gt;35,AI10+AH11-AQ10,IF(A11&lt;'Données projet'!$A$62,$AF$205^A11,IF(A11='Données projet'!$A$62,'Données projet'!$B$62,AI10+AH11-AQ10)))</f>
        <v>7.5763989424129567</v>
      </c>
      <c r="AJ11" s="13">
        <f>AI11*VLOOKUP('Données projet'!$B$10,Paramètres!$A$1:$I$89,3,0)*VLOOKUP('Données projet'!$B$10,Paramètres!$A$1:$I$89,5,0)</f>
        <v>4.7276729400656849</v>
      </c>
      <c r="AK11" s="13">
        <f t="shared" si="35"/>
        <v>1.8183208938643207</v>
      </c>
      <c r="AL11" s="20">
        <f t="shared" si="4"/>
        <v>11.400939260761424</v>
      </c>
      <c r="AM11" s="59">
        <f t="shared" si="5"/>
        <v>304.73427259409476</v>
      </c>
      <c r="AN11" s="59">
        <f ca="1">AVERAGE(OFFSET($AM$3,0,0,'Données projet'!$E$10+1,1))-AVERAGE(OFFSET($H$3,0,0,'Données projet'!$E$10+1,1))</f>
        <v>255.41017495879987</v>
      </c>
      <c r="AO11" s="59">
        <f t="shared" si="36"/>
        <v>297.50513563712764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1.1000000000000001</v>
      </c>
      <c r="BD11" s="12">
        <f>IF('Données projet'!$A$88&gt;35,BD10+BC11-BL10,IF(A11&lt;'Données projet'!$A$88,$BA$205^A11,IF(A11='Données projet'!$A$88,'Données projet'!$B$88,BD10+BC11-BL10)))</f>
        <v>6.8094831275223076</v>
      </c>
      <c r="BE11" s="13">
        <f>BD11*VLOOKUP('Données projet'!$B$11,Paramètres!$A$1:$I$89,3,0)*VLOOKUP('Données projet'!$B$11,Paramètres!$A$1:$I$89,5,0)</f>
        <v>5.4176247762567487</v>
      </c>
      <c r="BF11" s="13">
        <f t="shared" si="37"/>
        <v>2.0509054013412618</v>
      </c>
      <c r="BG11" s="20">
        <f t="shared" si="7"/>
        <v>13.007690059316532</v>
      </c>
      <c r="BH11" s="59">
        <f t="shared" si="8"/>
        <v>306.34102339264984</v>
      </c>
      <c r="BI11" s="59">
        <f ca="1">AVERAGE(OFFSET($BH$3,0,0,'Données projet'!$E$11+1,1))-AVERAGE(OFFSET($H$3,0,0,'Données projet'!$E$11+1,1))</f>
        <v>260.20517190557814</v>
      </c>
      <c r="BJ11" s="59">
        <f t="shared" si="38"/>
        <v>307.22009971147133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6.15</v>
      </c>
      <c r="BY11" s="12">
        <f>IF('Données projet'!$A$114&gt;35,BY10+BX11-CG10,IF(A11&lt;'Données projet'!$A$114,$BV$205^A11,IF(A11='Données projet'!$A$114,'Données projet'!$B$114,BY10+BX11-CG10)))</f>
        <v>6.8542832041969302</v>
      </c>
      <c r="BZ11" s="13">
        <f>BY11*VLOOKUP('Données projet'!$B$12,Paramètres!$A$1:$I$89,3,0)*VLOOKUP('Données projet'!$B$12,Paramètres!$A$1:$I$89,5,0)</f>
        <v>4.4909263553898287</v>
      </c>
      <c r="CA11" s="13">
        <f t="shared" si="39"/>
        <v>1.7376251568909125</v>
      </c>
      <c r="CB11" s="20">
        <f t="shared" si="10"/>
        <v>10.848060550555623</v>
      </c>
      <c r="CC11" s="59">
        <f t="shared" si="11"/>
        <v>304.18139388388892</v>
      </c>
      <c r="CD11" s="59">
        <f ca="1">AVERAGE(OFFSET($CC$3,0,0,'Données projet'!$E$12+1,1))-AVERAGE(OFFSET($H$3,0,0,'Données projet'!$E$12+1,1))</f>
        <v>185.21927898775016</v>
      </c>
      <c r="CE11" s="59">
        <f t="shared" si="40"/>
        <v>240.82467772396944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8.0027999999999988</v>
      </c>
      <c r="D12" s="11">
        <f t="shared" si="32"/>
        <v>2.8950539664743791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84.123785004363612</v>
      </c>
      <c r="H12" s="67">
        <f t="shared" si="1"/>
        <v>312.31376232494284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9.3968325791855207</v>
      </c>
      <c r="N12" s="13">
        <f>IF('Données projet'!$A$36&gt;35,N11+M12-V11,IF(A12&lt;'Données projet'!$A$36,$K$205^A12,IF(A12='Données projet'!$A$36,'Données projet'!$B$36,N11+M12-V11)))</f>
        <v>14.673103538366622</v>
      </c>
      <c r="O12" s="13">
        <f>N12*VLOOKUP('Données projet'!$B$9,Paramètres!$A$1:$I$89,3,0)*VLOOKUP('Données projet'!$B$9,Paramètres!$A$1:$I$89,5,0)</f>
        <v>8.2022648779469414</v>
      </c>
      <c r="P12" s="13">
        <f t="shared" si="33"/>
        <v>2.9587206421790828</v>
      </c>
      <c r="Q12" s="20">
        <f t="shared" si="2"/>
        <v>19.438716447552824</v>
      </c>
      <c r="R12" s="59">
        <f t="shared" si="0"/>
        <v>312.77204978088616</v>
      </c>
      <c r="S12" s="59">
        <f ca="1">AVERAGE(OFFSET($R$3,0,0,'Données projet'!$E$9+1,1))-AVERAGE(OFFSET($H$3,0,0,'Données projet'!$E$9+1,1))</f>
        <v>255.5374979188561</v>
      </c>
      <c r="T12" s="59">
        <f t="shared" si="34"/>
        <v>343.10418468620901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7.9</v>
      </c>
      <c r="AI12" s="13">
        <f>IF('Données projet'!$A$62&gt;35,AI11+AH12-AQ11,IF(A12&lt;'Données projet'!$A$62,$AF$205^A12,IF(A12='Données projet'!$A$62,'Données projet'!$B$62,AI11+AH12-AQ11)))</f>
        <v>9.7587836327093171</v>
      </c>
      <c r="AJ12" s="13">
        <f>AI12*VLOOKUP('Données projet'!$B$10,Paramètres!$A$1:$I$89,3,0)*VLOOKUP('Données projet'!$B$10,Paramètres!$A$1:$I$89,5,0)</f>
        <v>6.0894809868106137</v>
      </c>
      <c r="AK12" s="13">
        <f t="shared" si="35"/>
        <v>2.2740876477580638</v>
      </c>
      <c r="AL12" s="20">
        <f t="shared" si="4"/>
        <v>14.566548705207111</v>
      </c>
      <c r="AM12" s="59">
        <f t="shared" si="5"/>
        <v>307.89988203854045</v>
      </c>
      <c r="AN12" s="59">
        <f ca="1">AVERAGE(OFFSET($AM$3,0,0,'Données projet'!$E$10+1,1))-AVERAGE(OFFSET($H$3,0,0,'Données projet'!$E$10+1,1))</f>
        <v>255.41017495879987</v>
      </c>
      <c r="AO12" s="59">
        <f t="shared" si="36"/>
        <v>297.50513563712764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1.1000000000000001</v>
      </c>
      <c r="BD12" s="12">
        <f>IF('Données projet'!$A$88&gt;35,BD11+BC12-BL11,IF(A12&lt;'Données projet'!$A$88,$BA$205^A12,IF(A12='Données projet'!$A$88,'Données projet'!$B$88,BD11+BC12-BL11)))</f>
        <v>8.6547278641645029</v>
      </c>
      <c r="BE12" s="13">
        <f>BD12*VLOOKUP('Données projet'!$B$11,Paramètres!$A$1:$I$89,3,0)*VLOOKUP('Données projet'!$B$11,Paramètres!$A$1:$I$89,5,0)</f>
        <v>6.8857014887292793</v>
      </c>
      <c r="BF12" s="13">
        <f t="shared" si="37"/>
        <v>2.5349131627802968</v>
      </c>
      <c r="BG12" s="20">
        <f t="shared" si="7"/>
        <v>16.407570518045844</v>
      </c>
      <c r="BH12" s="59">
        <f t="shared" si="8"/>
        <v>309.74090385137913</v>
      </c>
      <c r="BI12" s="59">
        <f ca="1">AVERAGE(OFFSET($BH$3,0,0,'Données projet'!$E$11+1,1))-AVERAGE(OFFSET($H$3,0,0,'Données projet'!$E$11+1,1))</f>
        <v>260.20517190557814</v>
      </c>
      <c r="BJ12" s="59">
        <f t="shared" si="38"/>
        <v>307.22009971147133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6.15</v>
      </c>
      <c r="BY12" s="12">
        <f>IF('Données projet'!$A$114&gt;35,BY11+BX12-CG11,IF(A12&lt;'Données projet'!$A$114,$BV$205^A12,IF(A12='Données projet'!$A$114,'Données projet'!$B$114,BY11+BX12-CG11)))</f>
        <v>8.7188117367801343</v>
      </c>
      <c r="BZ12" s="13">
        <f>BY12*VLOOKUP('Données projet'!$B$12,Paramètres!$A$1:$I$89,3,0)*VLOOKUP('Données projet'!$B$12,Paramètres!$A$1:$I$89,5,0)</f>
        <v>5.712565449938344</v>
      </c>
      <c r="CA12" s="13">
        <f t="shared" si="39"/>
        <v>2.1492557801007499</v>
      </c>
      <c r="CB12" s="20">
        <f t="shared" si="10"/>
        <v>13.692671975651422</v>
      </c>
      <c r="CC12" s="59">
        <f t="shared" si="11"/>
        <v>307.02600530898474</v>
      </c>
      <c r="CD12" s="59">
        <f ca="1">AVERAGE(OFFSET($CC$3,0,0,'Données projet'!$E$12+1,1))-AVERAGE(OFFSET($H$3,0,0,'Données projet'!$E$12+1,1))</f>
        <v>185.21927898775016</v>
      </c>
      <c r="CE12" s="59">
        <f t="shared" si="40"/>
        <v>240.82467772396944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8.8919999999999995</v>
      </c>
      <c r="D13" s="11">
        <f t="shared" si="32"/>
        <v>3.177517729464268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93.16820703446102</v>
      </c>
      <c r="H13" s="67">
        <f t="shared" si="1"/>
        <v>314.35441004548358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9.3968325791855207</v>
      </c>
      <c r="N13" s="13">
        <f>IF('Données projet'!$A$36&gt;35,N12+M13-V12,IF(A13&lt;'Données projet'!$A$36,$K$205^A13,IF(A13='Données projet'!$A$36,'Données projet'!$B$36,N12+M13-V12)))</f>
        <v>19.775867137361168</v>
      </c>
      <c r="O13" s="13">
        <f>N13*VLOOKUP('Données projet'!$B$9,Paramètres!$A$1:$I$89,3,0)*VLOOKUP('Données projet'!$B$9,Paramètres!$A$1:$I$89,5,0)</f>
        <v>11.054709729784893</v>
      </c>
      <c r="P13" s="13">
        <f t="shared" si="33"/>
        <v>3.851505280397189</v>
      </c>
      <c r="Q13" s="20">
        <f t="shared" si="2"/>
        <v>25.96165780940046</v>
      </c>
      <c r="R13" s="59">
        <f t="shared" si="0"/>
        <v>319.29499114273375</v>
      </c>
      <c r="S13" s="59">
        <f ca="1">AVERAGE(OFFSET($R$3,0,0,'Données projet'!$E$9+1,1))-AVERAGE(OFFSET($H$3,0,0,'Données projet'!$E$9+1,1))</f>
        <v>255.5374979188561</v>
      </c>
      <c r="T13" s="59">
        <f t="shared" si="34"/>
        <v>343.10418468620901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7.9</v>
      </c>
      <c r="AI13" s="13">
        <f>IF('Données projet'!$A$62&gt;35,AI12+AH13-AQ12,IF(A13&lt;'Données projet'!$A$62,$AF$205^A13,IF(A13='Données projet'!$A$62,'Données projet'!$B$62,AI12+AH13-AQ12)))</f>
        <v>12.569805089976542</v>
      </c>
      <c r="AJ13" s="13">
        <f>AI13*VLOOKUP('Données projet'!$B$10,Paramètres!$A$1:$I$89,3,0)*VLOOKUP('Données projet'!$B$10,Paramètres!$A$1:$I$89,5,0)</f>
        <v>7.8435583761453627</v>
      </c>
      <c r="AK13" s="13">
        <f t="shared" si="35"/>
        <v>2.8440934969928842</v>
      </c>
      <c r="AL13" s="20">
        <f t="shared" si="4"/>
        <v>18.614327012382446</v>
      </c>
      <c r="AM13" s="59">
        <f t="shared" si="5"/>
        <v>311.94766034571575</v>
      </c>
      <c r="AN13" s="59">
        <f ca="1">AVERAGE(OFFSET($AM$3,0,0,'Données projet'!$E$10+1,1))-AVERAGE(OFFSET($H$3,0,0,'Données projet'!$E$10+1,1))</f>
        <v>255.41017495879987</v>
      </c>
      <c r="AO13" s="59">
        <f t="shared" si="36"/>
        <v>297.50513563712764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>
        <f>VLOOKUP(A13,'Données projet'!$A$87:$I$107,2,0)</f>
        <v>11</v>
      </c>
      <c r="BB13" s="12">
        <f>VLOOKUP(A13,'Données projet'!$A$87:$I$107,9,0)</f>
        <v>1.1000000000000001</v>
      </c>
      <c r="BC13" s="12">
        <f t="array" ref="BC13">INDEX(BB:BB,MIN(IF(ISNUMBER(BB13:BB209),ROW(BB13:BB209),"")))</f>
        <v>1.1000000000000001</v>
      </c>
      <c r="BD13" s="12">
        <f>IF('Données projet'!$A$88&gt;35,BD12+BC13-BL12,IF(A13&lt;'Données projet'!$A$88,$BA$205^A13,IF(A13='Données projet'!$A$88,'Données projet'!$B$88,BD12+BC13-BL12)))</f>
        <v>11</v>
      </c>
      <c r="BE13" s="13">
        <f>BD13*VLOOKUP('Données projet'!$B$11,Paramètres!$A$1:$I$89,3,0)*VLOOKUP('Données projet'!$B$11,Paramètres!$A$1:$I$89,5,0)</f>
        <v>8.7516000000000016</v>
      </c>
      <c r="BF13" s="13">
        <f t="shared" si="37"/>
        <v>3.1331453604025001</v>
      </c>
      <c r="BG13" s="20">
        <f t="shared" si="7"/>
        <v>20.699264836034356</v>
      </c>
      <c r="BH13" s="59">
        <f t="shared" si="8"/>
        <v>314.03259816936765</v>
      </c>
      <c r="BI13" s="59">
        <f ca="1">AVERAGE(OFFSET($BH$3,0,0,'Données projet'!$E$11+1,1))-AVERAGE(OFFSET($H$3,0,0,'Données projet'!$E$11+1,1))</f>
        <v>260.20517190557814</v>
      </c>
      <c r="BJ13" s="59">
        <f t="shared" si="38"/>
        <v>307.22009971147133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0.13250000000000001</v>
      </c>
      <c r="BO13" s="16">
        <f>IF(ISNA(VLOOKUP(A13,'Données projet'!$A$87:$I$107,7,0)),0%,VLOOKUP(A13,'Données projet'!$A$87:$I$107,7,0))</f>
        <v>0.25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6.15</v>
      </c>
      <c r="BY13" s="12">
        <f>IF('Données projet'!$A$114&gt;35,BY12+BX13-CG12,IF(A13&lt;'Données projet'!$A$114,$BV$205^A13,IF(A13='Données projet'!$A$114,'Données projet'!$B$114,BY12+BX13-CG12)))</f>
        <v>11.090536506409423</v>
      </c>
      <c r="BZ13" s="13">
        <f>BY13*VLOOKUP('Données projet'!$B$12,Paramètres!$A$1:$I$89,3,0)*VLOOKUP('Données projet'!$B$12,Paramètres!$A$1:$I$89,5,0)</f>
        <v>7.2665195189994547</v>
      </c>
      <c r="CA13" s="13">
        <f t="shared" si="39"/>
        <v>2.6583986713001306</v>
      </c>
      <c r="CB13" s="20">
        <f t="shared" si="10"/>
        <v>17.285899181438445</v>
      </c>
      <c r="CC13" s="59">
        <f t="shared" si="11"/>
        <v>310.61923251477174</v>
      </c>
      <c r="CD13" s="59">
        <f ca="1">AVERAGE(OFFSET($CC$3,0,0,'Données projet'!$E$12+1,1))-AVERAGE(OFFSET($H$3,0,0,'Données projet'!$E$12+1,1))</f>
        <v>185.21927898775016</v>
      </c>
      <c r="CE13" s="59">
        <f t="shared" si="40"/>
        <v>240.82467772396944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9.7812000000000001</v>
      </c>
      <c r="D14" s="11">
        <f t="shared" si="32"/>
        <v>3.4567069199829903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102.18735166302658</v>
      </c>
      <c r="H14" s="67">
        <f t="shared" si="1"/>
        <v>316.3893545523037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9.3968325791855207</v>
      </c>
      <c r="N14" s="13">
        <f>IF('Données projet'!$A$36&gt;35,N13+M14-V13,IF(A14&lt;'Données projet'!$A$36,$K$205^A14,IF(A14='Données projet'!$A$36,'Données projet'!$B$36,N13+M14-V13)))</f>
        <v>26.653183494001031</v>
      </c>
      <c r="O14" s="13">
        <f>N14*VLOOKUP('Données projet'!$B$9,Paramètres!$A$1:$I$89,3,0)*VLOOKUP('Données projet'!$B$9,Paramètres!$A$1:$I$89,5,0)</f>
        <v>14.899129573146578</v>
      </c>
      <c r="P14" s="13">
        <f t="shared" si="33"/>
        <v>5.013684872256877</v>
      </c>
      <c r="Q14" s="20">
        <f t="shared" si="2"/>
        <v>34.681485159077681</v>
      </c>
      <c r="R14" s="59">
        <f t="shared" si="0"/>
        <v>328.014818492411</v>
      </c>
      <c r="S14" s="59">
        <f ca="1">AVERAGE(OFFSET($R$3,0,0,'Données projet'!$E$9+1,1))-AVERAGE(OFFSET($H$3,0,0,'Données projet'!$E$9+1,1))</f>
        <v>255.5374979188561</v>
      </c>
      <c r="T14" s="59">
        <f t="shared" si="34"/>
        <v>343.10418468620901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7.9</v>
      </c>
      <c r="AI14" s="13">
        <f>IF('Données projet'!$A$62&gt;35,AI13+AH14-AQ13,IF(A14&lt;'Données projet'!$A$62,$AF$205^A14,IF(A14='Données projet'!$A$62,'Données projet'!$B$62,AI13+AH14-AQ13)))</f>
        <v>16.190542381779895</v>
      </c>
      <c r="AJ14" s="13">
        <f>AI14*VLOOKUP('Données projet'!$B$10,Paramètres!$A$1:$I$89,3,0)*VLOOKUP('Données projet'!$B$10,Paramètres!$A$1:$I$89,5,0)</f>
        <v>10.102898446230656</v>
      </c>
      <c r="AK14" s="13">
        <f t="shared" si="35"/>
        <v>3.5569727611913824</v>
      </c>
      <c r="AL14" s="20">
        <f t="shared" si="4"/>
        <v>23.790942352926717</v>
      </c>
      <c r="AM14" s="59">
        <f t="shared" si="5"/>
        <v>317.12427568626003</v>
      </c>
      <c r="AN14" s="59">
        <f ca="1">AVERAGE(OFFSET($AM$3,0,0,'Données projet'!$E$10+1,1))-AVERAGE(OFFSET($H$3,0,0,'Données projet'!$E$10+1,1))</f>
        <v>255.41017495879987</v>
      </c>
      <c r="AO14" s="59">
        <f t="shared" si="36"/>
        <v>297.50513563712764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12.3</v>
      </c>
      <c r="BD14" s="12">
        <f>IF('Données projet'!$A$88&gt;35,BD13+BC14-BL13,IF(A14&lt;'Données projet'!$A$88,$BA$205^A14,IF(A14='Données projet'!$A$88,'Données projet'!$B$88,BD13+BC14-BL13)))</f>
        <v>23.3</v>
      </c>
      <c r="BE14" s="13">
        <f>BD14*VLOOKUP('Données projet'!$B$11,Paramètres!$A$1:$I$89,3,0)*VLOOKUP('Données projet'!$B$11,Paramètres!$A$1:$I$89,5,0)</f>
        <v>18.537480000000002</v>
      </c>
      <c r="BF14" s="13">
        <f t="shared" si="37"/>
        <v>6.0813732490407499</v>
      </c>
      <c r="BG14" s="20">
        <f t="shared" si="7"/>
        <v>42.877836075412638</v>
      </c>
      <c r="BH14" s="59">
        <f t="shared" si="8"/>
        <v>336.21116940874595</v>
      </c>
      <c r="BI14" s="59">
        <f ca="1">AVERAGE(OFFSET($BH$3,0,0,'Données projet'!$E$11+1,1))-AVERAGE(OFFSET($H$3,0,0,'Données projet'!$E$11+1,1))</f>
        <v>260.20517190557814</v>
      </c>
      <c r="BJ14" s="59">
        <f t="shared" si="38"/>
        <v>307.22009971147133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6.15</v>
      </c>
      <c r="BY14" s="12">
        <f>IF('Données projet'!$A$114&gt;35,BY13+BX14-CG13,IF(A14&lt;'Données projet'!$A$114,$BV$205^A14,IF(A14='Données projet'!$A$114,'Données projet'!$B$114,BY13+BX14-CG13)))</f>
        <v>14.107426988144164</v>
      </c>
      <c r="BZ14" s="13">
        <f>BY14*VLOOKUP('Données projet'!$B$12,Paramètres!$A$1:$I$89,3,0)*VLOOKUP('Données projet'!$B$12,Paramètres!$A$1:$I$89,5,0)</f>
        <v>9.2431861626320568</v>
      </c>
      <c r="CA14" s="13">
        <f t="shared" si="39"/>
        <v>3.288153769784917</v>
      </c>
      <c r="CB14" s="20">
        <f t="shared" si="10"/>
        <v>21.825417048959562</v>
      </c>
      <c r="CC14" s="59">
        <f t="shared" si="11"/>
        <v>315.15875038229285</v>
      </c>
      <c r="CD14" s="59">
        <f ca="1">AVERAGE(OFFSET($CC$3,0,0,'Données projet'!$E$12+1,1))-AVERAGE(OFFSET($H$3,0,0,'Données projet'!$E$12+1,1))</f>
        <v>185.21927898775016</v>
      </c>
      <c r="CE14" s="59">
        <f t="shared" si="40"/>
        <v>240.82467772396944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10.670400000000001</v>
      </c>
      <c r="D15" s="11">
        <f t="shared" si="32"/>
        <v>3.7329530817348471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111.18377817479534</v>
      </c>
      <c r="H15" s="67">
        <f t="shared" si="1"/>
        <v>318.4191732840215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9.3968325791855207</v>
      </c>
      <c r="N15" s="13">
        <f>IF('Données projet'!$A$36&gt;35,N14+M15-V14,IF(A15&lt;'Données projet'!$A$36,$K$205^A15,IF(A15='Données projet'!$A$36,'Données projet'!$B$36,N14+M15-V14)))</f>
        <v>35.922176531151678</v>
      </c>
      <c r="O15" s="13">
        <f>N15*VLOOKUP('Données projet'!$B$9,Paramètres!$A$1:$I$89,3,0)*VLOOKUP('Données projet'!$B$9,Paramètres!$A$1:$I$89,5,0)</f>
        <v>20.080496680913789</v>
      </c>
      <c r="P15" s="13">
        <f t="shared" si="33"/>
        <v>6.5265484968269822</v>
      </c>
      <c r="Q15" s="20">
        <f t="shared" si="2"/>
        <v>46.340603684565174</v>
      </c>
      <c r="R15" s="59">
        <f t="shared" si="0"/>
        <v>339.67393701789848</v>
      </c>
      <c r="S15" s="59">
        <f ca="1">AVERAGE(OFFSET($R$3,0,0,'Données projet'!$E$9+1,1))-AVERAGE(OFFSET($H$3,0,0,'Données projet'!$E$9+1,1))</f>
        <v>255.5374979188561</v>
      </c>
      <c r="T15" s="59">
        <f t="shared" si="34"/>
        <v>343.10418468620901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7.9</v>
      </c>
      <c r="AI15" s="13">
        <f>IF('Données projet'!$A$62&gt;35,AI14+AH15-AQ14,IF(A15&lt;'Données projet'!$A$62,$AF$205^A15,IF(A15='Données projet'!$A$62,'Données projet'!$B$62,AI14+AH15-AQ14)))</f>
        <v>20.854234472198982</v>
      </c>
      <c r="AJ15" s="13">
        <f>AI15*VLOOKUP('Données projet'!$B$10,Paramètres!$A$1:$I$89,3,0)*VLOOKUP('Données projet'!$B$10,Paramètres!$A$1:$I$89,5,0)</f>
        <v>13.013042310652164</v>
      </c>
      <c r="AK15" s="13">
        <f t="shared" si="35"/>
        <v>4.4485370249728815</v>
      </c>
      <c r="AL15" s="20">
        <f t="shared" si="4"/>
        <v>30.41225067621362</v>
      </c>
      <c r="AM15" s="59">
        <f t="shared" si="5"/>
        <v>323.74558400954692</v>
      </c>
      <c r="AN15" s="59">
        <f ca="1">AVERAGE(OFFSET($AM$3,0,0,'Données projet'!$E$10+1,1))-AVERAGE(OFFSET($H$3,0,0,'Données projet'!$E$10+1,1))</f>
        <v>255.41017495879987</v>
      </c>
      <c r="AO15" s="59">
        <f t="shared" si="36"/>
        <v>297.50513563712764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12.3</v>
      </c>
      <c r="BD15" s="12">
        <f>IF('Données projet'!$A$88&gt;35,BD14+BC15-BL14,IF(A15&lt;'Données projet'!$A$88,$BA$205^A15,IF(A15='Données projet'!$A$88,'Données projet'!$B$88,BD14+BC15-BL14)))</f>
        <v>35.6</v>
      </c>
      <c r="BE15" s="13">
        <f>BD15*VLOOKUP('Données projet'!$B$11,Paramètres!$A$1:$I$89,3,0)*VLOOKUP('Données projet'!$B$11,Paramètres!$A$1:$I$89,5,0)</f>
        <v>28.323360000000005</v>
      </c>
      <c r="BF15" s="13">
        <f t="shared" si="37"/>
        <v>8.8443757631773217</v>
      </c>
      <c r="BG15" s="20">
        <f t="shared" si="7"/>
        <v>64.733806454200504</v>
      </c>
      <c r="BH15" s="59">
        <f t="shared" si="8"/>
        <v>358.06713978753385</v>
      </c>
      <c r="BI15" s="59">
        <f ca="1">AVERAGE(OFFSET($BH$3,0,0,'Données projet'!$E$11+1,1))-AVERAGE(OFFSET($H$3,0,0,'Données projet'!$E$11+1,1))</f>
        <v>260.20517190557814</v>
      </c>
      <c r="BJ15" s="59">
        <f t="shared" si="38"/>
        <v>307.22009971147133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6.15</v>
      </c>
      <c r="BY15" s="12">
        <f>IF('Données projet'!$A$114&gt;35,BY14+BX15-CG14,IF(A15&lt;'Données projet'!$A$114,$BV$205^A15,IF(A15='Données projet'!$A$114,'Données projet'!$B$114,BY14+BX15-CG14)))</f>
        <v>17.944983645362992</v>
      </c>
      <c r="BZ15" s="13">
        <f>BY15*VLOOKUP('Données projet'!$B$12,Paramètres!$A$1:$I$89,3,0)*VLOOKUP('Données projet'!$B$12,Paramètres!$A$1:$I$89,5,0)</f>
        <v>11.757553284441832</v>
      </c>
      <c r="CA15" s="13">
        <f t="shared" si="39"/>
        <v>4.0670932206202908</v>
      </c>
      <c r="CB15" s="20">
        <f t="shared" si="10"/>
        <v>27.561259329649861</v>
      </c>
      <c r="CC15" s="59">
        <f t="shared" si="11"/>
        <v>320.8945926629832</v>
      </c>
      <c r="CD15" s="59">
        <f ca="1">AVERAGE(OFFSET($CC$3,0,0,'Données projet'!$E$12+1,1))-AVERAGE(OFFSET($H$3,0,0,'Données projet'!$E$12+1,1))</f>
        <v>185.21927898775016</v>
      </c>
      <c r="CE15" s="59">
        <f t="shared" si="40"/>
        <v>240.82467772396944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11.559600000000001</v>
      </c>
      <c r="D16" s="11">
        <f t="shared" si="32"/>
        <v>4.0065293501366055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120.15959498351064</v>
      </c>
      <c r="H16" s="67">
        <f t="shared" si="1"/>
        <v>320.4443419514879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9.3968325791855207</v>
      </c>
      <c r="N16" s="13">
        <f>IF('Données projet'!$A$36&gt;35,N15+M16-V15,IF(A16&lt;'Données projet'!$A$36,$K$205^A16,IF(A16='Données projet'!$A$36,'Données projet'!$B$36,N15+M16-V15)))</f>
        <v>48.414583084443251</v>
      </c>
      <c r="O16" s="13">
        <f>N16*VLOOKUP('Données projet'!$B$9,Paramètres!$A$1:$I$89,3,0)*VLOOKUP('Données projet'!$B$9,Paramètres!$A$1:$I$89,5,0)</f>
        <v>27.063751944203776</v>
      </c>
      <c r="P16" s="13">
        <f t="shared" si="33"/>
        <v>8.4959139568459339</v>
      </c>
      <c r="Q16" s="20">
        <f t="shared" si="2"/>
        <v>61.933084777661577</v>
      </c>
      <c r="R16" s="59">
        <f t="shared" si="0"/>
        <v>355.26641811099489</v>
      </c>
      <c r="S16" s="59">
        <f ca="1">AVERAGE(OFFSET($R$3,0,0,'Données projet'!$E$9+1,1))-AVERAGE(OFFSET($H$3,0,0,'Données projet'!$E$9+1,1))</f>
        <v>255.5374979188561</v>
      </c>
      <c r="T16" s="59">
        <f t="shared" si="34"/>
        <v>343.10418468620901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7.9</v>
      </c>
      <c r="AI16" s="13">
        <f>IF('Données projet'!$A$62&gt;35,AI15+AH16-AQ15,IF(A16&lt;'Données projet'!$A$62,$AF$205^A16,IF(A16='Données projet'!$A$62,'Données projet'!$B$62,AI15+AH16-AQ15)))</f>
        <v>26.861304900499697</v>
      </c>
      <c r="AJ16" s="13">
        <f>AI16*VLOOKUP('Données projet'!$B$10,Paramètres!$A$1:$I$89,3,0)*VLOOKUP('Données projet'!$B$10,Paramètres!$A$1:$I$89,5,0)</f>
        <v>16.761454257911808</v>
      </c>
      <c r="AK16" s="13">
        <f t="shared" si="35"/>
        <v>5.5635741376681862</v>
      </c>
      <c r="AL16" s="20">
        <f t="shared" si="4"/>
        <v>38.88275778896849</v>
      </c>
      <c r="AM16" s="59">
        <f t="shared" si="5"/>
        <v>332.2160911223018</v>
      </c>
      <c r="AN16" s="59">
        <f ca="1">AVERAGE(OFFSET($AM$3,0,0,'Données projet'!$E$10+1,1))-AVERAGE(OFFSET($H$3,0,0,'Données projet'!$E$10+1,1))</f>
        <v>255.41017495879987</v>
      </c>
      <c r="AO16" s="59">
        <f t="shared" si="36"/>
        <v>297.50513563712764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12.3</v>
      </c>
      <c r="BD16" s="12">
        <f>IF('Données projet'!$A$88&gt;35,BD15+BC16-BL15,IF(A16&lt;'Données projet'!$A$88,$BA$205^A16,IF(A16='Données projet'!$A$88,'Données projet'!$B$88,BD15+BC16-BL15)))</f>
        <v>47.900000000000006</v>
      </c>
      <c r="BE16" s="13">
        <f>BD16*VLOOKUP('Données projet'!$B$11,Paramètres!$A$1:$I$89,3,0)*VLOOKUP('Données projet'!$B$11,Paramètres!$A$1:$I$89,5,0)</f>
        <v>38.109240000000007</v>
      </c>
      <c r="BF16" s="13">
        <f t="shared" si="37"/>
        <v>11.496097202870512</v>
      </c>
      <c r="BG16" s="20">
        <f t="shared" si="7"/>
        <v>86.395962294999478</v>
      </c>
      <c r="BH16" s="59">
        <f t="shared" si="8"/>
        <v>379.72929562833281</v>
      </c>
      <c r="BI16" s="59">
        <f ca="1">AVERAGE(OFFSET($BH$3,0,0,'Données projet'!$E$11+1,1))-AVERAGE(OFFSET($H$3,0,0,'Données projet'!$E$11+1,1))</f>
        <v>260.20517190557814</v>
      </c>
      <c r="BJ16" s="59">
        <f t="shared" si="38"/>
        <v>307.22009971147133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6.15</v>
      </c>
      <c r="BY16" s="12">
        <f>IF('Données projet'!$A$114&gt;35,BY15+BX16-CG15,IF(A16&lt;'Données projet'!$A$114,$BV$205^A16,IF(A16='Données projet'!$A$114,'Données projet'!$B$114,BY15+BX16-CG15)))</f>
        <v>22.826447253845217</v>
      </c>
      <c r="BZ16" s="13">
        <f>BY16*VLOOKUP('Données projet'!$B$12,Paramètres!$A$1:$I$89,3,0)*VLOOKUP('Données projet'!$B$12,Paramètres!$A$1:$I$89,5,0)</f>
        <v>14.955888240719387</v>
      </c>
      <c r="CA16" s="13">
        <f t="shared" si="39"/>
        <v>5.0305576999513439</v>
      </c>
      <c r="CB16" s="20">
        <f t="shared" si="10"/>
        <v>34.809726680001525</v>
      </c>
      <c r="CC16" s="59">
        <f t="shared" si="11"/>
        <v>328.14306001333483</v>
      </c>
      <c r="CD16" s="59">
        <f ca="1">AVERAGE(OFFSET($CC$3,0,0,'Données projet'!$E$12+1,1))-AVERAGE(OFFSET($H$3,0,0,'Données projet'!$E$12+1,1))</f>
        <v>185.21927898775016</v>
      </c>
      <c r="CE16" s="59">
        <f t="shared" si="40"/>
        <v>240.82467772396944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12.448800000000002</v>
      </c>
      <c r="D17" s="11">
        <f t="shared" si="32"/>
        <v>4.2776644527179633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129.11656770519133</v>
      </c>
      <c r="H17" s="67">
        <f t="shared" si="1"/>
        <v>322.46525892181711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9.3968325791855207</v>
      </c>
      <c r="N17" s="13">
        <f>IF('Données projet'!$A$36&gt;35,N16+M17-V16,IF(A17&lt;'Données projet'!$A$36,$K$205^A17,IF(A17='Données projet'!$A$36,'Données projet'!$B$36,N16+M17-V16)))</f>
        <v>65.251387348641543</v>
      </c>
      <c r="O17" s="13">
        <f>N17*VLOOKUP('Données projet'!$B$9,Paramètres!$A$1:$I$89,3,0)*VLOOKUP('Données projet'!$B$9,Paramètres!$A$1:$I$89,5,0)</f>
        <v>36.475525527890625</v>
      </c>
      <c r="P17" s="13">
        <f t="shared" si="33"/>
        <v>11.059529243860162</v>
      </c>
      <c r="Q17" s="20">
        <f t="shared" si="2"/>
        <v>82.790220394132618</v>
      </c>
      <c r="R17" s="59">
        <f t="shared" si="0"/>
        <v>376.12355372746595</v>
      </c>
      <c r="S17" s="59">
        <f ca="1">AVERAGE(OFFSET($R$3,0,0,'Données projet'!$E$9+1,1))-AVERAGE(OFFSET($H$3,0,0,'Données projet'!$E$9+1,1))</f>
        <v>255.5374979188561</v>
      </c>
      <c r="T17" s="59">
        <f t="shared" si="34"/>
        <v>343.10418468620901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7.9</v>
      </c>
      <c r="AI17" s="13">
        <f>IF('Données projet'!$A$62&gt;35,AI16+AH17-AQ16,IF(A17&lt;'Données projet'!$A$62,$AF$205^A17,IF(A17='Données projet'!$A$62,'Données projet'!$B$62,AI16+AH17-AQ16)))</f>
        <v>34.598714324397214</v>
      </c>
      <c r="AJ17" s="13">
        <f>AI17*VLOOKUP('Données projet'!$B$10,Paramètres!$A$1:$I$89,3,0)*VLOOKUP('Données projet'!$B$10,Paramètres!$A$1:$I$89,5,0)</f>
        <v>21.589597738423862</v>
      </c>
      <c r="AK17" s="13">
        <f t="shared" si="35"/>
        <v>6.9580981368855754</v>
      </c>
      <c r="AL17" s="20">
        <f t="shared" si="4"/>
        <v>49.720570316163929</v>
      </c>
      <c r="AM17" s="59">
        <f t="shared" si="5"/>
        <v>343.05390364949722</v>
      </c>
      <c r="AN17" s="59">
        <f ca="1">AVERAGE(OFFSET($AM$3,0,0,'Données projet'!$E$10+1,1))-AVERAGE(OFFSET($H$3,0,0,'Données projet'!$E$10+1,1))</f>
        <v>255.41017495879987</v>
      </c>
      <c r="AO17" s="59">
        <f t="shared" si="36"/>
        <v>297.50513563712764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12.3</v>
      </c>
      <c r="BD17" s="12">
        <f>IF('Données projet'!$A$88&gt;35,BD16+BC17-BL16,IF(A17&lt;'Données projet'!$A$88,$BA$205^A17,IF(A17='Données projet'!$A$88,'Données projet'!$B$88,BD16+BC17-BL16)))</f>
        <v>60.2</v>
      </c>
      <c r="BE17" s="13">
        <f>BD17*VLOOKUP('Données projet'!$B$11,Paramètres!$A$1:$I$89,3,0)*VLOOKUP('Données projet'!$B$11,Paramètres!$A$1:$I$89,5,0)</f>
        <v>47.895120000000006</v>
      </c>
      <c r="BF17" s="13">
        <f t="shared" si="37"/>
        <v>14.068812032564205</v>
      </c>
      <c r="BG17" s="20">
        <f t="shared" si="7"/>
        <v>107.92051495671599</v>
      </c>
      <c r="BH17" s="59">
        <f t="shared" si="8"/>
        <v>401.25384829004929</v>
      </c>
      <c r="BI17" s="59">
        <f ca="1">AVERAGE(OFFSET($BH$3,0,0,'Données projet'!$E$11+1,1))-AVERAGE(OFFSET($H$3,0,0,'Données projet'!$E$11+1,1))</f>
        <v>260.20517190557814</v>
      </c>
      <c r="BJ17" s="59">
        <f t="shared" si="38"/>
        <v>307.22009971147133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6.15</v>
      </c>
      <c r="BY17" s="12">
        <f>IF('Données projet'!$A$114&gt;35,BY16+BX17-CG16,IF(A17&lt;'Données projet'!$A$114,$BV$205^A17,IF(A17='Données projet'!$A$114,'Données projet'!$B$114,BY16+BX17-CG16)))</f>
        <v>29.035785405534039</v>
      </c>
      <c r="BZ17" s="13">
        <f>BY17*VLOOKUP('Données projet'!$B$12,Paramètres!$A$1:$I$89,3,0)*VLOOKUP('Données projet'!$B$12,Paramètres!$A$1:$I$89,5,0)</f>
        <v>19.024246597705904</v>
      </c>
      <c r="CA17" s="13">
        <f t="shared" si="39"/>
        <v>6.2222598302480288</v>
      </c>
      <c r="CB17" s="20">
        <f t="shared" si="10"/>
        <v>43.970998695353103</v>
      </c>
      <c r="CC17" s="59">
        <f t="shared" si="11"/>
        <v>337.30433202868642</v>
      </c>
      <c r="CD17" s="59">
        <f ca="1">AVERAGE(OFFSET($CC$3,0,0,'Données projet'!$E$12+1,1))-AVERAGE(OFFSET($H$3,0,0,'Données projet'!$E$12+1,1))</f>
        <v>185.21927898775016</v>
      </c>
      <c r="CE17" s="59">
        <f t="shared" si="40"/>
        <v>240.82467772396944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13.338000000000003</v>
      </c>
      <c r="D18" s="11">
        <f t="shared" si="32"/>
        <v>4.5465525901071517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138.0561954324061</v>
      </c>
      <c r="H18" s="67">
        <f t="shared" si="1"/>
        <v>324.48226242776991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9.3968325791855207</v>
      </c>
      <c r="N18" s="13">
        <f>IF('Données projet'!$A$36&gt;35,N17+M18-V17,IF(A18&lt;'Données projet'!$A$36,$K$205^A18,IF(A18='Données projet'!$A$36,'Données projet'!$B$36,N17+M18-V17)))</f>
        <v>87.943410428552681</v>
      </c>
      <c r="O18" s="13">
        <f>N18*VLOOKUP('Données projet'!$B$9,Paramètres!$A$1:$I$89,3,0)*VLOOKUP('Données projet'!$B$9,Paramètres!$A$1:$I$89,5,0)</f>
        <v>49.160366429560945</v>
      </c>
      <c r="P18" s="13">
        <f t="shared" si="33"/>
        <v>14.396707372164377</v>
      </c>
      <c r="Q18" s="20">
        <f t="shared" si="2"/>
        <v>110.69523687133828</v>
      </c>
      <c r="R18" s="59">
        <f t="shared" si="0"/>
        <v>404.02857020467161</v>
      </c>
      <c r="S18" s="59">
        <f ca="1">AVERAGE(OFFSET($R$3,0,0,'Données projet'!$E$9+1,1))-AVERAGE(OFFSET($H$3,0,0,'Données projet'!$E$9+1,1))</f>
        <v>255.5374979188561</v>
      </c>
      <c r="T18" s="59">
        <f t="shared" si="34"/>
        <v>343.10418468620901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7.9</v>
      </c>
      <c r="AI18" s="13">
        <f>IF('Données projet'!$A$62&gt;35,AI17+AH18-AQ17,IF(A18&lt;'Données projet'!$A$62,$AF$205^A18,IF(A18='Données projet'!$A$62,'Données projet'!$B$62,AI17+AH18-AQ17)))</f>
        <v>44.564887571004775</v>
      </c>
      <c r="AJ18" s="13">
        <f>AI18*VLOOKUP('Données projet'!$B$10,Paramètres!$A$1:$I$89,3,0)*VLOOKUP('Données projet'!$B$10,Paramètres!$A$1:$I$89,5,0)</f>
        <v>27.808489844306976</v>
      </c>
      <c r="AK18" s="13">
        <f t="shared" si="35"/>
        <v>8.7021631211375059</v>
      </c>
      <c r="AL18" s="20">
        <f t="shared" si="4"/>
        <v>63.589387248149137</v>
      </c>
      <c r="AM18" s="59">
        <f t="shared" si="5"/>
        <v>356.92272058148245</v>
      </c>
      <c r="AN18" s="59">
        <f ca="1">AVERAGE(OFFSET($AM$3,0,0,'Données projet'!$E$10+1,1))-AVERAGE(OFFSET($H$3,0,0,'Données projet'!$E$10+1,1))</f>
        <v>255.41017495879987</v>
      </c>
      <c r="AO18" s="59">
        <f t="shared" si="36"/>
        <v>297.50513563712764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12.3</v>
      </c>
      <c r="BD18" s="12">
        <f>IF('Données projet'!$A$88&gt;35,BD17+BC18-BL17,IF(A18&lt;'Données projet'!$A$88,$BA$205^A18,IF(A18='Données projet'!$A$88,'Données projet'!$B$88,BD17+BC18-BL17)))</f>
        <v>72.5</v>
      </c>
      <c r="BE18" s="13">
        <f>BD18*VLOOKUP('Données projet'!$B$11,Paramètres!$A$1:$I$89,3,0)*VLOOKUP('Données projet'!$B$11,Paramètres!$A$1:$I$89,5,0)</f>
        <v>57.681000000000004</v>
      </c>
      <c r="BF18" s="13">
        <f t="shared" si="37"/>
        <v>16.580614810327479</v>
      </c>
      <c r="BG18" s="20">
        <f t="shared" si="7"/>
        <v>129.33897912798705</v>
      </c>
      <c r="BH18" s="59">
        <f t="shared" si="8"/>
        <v>422.67231246132036</v>
      </c>
      <c r="BI18" s="59">
        <f ca="1">AVERAGE(OFFSET($BH$3,0,0,'Données projet'!$E$11+1,1))-AVERAGE(OFFSET($H$3,0,0,'Données projet'!$E$11+1,1))</f>
        <v>260.20517190557814</v>
      </c>
      <c r="BJ18" s="59">
        <f t="shared" si="38"/>
        <v>307.22009971147133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6.15</v>
      </c>
      <c r="BY18" s="12">
        <f>IF('Données projet'!$A$114&gt;35,BY17+BX18-CG17,IF(A18&lt;'Données projet'!$A$114,$BV$205^A18,IF(A18='Données projet'!$A$114,'Données projet'!$B$114,BY17+BX18-CG17)))</f>
        <v>36.934211651101492</v>
      </c>
      <c r="BZ18" s="13">
        <f>BY18*VLOOKUP('Données projet'!$B$12,Paramètres!$A$1:$I$89,3,0)*VLOOKUP('Données projet'!$B$12,Paramètres!$A$1:$I$89,5,0)</f>
        <v>24.199295473801698</v>
      </c>
      <c r="CA18" s="13">
        <f t="shared" si="39"/>
        <v>7.6962674328320908</v>
      </c>
      <c r="CB18" s="20">
        <f t="shared" si="10"/>
        <v>55.551438729053842</v>
      </c>
      <c r="CC18" s="59">
        <f t="shared" si="11"/>
        <v>348.88477206238713</v>
      </c>
      <c r="CD18" s="59">
        <f ca="1">AVERAGE(OFFSET($CC$3,0,0,'Données projet'!$E$12+1,1))-AVERAGE(OFFSET($H$3,0,0,'Données projet'!$E$12+1,1))</f>
        <v>185.21927898775016</v>
      </c>
      <c r="CE18" s="59">
        <f t="shared" si="40"/>
        <v>240.82467772396944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0</v>
      </c>
      <c r="CM18" s="21">
        <f>EXP(-LN(2)/2)*CM17+(1-EXP(-LN(2)/2))/(LN(2)/2)*CG18*CJ18*VLOOKUP('Données projet'!$B$12,Paramètres!$A$1:$I$89,3,0)*0.475*44/12</f>
        <v>0</v>
      </c>
      <c r="CN18" s="22">
        <f t="shared" si="12"/>
        <v>0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14.227200000000003</v>
      </c>
      <c r="D19" s="11">
        <f t="shared" si="32"/>
        <v>4.81336060460516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146.97976607063634</v>
      </c>
      <c r="H19" s="67">
        <f t="shared" si="1"/>
        <v>326.49564305302061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9.3968325791855207</v>
      </c>
      <c r="N19" s="13">
        <f>IF('Données projet'!$A$36&gt;35,N18+M19-V18,IF(A19&lt;'Données projet'!$A$36,$K$205^A19,IF(A19='Données projet'!$A$36,'Données projet'!$B$36,N18+M19-V18)))</f>
        <v>118.52688122141336</v>
      </c>
      <c r="O19" s="13">
        <f>N19*VLOOKUP('Données projet'!$B$9,Paramètres!$A$1:$I$89,3,0)*VLOOKUP('Données projet'!$B$9,Paramètres!$A$1:$I$89,5,0)</f>
        <v>66.256526602770066</v>
      </c>
      <c r="P19" s="13">
        <f t="shared" si="33"/>
        <v>18.740868493548042</v>
      </c>
      <c r="Q19" s="20">
        <f t="shared" si="2"/>
        <v>148.03712979275406</v>
      </c>
      <c r="R19" s="59">
        <f t="shared" si="0"/>
        <v>441.37046312608737</v>
      </c>
      <c r="S19" s="59">
        <f ca="1">AVERAGE(OFFSET($R$3,0,0,'Données projet'!$E$9+1,1))-AVERAGE(OFFSET($H$3,0,0,'Données projet'!$E$9+1,1))</f>
        <v>255.5374979188561</v>
      </c>
      <c r="T19" s="59">
        <f t="shared" si="34"/>
        <v>343.10418468620901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7.9</v>
      </c>
      <c r="AI19" s="13">
        <f>IF('Données projet'!$A$62&gt;35,AI18+AH19-AQ18,IF(A19&lt;'Données projet'!$A$62,$AF$205^A19,IF(A19='Données projet'!$A$62,'Données projet'!$B$62,AI18+AH19-AQ18)))</f>
        <v>57.401820934596167</v>
      </c>
      <c r="AJ19" s="13">
        <f>AI19*VLOOKUP('Données projet'!$B$10,Paramètres!$A$1:$I$89,3,0)*VLOOKUP('Données projet'!$B$10,Paramètres!$A$1:$I$89,5,0)</f>
        <v>35.818736263188008</v>
      </c>
      <c r="AK19" s="13">
        <f t="shared" si="35"/>
        <v>10.883382426793592</v>
      </c>
      <c r="AL19" s="20">
        <f t="shared" si="4"/>
        <v>81.339523385051294</v>
      </c>
      <c r="AM19" s="59">
        <f t="shared" si="5"/>
        <v>374.67285671838459</v>
      </c>
      <c r="AN19" s="59">
        <f ca="1">AVERAGE(OFFSET($AM$3,0,0,'Données projet'!$E$10+1,1))-AVERAGE(OFFSET($H$3,0,0,'Données projet'!$E$10+1,1))</f>
        <v>255.41017495879987</v>
      </c>
      <c r="AO19" s="59">
        <f t="shared" si="36"/>
        <v>297.50513563712764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12.3</v>
      </c>
      <c r="BD19" s="12">
        <f>IF('Données projet'!$A$88&gt;35,BD18+BC19-BL18,IF(A19&lt;'Données projet'!$A$88,$BA$205^A19,IF(A19='Données projet'!$A$88,'Données projet'!$B$88,BD18+BC19-BL18)))</f>
        <v>84.8</v>
      </c>
      <c r="BE19" s="13">
        <f>BD19*VLOOKUP('Données projet'!$B$11,Paramètres!$A$1:$I$89,3,0)*VLOOKUP('Données projet'!$B$11,Paramètres!$A$1:$I$89,5,0)</f>
        <v>67.466880000000003</v>
      </c>
      <c r="BF19" s="13">
        <f t="shared" si="37"/>
        <v>19.043051531232432</v>
      </c>
      <c r="BG19" s="20">
        <f t="shared" si="7"/>
        <v>150.67146408356317</v>
      </c>
      <c r="BH19" s="59">
        <f t="shared" si="8"/>
        <v>444.00479741689651</v>
      </c>
      <c r="BI19" s="59">
        <f ca="1">AVERAGE(OFFSET($BH$3,0,0,'Données projet'!$E$11+1,1))-AVERAGE(OFFSET($H$3,0,0,'Données projet'!$E$11+1,1))</f>
        <v>260.20517190557814</v>
      </c>
      <c r="BJ19" s="59">
        <f t="shared" si="38"/>
        <v>307.22009971147133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6.15</v>
      </c>
      <c r="BY19" s="12">
        <f>IF('Données projet'!$A$114&gt;35,BY18+BX19-CG18,IF(A19&lt;'Données projet'!$A$114,$BV$205^A19,IF(A19='Données projet'!$A$114,'Données projet'!$B$114,BY18+BX19-CG18)))</f>
        <v>46.981198243336138</v>
      </c>
      <c r="BZ19" s="13">
        <f>BY19*VLOOKUP('Données projet'!$B$12,Paramètres!$A$1:$I$89,3,0)*VLOOKUP('Données projet'!$B$12,Paramètres!$A$1:$I$89,5,0)</f>
        <v>30.782081089033838</v>
      </c>
      <c r="CA19" s="13">
        <f t="shared" si="39"/>
        <v>9.5194565983450428</v>
      </c>
      <c r="CB19" s="20">
        <f t="shared" si="10"/>
        <v>70.191844805518215</v>
      </c>
      <c r="CC19" s="59">
        <f t="shared" si="11"/>
        <v>363.52517813885152</v>
      </c>
      <c r="CD19" s="59">
        <f ca="1">AVERAGE(OFFSET($CC$3,0,0,'Données projet'!$E$12+1,1))-AVERAGE(OFFSET($H$3,0,0,'Données projet'!$E$12+1,1))</f>
        <v>185.21927898775016</v>
      </c>
      <c r="CE19" s="59">
        <f t="shared" si="40"/>
        <v>240.82467772396944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</v>
      </c>
      <c r="CM19" s="21">
        <f>EXP(-LN(2)/2)*CM18+(1-EXP(-LN(2)/2))/(LN(2)/2)*CG19*CJ19*VLOOKUP('Données projet'!$B$12,Paramètres!$A$1:$I$89,3,0)*0.475*44/12</f>
        <v>0</v>
      </c>
      <c r="CN19" s="22">
        <f t="shared" si="12"/>
        <v>0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15.116400000000004</v>
      </c>
      <c r="D20" s="11">
        <f t="shared" si="32"/>
        <v>5.0782333044806931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155.8883974380966</v>
      </c>
      <c r="H20" s="67">
        <f t="shared" si="1"/>
        <v>328.50565300530388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>
        <f>VLOOKUP(A20,'Données projet'!$A$35:$I$55,2,0)</f>
        <v>159.74615384615385</v>
      </c>
      <c r="L20" s="12">
        <f>VLOOKUP(A20,'Données projet'!$A$35:$I$55,9,0)</f>
        <v>9.3968325791855207</v>
      </c>
      <c r="M20" s="12">
        <f t="array" ref="M20">INDEX(L:L,MIN(IF(ISNUMBER(L20:L216),ROW(L20:L216),"")))</f>
        <v>9.3968325791855207</v>
      </c>
      <c r="N20" s="13">
        <f>IF('Données projet'!$A$36&gt;35,N19+M20-V19,IF(A20&lt;'Données projet'!$A$36,$K$205^A20,IF(A20='Données projet'!$A$36,'Données projet'!$B$36,N19+M20-V19)))</f>
        <v>159.74615384615385</v>
      </c>
      <c r="O20" s="13">
        <f>N20*VLOOKUP('Données projet'!$B$9,Paramètres!$A$1:$I$89,3,0)*VLOOKUP('Données projet'!$B$9,Paramètres!$A$1:$I$89,5,0)</f>
        <v>89.298100000000005</v>
      </c>
      <c r="P20" s="13">
        <f t="shared" si="33"/>
        <v>24.395866555677571</v>
      </c>
      <c r="Q20" s="20">
        <f t="shared" si="2"/>
        <v>198.01699175113845</v>
      </c>
      <c r="R20" s="59">
        <f t="shared" si="0"/>
        <v>491.35032508447176</v>
      </c>
      <c r="S20" s="59">
        <f ca="1">AVERAGE(OFFSET($R$3,0,0,'Données projet'!$E$9+1,1))-AVERAGE(OFFSET($H$3,0,0,'Données projet'!$E$9+1,1))</f>
        <v>255.5374979188561</v>
      </c>
      <c r="T20" s="59">
        <f t="shared" si="34"/>
        <v>343.10418468620901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7.9</v>
      </c>
      <c r="AI20" s="13">
        <f>IF('Données projet'!$A$62&gt;35,AI19+AH20-AQ19,IF(A20&lt;'Données projet'!$A$62,$AF$205^A20,IF(A20='Données projet'!$A$62,'Données projet'!$B$62,AI19+AH20-AQ19)))</f>
        <v>73.936437994095741</v>
      </c>
      <c r="AJ20" s="13">
        <f>AI20*VLOOKUP('Données projet'!$B$10,Paramètres!$A$1:$I$89,3,0)*VLOOKUP('Données projet'!$B$10,Paramètres!$A$1:$I$89,5,0)</f>
        <v>46.136337308315738</v>
      </c>
      <c r="AK20" s="13">
        <f t="shared" si="35"/>
        <v>13.611329895681916</v>
      </c>
      <c r="AL20" s="20">
        <f t="shared" si="4"/>
        <v>104.0605203802959</v>
      </c>
      <c r="AM20" s="59">
        <f t="shared" si="5"/>
        <v>397.3938537136292</v>
      </c>
      <c r="AN20" s="59">
        <f ca="1">AVERAGE(OFFSET($AM$3,0,0,'Données projet'!$E$10+1,1))-AVERAGE(OFFSET($H$3,0,0,'Données projet'!$E$10+1,1))</f>
        <v>255.41017495879987</v>
      </c>
      <c r="AO20" s="59">
        <f t="shared" si="36"/>
        <v>297.50513563712764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12.3</v>
      </c>
      <c r="BD20" s="12">
        <f>IF('Données projet'!$A$88&gt;35,BD19+BC20-BL19,IF(A20&lt;'Données projet'!$A$88,$BA$205^A20,IF(A20='Données projet'!$A$88,'Données projet'!$B$88,BD19+BC20-BL19)))</f>
        <v>97.1</v>
      </c>
      <c r="BE20" s="13">
        <f>BD20*VLOOKUP('Données projet'!$B$11,Paramètres!$A$1:$I$89,3,0)*VLOOKUP('Données projet'!$B$11,Paramètres!$A$1:$I$89,5,0)</f>
        <v>77.252760000000009</v>
      </c>
      <c r="BF20" s="13">
        <f t="shared" si="37"/>
        <v>21.4641096918828</v>
      </c>
      <c r="BG20" s="20">
        <f t="shared" si="7"/>
        <v>171.93188138002924</v>
      </c>
      <c r="BH20" s="59">
        <f t="shared" si="8"/>
        <v>465.26521471336252</v>
      </c>
      <c r="BI20" s="59">
        <f ca="1">AVERAGE(OFFSET($BH$3,0,0,'Données projet'!$E$11+1,1))-AVERAGE(OFFSET($H$3,0,0,'Données projet'!$E$11+1,1))</f>
        <v>260.20517190557814</v>
      </c>
      <c r="BJ20" s="59">
        <f t="shared" si="38"/>
        <v>307.22009971147133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6.15</v>
      </c>
      <c r="BY20" s="12">
        <f>IF('Données projet'!$A$114&gt;35,BY19+BX20-CG19,IF(A20&lt;'Données projet'!$A$114,$BV$205^A20,IF(A20='Données projet'!$A$114,'Données projet'!$B$114,BY19+BX20-CG19)))</f>
        <v>59.761204847967136</v>
      </c>
      <c r="BZ20" s="13">
        <f>BY20*VLOOKUP('Données projet'!$B$12,Paramètres!$A$1:$I$89,3,0)*VLOOKUP('Données projet'!$B$12,Paramètres!$A$1:$I$89,5,0)</f>
        <v>39.155541416388068</v>
      </c>
      <c r="CA20" s="13">
        <f t="shared" si="39"/>
        <v>11.774545871573014</v>
      </c>
      <c r="CB20" s="20">
        <f t="shared" si="10"/>
        <v>88.703235359865559</v>
      </c>
      <c r="CC20" s="59">
        <f t="shared" si="11"/>
        <v>382.03656869319889</v>
      </c>
      <c r="CD20" s="59">
        <f ca="1">AVERAGE(OFFSET($CC$3,0,0,'Données projet'!$E$12+1,1))-AVERAGE(OFFSET($H$3,0,0,'Données projet'!$E$12+1,1))</f>
        <v>185.21927898775016</v>
      </c>
      <c r="CE20" s="59">
        <f t="shared" si="40"/>
        <v>240.82467772396944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0</v>
      </c>
      <c r="CM20" s="21">
        <f>EXP(-LN(2)/2)*CM19+(1-EXP(-LN(2)/2))/(LN(2)/2)*CG20*CJ20*VLOOKUP('Données projet'!$B$12,Paramètres!$A$1:$I$89,3,0)*0.475*44/12</f>
        <v>0</v>
      </c>
      <c r="CN20" s="22">
        <f t="shared" si="12"/>
        <v>0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16.005600000000005</v>
      </c>
      <c r="D21" s="11">
        <f t="shared" si="32"/>
        <v>5.3412974993444182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164.78306841599206</v>
      </c>
      <c r="H21" s="67">
        <f t="shared" si="1"/>
        <v>330.51251314469152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>
        <f>VLOOKUP(A21,'Données projet'!$A$35:$I$55,2,0)</f>
        <v>182.89230769230767</v>
      </c>
      <c r="L21" s="12">
        <f>VLOOKUP(A21,'Données projet'!$A$35:$I$55,9,0)</f>
        <v>23.146153846153823</v>
      </c>
      <c r="M21" s="12">
        <f t="array" ref="M21">INDEX(L:L,MIN(IF(ISNUMBER(L21:L217),ROW(L21:L217),"")))</f>
        <v>23.146153846153823</v>
      </c>
      <c r="N21" s="13">
        <f>IF('Données projet'!$A$36&gt;35,N20+M21-V20,IF(A21&lt;'Données projet'!$A$36,$K$205^A21,IF(A21='Données projet'!$A$36,'Données projet'!$B$36,N20+M21-V20)))</f>
        <v>182.89230769230767</v>
      </c>
      <c r="O21" s="13">
        <f>N21*VLOOKUP('Données projet'!$B$9,Paramètres!$A$1:$I$89,3,0)*VLOOKUP('Données projet'!$B$9,Paramètres!$A$1:$I$89,5,0)</f>
        <v>102.23679999999999</v>
      </c>
      <c r="P21" s="13">
        <f t="shared" si="33"/>
        <v>27.494196289326943</v>
      </c>
      <c r="Q21" s="20">
        <f t="shared" si="2"/>
        <v>225.9481518705777</v>
      </c>
      <c r="R21" s="59">
        <f t="shared" si="0"/>
        <v>519.28148520391096</v>
      </c>
      <c r="S21" s="59">
        <f ca="1">AVERAGE(OFFSET($R$3,0,0,'Données projet'!$E$9+1,1))-AVERAGE(OFFSET($H$3,0,0,'Données projet'!$E$9+1,1))</f>
        <v>255.5374979188561</v>
      </c>
      <c r="T21" s="59">
        <f t="shared" si="34"/>
        <v>343.10418468620901</v>
      </c>
      <c r="U21" s="15">
        <f>IF(ISNA(VLOOKUP(A21,'Données projet'!$A$35:$I$55,3,0)),0,VLOOKUP(A21,'Données projet'!$A$35:$I$55,3,0))</f>
        <v>1</v>
      </c>
      <c r="V21" s="15">
        <f>IF(ISNA(VLOOKUP(A21,'Données projet'!$A$35:$I$55,4,0)),0,VLOOKUP(A21,'Données projet'!$A$35:$I$55,4,0))</f>
        <v>69.284615384615378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0.27500000000000002</v>
      </c>
      <c r="Y21" s="16">
        <f>IF(ISNA(VLOOKUP(A21,'Données projet'!$A$35:$I$55,7,0)),0%,VLOOKUP(A21,'Données projet'!$A$35:$I$55,7,0))</f>
        <v>0.5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14.073311822728558</v>
      </c>
      <c r="AB21" s="21">
        <f>EXP(-LN(2)/2)*AB20+(1-EXP(-LN(2)/2))/(LN(2)/2)*V21*Y21*VLOOKUP('Données projet'!$B$9,Paramètres!$A$1:$I$89,3,0)*0.475*44/12</f>
        <v>21.925735053214883</v>
      </c>
      <c r="AC21" s="22">
        <f t="shared" si="3"/>
        <v>35.999046875943442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7.9</v>
      </c>
      <c r="AI21" s="13">
        <f>IF('Données projet'!$A$62&gt;35,AI20+AH21-AQ20,IF(A21&lt;'Données projet'!$A$62,$AF$205^A21,IF(A21='Données projet'!$A$62,'Données projet'!$B$62,AI20+AH21-AQ20)))</f>
        <v>95.233857990035276</v>
      </c>
      <c r="AJ21" s="13">
        <f>AI21*VLOOKUP('Données projet'!$B$10,Paramètres!$A$1:$I$89,3,0)*VLOOKUP('Données projet'!$B$10,Paramètres!$A$1:$I$89,5,0)</f>
        <v>59.425927385782011</v>
      </c>
      <c r="AK21" s="13">
        <f t="shared" si="35"/>
        <v>17.023044331601881</v>
      </c>
      <c r="AL21" s="20">
        <f t="shared" si="4"/>
        <v>133.14862574111029</v>
      </c>
      <c r="AM21" s="59">
        <f t="shared" si="5"/>
        <v>426.48195907444358</v>
      </c>
      <c r="AN21" s="59">
        <f ca="1">AVERAGE(OFFSET($AM$3,0,0,'Données projet'!$E$10+1,1))-AVERAGE(OFFSET($H$3,0,0,'Données projet'!$E$10+1,1))</f>
        <v>255.41017495879987</v>
      </c>
      <c r="AO21" s="59">
        <f t="shared" si="36"/>
        <v>297.50513563712764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12.3</v>
      </c>
      <c r="BD21" s="12">
        <f>IF('Données projet'!$A$88&gt;35,BD20+BC21-BL20,IF(A21&lt;'Données projet'!$A$88,$BA$205^A21,IF(A21='Données projet'!$A$88,'Données projet'!$B$88,BD20+BC21-BL20)))</f>
        <v>109.39999999999999</v>
      </c>
      <c r="BE21" s="13">
        <f>BD21*VLOOKUP('Données projet'!$B$11,Paramètres!$A$1:$I$89,3,0)*VLOOKUP('Données projet'!$B$11,Paramètres!$A$1:$I$89,5,0)</f>
        <v>87.038640000000001</v>
      </c>
      <c r="BF21" s="13">
        <f t="shared" si="37"/>
        <v>23.849631507508057</v>
      </c>
      <c r="BG21" s="20">
        <f t="shared" si="7"/>
        <v>193.13040620890987</v>
      </c>
      <c r="BH21" s="59">
        <f t="shared" si="8"/>
        <v>486.46373954224316</v>
      </c>
      <c r="BI21" s="59">
        <f ca="1">AVERAGE(OFFSET($BH$3,0,0,'Données projet'!$E$11+1,1))-AVERAGE(OFFSET($H$3,0,0,'Données projet'!$E$11+1,1))</f>
        <v>260.20517190557814</v>
      </c>
      <c r="BJ21" s="59">
        <f t="shared" si="38"/>
        <v>307.22009971147133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6.15</v>
      </c>
      <c r="BY21" s="12">
        <f>IF('Données projet'!$A$114&gt;35,BY20+BX21-CG20,IF(A21&lt;'Données projet'!$A$114,$BV$205^A21,IF(A21='Données projet'!$A$114,'Données projet'!$B$114,BY20+BX21-CG20)))</f>
        <v>76.017678101415015</v>
      </c>
      <c r="BZ21" s="13">
        <f>BY21*VLOOKUP('Données projet'!$B$12,Paramètres!$A$1:$I$89,3,0)*VLOOKUP('Données projet'!$B$12,Paramètres!$A$1:$I$89,5,0)</f>
        <v>49.806782692047122</v>
      </c>
      <c r="CA21" s="13">
        <f t="shared" si="39"/>
        <v>14.563849212346812</v>
      </c>
      <c r="CB21" s="20">
        <f t="shared" si="10"/>
        <v>112.11218390015274</v>
      </c>
      <c r="CC21" s="59">
        <f t="shared" si="11"/>
        <v>405.44551723348604</v>
      </c>
      <c r="CD21" s="59">
        <f ca="1">AVERAGE(OFFSET($CC$3,0,0,'Données projet'!$E$12+1,1))-AVERAGE(OFFSET($H$3,0,0,'Données projet'!$E$12+1,1))</f>
        <v>185.21927898775016</v>
      </c>
      <c r="CE21" s="59">
        <f t="shared" si="40"/>
        <v>240.82467772396944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0</v>
      </c>
      <c r="CM21" s="21">
        <f>EXP(-LN(2)/2)*CM20+(1-EXP(-LN(2)/2))/(LN(2)/2)*CG21*CJ21*VLOOKUP('Données projet'!$B$12,Paramètres!$A$1:$I$89,3,0)*0.475*44/12</f>
        <v>0</v>
      </c>
      <c r="CN21" s="22">
        <f t="shared" si="12"/>
        <v>0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16.894800000000004</v>
      </c>
      <c r="D22" s="11">
        <f t="shared" si="32"/>
        <v>5.6026651130643481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173.66464297804058</v>
      </c>
      <c r="H22" s="67">
        <f t="shared" si="1"/>
        <v>332.51641840525372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20.658974358974358</v>
      </c>
      <c r="N22" s="13">
        <f>IF('Données projet'!$A$36&gt;35,N21+M22-V21,IF(A22&lt;'Données projet'!$A$36,$K$205^A22,IF(A22='Données projet'!$A$36,'Données projet'!$B$36,N21+M22-V21)))</f>
        <v>134.26666666666665</v>
      </c>
      <c r="O22" s="13">
        <f>N22*VLOOKUP('Données projet'!$B$9,Paramètres!$A$1:$I$89,3,0)*VLOOKUP('Données projet'!$B$9,Paramètres!$A$1:$I$89,5,0)</f>
        <v>75.055066666666661</v>
      </c>
      <c r="P22" s="13">
        <f t="shared" si="33"/>
        <v>20.923669242672773</v>
      </c>
      <c r="Q22" s="20">
        <f t="shared" si="2"/>
        <v>167.1629650420995</v>
      </c>
      <c r="R22" s="59">
        <f t="shared" si="0"/>
        <v>460.49629837543284</v>
      </c>
      <c r="S22" s="59">
        <f ca="1">AVERAGE(OFFSET($R$3,0,0,'Données projet'!$E$9+1,1))-AVERAGE(OFFSET($H$3,0,0,'Données projet'!$E$9+1,1))</f>
        <v>255.5374979188561</v>
      </c>
      <c r="T22" s="59">
        <f t="shared" si="34"/>
        <v>343.10418468620901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13.688476370852742</v>
      </c>
      <c r="AB22" s="21">
        <f>EXP(-LN(2)/2)*AB21+(1-EXP(-LN(2)/2))/(LN(2)/2)*V22*Y22*VLOOKUP('Données projet'!$B$9,Paramètres!$A$1:$I$89,3,0)*0.475*44/12</f>
        <v>15.503835938627832</v>
      </c>
      <c r="AC22" s="22">
        <f t="shared" si="3"/>
        <v>29.192312309480574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7.9</v>
      </c>
      <c r="AI22" s="13">
        <f>IF('Données projet'!$A$62&gt;35,AI21+AH22-AQ21,IF(A22&lt;'Données projet'!$A$62,$AF$205^A22,IF(A22='Données projet'!$A$62,'Données projet'!$B$62,AI21+AH22-AQ21)))</f>
        <v>122.66600817840934</v>
      </c>
      <c r="AJ22" s="13">
        <f>AI22*VLOOKUP('Données projet'!$B$10,Paramètres!$A$1:$I$89,3,0)*VLOOKUP('Données projet'!$B$10,Paramètres!$A$1:$I$89,5,0)</f>
        <v>76.543589103327434</v>
      </c>
      <c r="AK22" s="13">
        <f t="shared" si="35"/>
        <v>21.289913662853376</v>
      </c>
      <c r="AL22" s="20">
        <f t="shared" si="4"/>
        <v>170.39335065109825</v>
      </c>
      <c r="AM22" s="59">
        <f t="shared" si="5"/>
        <v>463.72668398443159</v>
      </c>
      <c r="AN22" s="59">
        <f ca="1">AVERAGE(OFFSET($AM$3,0,0,'Données projet'!$E$10+1,1))-AVERAGE(OFFSET($H$3,0,0,'Données projet'!$E$10+1,1))</f>
        <v>255.41017495879987</v>
      </c>
      <c r="AO22" s="59">
        <f t="shared" si="36"/>
        <v>297.50513563712764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12.3</v>
      </c>
      <c r="BD22" s="12">
        <f>IF('Données projet'!$A$88&gt;35,BD21+BC22-BL21,IF(A22&lt;'Données projet'!$A$88,$BA$205^A22,IF(A22='Données projet'!$A$88,'Données projet'!$B$88,BD21+BC22-BL21)))</f>
        <v>121.69999999999999</v>
      </c>
      <c r="BE22" s="13">
        <f>BD22*VLOOKUP('Données projet'!$B$11,Paramètres!$A$1:$I$89,3,0)*VLOOKUP('Données projet'!$B$11,Paramètres!$A$1:$I$89,5,0)</f>
        <v>96.824519999999993</v>
      </c>
      <c r="BF22" s="13">
        <f t="shared" si="37"/>
        <v>26.20406828580953</v>
      </c>
      <c r="BG22" s="20">
        <f t="shared" si="7"/>
        <v>214.27479126445158</v>
      </c>
      <c r="BH22" s="59">
        <f t="shared" si="8"/>
        <v>507.60812459778492</v>
      </c>
      <c r="BI22" s="59">
        <f ca="1">AVERAGE(OFFSET($BH$3,0,0,'Données projet'!$E$11+1,1))-AVERAGE(OFFSET($H$3,0,0,'Données projet'!$E$11+1,1))</f>
        <v>260.20517190557814</v>
      </c>
      <c r="BJ22" s="59">
        <f t="shared" si="38"/>
        <v>307.22009971147133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6.15</v>
      </c>
      <c r="BY22" s="12">
        <f>IF('Données projet'!$A$114&gt;35,BY21+BX22-CG21,IF(A22&lt;'Données projet'!$A$114,$BV$205^A22,IF(A22='Données projet'!$A$114,'Données projet'!$B$114,BY21+BX22-CG21)))</f>
        <v>96.696299859271036</v>
      </c>
      <c r="BZ22" s="13">
        <f>BY22*VLOOKUP('Données projet'!$B$12,Paramètres!$A$1:$I$89,3,0)*VLOOKUP('Données projet'!$B$12,Paramètres!$A$1:$I$89,5,0)</f>
        <v>63.355415667794382</v>
      </c>
      <c r="CA22" s="13">
        <f t="shared" si="39"/>
        <v>18.013918005284282</v>
      </c>
      <c r="CB22" s="20">
        <f t="shared" si="10"/>
        <v>141.71825614727868</v>
      </c>
      <c r="CC22" s="59">
        <f t="shared" si="11"/>
        <v>435.05158948061199</v>
      </c>
      <c r="CD22" s="59">
        <f ca="1">AVERAGE(OFFSET($CC$3,0,0,'Données projet'!$E$12+1,1))-AVERAGE(OFFSET($H$3,0,0,'Données projet'!$E$12+1,1))</f>
        <v>185.21927898775016</v>
      </c>
      <c r="CE22" s="59">
        <f t="shared" si="40"/>
        <v>240.82467772396944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0</v>
      </c>
      <c r="CM22" s="21">
        <f>EXP(-LN(2)/2)*CM21+(1-EXP(-LN(2)/2))/(LN(2)/2)*CG22*CJ22*VLOOKUP('Données projet'!$B$12,Paramètres!$A$1:$I$89,3,0)*0.475*44/12</f>
        <v>0</v>
      </c>
      <c r="CN22" s="22">
        <f t="shared" si="12"/>
        <v>0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17.784000000000002</v>
      </c>
      <c r="D23" s="11">
        <f t="shared" si="32"/>
        <v>5.862435622634961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182.5338890168313</v>
      </c>
      <c r="H23" s="67">
        <f t="shared" si="1"/>
        <v>334.51754204275585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 t="e">
        <f>VLOOKUP(A23,'Données projet'!$A$35:$I$55,2,0)</f>
        <v>#N/A</v>
      </c>
      <c r="L23" s="12" t="e">
        <f>VLOOKUP(A23,'Données projet'!$A$35:$I$55,9,0)</f>
        <v>#N/A</v>
      </c>
      <c r="M23" s="12">
        <f t="array" ref="M23">INDEX(L:L,MIN(IF(ISNUMBER(L23:L219),ROW(L23:L219),"")))</f>
        <v>20.658974358974358</v>
      </c>
      <c r="N23" s="13">
        <f>IF('Données projet'!$A$36&gt;35,N22+M23-V22,IF(A23&lt;'Données projet'!$A$36,$K$205^A23,IF(A23='Données projet'!$A$36,'Données projet'!$B$36,N22+M23-V22)))</f>
        <v>154.925641025641</v>
      </c>
      <c r="O23" s="13">
        <f>N23*VLOOKUP('Données projet'!$B$9,Paramètres!$A$1:$I$89,3,0)*VLOOKUP('Données projet'!$B$9,Paramètres!$A$1:$I$89,5,0)</f>
        <v>86.603433333333314</v>
      </c>
      <c r="P23" s="13">
        <f t="shared" si="33"/>
        <v>23.744229853900279</v>
      </c>
      <c r="Q23" s="20">
        <f t="shared" si="2"/>
        <v>192.18884671776516</v>
      </c>
      <c r="R23" s="59">
        <f t="shared" si="0"/>
        <v>485.52218005109847</v>
      </c>
      <c r="S23" s="59">
        <f ca="1">AVERAGE(OFFSET($R$3,0,0,'Données projet'!$E$9+1,1))-AVERAGE(OFFSET($H$3,0,0,'Données projet'!$E$9+1,1))</f>
        <v>255.5374979188561</v>
      </c>
      <c r="T23" s="59">
        <f t="shared" si="34"/>
        <v>343.10418468620901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13.314164264646086</v>
      </c>
      <c r="AB23" s="21">
        <f>EXP(-LN(2)/2)*AB22+(1-EXP(-LN(2)/2))/(LN(2)/2)*V23*Y23*VLOOKUP('Données projet'!$B$9,Paramètres!$A$1:$I$89,3,0)*0.475*44/12</f>
        <v>10.962867526607443</v>
      </c>
      <c r="AC23" s="22">
        <f t="shared" si="3"/>
        <v>24.277031791253528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>
        <f>VLOOKUP(A23,'Données projet'!$A$61:$I$81,2,0)</f>
        <v>158</v>
      </c>
      <c r="AG23" s="12">
        <f>VLOOKUP(A23,'Données projet'!$A$61:$I$81,9,0)</f>
        <v>7.9</v>
      </c>
      <c r="AH23" s="12">
        <f t="array" ref="AH23">INDEX(AG:AG,MIN(IF(ISNUMBER(AG23:AG219),ROW(AG23:AG219),"")))</f>
        <v>7.9</v>
      </c>
      <c r="AI23" s="13">
        <f>IF('Données projet'!$A$62&gt;35,AI22+AH23-AQ22,IF(A23&lt;'Données projet'!$A$62,$AF$205^A23,IF(A23='Données projet'!$A$62,'Données projet'!$B$62,AI22+AH23-AQ22)))</f>
        <v>158</v>
      </c>
      <c r="AJ23" s="13">
        <f>AI23*VLOOKUP('Données projet'!$B$10,Paramètres!$A$1:$I$89,3,0)*VLOOKUP('Données projet'!$B$10,Paramètres!$A$1:$I$89,5,0)</f>
        <v>98.592000000000013</v>
      </c>
      <c r="AK23" s="13">
        <f t="shared" si="35"/>
        <v>26.626284637602105</v>
      </c>
      <c r="AL23" s="20">
        <f t="shared" si="4"/>
        <v>218.08851241049035</v>
      </c>
      <c r="AM23" s="59">
        <f t="shared" si="5"/>
        <v>511.42184574382367</v>
      </c>
      <c r="AN23" s="59">
        <f ca="1">AVERAGE(OFFSET($AM$3,0,0,'Données projet'!$E$10+1,1))-AVERAGE(OFFSET($H$3,0,0,'Données projet'!$E$10+1,1))</f>
        <v>255.41017495879987</v>
      </c>
      <c r="AO23" s="59">
        <f t="shared" si="36"/>
        <v>297.50513563712764</v>
      </c>
      <c r="AP23" s="15">
        <f>IF(ISNA(VLOOKUP(A23,'Données projet'!$A$61:$I$81,3,0)),0,VLOOKUP(A23,'Données projet'!$A$61:$I$81,3,0))</f>
        <v>1</v>
      </c>
      <c r="AQ23" s="15">
        <f>IF(ISNA(VLOOKUP(A23,'Données projet'!$A$61:$I$81,4,0)),0,VLOOKUP(A23,'Données projet'!$A$61:$I$81,4,0))</f>
        <v>60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0.3</v>
      </c>
      <c r="AT23" s="16">
        <f>IF(ISNA(VLOOKUP(A23,'Données projet'!$A$61:$I$81,7,0)),0%,VLOOKUP(A23,'Données projet'!$A$61:$I$81,7,0))</f>
        <v>0.5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14.841305096542214</v>
      </c>
      <c r="AW23" s="21">
        <f>EXP(-LN(2)/2)*AW22+(1-EXP(-LN(2)/2))/(LN(2)/2)*AQ23*AT23*VLOOKUP('Données projet'!$B$10,Paramètres!$A$1:$I$89,3,0)*0.475*44/12</f>
        <v>21.195388609695438</v>
      </c>
      <c r="AX23" s="21">
        <f t="shared" si="6"/>
        <v>36.036693706237656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>
        <f>VLOOKUP(A23,'Données projet'!$A$87:$I$107,2,0)</f>
        <v>134</v>
      </c>
      <c r="BB23" s="12">
        <f>VLOOKUP(A23,'Données projet'!$A$87:$I$107,9,0)</f>
        <v>12.3</v>
      </c>
      <c r="BC23" s="12">
        <f t="array" ref="BC23">INDEX(BB:BB,MIN(IF(ISNUMBER(BB23:BB219),ROW(BB23:BB219),"")))</f>
        <v>12.3</v>
      </c>
      <c r="BD23" s="12">
        <f>IF('Données projet'!$A$88&gt;35,BD22+BC23-BL22,IF(A23&lt;'Données projet'!$A$88,$BA$205^A23,IF(A23='Données projet'!$A$88,'Données projet'!$B$88,BD22+BC23-BL22)))</f>
        <v>134</v>
      </c>
      <c r="BE23" s="13">
        <f>BD23*VLOOKUP('Données projet'!$B$11,Paramètres!$A$1:$I$89,3,0)*VLOOKUP('Données projet'!$B$11,Paramètres!$A$1:$I$89,5,0)</f>
        <v>106.61040000000001</v>
      </c>
      <c r="BF23" s="13">
        <f t="shared" si="37"/>
        <v>28.530919434405451</v>
      </c>
      <c r="BG23" s="20">
        <f t="shared" si="7"/>
        <v>235.3711313482562</v>
      </c>
      <c r="BH23" s="59">
        <f t="shared" si="8"/>
        <v>528.70446468158957</v>
      </c>
      <c r="BI23" s="59">
        <f ca="1">AVERAGE(OFFSET($BH$3,0,0,'Données projet'!$E$11+1,1))-AVERAGE(OFFSET($H$3,0,0,'Données projet'!$E$11+1,1))</f>
        <v>260.20517190557814</v>
      </c>
      <c r="BJ23" s="59">
        <f t="shared" si="38"/>
        <v>307.22009971147133</v>
      </c>
      <c r="BK23" s="15">
        <f>IF(ISNA(VLOOKUP(A23,'Données projet'!$A$87:$I$107,3,0)),0,VLOOKUP(A23,'Données projet'!$A$87:$I$107,3,0))</f>
        <v>1</v>
      </c>
      <c r="BL23" s="15">
        <f>IF(ISNA(VLOOKUP(A23,'Données projet'!$A$87:$I$107,4,0)),0,VLOOKUP(A23,'Données projet'!$A$87:$I$107,4,0))</f>
        <v>67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0.13250000000000001</v>
      </c>
      <c r="BO23" s="16">
        <f>IF(ISNA(VLOOKUP(A23,'Données projet'!$A$87:$I$107,7,0)),0%,VLOOKUP(A23,'Données projet'!$A$87:$I$107,7,0))</f>
        <v>0.25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7.7771272982896171</v>
      </c>
      <c r="BR23" s="21">
        <f>EXP(-LN(2)/2)*BR22+(1-EXP(-LN(2)/2))/(LN(2)/2)*BL23*BO23*VLOOKUP('Données projet'!$B$11,Paramètres!$A$1:$I$89,3,0)*0.475*44/12</f>
        <v>12.573722722105785</v>
      </c>
      <c r="BS23" s="22">
        <f t="shared" si="9"/>
        <v>20.350850020395402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>
        <f>VLOOKUP(A23,'Données projet'!$A$113:$I$133,2,0)</f>
        <v>123</v>
      </c>
      <c r="BW23" s="12">
        <f>VLOOKUP(A23,'Données projet'!$A$113:$I$133,9,0)</f>
        <v>6.15</v>
      </c>
      <c r="BX23" s="12">
        <f t="array" ref="BX23">INDEX(BW:BW,MIN(IF(ISNUMBER(BW23:BW219),ROW(BW23:BW219),"")))</f>
        <v>6.15</v>
      </c>
      <c r="BY23" s="12">
        <f>IF('Données projet'!$A$114&gt;35,BY22+BX23-CG22,IF(A23&lt;'Données projet'!$A$114,$BV$205^A23,IF(A23='Données projet'!$A$114,'Données projet'!$B$114,BY22+BX23-CG22)))</f>
        <v>123</v>
      </c>
      <c r="BZ23" s="13">
        <f>BY23*VLOOKUP('Données projet'!$B$12,Paramètres!$A$1:$I$89,3,0)*VLOOKUP('Données projet'!$B$12,Paramètres!$A$1:$I$89,5,0)</f>
        <v>80.589600000000004</v>
      </c>
      <c r="CA23" s="13">
        <f t="shared" si="39"/>
        <v>22.281282727508763</v>
      </c>
      <c r="CB23" s="20">
        <f t="shared" si="10"/>
        <v>179.16678741707778</v>
      </c>
      <c r="CC23" s="59">
        <f t="shared" si="11"/>
        <v>472.5001207504111</v>
      </c>
      <c r="CD23" s="59">
        <f ca="1">AVERAGE(OFFSET($CC$3,0,0,'Données projet'!$E$12+1,1))-AVERAGE(OFFSET($H$3,0,0,'Données projet'!$E$12+1,1))</f>
        <v>185.21927898775016</v>
      </c>
      <c r="CE23" s="59">
        <f t="shared" si="40"/>
        <v>240.82467772396944</v>
      </c>
      <c r="CF23" s="15">
        <f>IF(ISNA(VLOOKUP(A23,'Données projet'!$A$113:$I$133,3,0)),0,VLOOKUP(A23,'Données projet'!$A$113:$I$133,3,0))</f>
        <v>1</v>
      </c>
      <c r="CG23" s="15">
        <f>IF(ISNA(VLOOKUP(A23,'Données projet'!$A$113:$I$133,4,0)),0,VLOOKUP(A23,'Données projet'!$A$113:$I$133,4,0))</f>
        <v>18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0.1075</v>
      </c>
      <c r="CJ23" s="16">
        <f>IF(ISNA(VLOOKUP(A23,'Données projet'!$A$113:$I$133,7,0)),0%,VLOOKUP(A23,'Données projet'!$A$113:$I$133,7,0))</f>
        <v>0.25</v>
      </c>
      <c r="CK23" s="21">
        <f>EXP(-LN(2)/35)*CK22+(1-EXP(-LN(2)/35))/(LN(2)/35)*CG23*CH23*VLOOKUP('Données projet'!$B$12,Paramètres!$A$1:$I$89,3,0)*0.475*44/12</f>
        <v>0</v>
      </c>
      <c r="CL23" s="21">
        <f>EXP(-LN(2)/25)*CL22+(1-EXP(-LN(2)/25))/(LN(2)/25)*Calculateur!CG23*Calculateur!CI23*VLOOKUP('Données projet'!$B$12,Paramètres!$A$1:$I$89,3,0)*0.475*44/12</f>
        <v>1.3960102606435021</v>
      </c>
      <c r="CM23" s="21">
        <f>EXP(-LN(2)/2)*CM22+(1-EXP(-LN(2)/2))/(LN(2)/2)*CG23*CJ23*VLOOKUP('Données projet'!$B$12,Paramètres!$A$1:$I$89,3,0)*0.475*44/12</f>
        <v>2.7818947550225261</v>
      </c>
      <c r="CN23" s="22">
        <f t="shared" si="12"/>
        <v>4.1779050156660285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18.673200000000001</v>
      </c>
      <c r="D24" s="11">
        <f t="shared" si="32"/>
        <v>6.1206979954107776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191.3914932979078</v>
      </c>
      <c r="H24" s="67">
        <f t="shared" si="1"/>
        <v>336.51603900867377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20.658974358974358</v>
      </c>
      <c r="N24" s="13">
        <f>IF('Données projet'!$A$36&gt;35,N23+M24-V23,IF(A24&lt;'Données projet'!$A$36,$K$205^A24,IF(A24='Données projet'!$A$36,'Données projet'!$B$36,N23+M24-V23)))</f>
        <v>175.58461538461535</v>
      </c>
      <c r="O24" s="13">
        <f>N24*VLOOKUP('Données projet'!$B$9,Paramètres!$A$1:$I$89,3,0)*VLOOKUP('Données projet'!$B$9,Paramètres!$A$1:$I$89,5,0)</f>
        <v>98.15179999999998</v>
      </c>
      <c r="P24" s="13">
        <f t="shared" si="33"/>
        <v>26.52121247620833</v>
      </c>
      <c r="Q24" s="20">
        <f t="shared" si="2"/>
        <v>217.13883006272945</v>
      </c>
      <c r="R24" s="59">
        <f t="shared" si="0"/>
        <v>510.4721633960628</v>
      </c>
      <c r="S24" s="59">
        <f ca="1">AVERAGE(OFFSET($R$3,0,0,'Données projet'!$E$9+1,1))-AVERAGE(OFFSET($H$3,0,0,'Données projet'!$E$9+1,1))</f>
        <v>255.5374979188561</v>
      </c>
      <c r="T24" s="59">
        <f t="shared" si="34"/>
        <v>343.10418468620901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12.95008774266787</v>
      </c>
      <c r="AB24" s="21">
        <f>EXP(-LN(2)/2)*AB23+(1-EXP(-LN(2)/2))/(LN(2)/2)*V24*Y24*VLOOKUP('Données projet'!$B$9,Paramètres!$A$1:$I$89,3,0)*0.475*44/12</f>
        <v>7.7519179693139169</v>
      </c>
      <c r="AC24" s="22">
        <f t="shared" si="3"/>
        <v>20.702005711981787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16.5</v>
      </c>
      <c r="AI24" s="13">
        <f>IF('Données projet'!$A$62&gt;35,AI23+AH24-AQ23,IF(A24&lt;'Données projet'!$A$62,$AF$205^A24,IF(A24='Données projet'!$A$62,'Données projet'!$B$62,AI23+AH24-AQ23)))</f>
        <v>114.5</v>
      </c>
      <c r="AJ24" s="13">
        <f>AI24*VLOOKUP('Données projet'!$B$10,Paramètres!$A$1:$I$89,3,0)*VLOOKUP('Données projet'!$B$10,Paramètres!$A$1:$I$89,5,0)</f>
        <v>71.448000000000008</v>
      </c>
      <c r="AK24" s="13">
        <f t="shared" si="35"/>
        <v>20.03261738899662</v>
      </c>
      <c r="AL24" s="20">
        <f t="shared" si="4"/>
        <v>159.32874195250244</v>
      </c>
      <c r="AM24" s="59">
        <f t="shared" si="5"/>
        <v>452.66207528583573</v>
      </c>
      <c r="AN24" s="59">
        <f ca="1">AVERAGE(OFFSET($AM$3,0,0,'Données projet'!$E$10+1,1))-AVERAGE(OFFSET($H$3,0,0,'Données projet'!$E$10+1,1))</f>
        <v>255.41017495879987</v>
      </c>
      <c r="AO24" s="59">
        <f t="shared" si="36"/>
        <v>297.50513563712764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14.435468828206952</v>
      </c>
      <c r="AW24" s="21">
        <f>EXP(-LN(2)/2)*AW23+(1-EXP(-LN(2)/2))/(LN(2)/2)*AQ24*AT24*VLOOKUP('Données projet'!$B$10,Paramètres!$A$1:$I$89,3,0)*0.475*44/12</f>
        <v>14.987403015799755</v>
      </c>
      <c r="AX24" s="21">
        <f t="shared" si="6"/>
        <v>29.422871844006707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14.5</v>
      </c>
      <c r="BD24" s="12">
        <f>IF('Données projet'!$A$88&gt;35,BD23+BC24-BL23,IF(A24&lt;'Données projet'!$A$88,$BA$205^A24,IF(A24='Données projet'!$A$88,'Données projet'!$B$88,BD23+BC24-BL23)))</f>
        <v>81.5</v>
      </c>
      <c r="BE24" s="13">
        <f>BD24*VLOOKUP('Données projet'!$B$11,Paramètres!$A$1:$I$89,3,0)*VLOOKUP('Données projet'!$B$11,Paramètres!$A$1:$I$89,5,0)</f>
        <v>64.841399999999993</v>
      </c>
      <c r="BF24" s="13">
        <f t="shared" si="37"/>
        <v>18.386744053291277</v>
      </c>
      <c r="BG24" s="20">
        <f t="shared" si="7"/>
        <v>144.95568422614897</v>
      </c>
      <c r="BH24" s="59">
        <f t="shared" si="8"/>
        <v>438.28901755948232</v>
      </c>
      <c r="BI24" s="59">
        <f ca="1">AVERAGE(OFFSET($BH$3,0,0,'Données projet'!$E$11+1,1))-AVERAGE(OFFSET($H$3,0,0,'Données projet'!$E$11+1,1))</f>
        <v>260.20517190557814</v>
      </c>
      <c r="BJ24" s="59">
        <f t="shared" si="38"/>
        <v>307.22009971147133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7.5644613433365375</v>
      </c>
      <c r="BR24" s="21">
        <f>EXP(-LN(2)/2)*BR23+(1-EXP(-LN(2)/2))/(LN(2)/2)*BL24*BO24*VLOOKUP('Données projet'!$B$11,Paramètres!$A$1:$I$89,3,0)*0.475*44/12</f>
        <v>8.8909646015603769</v>
      </c>
      <c r="BS24" s="22">
        <f t="shared" si="9"/>
        <v>16.455425944896916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10.5</v>
      </c>
      <c r="BY24" s="12">
        <f>IF('Données projet'!$A$114&gt;35,BY23+BX24-CG23,IF(A24&lt;'Données projet'!$A$114,$BV$205^A24,IF(A24='Données projet'!$A$114,'Données projet'!$B$114,BY23+BX24-CG23)))</f>
        <v>115.5</v>
      </c>
      <c r="BZ24" s="13">
        <f>BY24*VLOOKUP('Données projet'!$B$12,Paramètres!$A$1:$I$89,3,0)*VLOOKUP('Données projet'!$B$12,Paramètres!$A$1:$I$89,5,0)</f>
        <v>75.675600000000003</v>
      </c>
      <c r="CA24" s="13">
        <f t="shared" si="39"/>
        <v>21.076450566911173</v>
      </c>
      <c r="CB24" s="20">
        <f t="shared" si="10"/>
        <v>168.50982140403696</v>
      </c>
      <c r="CC24" s="59">
        <f t="shared" si="11"/>
        <v>461.84315473737024</v>
      </c>
      <c r="CD24" s="59">
        <f ca="1">AVERAGE(OFFSET($CC$3,0,0,'Données projet'!$E$12+1,1))-AVERAGE(OFFSET($H$3,0,0,'Données projet'!$E$12+1,1))</f>
        <v>185.21927898775016</v>
      </c>
      <c r="CE24" s="59">
        <f t="shared" si="40"/>
        <v>240.82467772396944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0</v>
      </c>
      <c r="CL24" s="21">
        <f>EXP(-LN(2)/25)*CL23+(1-EXP(-LN(2)/25))/(LN(2)/25)*Calculateur!CG24*Calculateur!CI24*VLOOKUP('Données projet'!$B$12,Paramètres!$A$1:$I$89,3,0)*0.475*44/12</f>
        <v>1.3578362866532165</v>
      </c>
      <c r="CM24" s="21">
        <f>EXP(-LN(2)/2)*CM23+(1-EXP(-LN(2)/2))/(LN(2)/2)*CG24*CJ24*VLOOKUP('Données projet'!$B$12,Paramètres!$A$1:$I$89,3,0)*0.475*44/12</f>
        <v>1.9670966458237178</v>
      </c>
      <c r="CN24" s="22">
        <f t="shared" si="12"/>
        <v>3.3249329324769343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19.5624</v>
      </c>
      <c r="D25" s="11">
        <f t="shared" si="32"/>
        <v>6.3775322468881095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200.23807348475032</v>
      </c>
      <c r="H25" s="67">
        <f t="shared" si="1"/>
        <v>338.51204866333012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20.658974358974358</v>
      </c>
      <c r="N25" s="13">
        <f>IF('Données projet'!$A$36&gt;35,N24+M25-V24,IF(A25&lt;'Données projet'!$A$36,$K$205^A25,IF(A25='Données projet'!$A$36,'Données projet'!$B$36,N24+M25-V24)))</f>
        <v>196.24358974358969</v>
      </c>
      <c r="O25" s="13">
        <f>N25*VLOOKUP('Données projet'!$B$9,Paramètres!$A$1:$I$89,3,0)*VLOOKUP('Données projet'!$B$9,Paramètres!$A$1:$I$89,5,0)</f>
        <v>109.70016666666663</v>
      </c>
      <c r="P25" s="13">
        <f t="shared" si="33"/>
        <v>29.260330282475415</v>
      </c>
      <c r="Q25" s="20">
        <f t="shared" si="2"/>
        <v>242.02286551975575</v>
      </c>
      <c r="R25" s="59">
        <f t="shared" si="0"/>
        <v>535.35619885308904</v>
      </c>
      <c r="S25" s="59">
        <f ca="1">AVERAGE(OFFSET($R$3,0,0,'Données projet'!$E$9+1,1))-AVERAGE(OFFSET($H$3,0,0,'Données projet'!$E$9+1,1))</f>
        <v>255.5374979188561</v>
      </c>
      <c r="T25" s="59">
        <f t="shared" si="34"/>
        <v>343.10418468620901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12.5959669123291</v>
      </c>
      <c r="AB25" s="21">
        <f>EXP(-LN(2)/2)*AB24+(1-EXP(-LN(2)/2))/(LN(2)/2)*V25*Y25*VLOOKUP('Données projet'!$B$9,Paramètres!$A$1:$I$89,3,0)*0.475*44/12</f>
        <v>5.4814337633037225</v>
      </c>
      <c r="AC25" s="22">
        <f t="shared" si="3"/>
        <v>18.077400675632823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16.5</v>
      </c>
      <c r="AI25" s="13">
        <f>IF('Données projet'!$A$62&gt;35,AI24+AH25-AQ24,IF(A25&lt;'Données projet'!$A$62,$AF$205^A25,IF(A25='Données projet'!$A$62,'Données projet'!$B$62,AI24+AH25-AQ24)))</f>
        <v>131</v>
      </c>
      <c r="AJ25" s="13">
        <f>AI25*VLOOKUP('Données projet'!$B$10,Paramètres!$A$1:$I$89,3,0)*VLOOKUP('Données projet'!$B$10,Paramètres!$A$1:$I$89,5,0)</f>
        <v>81.744</v>
      </c>
      <c r="AK25" s="13">
        <f t="shared" si="35"/>
        <v>22.563064513367394</v>
      </c>
      <c r="AL25" s="20">
        <f t="shared" si="4"/>
        <v>181.66813736078151</v>
      </c>
      <c r="AM25" s="59">
        <f t="shared" si="5"/>
        <v>475.0014706941148</v>
      </c>
      <c r="AN25" s="59">
        <f ca="1">AVERAGE(OFFSET($AM$3,0,0,'Données projet'!$E$10+1,1))-AVERAGE(OFFSET($H$3,0,0,'Données projet'!$E$10+1,1))</f>
        <v>255.41017495879987</v>
      </c>
      <c r="AO25" s="59">
        <f t="shared" si="36"/>
        <v>297.50513563712764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14.040730173971321</v>
      </c>
      <c r="AW25" s="21">
        <f>EXP(-LN(2)/2)*AW24+(1-EXP(-LN(2)/2))/(LN(2)/2)*AQ25*AT25*VLOOKUP('Données projet'!$B$10,Paramètres!$A$1:$I$89,3,0)*0.475*44/12</f>
        <v>10.597694304847721</v>
      </c>
      <c r="AX25" s="21">
        <f t="shared" si="6"/>
        <v>24.63842447881904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14.5</v>
      </c>
      <c r="BD25" s="12">
        <f>IF('Données projet'!$A$88&gt;35,BD24+BC25-BL24,IF(A25&lt;'Données projet'!$A$88,$BA$205^A25,IF(A25='Données projet'!$A$88,'Données projet'!$B$88,BD24+BC25-BL24)))</f>
        <v>96</v>
      </c>
      <c r="BE25" s="13">
        <f>BD25*VLOOKUP('Données projet'!$B$11,Paramètres!$A$1:$I$89,3,0)*VLOOKUP('Données projet'!$B$11,Paramètres!$A$1:$I$89,5,0)</f>
        <v>76.377600000000001</v>
      </c>
      <c r="BF25" s="13">
        <f t="shared" si="37"/>
        <v>21.249114127498419</v>
      </c>
      <c r="BG25" s="20">
        <f t="shared" si="7"/>
        <v>170.03319377205972</v>
      </c>
      <c r="BH25" s="59">
        <f t="shared" si="8"/>
        <v>463.36652710539306</v>
      </c>
      <c r="BI25" s="59">
        <f ca="1">AVERAGE(OFFSET($BH$3,0,0,'Données projet'!$E$11+1,1))-AVERAGE(OFFSET($H$3,0,0,'Données projet'!$E$11+1,1))</f>
        <v>260.20517190557814</v>
      </c>
      <c r="BJ25" s="59">
        <f t="shared" si="38"/>
        <v>307.22009971147133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7.357610750105267</v>
      </c>
      <c r="BR25" s="21">
        <f>EXP(-LN(2)/2)*BR24+(1-EXP(-LN(2)/2))/(LN(2)/2)*BL25*BO25*VLOOKUP('Données projet'!$B$11,Paramètres!$A$1:$I$89,3,0)*0.475*44/12</f>
        <v>6.2868613610528934</v>
      </c>
      <c r="BS25" s="22">
        <f t="shared" si="9"/>
        <v>13.64447211115816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10.5</v>
      </c>
      <c r="BY25" s="12">
        <f>IF('Données projet'!$A$114&gt;35,BY24+BX25-CG24,IF(A25&lt;'Données projet'!$A$114,$BV$205^A25,IF(A25='Données projet'!$A$114,'Données projet'!$B$114,BY24+BX25-CG24)))</f>
        <v>126</v>
      </c>
      <c r="BZ25" s="13">
        <f>BY25*VLOOKUP('Données projet'!$B$12,Paramètres!$A$1:$I$89,3,0)*VLOOKUP('Données projet'!$B$12,Paramètres!$A$1:$I$89,5,0)</f>
        <v>82.555199999999999</v>
      </c>
      <c r="CA25" s="13">
        <f t="shared" si="39"/>
        <v>22.760796016854769</v>
      </c>
      <c r="CB25" s="20">
        <f t="shared" si="10"/>
        <v>183.42535972935536</v>
      </c>
      <c r="CC25" s="59">
        <f t="shared" si="11"/>
        <v>476.75869306268868</v>
      </c>
      <c r="CD25" s="59">
        <f ca="1">AVERAGE(OFFSET($CC$3,0,0,'Données projet'!$E$12+1,1))-AVERAGE(OFFSET($H$3,0,0,'Données projet'!$E$12+1,1))</f>
        <v>185.21927898775016</v>
      </c>
      <c r="CE25" s="59">
        <f t="shared" si="40"/>
        <v>240.82467772396944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0</v>
      </c>
      <c r="CL25" s="21">
        <f>EXP(-LN(2)/25)*CL24+(1-EXP(-LN(2)/25))/(LN(2)/25)*Calculateur!CG25*Calculateur!CI25*VLOOKUP('Données projet'!$B$12,Paramètres!$A$1:$I$89,3,0)*0.475*44/12</f>
        <v>1.3207061819891774</v>
      </c>
      <c r="CM25" s="21">
        <f>EXP(-LN(2)/2)*CM24+(1-EXP(-LN(2)/2))/(LN(2)/2)*CG25*CJ25*VLOOKUP('Données projet'!$B$12,Paramètres!$A$1:$I$89,3,0)*0.475*44/12</f>
        <v>1.3909473775112633</v>
      </c>
      <c r="CN25" s="22">
        <f t="shared" si="12"/>
        <v>2.7116535595004407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20.451599999999999</v>
      </c>
      <c r="D26" s="11">
        <f t="shared" si="32"/>
        <v>6.6330107072474558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209.07418791559442</v>
      </c>
      <c r="H26" s="67">
        <f t="shared" si="1"/>
        <v>340.5056969817893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20.658974358974358</v>
      </c>
      <c r="N26" s="13">
        <f>IF('Données projet'!$A$36&gt;35,N25+M26-V25,IF(A26&lt;'Données projet'!$A$36,$K$205^A26,IF(A26='Données projet'!$A$36,'Données projet'!$B$36,N25+M26-V25)))</f>
        <v>216.90256410256404</v>
      </c>
      <c r="O26" s="13">
        <f>N26*VLOOKUP('Données projet'!$B$9,Paramètres!$A$1:$I$89,3,0)*VLOOKUP('Données projet'!$B$9,Paramètres!$A$1:$I$89,5,0)</f>
        <v>121.2485333333333</v>
      </c>
      <c r="P26" s="13">
        <f t="shared" si="33"/>
        <v>31.966023537079113</v>
      </c>
      <c r="Q26" s="20">
        <f t="shared" si="2"/>
        <v>266.84868654930165</v>
      </c>
      <c r="R26" s="59">
        <f t="shared" si="0"/>
        <v>560.1820198826349</v>
      </c>
      <c r="S26" s="59">
        <f ca="1">AVERAGE(OFFSET($R$3,0,0,'Données projet'!$E$9+1,1))-AVERAGE(OFFSET($H$3,0,0,'Données projet'!$E$9+1,1))</f>
        <v>255.5374979188561</v>
      </c>
      <c r="T26" s="59">
        <f t="shared" si="34"/>
        <v>343.10418468620901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12.251529534718349</v>
      </c>
      <c r="AB26" s="21">
        <f>EXP(-LN(2)/2)*AB25+(1-EXP(-LN(2)/2))/(LN(2)/2)*V26*Y26*VLOOKUP('Données projet'!$B$9,Paramètres!$A$1:$I$89,3,0)*0.475*44/12</f>
        <v>3.8759589846569593</v>
      </c>
      <c r="AC26" s="22">
        <f t="shared" si="3"/>
        <v>16.127488519375309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16.5</v>
      </c>
      <c r="AI26" s="13">
        <f>IF('Données projet'!$A$62&gt;35,AI25+AH26-AQ25,IF(A26&lt;'Données projet'!$A$62,$AF$205^A26,IF(A26='Données projet'!$A$62,'Données projet'!$B$62,AI25+AH26-AQ25)))</f>
        <v>147.5</v>
      </c>
      <c r="AJ26" s="13">
        <f>AI26*VLOOKUP('Données projet'!$B$10,Paramètres!$A$1:$I$89,3,0)*VLOOKUP('Données projet'!$B$10,Paramètres!$A$1:$I$89,5,0)</f>
        <v>92.04</v>
      </c>
      <c r="AK26" s="13">
        <f t="shared" si="35"/>
        <v>25.056580235859606</v>
      </c>
      <c r="AL26" s="20">
        <f t="shared" si="4"/>
        <v>203.94321057745549</v>
      </c>
      <c r="AM26" s="59">
        <f t="shared" si="5"/>
        <v>497.2765439107888</v>
      </c>
      <c r="AN26" s="59">
        <f ca="1">AVERAGE(OFFSET($AM$3,0,0,'Données projet'!$E$10+1,1))-AVERAGE(OFFSET($H$3,0,0,'Données projet'!$E$10+1,1))</f>
        <v>255.41017495879987</v>
      </c>
      <c r="AO26" s="59">
        <f t="shared" si="36"/>
        <v>297.50513563712764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13.656785668994166</v>
      </c>
      <c r="AW26" s="21">
        <f>EXP(-LN(2)/2)*AW25+(1-EXP(-LN(2)/2))/(LN(2)/2)*AQ26*AT26*VLOOKUP('Données projet'!$B$10,Paramètres!$A$1:$I$89,3,0)*0.475*44/12</f>
        <v>7.4937015078998792</v>
      </c>
      <c r="AX26" s="21">
        <f t="shared" si="6"/>
        <v>21.150487176894046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14.5</v>
      </c>
      <c r="BD26" s="12">
        <f>IF('Données projet'!$A$88&gt;35,BD25+BC26-BL25,IF(A26&lt;'Données projet'!$A$88,$BA$205^A26,IF(A26='Données projet'!$A$88,'Données projet'!$B$88,BD25+BC26-BL25)))</f>
        <v>110.5</v>
      </c>
      <c r="BE26" s="13">
        <f>BD26*VLOOKUP('Données projet'!$B$11,Paramètres!$A$1:$I$89,3,0)*VLOOKUP('Données projet'!$B$11,Paramètres!$A$1:$I$89,5,0)</f>
        <v>87.913800000000009</v>
      </c>
      <c r="BF26" s="13">
        <f t="shared" si="37"/>
        <v>24.061399085756083</v>
      </c>
      <c r="BG26" s="20">
        <f t="shared" si="7"/>
        <v>195.02347174102519</v>
      </c>
      <c r="BH26" s="59">
        <f t="shared" si="8"/>
        <v>488.35680507435848</v>
      </c>
      <c r="BI26" s="59">
        <f ca="1">AVERAGE(OFFSET($BH$3,0,0,'Données projet'!$E$11+1,1))-AVERAGE(OFFSET($H$3,0,0,'Données projet'!$E$11+1,1))</f>
        <v>260.20517190557814</v>
      </c>
      <c r="BJ26" s="59">
        <f t="shared" si="38"/>
        <v>307.22009971147133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7.156416497223705</v>
      </c>
      <c r="BR26" s="21">
        <f>EXP(-LN(2)/2)*BR25+(1-EXP(-LN(2)/2))/(LN(2)/2)*BL26*BO26*VLOOKUP('Données projet'!$B$11,Paramètres!$A$1:$I$89,3,0)*0.475*44/12</f>
        <v>4.4454823007801894</v>
      </c>
      <c r="BS26" s="22">
        <f t="shared" si="9"/>
        <v>11.601898798003894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10.5</v>
      </c>
      <c r="BY26" s="12">
        <f>IF('Données projet'!$A$114&gt;35,BY25+BX26-CG25,IF(A26&lt;'Données projet'!$A$114,$BV$205^A26,IF(A26='Données projet'!$A$114,'Données projet'!$B$114,BY25+BX26-CG25)))</f>
        <v>136.5</v>
      </c>
      <c r="BZ26" s="13">
        <f>BY26*VLOOKUP('Données projet'!$B$12,Paramètres!$A$1:$I$89,3,0)*VLOOKUP('Données projet'!$B$12,Paramètres!$A$1:$I$89,5,0)</f>
        <v>89.434799999999996</v>
      </c>
      <c r="CA26" s="13">
        <f t="shared" si="39"/>
        <v>24.428862425353785</v>
      </c>
      <c r="CB26" s="20">
        <f t="shared" si="10"/>
        <v>198.31254539082451</v>
      </c>
      <c r="CC26" s="59">
        <f t="shared" si="11"/>
        <v>491.6458787241578</v>
      </c>
      <c r="CD26" s="59">
        <f ca="1">AVERAGE(OFFSET($CC$3,0,0,'Données projet'!$E$12+1,1))-AVERAGE(OFFSET($H$3,0,0,'Données projet'!$E$12+1,1))</f>
        <v>185.21927898775016</v>
      </c>
      <c r="CE26" s="59">
        <f t="shared" si="40"/>
        <v>240.82467772396944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0</v>
      </c>
      <c r="CL26" s="21">
        <f>EXP(-LN(2)/25)*CL25+(1-EXP(-LN(2)/25))/(LN(2)/25)*Calculateur!CG26*Calculateur!CI26*VLOOKUP('Données projet'!$B$12,Paramètres!$A$1:$I$89,3,0)*0.475*44/12</f>
        <v>1.2845914019897637</v>
      </c>
      <c r="CM26" s="21">
        <f>EXP(-LN(2)/2)*CM25+(1-EXP(-LN(2)/2))/(LN(2)/2)*CG26*CJ26*VLOOKUP('Données projet'!$B$12,Paramètres!$A$1:$I$89,3,0)*0.475*44/12</f>
        <v>0.98354832291185901</v>
      </c>
      <c r="CN26" s="22">
        <f t="shared" si="12"/>
        <v>2.2681397249016229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21.340799999999998</v>
      </c>
      <c r="D27" s="11">
        <f t="shared" si="32"/>
        <v>6.8871990614123195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217.90034363195477</v>
      </c>
      <c r="H27" s="67">
        <f t="shared" si="1"/>
        <v>342.49709836529308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>
        <f>VLOOKUP(A27,'Données projet'!$A$35:$I$55,2,0)</f>
        <v>237.56153846153845</v>
      </c>
      <c r="L27" s="12">
        <f>VLOOKUP(A27,'Données projet'!$A$35:$I$55,9,0)</f>
        <v>20.658974358974358</v>
      </c>
      <c r="M27" s="12">
        <f t="array" ref="M27">INDEX(L:L,MIN(IF(ISNUMBER(L27:L223),ROW(L27:L223),"")))</f>
        <v>20.658974358974358</v>
      </c>
      <c r="N27" s="13">
        <f>IF('Données projet'!$A$36&gt;35,N26+M27-V26,IF(A27&lt;'Données projet'!$A$36,$K$205^A27,IF(A27='Données projet'!$A$36,'Données projet'!$B$36,N26+M27-V26)))</f>
        <v>237.56153846153839</v>
      </c>
      <c r="O27" s="13">
        <f>N27*VLOOKUP('Données projet'!$B$9,Paramètres!$A$1:$I$89,3,0)*VLOOKUP('Données projet'!$B$9,Paramètres!$A$1:$I$89,5,0)</f>
        <v>132.79689999999997</v>
      </c>
      <c r="P27" s="13">
        <f t="shared" si="33"/>
        <v>34.641837967861036</v>
      </c>
      <c r="Q27" s="20">
        <f t="shared" si="2"/>
        <v>291.62246862735793</v>
      </c>
      <c r="R27" s="59">
        <f t="shared" si="0"/>
        <v>584.95580196069125</v>
      </c>
      <c r="S27" s="59">
        <f ca="1">AVERAGE(OFFSET($R$3,0,0,'Données projet'!$E$9+1,1))-AVERAGE(OFFSET($H$3,0,0,'Données projet'!$E$9+1,1))</f>
        <v>255.5374979188561</v>
      </c>
      <c r="T27" s="59">
        <f t="shared" si="34"/>
        <v>343.10418468620901</v>
      </c>
      <c r="U27" s="15">
        <f>IF(ISNA(VLOOKUP(A27,'Données projet'!$A$35:$I$55,3,0)),0,VLOOKUP(A27,'Données projet'!$A$35:$I$55,3,0))</f>
        <v>2</v>
      </c>
      <c r="V27" s="15">
        <f>IF(ISNA(VLOOKUP(A27,'Données projet'!$A$35:$I$55,4,0)),0,VLOOKUP(A27,'Données projet'!$A$35:$I$55,4,0))</f>
        <v>42.661538461538463</v>
      </c>
      <c r="W27" s="16">
        <f>IF(ISNA(VLOOKUP(A27,'Données projet'!$A$35:$I$55,5,0)),0%,VLOOKUP(A27,'Données projet'!$A$35:$I$55,5,0)*VLOOKUP('Données projet'!$B$9,Paramètres!$A$1:$I$89,7,0))</f>
        <v>0.11000000000000001</v>
      </c>
      <c r="X27" s="16">
        <f>IF(ISNA(VLOOKUP(A27,'Données projet'!$A$35:$I$55,6,0)),0%,VLOOKUP(A27,'Données projet'!$A$35:$I$55,6,0)*VLOOKUP('Données projet'!$B$9,Paramètres!$A$1:$I$89,7,0))</f>
        <v>0.22000000000000003</v>
      </c>
      <c r="Y27" s="16">
        <f>IF(ISNA(VLOOKUP(A27,'Données projet'!$A$35:$I$55,7,0)),0%,VLOOKUP(A27,'Données projet'!$A$35:$I$55,7,0))</f>
        <v>0.4</v>
      </c>
      <c r="Z27" s="21">
        <f>EXP(-LN(2)/35)*Z26+(1-EXP(-LN(2)/35))/(LN(2)/35)*V27*W27*VLOOKUP('Données projet'!$B$9,Paramètres!$A$1:$I$89,3,0)*0.475*44/12</f>
        <v>3.4799208202474183</v>
      </c>
      <c r="AA27" s="21">
        <f>EXP(-LN(2)/25)*AA26+(1-EXP(-LN(2)/25))/(LN(2)/25)*Calculateur!V27*Calculateur!X27*VLOOKUP('Données projet'!$B$9,Paramètres!$A$1:$I$89,3,0)*0.475*44/12</f>
        <v>18.848948907360175</v>
      </c>
      <c r="AB27" s="21">
        <f>EXP(-LN(2)/2)*AB26+(1-EXP(-LN(2)/2))/(LN(2)/2)*V27*Y27*VLOOKUP('Données projet'!$B$9,Paramètres!$A$1:$I$89,3,0)*0.475*44/12</f>
        <v>13.541216635632523</v>
      </c>
      <c r="AC27" s="22">
        <f t="shared" si="3"/>
        <v>35.870086363240119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16.5</v>
      </c>
      <c r="AI27" s="13">
        <f>IF('Données projet'!$A$62&gt;35,AI26+AH27-AQ26,IF(A27&lt;'Données projet'!$A$62,$AF$205^A27,IF(A27='Données projet'!$A$62,'Données projet'!$B$62,AI26+AH27-AQ26)))</f>
        <v>164</v>
      </c>
      <c r="AJ27" s="13">
        <f>AI27*VLOOKUP('Données projet'!$B$10,Paramètres!$A$1:$I$89,3,0)*VLOOKUP('Données projet'!$B$10,Paramètres!$A$1:$I$89,5,0)</f>
        <v>102.336</v>
      </c>
      <c r="AK27" s="13">
        <f t="shared" si="35"/>
        <v>27.517767215282735</v>
      </c>
      <c r="AL27" s="20">
        <f t="shared" si="4"/>
        <v>226.16197789995076</v>
      </c>
      <c r="AM27" s="59">
        <f t="shared" si="5"/>
        <v>519.49531123328404</v>
      </c>
      <c r="AN27" s="59">
        <f ca="1">AVERAGE(OFFSET($AM$3,0,0,'Données projet'!$E$10+1,1))-AVERAGE(OFFSET($H$3,0,0,'Données projet'!$E$10+1,1))</f>
        <v>255.41017495879987</v>
      </c>
      <c r="AO27" s="59">
        <f t="shared" si="36"/>
        <v>297.50513563712764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13.283340146696375</v>
      </c>
      <c r="AW27" s="21">
        <f>EXP(-LN(2)/2)*AW26+(1-EXP(-LN(2)/2))/(LN(2)/2)*AQ27*AT27*VLOOKUP('Données projet'!$B$10,Paramètres!$A$1:$I$89,3,0)*0.475*44/12</f>
        <v>5.2988471524238614</v>
      </c>
      <c r="AX27" s="21">
        <f t="shared" si="6"/>
        <v>18.582187299120235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14.5</v>
      </c>
      <c r="BD27" s="12">
        <f>IF('Données projet'!$A$88&gt;35,BD26+BC27-BL26,IF(A27&lt;'Données projet'!$A$88,$BA$205^A27,IF(A27='Données projet'!$A$88,'Données projet'!$B$88,BD26+BC27-BL26)))</f>
        <v>125</v>
      </c>
      <c r="BE27" s="13">
        <f>BD27*VLOOKUP('Données projet'!$B$11,Paramètres!$A$1:$I$89,3,0)*VLOOKUP('Données projet'!$B$11,Paramètres!$A$1:$I$89,5,0)</f>
        <v>99.45</v>
      </c>
      <c r="BF27" s="13">
        <f t="shared" si="37"/>
        <v>26.830925603893352</v>
      </c>
      <c r="BG27" s="20">
        <f t="shared" si="7"/>
        <v>219.93927876011423</v>
      </c>
      <c r="BH27" s="59">
        <f t="shared" si="8"/>
        <v>513.27261209344761</v>
      </c>
      <c r="BI27" s="59">
        <f ca="1">AVERAGE(OFFSET($BH$3,0,0,'Données projet'!$E$11+1,1))-AVERAGE(OFFSET($H$3,0,0,'Données projet'!$E$11+1,1))</f>
        <v>260.20517190557814</v>
      </c>
      <c r="BJ27" s="59">
        <f t="shared" si="38"/>
        <v>307.22009971147133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6.960723911767535</v>
      </c>
      <c r="BR27" s="21">
        <f>EXP(-LN(2)/2)*BR26+(1-EXP(-LN(2)/2))/(LN(2)/2)*BL27*BO27*VLOOKUP('Données projet'!$B$11,Paramètres!$A$1:$I$89,3,0)*0.475*44/12</f>
        <v>3.1434306805264476</v>
      </c>
      <c r="BS27" s="22">
        <f t="shared" si="9"/>
        <v>10.104154592293982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10.5</v>
      </c>
      <c r="BY27" s="12">
        <f>IF('Données projet'!$A$114&gt;35,BY26+BX27-CG26,IF(A27&lt;'Données projet'!$A$114,$BV$205^A27,IF(A27='Données projet'!$A$114,'Données projet'!$B$114,BY26+BX27-CG26)))</f>
        <v>147</v>
      </c>
      <c r="BZ27" s="13">
        <f>BY27*VLOOKUP('Données projet'!$B$12,Paramètres!$A$1:$I$89,3,0)*VLOOKUP('Données projet'!$B$12,Paramètres!$A$1:$I$89,5,0)</f>
        <v>96.314399999999992</v>
      </c>
      <c r="CA27" s="13">
        <f t="shared" si="39"/>
        <v>26.082044404269869</v>
      </c>
      <c r="CB27" s="20">
        <f t="shared" si="10"/>
        <v>213.17380733743667</v>
      </c>
      <c r="CC27" s="59">
        <f t="shared" si="11"/>
        <v>506.50714067077001</v>
      </c>
      <c r="CD27" s="59">
        <f ca="1">AVERAGE(OFFSET($CC$3,0,0,'Données projet'!$E$12+1,1))-AVERAGE(OFFSET($H$3,0,0,'Données projet'!$E$12+1,1))</f>
        <v>185.21927898775016</v>
      </c>
      <c r="CE27" s="59">
        <f t="shared" si="40"/>
        <v>240.82467772396944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0</v>
      </c>
      <c r="CL27" s="21">
        <f>EXP(-LN(2)/25)*CL26+(1-EXP(-LN(2)/25))/(LN(2)/25)*Calculateur!CG27*Calculateur!CI27*VLOOKUP('Données projet'!$B$12,Paramètres!$A$1:$I$89,3,0)*0.475*44/12</f>
        <v>1.2494641825486279</v>
      </c>
      <c r="CM27" s="21">
        <f>EXP(-LN(2)/2)*CM26+(1-EXP(-LN(2)/2))/(LN(2)/2)*CG27*CJ27*VLOOKUP('Données projet'!$B$12,Paramètres!$A$1:$I$89,3,0)*0.475*44/12</f>
        <v>0.69547368875563176</v>
      </c>
      <c r="CN27" s="22">
        <f t="shared" si="12"/>
        <v>1.9449378713042598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22.229999999999997</v>
      </c>
      <c r="D28" s="11">
        <f t="shared" si="32"/>
        <v>7.140157210880437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226.71700303135776</v>
      </c>
      <c r="H28" s="67">
        <f t="shared" si="1"/>
        <v>344.4863571422834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22.828205128205127</v>
      </c>
      <c r="N28" s="13">
        <f>IF('Données projet'!$A$36&gt;35,N27+M28-V27,IF(A28&lt;'Données projet'!$A$36,$K$205^A28,IF(A28='Données projet'!$A$36,'Données projet'!$B$36,N27+M28-V27)))</f>
        <v>217.72820512820502</v>
      </c>
      <c r="O28" s="13">
        <f>N28*VLOOKUP('Données projet'!$B$9,Paramètres!$A$1:$I$89,3,0)*VLOOKUP('Données projet'!$B$9,Paramètres!$A$1:$I$89,5,0)</f>
        <v>121.71006666666661</v>
      </c>
      <c r="P28" s="13">
        <f t="shared" si="33"/>
        <v>32.073515207801002</v>
      </c>
      <c r="Q28" s="20">
        <f t="shared" si="2"/>
        <v>267.83973843136442</v>
      </c>
      <c r="R28" s="59">
        <f t="shared" si="0"/>
        <v>561.17307176469774</v>
      </c>
      <c r="S28" s="59">
        <f ca="1">AVERAGE(OFFSET($R$3,0,0,'Données projet'!$E$9+1,1))-AVERAGE(OFFSET($H$3,0,0,'Données projet'!$E$9+1,1))</f>
        <v>255.5374979188561</v>
      </c>
      <c r="T28" s="59">
        <f t="shared" si="34"/>
        <v>343.10418468620901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3.4116816955044831</v>
      </c>
      <c r="AA28" s="21">
        <f>EXP(-LN(2)/25)*AA27+(1-EXP(-LN(2)/25))/(LN(2)/25)*Calculateur!V28*Calculateur!X28*VLOOKUP('Données projet'!$B$9,Paramètres!$A$1:$I$89,3,0)*0.475*44/12</f>
        <v>18.333523408265268</v>
      </c>
      <c r="AB28" s="21">
        <f>EXP(-LN(2)/2)*AB27+(1-EXP(-LN(2)/2))/(LN(2)/2)*V28*Y28*VLOOKUP('Données projet'!$B$9,Paramètres!$A$1:$I$89,3,0)*0.475*44/12</f>
        <v>9.5750861085718437</v>
      </c>
      <c r="AC28" s="22">
        <f t="shared" si="3"/>
        <v>31.320291212341594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16.5</v>
      </c>
      <c r="AI28" s="13">
        <f>IF('Données projet'!$A$62&gt;35,AI27+AH28-AQ27,IF(A28&lt;'Données projet'!$A$62,$AF$205^A28,IF(A28='Données projet'!$A$62,'Données projet'!$B$62,AI27+AH28-AQ27)))</f>
        <v>180.5</v>
      </c>
      <c r="AJ28" s="13">
        <f>AI28*VLOOKUP('Données projet'!$B$10,Paramètres!$A$1:$I$89,3,0)*VLOOKUP('Données projet'!$B$10,Paramètres!$A$1:$I$89,5,0)</f>
        <v>112.63200000000001</v>
      </c>
      <c r="AK28" s="13">
        <f t="shared" si="35"/>
        <v>29.950248336286034</v>
      </c>
      <c r="AL28" s="20">
        <f t="shared" si="4"/>
        <v>248.33074918569818</v>
      </c>
      <c r="AM28" s="59">
        <f t="shared" si="5"/>
        <v>541.66408251903147</v>
      </c>
      <c r="AN28" s="59">
        <f ca="1">AVERAGE(OFFSET($AM$3,0,0,'Données projet'!$E$10+1,1))-AVERAGE(OFFSET($H$3,0,0,'Données projet'!$E$10+1,1))</f>
        <v>255.41017495879987</v>
      </c>
      <c r="AO28" s="59">
        <f t="shared" si="36"/>
        <v>297.50513563712764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12.920106511844464</v>
      </c>
      <c r="AW28" s="21">
        <f>EXP(-LN(2)/2)*AW27+(1-EXP(-LN(2)/2))/(LN(2)/2)*AQ28*AT28*VLOOKUP('Données projet'!$B$10,Paramètres!$A$1:$I$89,3,0)*0.475*44/12</f>
        <v>3.74685075394994</v>
      </c>
      <c r="AX28" s="21">
        <f t="shared" si="6"/>
        <v>16.666957265794405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14.5</v>
      </c>
      <c r="BD28" s="12">
        <f>IF('Données projet'!$A$88&gt;35,BD27+BC28-BL27,IF(A28&lt;'Données projet'!$A$88,$BA$205^A28,IF(A28='Données projet'!$A$88,'Données projet'!$B$88,BD27+BC28-BL27)))</f>
        <v>139.5</v>
      </c>
      <c r="BE28" s="13">
        <f>BD28*VLOOKUP('Données projet'!$B$11,Paramètres!$A$1:$I$89,3,0)*VLOOKUP('Données projet'!$B$11,Paramètres!$A$1:$I$89,5,0)</f>
        <v>110.9862</v>
      </c>
      <c r="BF28" s="13">
        <f t="shared" si="37"/>
        <v>29.563220146103436</v>
      </c>
      <c r="BG28" s="20">
        <f t="shared" si="7"/>
        <v>244.79024008779683</v>
      </c>
      <c r="BH28" s="59">
        <f t="shared" si="8"/>
        <v>538.12357342113012</v>
      </c>
      <c r="BI28" s="59">
        <f ca="1">AVERAGE(OFFSET($BH$3,0,0,'Données projet'!$E$11+1,1))-AVERAGE(OFFSET($H$3,0,0,'Données projet'!$E$11+1,1))</f>
        <v>260.20517190557814</v>
      </c>
      <c r="BJ28" s="59">
        <f t="shared" si="38"/>
        <v>307.22009971147133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6.7703825503516901</v>
      </c>
      <c r="BR28" s="21">
        <f>EXP(-LN(2)/2)*BR27+(1-EXP(-LN(2)/2))/(LN(2)/2)*BL28*BO28*VLOOKUP('Données projet'!$B$11,Paramètres!$A$1:$I$89,3,0)*0.475*44/12</f>
        <v>2.2227411503900951</v>
      </c>
      <c r="BS28" s="22">
        <f t="shared" si="9"/>
        <v>8.9931237007417852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10.5</v>
      </c>
      <c r="BY28" s="12">
        <f>IF('Données projet'!$A$114&gt;35,BY27+BX28-CG27,IF(A28&lt;'Données projet'!$A$114,$BV$205^A28,IF(A28='Données projet'!$A$114,'Données projet'!$B$114,BY27+BX28-CG27)))</f>
        <v>157.5</v>
      </c>
      <c r="BZ28" s="13">
        <f>BY28*VLOOKUP('Données projet'!$B$12,Paramètres!$A$1:$I$89,3,0)*VLOOKUP('Données projet'!$B$12,Paramètres!$A$1:$I$89,5,0)</f>
        <v>103.19399999999999</v>
      </c>
      <c r="CA28" s="13">
        <f t="shared" si="39"/>
        <v>27.721526045872263</v>
      </c>
      <c r="CB28" s="20">
        <f t="shared" si="10"/>
        <v>228.01120786322747</v>
      </c>
      <c r="CC28" s="59">
        <f t="shared" si="11"/>
        <v>521.34454119656084</v>
      </c>
      <c r="CD28" s="59">
        <f ca="1">AVERAGE(OFFSET($CC$3,0,0,'Données projet'!$E$12+1,1))-AVERAGE(OFFSET($H$3,0,0,'Données projet'!$E$12+1,1))</f>
        <v>185.21927898775016</v>
      </c>
      <c r="CE28" s="59">
        <f t="shared" si="40"/>
        <v>240.82467772396944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>
        <f>EXP(-LN(2)/35)*CK27+(1-EXP(-LN(2)/35))/(LN(2)/35)*CG28*CH28*VLOOKUP('Données projet'!$B$12,Paramètres!$A$1:$I$89,3,0)*0.475*44/12</f>
        <v>0</v>
      </c>
      <c r="CL28" s="21">
        <f>EXP(-LN(2)/25)*CL27+(1-EXP(-LN(2)/25))/(LN(2)/25)*Calculateur!CG28*Calculateur!CI28*VLOOKUP('Données projet'!$B$12,Paramètres!$A$1:$I$89,3,0)*0.475*44/12</f>
        <v>1.2152975187703701</v>
      </c>
      <c r="CM28" s="21">
        <f>EXP(-LN(2)/2)*CM27+(1-EXP(-LN(2)/2))/(LN(2)/2)*CG28*CJ28*VLOOKUP('Données projet'!$B$12,Paramètres!$A$1:$I$89,3,0)*0.475*44/12</f>
        <v>0.49177416145592961</v>
      </c>
      <c r="CN28" s="22">
        <f t="shared" si="12"/>
        <v>1.7070716802262997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23.119199999999996</v>
      </c>
      <c r="D29" s="11">
        <f t="shared" si="32"/>
        <v>7.3919399937804329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235.5245894256735</v>
      </c>
      <c r="H29" s="67">
        <f t="shared" si="1"/>
        <v>346.47356882250091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22.828205128205127</v>
      </c>
      <c r="N29" s="13">
        <f>IF('Données projet'!$A$36&gt;35,N28+M29-V28,IF(A29&lt;'Données projet'!$A$36,$K$205^A29,IF(A29='Données projet'!$A$36,'Données projet'!$B$36,N28+M29-V28)))</f>
        <v>240.55641025641015</v>
      </c>
      <c r="O29" s="13">
        <f>N29*VLOOKUP('Données projet'!$B$9,Paramètres!$A$1:$I$89,3,0)*VLOOKUP('Données projet'!$B$9,Paramètres!$A$1:$I$89,5,0)</f>
        <v>134.47103333333328</v>
      </c>
      <c r="P29" s="13">
        <f t="shared" si="33"/>
        <v>35.027441907439481</v>
      </c>
      <c r="Q29" s="20">
        <f t="shared" si="2"/>
        <v>295.20984437767919</v>
      </c>
      <c r="R29" s="59">
        <f t="shared" si="0"/>
        <v>588.5431777110125</v>
      </c>
      <c r="S29" s="59">
        <f ca="1">AVERAGE(OFFSET($R$3,0,0,'Données projet'!$E$9+1,1))-AVERAGE(OFFSET($H$3,0,0,'Données projet'!$E$9+1,1))</f>
        <v>255.5374979188561</v>
      </c>
      <c r="T29" s="59">
        <f t="shared" si="34"/>
        <v>343.10418468620901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3.3447806983760007</v>
      </c>
      <c r="AA29" s="21">
        <f>EXP(-LN(2)/25)*AA28+(1-EXP(-LN(2)/25))/(LN(2)/25)*Calculateur!V29*Calculateur!X29*VLOOKUP('Données projet'!$B$9,Paramètres!$A$1:$I$89,3,0)*0.475*44/12</f>
        <v>17.832192246548161</v>
      </c>
      <c r="AB29" s="21">
        <f>EXP(-LN(2)/2)*AB28+(1-EXP(-LN(2)/2))/(LN(2)/2)*V29*Y29*VLOOKUP('Données projet'!$B$9,Paramètres!$A$1:$I$89,3,0)*0.475*44/12</f>
        <v>6.7706083178162624</v>
      </c>
      <c r="AC29" s="22">
        <f t="shared" si="3"/>
        <v>27.947581262740421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16.5</v>
      </c>
      <c r="AI29" s="13">
        <f>IF('Données projet'!$A$62&gt;35,AI28+AH29-AQ28,IF(A29&lt;'Données projet'!$A$62,$AF$205^A29,IF(A29='Données projet'!$A$62,'Données projet'!$B$62,AI28+AH29-AQ28)))</f>
        <v>197</v>
      </c>
      <c r="AJ29" s="13">
        <f>AI29*VLOOKUP('Données projet'!$B$10,Paramètres!$A$1:$I$89,3,0)*VLOOKUP('Données projet'!$B$10,Paramètres!$A$1:$I$89,5,0)</f>
        <v>122.92800000000001</v>
      </c>
      <c r="AK29" s="13">
        <f t="shared" si="35"/>
        <v>32.356946120737945</v>
      </c>
      <c r="AL29" s="20">
        <f t="shared" si="4"/>
        <v>270.45461449361864</v>
      </c>
      <c r="AM29" s="59">
        <f t="shared" si="5"/>
        <v>563.78794782695195</v>
      </c>
      <c r="AN29" s="59">
        <f ca="1">AVERAGE(OFFSET($AM$3,0,0,'Données projet'!$E$10+1,1))-AVERAGE(OFFSET($H$3,0,0,'Données projet'!$E$10+1,1))</f>
        <v>255.41017495879987</v>
      </c>
      <c r="AO29" s="59">
        <f t="shared" si="36"/>
        <v>297.50513563712764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12.566805519839205</v>
      </c>
      <c r="AW29" s="21">
        <f>EXP(-LN(2)/2)*AW28+(1-EXP(-LN(2)/2))/(LN(2)/2)*AQ29*AT29*VLOOKUP('Données projet'!$B$10,Paramètres!$A$1:$I$89,3,0)*0.475*44/12</f>
        <v>2.6494235762119311</v>
      </c>
      <c r="AX29" s="21">
        <f t="shared" si="6"/>
        <v>15.216229096051137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14.5</v>
      </c>
      <c r="BD29" s="12">
        <f>IF('Données projet'!$A$88&gt;35,BD28+BC29-BL28,IF(A29&lt;'Données projet'!$A$88,$BA$205^A29,IF(A29='Données projet'!$A$88,'Données projet'!$B$88,BD28+BC29-BL28)))</f>
        <v>154</v>
      </c>
      <c r="BE29" s="13">
        <f>BD29*VLOOKUP('Données projet'!$B$11,Paramètres!$A$1:$I$89,3,0)*VLOOKUP('Données projet'!$B$11,Paramètres!$A$1:$I$89,5,0)</f>
        <v>122.52240000000002</v>
      </c>
      <c r="BF29" s="13">
        <f t="shared" si="37"/>
        <v>32.26259352430629</v>
      </c>
      <c r="BG29" s="20">
        <f t="shared" si="7"/>
        <v>269.58386372150017</v>
      </c>
      <c r="BH29" s="59">
        <f t="shared" si="8"/>
        <v>562.91719705483342</v>
      </c>
      <c r="BI29" s="59">
        <f ca="1">AVERAGE(OFFSET($BH$3,0,0,'Données projet'!$E$11+1,1))-AVERAGE(OFFSET($H$3,0,0,'Données projet'!$E$11+1,1))</f>
        <v>260.20517190557814</v>
      </c>
      <c r="BJ29" s="59">
        <f t="shared" si="38"/>
        <v>307.22009971147133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6.585246083473379</v>
      </c>
      <c r="BR29" s="21">
        <f>EXP(-LN(2)/2)*BR28+(1-EXP(-LN(2)/2))/(LN(2)/2)*BL29*BO29*VLOOKUP('Données projet'!$B$11,Paramètres!$A$1:$I$89,3,0)*0.475*44/12</f>
        <v>1.571715340263224</v>
      </c>
      <c r="BS29" s="22">
        <f t="shared" si="9"/>
        <v>8.1569614237366039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10.5</v>
      </c>
      <c r="BY29" s="12">
        <f>IF('Données projet'!$A$114&gt;35,BY28+BX29-CG28,IF(A29&lt;'Données projet'!$A$114,$BV$205^A29,IF(A29='Données projet'!$A$114,'Données projet'!$B$114,BY28+BX29-CG28)))</f>
        <v>168</v>
      </c>
      <c r="BZ29" s="13">
        <f>BY29*VLOOKUP('Données projet'!$B$12,Paramètres!$A$1:$I$89,3,0)*VLOOKUP('Données projet'!$B$12,Paramètres!$A$1:$I$89,5,0)</f>
        <v>110.07360000000001</v>
      </c>
      <c r="CA29" s="13">
        <f t="shared" si="39"/>
        <v>29.348324631518828</v>
      </c>
      <c r="CB29" s="20">
        <f t="shared" si="10"/>
        <v>242.8265187332286</v>
      </c>
      <c r="CC29" s="59">
        <f t="shared" si="11"/>
        <v>536.15985206656194</v>
      </c>
      <c r="CD29" s="59">
        <f ca="1">AVERAGE(OFFSET($CC$3,0,0,'Données projet'!$E$12+1,1))-AVERAGE(OFFSET($H$3,0,0,'Données projet'!$E$12+1,1))</f>
        <v>185.21927898775016</v>
      </c>
      <c r="CE29" s="59">
        <f t="shared" si="40"/>
        <v>240.82467772396944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0</v>
      </c>
      <c r="CL29" s="21">
        <f>EXP(-LN(2)/25)*CL28+(1-EXP(-LN(2)/25))/(LN(2)/25)*Calculateur!CG29*Calculateur!CI29*VLOOKUP('Données projet'!$B$12,Paramètres!$A$1:$I$89,3,0)*0.475*44/12</f>
        <v>1.1820651442098753</v>
      </c>
      <c r="CM29" s="21">
        <f>EXP(-LN(2)/2)*CM28+(1-EXP(-LN(2)/2))/(LN(2)/2)*CG29*CJ29*VLOOKUP('Données projet'!$B$12,Paramètres!$A$1:$I$89,3,0)*0.475*44/12</f>
        <v>0.34773684437781593</v>
      </c>
      <c r="CN29" s="22">
        <f t="shared" si="12"/>
        <v>1.5298019885876912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24.008399999999995</v>
      </c>
      <c r="D30" s="11">
        <f t="shared" si="32"/>
        <v>7.6425977910346958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244.32349172026781</v>
      </c>
      <c r="H30" s="67">
        <f t="shared" si="1"/>
        <v>348.45882115271871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22.828205128205127</v>
      </c>
      <c r="N30" s="13">
        <f>IF('Données projet'!$A$36&gt;35,N29+M30-V29,IF(A30&lt;'Données projet'!$A$36,$K$205^A30,IF(A30='Données projet'!$A$36,'Données projet'!$B$36,N29+M30-V29)))</f>
        <v>263.38461538461524</v>
      </c>
      <c r="O30" s="13">
        <f>N30*VLOOKUP('Données projet'!$B$9,Paramètres!$A$1:$I$89,3,0)*VLOOKUP('Données projet'!$B$9,Paramètres!$A$1:$I$89,5,0)</f>
        <v>147.23199999999994</v>
      </c>
      <c r="P30" s="13">
        <f t="shared" si="33"/>
        <v>37.948867426510738</v>
      </c>
      <c r="Q30" s="20">
        <f t="shared" si="2"/>
        <v>322.52334410117277</v>
      </c>
      <c r="R30" s="59">
        <f t="shared" si="0"/>
        <v>615.85667743450608</v>
      </c>
      <c r="S30" s="59">
        <f ca="1">AVERAGE(OFFSET($R$3,0,0,'Données projet'!$E$9+1,1))-AVERAGE(OFFSET($H$3,0,0,'Données projet'!$E$9+1,1))</f>
        <v>255.5374979188561</v>
      </c>
      <c r="T30" s="59">
        <f t="shared" si="34"/>
        <v>343.10418468620901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3.2791915889956287</v>
      </c>
      <c r="AA30" s="21">
        <f>EXP(-LN(2)/25)*AA29+(1-EXP(-LN(2)/25))/(LN(2)/25)*Calculateur!V30*Calculateur!X30*VLOOKUP('Données projet'!$B$9,Paramètres!$A$1:$I$89,3,0)*0.475*44/12</f>
        <v>17.344570011812067</v>
      </c>
      <c r="AB30" s="21">
        <f>EXP(-LN(2)/2)*AB29+(1-EXP(-LN(2)/2))/(LN(2)/2)*V30*Y30*VLOOKUP('Données projet'!$B$9,Paramètres!$A$1:$I$89,3,0)*0.475*44/12</f>
        <v>4.7875430542859228</v>
      </c>
      <c r="AC30" s="22">
        <f t="shared" si="3"/>
        <v>25.41130465509362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16.5</v>
      </c>
      <c r="AI30" s="13">
        <f>IF('Données projet'!$A$62&gt;35,AI29+AH30-AQ29,IF(A30&lt;'Données projet'!$A$62,$AF$205^A30,IF(A30='Données projet'!$A$62,'Données projet'!$B$62,AI29+AH30-AQ29)))</f>
        <v>213.5</v>
      </c>
      <c r="AJ30" s="13">
        <f>AI30*VLOOKUP('Données projet'!$B$10,Paramètres!$A$1:$I$89,3,0)*VLOOKUP('Données projet'!$B$10,Paramètres!$A$1:$I$89,5,0)</f>
        <v>133.22399999999999</v>
      </c>
      <c r="AK30" s="13">
        <f t="shared" si="35"/>
        <v>34.740265606230608</v>
      </c>
      <c r="AL30" s="20">
        <f t="shared" si="4"/>
        <v>292.53776259751828</v>
      </c>
      <c r="AM30" s="59">
        <f t="shared" si="5"/>
        <v>585.87109593085165</v>
      </c>
      <c r="AN30" s="59">
        <f ca="1">AVERAGE(OFFSET($AM$3,0,0,'Données projet'!$E$10+1,1))-AVERAGE(OFFSET($H$3,0,0,'Données projet'!$E$10+1,1))</f>
        <v>255.41017495879987</v>
      </c>
      <c r="AO30" s="59">
        <f t="shared" si="36"/>
        <v>297.50513563712764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12.223165562039622</v>
      </c>
      <c r="AW30" s="21">
        <f>EXP(-LN(2)/2)*AW29+(1-EXP(-LN(2)/2))/(LN(2)/2)*AQ30*AT30*VLOOKUP('Données projet'!$B$10,Paramètres!$A$1:$I$89,3,0)*0.475*44/12</f>
        <v>1.8734253769749702</v>
      </c>
      <c r="AX30" s="21">
        <f t="shared" si="6"/>
        <v>14.096590939014591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14.5</v>
      </c>
      <c r="BD30" s="12">
        <f>IF('Données projet'!$A$88&gt;35,BD29+BC30-BL29,IF(A30&lt;'Données projet'!$A$88,$BA$205^A30,IF(A30='Données projet'!$A$88,'Données projet'!$B$88,BD29+BC30-BL29)))</f>
        <v>168.5</v>
      </c>
      <c r="BE30" s="13">
        <f>BD30*VLOOKUP('Données projet'!$B$11,Paramètres!$A$1:$I$89,3,0)*VLOOKUP('Données projet'!$B$11,Paramètres!$A$1:$I$89,5,0)</f>
        <v>134.05860000000001</v>
      </c>
      <c r="BF30" s="13">
        <f t="shared" si="37"/>
        <v>34.932498076856362</v>
      </c>
      <c r="BG30" s="20">
        <f t="shared" si="7"/>
        <v>294.32616248385813</v>
      </c>
      <c r="BH30" s="59">
        <f t="shared" si="8"/>
        <v>587.65949581719144</v>
      </c>
      <c r="BI30" s="59">
        <f ca="1">AVERAGE(OFFSET($BH$3,0,0,'Données projet'!$E$11+1,1))-AVERAGE(OFFSET($H$3,0,0,'Données projet'!$E$11+1,1))</f>
        <v>260.20517190557814</v>
      </c>
      <c r="BJ30" s="59">
        <f t="shared" si="38"/>
        <v>307.22009971147133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6.4051721830177586</v>
      </c>
      <c r="BR30" s="21">
        <f>EXP(-LN(2)/2)*BR29+(1-EXP(-LN(2)/2))/(LN(2)/2)*BL30*BO30*VLOOKUP('Données projet'!$B$11,Paramètres!$A$1:$I$89,3,0)*0.475*44/12</f>
        <v>1.1113705751950478</v>
      </c>
      <c r="BS30" s="22">
        <f t="shared" si="9"/>
        <v>7.5165427582128066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10.5</v>
      </c>
      <c r="BY30" s="12">
        <f>IF('Données projet'!$A$114&gt;35,BY29+BX30-CG29,IF(A30&lt;'Données projet'!$A$114,$BV$205^A30,IF(A30='Données projet'!$A$114,'Données projet'!$B$114,BY29+BX30-CG29)))</f>
        <v>178.5</v>
      </c>
      <c r="BZ30" s="13">
        <f>BY30*VLOOKUP('Données projet'!$B$12,Paramètres!$A$1:$I$89,3,0)*VLOOKUP('Données projet'!$B$12,Paramètres!$A$1:$I$89,5,0)</f>
        <v>116.9532</v>
      </c>
      <c r="CA30" s="13">
        <f t="shared" si="39"/>
        <v>30.963323095281662</v>
      </c>
      <c r="CB30" s="20">
        <f t="shared" si="10"/>
        <v>257.62127772428227</v>
      </c>
      <c r="CC30" s="59">
        <f t="shared" si="11"/>
        <v>550.95461105761558</v>
      </c>
      <c r="CD30" s="59">
        <f ca="1">AVERAGE(OFFSET($CC$3,0,0,'Données projet'!$E$12+1,1))-AVERAGE(OFFSET($H$3,0,0,'Données projet'!$E$12+1,1))</f>
        <v>185.21927898775016</v>
      </c>
      <c r="CE30" s="59">
        <f t="shared" si="40"/>
        <v>240.82467772396944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0</v>
      </c>
      <c r="CL30" s="21">
        <f>EXP(-LN(2)/25)*CL29+(1-EXP(-LN(2)/25))/(LN(2)/25)*Calculateur!CG30*Calculateur!CI30*VLOOKUP('Données projet'!$B$12,Paramètres!$A$1:$I$89,3,0)*0.475*44/12</f>
        <v>1.149741510679352</v>
      </c>
      <c r="CM30" s="21">
        <f>EXP(-LN(2)/2)*CM29+(1-EXP(-LN(2)/2))/(LN(2)/2)*CG30*CJ30*VLOOKUP('Données projet'!$B$12,Paramètres!$A$1:$I$89,3,0)*0.475*44/12</f>
        <v>0.24588708072796484</v>
      </c>
      <c r="CN30" s="22">
        <f t="shared" si="12"/>
        <v>1.3956285914073168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24.897599999999994</v>
      </c>
      <c r="D31" s="11">
        <f t="shared" si="32"/>
        <v>7.8921770401958202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253.11406838045892</v>
      </c>
      <c r="H31" s="67">
        <f t="shared" si="1"/>
        <v>350.44219501167436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22.828205128205127</v>
      </c>
      <c r="N31" s="13">
        <f>IF('Données projet'!$A$36&gt;35,N30+M31-V30,IF(A31&lt;'Données projet'!$A$36,$K$205^A31,IF(A31='Données projet'!$A$36,'Données projet'!$B$36,N30+M31-V30)))</f>
        <v>286.21282051282037</v>
      </c>
      <c r="O31" s="13">
        <f>N31*VLOOKUP('Données projet'!$B$9,Paramètres!$A$1:$I$89,3,0)*VLOOKUP('Données projet'!$B$9,Paramètres!$A$1:$I$89,5,0)</f>
        <v>159.99296666666658</v>
      </c>
      <c r="P31" s="13">
        <f t="shared" si="33"/>
        <v>40.840929014671453</v>
      </c>
      <c r="Q31" s="20">
        <f t="shared" si="2"/>
        <v>349.785701644997</v>
      </c>
      <c r="R31" s="59">
        <f t="shared" si="0"/>
        <v>643.11903497833032</v>
      </c>
      <c r="S31" s="59">
        <f ca="1">AVERAGE(OFFSET($R$3,0,0,'Données projet'!$E$9+1,1))-AVERAGE(OFFSET($H$3,0,0,'Données projet'!$E$9+1,1))</f>
        <v>255.5374979188561</v>
      </c>
      <c r="T31" s="59">
        <f t="shared" si="34"/>
        <v>343.10418468620901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3.2148886420447993</v>
      </c>
      <c r="AA31" s="21">
        <f>EXP(-LN(2)/25)*AA30+(1-EXP(-LN(2)/25))/(LN(2)/25)*Calculateur!V31*Calculateur!X31*VLOOKUP('Données projet'!$B$9,Paramètres!$A$1:$I$89,3,0)*0.475*44/12</f>
        <v>16.87028183272777</v>
      </c>
      <c r="AB31" s="21">
        <f>EXP(-LN(2)/2)*AB30+(1-EXP(-LN(2)/2))/(LN(2)/2)*V31*Y31*VLOOKUP('Données projet'!$B$9,Paramètres!$A$1:$I$89,3,0)*0.475*44/12</f>
        <v>3.3853041589081316</v>
      </c>
      <c r="AC31" s="22">
        <f t="shared" si="3"/>
        <v>23.470474633680698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16.5</v>
      </c>
      <c r="AI31" s="13">
        <f>IF('Données projet'!$A$62&gt;35,AI30+AH31-AQ30,IF(A31&lt;'Données projet'!$A$62,$AF$205^A31,IF(A31='Données projet'!$A$62,'Données projet'!$B$62,AI30+AH31-AQ30)))</f>
        <v>230</v>
      </c>
      <c r="AJ31" s="13">
        <f>AI31*VLOOKUP('Données projet'!$B$10,Paramètres!$A$1:$I$89,3,0)*VLOOKUP('Données projet'!$B$10,Paramètres!$A$1:$I$89,5,0)</f>
        <v>143.51999999999998</v>
      </c>
      <c r="AK31" s="13">
        <f t="shared" si="35"/>
        <v>37.102218970378601</v>
      </c>
      <c r="AL31" s="20">
        <f t="shared" si="4"/>
        <v>314.583698040076</v>
      </c>
      <c r="AM31" s="59">
        <f t="shared" si="5"/>
        <v>607.91703137340937</v>
      </c>
      <c r="AN31" s="59">
        <f ca="1">AVERAGE(OFFSET($AM$3,0,0,'Données projet'!$E$10+1,1))-AVERAGE(OFFSET($H$3,0,0,'Données projet'!$E$10+1,1))</f>
        <v>255.41017495879987</v>
      </c>
      <c r="AO31" s="59">
        <f t="shared" si="36"/>
        <v>297.50513563712764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11.888922456957308</v>
      </c>
      <c r="AW31" s="21">
        <f>EXP(-LN(2)/2)*AW30+(1-EXP(-LN(2)/2))/(LN(2)/2)*AQ31*AT31*VLOOKUP('Données projet'!$B$10,Paramètres!$A$1:$I$89,3,0)*0.475*44/12</f>
        <v>1.3247117881059658</v>
      </c>
      <c r="AX31" s="21">
        <f t="shared" si="6"/>
        <v>13.213634245063274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14.5</v>
      </c>
      <c r="BD31" s="12">
        <f>IF('Données projet'!$A$88&gt;35,BD30+BC31-BL30,IF(A31&lt;'Données projet'!$A$88,$BA$205^A31,IF(A31='Données projet'!$A$88,'Données projet'!$B$88,BD30+BC31-BL30)))</f>
        <v>183</v>
      </c>
      <c r="BE31" s="13">
        <f>BD31*VLOOKUP('Données projet'!$B$11,Paramètres!$A$1:$I$89,3,0)*VLOOKUP('Données projet'!$B$11,Paramètres!$A$1:$I$89,5,0)</f>
        <v>145.59479999999999</v>
      </c>
      <c r="BF31" s="13">
        <f t="shared" si="37"/>
        <v>37.575758023691719</v>
      </c>
      <c r="BG31" s="20">
        <f t="shared" si="7"/>
        <v>319.02205522459639</v>
      </c>
      <c r="BH31" s="59">
        <f t="shared" si="8"/>
        <v>612.3553885579297</v>
      </c>
      <c r="BI31" s="59">
        <f ca="1">AVERAGE(OFFSET($BH$3,0,0,'Données projet'!$E$11+1,1))-AVERAGE(OFFSET($H$3,0,0,'Données projet'!$E$11+1,1))</f>
        <v>260.20517190557814</v>
      </c>
      <c r="BJ31" s="59">
        <f t="shared" si="38"/>
        <v>307.22009971147133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6.2300224128397721</v>
      </c>
      <c r="BR31" s="21">
        <f>EXP(-LN(2)/2)*BR30+(1-EXP(-LN(2)/2))/(LN(2)/2)*BL31*BO31*VLOOKUP('Données projet'!$B$11,Paramètres!$A$1:$I$89,3,0)*0.475*44/12</f>
        <v>0.78585767013161212</v>
      </c>
      <c r="BS31" s="22">
        <f t="shared" si="9"/>
        <v>7.0158800829713845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10.5</v>
      </c>
      <c r="BY31" s="12">
        <f>IF('Données projet'!$A$114&gt;35,BY30+BX31-CG30,IF(A31&lt;'Données projet'!$A$114,$BV$205^A31,IF(A31='Données projet'!$A$114,'Données projet'!$B$114,BY30+BX31-CG30)))</f>
        <v>189</v>
      </c>
      <c r="BZ31" s="13">
        <f>BY31*VLOOKUP('Données projet'!$B$12,Paramètres!$A$1:$I$89,3,0)*VLOOKUP('Données projet'!$B$12,Paramètres!$A$1:$I$89,5,0)</f>
        <v>123.83279999999999</v>
      </c>
      <c r="CA31" s="13">
        <f t="shared" si="39"/>
        <v>32.567294628684579</v>
      </c>
      <c r="CB31" s="20">
        <f t="shared" si="10"/>
        <v>272.39683147829231</v>
      </c>
      <c r="CC31" s="59">
        <f t="shared" si="11"/>
        <v>565.73016481162563</v>
      </c>
      <c r="CD31" s="59">
        <f ca="1">AVERAGE(OFFSET($CC$3,0,0,'Données projet'!$E$12+1,1))-AVERAGE(OFFSET($H$3,0,0,'Données projet'!$E$12+1,1))</f>
        <v>185.21927898775016</v>
      </c>
      <c r="CE31" s="59">
        <f t="shared" si="40"/>
        <v>240.82467772396944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0</v>
      </c>
      <c r="CL31" s="21">
        <f>EXP(-LN(2)/25)*CL30+(1-EXP(-LN(2)/25))/(LN(2)/25)*Calculateur!CG31*Calculateur!CI31*VLOOKUP('Données projet'!$B$12,Paramètres!$A$1:$I$89,3,0)*0.475*44/12</f>
        <v>1.1183017686075469</v>
      </c>
      <c r="CM31" s="21">
        <f>EXP(-LN(2)/2)*CM30+(1-EXP(-LN(2)/2))/(LN(2)/2)*CG31*CJ31*VLOOKUP('Données projet'!$B$12,Paramètres!$A$1:$I$89,3,0)*0.475*44/12</f>
        <v>0.173868422188908</v>
      </c>
      <c r="CN31" s="22">
        <f t="shared" si="12"/>
        <v>1.2921701907964549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25.786799999999992</v>
      </c>
      <c r="D32" s="11">
        <f t="shared" si="32"/>
        <v>8.1407206738151334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261.89665081541494</v>
      </c>
      <c r="H32" s="67">
        <f t="shared" si="1"/>
        <v>352.42376517356132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22.828205128205127</v>
      </c>
      <c r="N32" s="13">
        <f>IF('Données projet'!$A$36&gt;35,N31+M32-V31,IF(A32&lt;'Données projet'!$A$36,$K$205^A32,IF(A32='Données projet'!$A$36,'Données projet'!$B$36,N31+M32-V31)))</f>
        <v>309.0410256410255</v>
      </c>
      <c r="O32" s="13">
        <f>N32*VLOOKUP('Données projet'!$B$9,Paramètres!$A$1:$I$89,3,0)*VLOOKUP('Données projet'!$B$9,Paramètres!$A$1:$I$89,5,0)</f>
        <v>172.75393333333326</v>
      </c>
      <c r="P32" s="13">
        <f t="shared" si="33"/>
        <v>43.706234996805463</v>
      </c>
      <c r="Q32" s="20">
        <f t="shared" si="2"/>
        <v>377.00145984165829</v>
      </c>
      <c r="R32" s="59">
        <f t="shared" si="0"/>
        <v>670.33479317499155</v>
      </c>
      <c r="S32" s="59">
        <f ca="1">AVERAGE(OFFSET($R$3,0,0,'Données projet'!$E$9+1,1))-AVERAGE(OFFSET($H$3,0,0,'Données projet'!$E$9+1,1))</f>
        <v>255.5374979188561</v>
      </c>
      <c r="T32" s="59">
        <f t="shared" si="34"/>
        <v>343.10418468620901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3.1518466366627509</v>
      </c>
      <c r="AA32" s="21">
        <f>EXP(-LN(2)/25)*AA31+(1-EXP(-LN(2)/25))/(LN(2)/25)*Calculateur!V32*Calculateur!X32*VLOOKUP('Données projet'!$B$9,Paramètres!$A$1:$I$89,3,0)*0.475*44/12</f>
        <v>16.408963088842263</v>
      </c>
      <c r="AB32" s="21">
        <f>EXP(-LN(2)/2)*AB31+(1-EXP(-LN(2)/2))/(LN(2)/2)*V32*Y32*VLOOKUP('Données projet'!$B$9,Paramètres!$A$1:$I$89,3,0)*0.475*44/12</f>
        <v>2.3937715271429618</v>
      </c>
      <c r="AC32" s="22">
        <f t="shared" si="3"/>
        <v>21.954581252647976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16.5</v>
      </c>
      <c r="AI32" s="13">
        <f>IF('Données projet'!$A$62&gt;35,AI31+AH32-AQ31,IF(A32&lt;'Données projet'!$A$62,$AF$205^A32,IF(A32='Données projet'!$A$62,'Données projet'!$B$62,AI31+AH32-AQ31)))</f>
        <v>246.5</v>
      </c>
      <c r="AJ32" s="13">
        <f>AI32*VLOOKUP('Données projet'!$B$10,Paramètres!$A$1:$I$89,3,0)*VLOOKUP('Données projet'!$B$10,Paramètres!$A$1:$I$89,5,0)</f>
        <v>153.816</v>
      </c>
      <c r="AK32" s="13">
        <f t="shared" si="35"/>
        <v>39.444513325737063</v>
      </c>
      <c r="AL32" s="20">
        <f t="shared" si="4"/>
        <v>336.59539404232538</v>
      </c>
      <c r="AM32" s="59">
        <f t="shared" si="5"/>
        <v>629.9287273756587</v>
      </c>
      <c r="AN32" s="59">
        <f ca="1">AVERAGE(OFFSET($AM$3,0,0,'Données projet'!$E$10+1,1))-AVERAGE(OFFSET($H$3,0,0,'Données projet'!$E$10+1,1))</f>
        <v>255.41017495879987</v>
      </c>
      <c r="AO32" s="59">
        <f t="shared" si="36"/>
        <v>297.50513563712764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11.563819247160552</v>
      </c>
      <c r="AW32" s="21">
        <f>EXP(-LN(2)/2)*AW31+(1-EXP(-LN(2)/2))/(LN(2)/2)*AQ32*AT32*VLOOKUP('Données projet'!$B$10,Paramètres!$A$1:$I$89,3,0)*0.475*44/12</f>
        <v>0.93671268848748535</v>
      </c>
      <c r="AX32" s="21">
        <f t="shared" si="6"/>
        <v>12.500531935648038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14.5</v>
      </c>
      <c r="BD32" s="12">
        <f>IF('Données projet'!$A$88&gt;35,BD31+BC32-BL31,IF(A32&lt;'Données projet'!$A$88,$BA$205^A32,IF(A32='Données projet'!$A$88,'Données projet'!$B$88,BD31+BC32-BL31)))</f>
        <v>197.5</v>
      </c>
      <c r="BE32" s="13">
        <f>BD32*VLOOKUP('Données projet'!$B$11,Paramètres!$A$1:$I$89,3,0)*VLOOKUP('Données projet'!$B$11,Paramètres!$A$1:$I$89,5,0)</f>
        <v>157.13100000000003</v>
      </c>
      <c r="BF32" s="13">
        <f t="shared" si="37"/>
        <v>40.194724574621844</v>
      </c>
      <c r="BG32" s="20">
        <f t="shared" si="7"/>
        <v>343.67563696746635</v>
      </c>
      <c r="BH32" s="59">
        <f t="shared" si="8"/>
        <v>637.00897030079966</v>
      </c>
      <c r="BI32" s="59">
        <f ca="1">AVERAGE(OFFSET($BH$3,0,0,'Données projet'!$E$11+1,1))-AVERAGE(OFFSET($H$3,0,0,'Données projet'!$E$11+1,1))</f>
        <v>260.20517190557814</v>
      </c>
      <c r="BJ32" s="59">
        <f t="shared" si="38"/>
        <v>307.22009971147133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6.0596621223380289</v>
      </c>
      <c r="BR32" s="21">
        <f>EXP(-LN(2)/2)*BR31+(1-EXP(-LN(2)/2))/(LN(2)/2)*BL32*BO32*VLOOKUP('Données projet'!$B$11,Paramètres!$A$1:$I$89,3,0)*0.475*44/12</f>
        <v>0.55568528759752389</v>
      </c>
      <c r="BS32" s="22">
        <f t="shared" si="9"/>
        <v>6.6153474099355529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10.5</v>
      </c>
      <c r="BY32" s="12">
        <f>IF('Données projet'!$A$114&gt;35,BY31+BX32-CG31,IF(A32&lt;'Données projet'!$A$114,$BV$205^A32,IF(A32='Données projet'!$A$114,'Données projet'!$B$114,BY31+BX32-CG31)))</f>
        <v>199.5</v>
      </c>
      <c r="BZ32" s="13">
        <f>BY32*VLOOKUP('Données projet'!$B$12,Paramètres!$A$1:$I$89,3,0)*VLOOKUP('Données projet'!$B$12,Paramètres!$A$1:$I$89,5,0)</f>
        <v>130.7124</v>
      </c>
      <c r="CA32" s="13">
        <f t="shared" si="39"/>
        <v>34.160921660966139</v>
      </c>
      <c r="CB32" s="20">
        <f t="shared" si="10"/>
        <v>287.15436855951606</v>
      </c>
      <c r="CC32" s="59">
        <f t="shared" si="11"/>
        <v>580.48770189284937</v>
      </c>
      <c r="CD32" s="59">
        <f ca="1">AVERAGE(OFFSET($CC$3,0,0,'Données projet'!$E$12+1,1))-AVERAGE(OFFSET($H$3,0,0,'Données projet'!$E$12+1,1))</f>
        <v>185.21927898775016</v>
      </c>
      <c r="CE32" s="59">
        <f t="shared" si="40"/>
        <v>240.82467772396944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0</v>
      </c>
      <c r="CL32" s="21">
        <f>EXP(-LN(2)/25)*CL31+(1-EXP(-LN(2)/25))/(LN(2)/25)*Calculateur!CG32*Calculateur!CI32*VLOOKUP('Données projet'!$B$12,Paramètres!$A$1:$I$89,3,0)*0.475*44/12</f>
        <v>1.0877217479360395</v>
      </c>
      <c r="CM32" s="21">
        <f>EXP(-LN(2)/2)*CM31+(1-EXP(-LN(2)/2))/(LN(2)/2)*CG32*CJ32*VLOOKUP('Données projet'!$B$12,Paramètres!$A$1:$I$89,3,0)*0.475*44/12</f>
        <v>0.12294354036398245</v>
      </c>
      <c r="CN32" s="22">
        <f t="shared" si="12"/>
        <v>1.210665288300022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26.675999999999991</v>
      </c>
      <c r="D33" s="11">
        <f t="shared" si="32"/>
        <v>8.388268495647786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270.67154628219339</v>
      </c>
      <c r="H33" s="67">
        <f t="shared" si="1"/>
        <v>354.40360096325321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331.86923076923074</v>
      </c>
      <c r="L33" s="12">
        <f>VLOOKUP(A33,'Données projet'!$A$35:$I$55,9,0)</f>
        <v>22.828205128205127</v>
      </c>
      <c r="M33" s="12">
        <f t="array" ref="M33">INDEX(L:L,MIN(IF(ISNUMBER(L33:L229),ROW(L33:L229),"")))</f>
        <v>22.828205128205127</v>
      </c>
      <c r="N33" s="13">
        <f>IF('Données projet'!$A$36&gt;35,N32+M33-V32,IF(A33&lt;'Données projet'!$A$36,$K$205^A33,IF(A33='Données projet'!$A$36,'Données projet'!$B$36,N32+M33-V32)))</f>
        <v>331.86923076923063</v>
      </c>
      <c r="O33" s="13">
        <f>N33*VLOOKUP('Données projet'!$B$9,Paramètres!$A$1:$I$89,3,0)*VLOOKUP('Données projet'!$B$9,Paramètres!$A$1:$I$89,5,0)</f>
        <v>185.5148999999999</v>
      </c>
      <c r="P33" s="13">
        <f t="shared" si="33"/>
        <v>46.546986497298995</v>
      </c>
      <c r="Q33" s="20">
        <f t="shared" si="2"/>
        <v>404.17445231612891</v>
      </c>
      <c r="R33" s="59">
        <f t="shared" si="0"/>
        <v>697.50778564946222</v>
      </c>
      <c r="S33" s="59">
        <f ca="1">AVERAGE(OFFSET($R$3,0,0,'Données projet'!$E$9+1,1))-AVERAGE(OFFSET($H$3,0,0,'Données projet'!$E$9+1,1))</f>
        <v>255.5374979188561</v>
      </c>
      <c r="T33" s="59">
        <f t="shared" si="34"/>
        <v>343.10418468620901</v>
      </c>
      <c r="U33" s="15">
        <f>IF(ISNA(VLOOKUP(A33,'Données projet'!$A$35:$I$55,3,0)),0,VLOOKUP(A33,'Données projet'!$A$35:$I$55,3,0))</f>
        <v>3</v>
      </c>
      <c r="V33" s="15">
        <f>IF(ISNA(VLOOKUP(A33,'Données projet'!$A$35:$I$55,4,0)),0,VLOOKUP(A33,'Données projet'!$A$35:$I$55,4,0))</f>
        <v>65.669230769230765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3.0900408465544178</v>
      </c>
      <c r="AA33" s="21">
        <f>EXP(-LN(2)/25)*AA32+(1-EXP(-LN(2)/25))/(LN(2)/25)*Calculateur!V33*Calculateur!X33*VLOOKUP('Données projet'!$B$9,Paramètres!$A$1:$I$89,3,0)*0.475*44/12</f>
        <v>15.960259130268007</v>
      </c>
      <c r="AB33" s="21">
        <f>EXP(-LN(2)/2)*AB32+(1-EXP(-LN(2)/2))/(LN(2)/2)*V33*Y33*VLOOKUP('Données projet'!$B$9,Paramètres!$A$1:$I$89,3,0)*0.475*44/12</f>
        <v>1.692652079454066</v>
      </c>
      <c r="AC33" s="22">
        <f t="shared" si="3"/>
        <v>20.74295205627649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263</v>
      </c>
      <c r="AG33" s="12">
        <f>VLOOKUP(A33,'Données projet'!$A$61:$I$81,9,0)</f>
        <v>16.5</v>
      </c>
      <c r="AH33" s="12">
        <f t="array" ref="AH33">INDEX(AG:AG,MIN(IF(ISNUMBER(AG33:AG229),ROW(AG33:AG229),"")))</f>
        <v>16.5</v>
      </c>
      <c r="AI33" s="13">
        <f>IF('Données projet'!$A$62&gt;35,AI32+AH33-AQ32,IF(A33&lt;'Données projet'!$A$62,$AF$205^A33,IF(A33='Données projet'!$A$62,'Données projet'!$B$62,AI32+AH33-AQ32)))</f>
        <v>263</v>
      </c>
      <c r="AJ33" s="13">
        <f>AI33*VLOOKUP('Données projet'!$B$10,Paramètres!$A$1:$I$89,3,0)*VLOOKUP('Données projet'!$B$10,Paramètres!$A$1:$I$89,5,0)</f>
        <v>164.11199999999999</v>
      </c>
      <c r="AK33" s="13">
        <f t="shared" si="35"/>
        <v>41.768614316008147</v>
      </c>
      <c r="AL33" s="20">
        <f t="shared" si="4"/>
        <v>358.57540326704753</v>
      </c>
      <c r="AM33" s="59">
        <f t="shared" si="5"/>
        <v>651.90873660038085</v>
      </c>
      <c r="AN33" s="59">
        <f ca="1">AVERAGE(OFFSET($AM$3,0,0,'Données projet'!$E$10+1,1))-AVERAGE(OFFSET($H$3,0,0,'Données projet'!$E$10+1,1))</f>
        <v>255.41017495879987</v>
      </c>
      <c r="AO33" s="59">
        <f t="shared" si="36"/>
        <v>297.50513563712764</v>
      </c>
      <c r="AP33" s="15">
        <f>IF(ISNA(VLOOKUP(A33,'Données projet'!$A$61:$I$81,3,0)),0,VLOOKUP(A33,'Données projet'!$A$61:$I$81,3,0))</f>
        <v>2</v>
      </c>
      <c r="AQ33" s="15">
        <f>IF(ISNA(VLOOKUP(A33,'Données projet'!$A$61:$I$81,4,0)),0,VLOOKUP(A33,'Données projet'!$A$61:$I$81,4,0))</f>
        <v>84</v>
      </c>
      <c r="AR33" s="16">
        <f>IF(ISNA(VLOOKUP(A33,'Données projet'!$A$61:$I$81,5,0)),0%,VLOOKUP(A33,'Données projet'!$A$61:$I$81,5,0)*VLOOKUP('Données projet'!$B$10,Paramètres!$A$1:$I$89,7,0))</f>
        <v>0.12</v>
      </c>
      <c r="AS33" s="16">
        <f>IF(ISNA(VLOOKUP(A33,'Données projet'!$A$61:$I$81,6,0)),0%,VLOOKUP(A33,'Données projet'!$A$61:$I$81,6,0)*VLOOKUP('Données projet'!$B$10,Paramètres!$A$1:$I$89,7,0))</f>
        <v>0.24</v>
      </c>
      <c r="AT33" s="16">
        <f>IF(ISNA(VLOOKUP(A33,'Données projet'!$A$61:$I$81,7,0)),0%,VLOOKUP(A33,'Données projet'!$A$61:$I$81,7,0))</f>
        <v>0.4</v>
      </c>
      <c r="AU33" s="21">
        <f>EXP(-LN(2)/35)*AU32+(1-EXP(-LN(2)/35))/(LN(2)/35)*AQ33*AR33*VLOOKUP('Données projet'!$B$10,Paramètres!$A$1:$I$89,3,0)*0.475*44/12</f>
        <v>8.3439842995582705</v>
      </c>
      <c r="AV33" s="21">
        <f>EXP(-LN(2)/25)*AV32+(1-EXP(-LN(2)/25))/(LN(2)/25)*Calculateur!AQ33*Calculateur!AS33*VLOOKUP('Données projet'!$B$10,Paramètres!$A$1:$I$89,3,0)*0.475*44/12</f>
        <v>27.869867709859399</v>
      </c>
      <c r="AW33" s="21">
        <f>EXP(-LN(2)/2)*AW32+(1-EXP(-LN(2)/2))/(LN(2)/2)*AQ33*AT33*VLOOKUP('Données projet'!$B$10,Paramètres!$A$1:$I$89,3,0)*0.475*44/12</f>
        <v>24.401191136911876</v>
      </c>
      <c r="AX33" s="21">
        <f t="shared" si="6"/>
        <v>60.615043146329548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212</v>
      </c>
      <c r="BB33" s="12">
        <f>VLOOKUP(A33,'Données projet'!$A$87:$I$107,9,0)</f>
        <v>14.5</v>
      </c>
      <c r="BC33" s="12">
        <f t="array" ref="BC33">INDEX(BB:BB,MIN(IF(ISNUMBER(BB33:BB229),ROW(BB33:BB229),"")))</f>
        <v>14.5</v>
      </c>
      <c r="BD33" s="12">
        <f>IF('Données projet'!$A$88&gt;35,BD32+BC33-BL32,IF(A33&lt;'Données projet'!$A$88,$BA$205^A33,IF(A33='Données projet'!$A$88,'Données projet'!$B$88,BD32+BC33-BL32)))</f>
        <v>212</v>
      </c>
      <c r="BE33" s="13">
        <f>BD33*VLOOKUP('Données projet'!$B$11,Paramètres!$A$1:$I$89,3,0)*VLOOKUP('Données projet'!$B$11,Paramètres!$A$1:$I$89,5,0)</f>
        <v>168.66720000000001</v>
      </c>
      <c r="BF33" s="13">
        <f t="shared" si="37"/>
        <v>42.791384119459089</v>
      </c>
      <c r="BG33" s="20">
        <f t="shared" si="7"/>
        <v>368.29036734139123</v>
      </c>
      <c r="BH33" s="59">
        <f t="shared" si="8"/>
        <v>661.62370067472455</v>
      </c>
      <c r="BI33" s="59">
        <f ca="1">AVERAGE(OFFSET($BH$3,0,0,'Données projet'!$E$11+1,1))-AVERAGE(OFFSET($H$3,0,0,'Données projet'!$E$11+1,1))</f>
        <v>260.20517190557814</v>
      </c>
      <c r="BJ33" s="59">
        <f t="shared" si="38"/>
        <v>307.22009971147133</v>
      </c>
      <c r="BK33" s="15">
        <f>IF(ISNA(VLOOKUP(A33,'Données projet'!$A$87:$I$107,3,0)),0,VLOOKUP(A33,'Données projet'!$A$87:$I$107,3,0))</f>
        <v>2</v>
      </c>
      <c r="BL33" s="15">
        <f>IF(ISNA(VLOOKUP(A33,'Données projet'!$A$87:$I$107,4,0)),0,VLOOKUP(A33,'Données projet'!$A$87:$I$107,4,0))</f>
        <v>70</v>
      </c>
      <c r="BM33" s="16">
        <f>IF(ISNA(VLOOKUP(A33,'Données projet'!$A$87:$I$107,5,0)),0%,VLOOKUP(A33,'Données projet'!$A$87:$I$107,5,0)*VLOOKUP('Données projet'!$B$11,Paramètres!$A$1:$I$89,7,0))</f>
        <v>5.3000000000000005E-2</v>
      </c>
      <c r="BN33" s="16">
        <f>IF(ISNA(VLOOKUP(A33,'Données projet'!$A$87:$I$107,6,0)),0%,VLOOKUP(A33,'Données projet'!$A$87:$I$107,6,0)*VLOOKUP('Données projet'!$B$11,Paramètres!$A$1:$I$89,7,0))</f>
        <v>0.23850000000000002</v>
      </c>
      <c r="BO33" s="16">
        <f>IF(ISNA(VLOOKUP(A33,'Données projet'!$A$87:$I$107,7,0)),0%,VLOOKUP(A33,'Données projet'!$A$87:$I$107,7,0))</f>
        <v>0.45</v>
      </c>
      <c r="BP33" s="21">
        <f>EXP(-LN(2)/35)*BP32+(1-EXP(-LN(2)/35))/(LN(2)/35)*BL33*BM33*VLOOKUP('Données projet'!$B$11,Paramètres!$A$1:$I$89,3,0)*0.475*44/12</f>
        <v>3.2629903879783009</v>
      </c>
      <c r="BQ33" s="21">
        <f>EXP(-LN(2)/25)*BQ32+(1-EXP(-LN(2)/25))/(LN(2)/25)*Calculateur!BL33*Calculateur!BN33*VLOOKUP('Données projet'!$B$11,Paramètres!$A$1:$I$89,3,0)*0.475*44/12</f>
        <v>20.519602724797</v>
      </c>
      <c r="BR33" s="21">
        <f>EXP(-LN(2)/2)*BR32+(1-EXP(-LN(2)/2))/(LN(2)/2)*BL33*BO33*VLOOKUP('Données projet'!$B$11,Paramètres!$A$1:$I$89,3,0)*0.475*44/12</f>
        <v>24.039034252757283</v>
      </c>
      <c r="BS33" s="22">
        <f t="shared" si="9"/>
        <v>47.821627365532585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>
        <f>VLOOKUP(A33,'Données projet'!$A$113:$I$133,2,0)</f>
        <v>210</v>
      </c>
      <c r="BW33" s="12">
        <f>VLOOKUP(A33,'Données projet'!$A$113:$I$133,9,0)</f>
        <v>10.5</v>
      </c>
      <c r="BX33" s="12">
        <f t="array" ref="BX33">INDEX(BW:BW,MIN(IF(ISNUMBER(BW33:BW229),ROW(BW33:BW229),"")))</f>
        <v>10.5</v>
      </c>
      <c r="BY33" s="12">
        <f>IF('Données projet'!$A$114&gt;35,BY32+BX33-CG32,IF(A33&lt;'Données projet'!$A$114,$BV$205^A33,IF(A33='Données projet'!$A$114,'Données projet'!$B$114,BY32+BX33-CG32)))</f>
        <v>210</v>
      </c>
      <c r="BZ33" s="13">
        <f>BY33*VLOOKUP('Données projet'!$B$12,Paramètres!$A$1:$I$89,3,0)*VLOOKUP('Données projet'!$B$12,Paramètres!$A$1:$I$89,5,0)</f>
        <v>137.59200000000001</v>
      </c>
      <c r="CA33" s="13">
        <f t="shared" si="39"/>
        <v>35.744810729505801</v>
      </c>
      <c r="CB33" s="20">
        <f t="shared" si="10"/>
        <v>301.89494535388934</v>
      </c>
      <c r="CC33" s="59">
        <f t="shared" si="11"/>
        <v>595.22827868722266</v>
      </c>
      <c r="CD33" s="59">
        <f ca="1">AVERAGE(OFFSET($CC$3,0,0,'Données projet'!$E$12+1,1))-AVERAGE(OFFSET($H$3,0,0,'Données projet'!$E$12+1,1))</f>
        <v>185.21927898775016</v>
      </c>
      <c r="CE33" s="59">
        <f t="shared" si="40"/>
        <v>240.82467772396944</v>
      </c>
      <c r="CF33" s="15">
        <f>IF(ISNA(VLOOKUP(A33,'Données projet'!$A$113:$I$133,3,0)),0,VLOOKUP(A33,'Données projet'!$A$113:$I$133,3,0))</f>
        <v>2</v>
      </c>
      <c r="CG33" s="15">
        <f>IF(ISNA(VLOOKUP(A33,'Données projet'!$A$113:$I$133,4,0)),0,VLOOKUP(A33,'Données projet'!$A$113:$I$133,4,0))</f>
        <v>50</v>
      </c>
      <c r="CH33" s="16">
        <f>IF(ISNA(VLOOKUP(A33,'Données projet'!$A$113:$I$133,5,0)),0%,VLOOKUP(A33,'Données projet'!$A$113:$I$133,5,0)*VLOOKUP('Données projet'!$B$12,Paramètres!$A$1:$I$89,7,0))</f>
        <v>4.3000000000000003E-2</v>
      </c>
      <c r="CI33" s="16">
        <f>IF(ISNA(VLOOKUP(A33,'Données projet'!$A$113:$I$133,6,0)),0%,VLOOKUP(A33,'Données projet'!$A$113:$I$133,6,0)*VLOOKUP('Données projet'!$B$12,Paramètres!$A$1:$I$89,7,0))</f>
        <v>0.19350000000000001</v>
      </c>
      <c r="CJ33" s="16">
        <f>IF(ISNA(VLOOKUP(A33,'Données projet'!$A$113:$I$133,7,0)),0%,VLOOKUP(A33,'Données projet'!$A$113:$I$133,7,0))</f>
        <v>0.45</v>
      </c>
      <c r="CK33" s="21">
        <f>EXP(-LN(2)/35)*CK32+(1-EXP(-LN(2)/35))/(LN(2)/35)*CG33*CH33*VLOOKUP('Données projet'!$B$12,Paramètres!$A$1:$I$89,3,0)*0.475*44/12</f>
        <v>1.5572540142404765</v>
      </c>
      <c r="CL33" s="21">
        <f>EXP(-LN(2)/25)*CL32+(1-EXP(-LN(2)/25))/(LN(2)/25)*Calculateur!CG33*Calculateur!CI33*VLOOKUP('Données projet'!$B$12,Paramètres!$A$1:$I$89,3,0)*0.475*44/12</f>
        <v>8.0380292427554387</v>
      </c>
      <c r="CM33" s="21">
        <f>EXP(-LN(2)/2)*CM32+(1-EXP(-LN(2)/2))/(LN(2)/2)*CG33*CJ33*VLOOKUP('Données projet'!$B$12,Paramètres!$A$1:$I$89,3,0)*0.475*44/12</f>
        <v>13.996407986207085</v>
      </c>
      <c r="CN33" s="22">
        <f t="shared" si="12"/>
        <v>23.591691243203002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27.56519999999999</v>
      </c>
      <c r="D34" s="11">
        <f t="shared" si="32"/>
        <v>8.6348575052881742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279.43904039169814</v>
      </c>
      <c r="H34" s="67">
        <f t="shared" si="1"/>
        <v>356.38176682171019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22.884615384615376</v>
      </c>
      <c r="N34" s="13">
        <f>IF('Données projet'!$A$36&gt;35,N33+M34-V33,IF(A34&lt;'Données projet'!$A$36,$K$205^A34,IF(A34='Données projet'!$A$36,'Données projet'!$B$36,N33+M34-V33)))</f>
        <v>289.08461538461523</v>
      </c>
      <c r="O34" s="13">
        <f>N34*VLOOKUP('Données projet'!$B$9,Paramètres!$A$1:$I$89,3,0)*VLOOKUP('Données projet'!$B$9,Paramètres!$A$1:$I$89,5,0)</f>
        <v>161.59829999999991</v>
      </c>
      <c r="P34" s="13">
        <f t="shared" si="33"/>
        <v>41.202807619439696</v>
      </c>
      <c r="Q34" s="20">
        <f t="shared" si="2"/>
        <v>353.2119291038573</v>
      </c>
      <c r="R34" s="59">
        <f t="shared" si="0"/>
        <v>646.54526243719056</v>
      </c>
      <c r="S34" s="59">
        <f ca="1">AVERAGE(OFFSET($R$3,0,0,'Données projet'!$E$9+1,1))-AVERAGE(OFFSET($H$3,0,0,'Données projet'!$E$9+1,1))</f>
        <v>255.5374979188561</v>
      </c>
      <c r="T34" s="59">
        <f t="shared" si="34"/>
        <v>343.10418468620901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3.0294470302922996</v>
      </c>
      <c r="AA34" s="21">
        <f>EXP(-LN(2)/25)*AA33+(1-EXP(-LN(2)/25))/(LN(2)/25)*Calculateur!V34*Calculateur!X34*VLOOKUP('Données projet'!$B$9,Paramètres!$A$1:$I$89,3,0)*0.475*44/12</f>
        <v>15.523825005037278</v>
      </c>
      <c r="AB34" s="21">
        <f>EXP(-LN(2)/2)*AB33+(1-EXP(-LN(2)/2))/(LN(2)/2)*V34*Y34*VLOOKUP('Données projet'!$B$9,Paramètres!$A$1:$I$89,3,0)*0.475*44/12</f>
        <v>1.1968857635714809</v>
      </c>
      <c r="AC34" s="22">
        <f t="shared" si="3"/>
        <v>19.750157798901057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15.1</v>
      </c>
      <c r="AI34" s="13">
        <f>IF('Données projet'!$A$62&gt;35,AI33+AH34-AQ33,IF(A34&lt;'Données projet'!$A$62,$AF$205^A34,IF(A34='Données projet'!$A$62,'Données projet'!$B$62,AI33+AH34-AQ33)))</f>
        <v>194.10000000000002</v>
      </c>
      <c r="AJ34" s="13">
        <f>AI34*VLOOKUP('Données projet'!$B$10,Paramètres!$A$1:$I$89,3,0)*VLOOKUP('Données projet'!$B$10,Paramètres!$A$1:$I$89,5,0)</f>
        <v>121.11840000000001</v>
      </c>
      <c r="AK34" s="13">
        <f t="shared" si="35"/>
        <v>31.935706725782151</v>
      </c>
      <c r="AL34" s="20">
        <f t="shared" si="4"/>
        <v>266.56923588073727</v>
      </c>
      <c r="AM34" s="59">
        <f t="shared" si="5"/>
        <v>559.90256921407058</v>
      </c>
      <c r="AN34" s="59">
        <f ca="1">AVERAGE(OFFSET($AM$3,0,0,'Données projet'!$E$10+1,1))-AVERAGE(OFFSET($H$3,0,0,'Données projet'!$E$10+1,1))</f>
        <v>255.41017495879987</v>
      </c>
      <c r="AO34" s="59">
        <f t="shared" si="36"/>
        <v>297.50513563712764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8.1803638567718266</v>
      </c>
      <c r="AV34" s="21">
        <f>EXP(-LN(2)/25)*AV33+(1-EXP(-LN(2)/25))/(LN(2)/25)*Calculateur!AQ34*Calculateur!AS34*VLOOKUP('Données projet'!$B$10,Paramètres!$A$1:$I$89,3,0)*0.475*44/12</f>
        <v>27.107764711720648</v>
      </c>
      <c r="AW34" s="21">
        <f>EXP(-LN(2)/2)*AW33+(1-EXP(-LN(2)/2))/(LN(2)/2)*AQ34*AT34*VLOOKUP('Données projet'!$B$10,Paramètres!$A$1:$I$89,3,0)*0.475*44/12</f>
        <v>17.254247721939471</v>
      </c>
      <c r="AX34" s="21">
        <f t="shared" si="6"/>
        <v>52.542376290431946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12.1</v>
      </c>
      <c r="BD34" s="12">
        <f>IF('Données projet'!$A$88&gt;35,BD33+BC34-BL33,IF(A34&lt;'Données projet'!$A$88,$BA$205^A34,IF(A34='Données projet'!$A$88,'Données projet'!$B$88,BD33+BC34-BL33)))</f>
        <v>154.1</v>
      </c>
      <c r="BE34" s="13">
        <f>BD34*VLOOKUP('Données projet'!$B$11,Paramètres!$A$1:$I$89,3,0)*VLOOKUP('Données projet'!$B$11,Paramètres!$A$1:$I$89,5,0)</f>
        <v>122.60195999999999</v>
      </c>
      <c r="BF34" s="13">
        <f t="shared" si="37"/>
        <v>32.281104011674643</v>
      </c>
      <c r="BG34" s="20">
        <f t="shared" si="7"/>
        <v>269.75466982033333</v>
      </c>
      <c r="BH34" s="59">
        <f t="shared" si="8"/>
        <v>563.0880031536667</v>
      </c>
      <c r="BI34" s="59">
        <f ca="1">AVERAGE(OFFSET($BH$3,0,0,'Données projet'!$E$11+1,1))-AVERAGE(OFFSET($H$3,0,0,'Données projet'!$E$11+1,1))</f>
        <v>260.20517190557814</v>
      </c>
      <c r="BJ34" s="59">
        <f t="shared" si="38"/>
        <v>307.22009971147133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3.1990051366976644</v>
      </c>
      <c r="BQ34" s="21">
        <f>EXP(-LN(2)/25)*BQ33+(1-EXP(-LN(2)/25))/(LN(2)/25)*Calculateur!BL34*Calculateur!BN34*VLOOKUP('Données projet'!$B$11,Paramètres!$A$1:$I$89,3,0)*0.475*44/12</f>
        <v>19.958493109208415</v>
      </c>
      <c r="BR34" s="21">
        <f>EXP(-LN(2)/2)*BR33+(1-EXP(-LN(2)/2))/(LN(2)/2)*BL34*BO34*VLOOKUP('Données projet'!$B$11,Paramètres!$A$1:$I$89,3,0)*0.475*44/12</f>
        <v>16.998164133300367</v>
      </c>
      <c r="BS34" s="22">
        <f t="shared" si="9"/>
        <v>40.155662379206447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9.1999999999999993</v>
      </c>
      <c r="BY34" s="12">
        <f>IF('Données projet'!$A$114&gt;35,BY33+BX34-CG33,IF(A34&lt;'Données projet'!$A$114,$BV$205^A34,IF(A34='Données projet'!$A$114,'Données projet'!$B$114,BY33+BX34-CG33)))</f>
        <v>169.2</v>
      </c>
      <c r="BZ34" s="13">
        <f>BY34*VLOOKUP('Données projet'!$B$12,Paramètres!$A$1:$I$89,3,0)*VLOOKUP('Données projet'!$B$12,Paramètres!$A$1:$I$89,5,0)</f>
        <v>110.85983999999999</v>
      </c>
      <c r="CA34" s="13">
        <f t="shared" si="39"/>
        <v>29.533477687335427</v>
      </c>
      <c r="CB34" s="20">
        <f t="shared" si="10"/>
        <v>244.51836163877581</v>
      </c>
      <c r="CC34" s="59">
        <f t="shared" si="11"/>
        <v>537.85169497210916</v>
      </c>
      <c r="CD34" s="59">
        <f ca="1">AVERAGE(OFFSET($CC$3,0,0,'Données projet'!$E$12+1,1))-AVERAGE(OFFSET($H$3,0,0,'Données projet'!$E$12+1,1))</f>
        <v>185.21927898775016</v>
      </c>
      <c r="CE34" s="59">
        <f t="shared" si="40"/>
        <v>240.82467772396944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1.5267172128523814</v>
      </c>
      <c r="CL34" s="21">
        <f>EXP(-LN(2)/25)*CL33+(1-EXP(-LN(2)/25))/(LN(2)/25)*Calculateur!CG34*Calculateur!CI34*VLOOKUP('Données projet'!$B$12,Paramètres!$A$1:$I$89,3,0)*0.475*44/12</f>
        <v>7.8182289104107046</v>
      </c>
      <c r="CM34" s="21">
        <f>EXP(-LN(2)/2)*CM33+(1-EXP(-LN(2)/2))/(LN(2)/2)*CG34*CJ34*VLOOKUP('Données projet'!$B$12,Paramètres!$A$1:$I$89,3,0)*0.475*44/12</f>
        <v>9.896954999300581</v>
      </c>
      <c r="CN34" s="22">
        <f t="shared" si="12"/>
        <v>19.241901122563668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28.454399999999989</v>
      </c>
      <c r="D35" s="11">
        <f t="shared" si="32"/>
        <v>8.8805221797401579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288.19939928220469</v>
      </c>
      <c r="H35" s="67">
        <f t="shared" si="1"/>
        <v>358.35832279638072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22.884615384615376</v>
      </c>
      <c r="N35" s="13">
        <f>IF('Données projet'!$A$36&gt;35,N34+M35-V34,IF(A35&lt;'Données projet'!$A$36,$K$205^A35,IF(A35='Données projet'!$A$36,'Données projet'!$B$36,N34+M35-V34)))</f>
        <v>311.96923076923059</v>
      </c>
      <c r="O35" s="13">
        <f>N35*VLOOKUP('Données projet'!$B$9,Paramètres!$A$1:$I$89,3,0)*VLOOKUP('Données projet'!$B$9,Paramètres!$A$1:$I$89,5,0)</f>
        <v>174.39079999999993</v>
      </c>
      <c r="P35" s="13">
        <f t="shared" si="33"/>
        <v>44.071952499783528</v>
      </c>
      <c r="Q35" s="20">
        <f t="shared" ref="Q35:Q66" si="53">(O35+P35)*0.475*44/12</f>
        <v>380.4892939371228</v>
      </c>
      <c r="R35" s="59">
        <f t="shared" si="0"/>
        <v>673.82262727045611</v>
      </c>
      <c r="S35" s="59">
        <f ca="1">AVERAGE(OFFSET($R$3,0,0,'Données projet'!$E$9+1,1))-AVERAGE(OFFSET($H$3,0,0,'Données projet'!$E$9+1,1))</f>
        <v>255.5374979188561</v>
      </c>
      <c r="T35" s="59">
        <f t="shared" si="34"/>
        <v>343.10418468620901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2.9700414218085029</v>
      </c>
      <c r="AA35" s="21">
        <f>EXP(-LN(2)/25)*AA34+(1-EXP(-LN(2)/25))/(LN(2)/25)*Calculateur!V35*Calculateur!X35*VLOOKUP('Données projet'!$B$9,Paramètres!$A$1:$I$89,3,0)*0.475*44/12</f>
        <v>15.099325193912057</v>
      </c>
      <c r="AB35" s="21">
        <f>EXP(-LN(2)/2)*AB34+(1-EXP(-LN(2)/2))/(LN(2)/2)*V35*Y35*VLOOKUP('Données projet'!$B$9,Paramètres!$A$1:$I$89,3,0)*0.475*44/12</f>
        <v>0.84632603972703302</v>
      </c>
      <c r="AC35" s="22">
        <f t="shared" si="3"/>
        <v>18.915692655447593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15.1</v>
      </c>
      <c r="AI35" s="13">
        <f>IF('Données projet'!$A$62&gt;35,AI34+AH35-AQ34,IF(A35&lt;'Données projet'!$A$62,$AF$205^A35,IF(A35='Données projet'!$A$62,'Données projet'!$B$62,AI34+AH35-AQ34)))</f>
        <v>209.20000000000002</v>
      </c>
      <c r="AJ35" s="13">
        <f>AI35*VLOOKUP('Données projet'!$B$10,Paramètres!$A$1:$I$89,3,0)*VLOOKUP('Données projet'!$B$10,Paramètres!$A$1:$I$89,5,0)</f>
        <v>130.54080000000002</v>
      </c>
      <c r="AK35" s="13">
        <f t="shared" si="35"/>
        <v>34.121292125762963</v>
      </c>
      <c r="AL35" s="20">
        <f t="shared" si="4"/>
        <v>286.78647711903716</v>
      </c>
      <c r="AM35" s="59">
        <f t="shared" si="5"/>
        <v>580.11981045237053</v>
      </c>
      <c r="AN35" s="59">
        <f ca="1">AVERAGE(OFFSET($AM$3,0,0,'Données projet'!$E$10+1,1))-AVERAGE(OFFSET($H$3,0,0,'Données projet'!$E$10+1,1))</f>
        <v>255.41017495879987</v>
      </c>
      <c r="AO35" s="59">
        <f t="shared" si="36"/>
        <v>297.50513563712764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8.0199519110698088</v>
      </c>
      <c r="AV35" s="21">
        <f>EXP(-LN(2)/25)*AV34+(1-EXP(-LN(2)/25))/(LN(2)/25)*Calculateur!AQ35*Calculateur!AS35*VLOOKUP('Données projet'!$B$10,Paramètres!$A$1:$I$89,3,0)*0.475*44/12</f>
        <v>26.366501460143258</v>
      </c>
      <c r="AW35" s="21">
        <f>EXP(-LN(2)/2)*AW34+(1-EXP(-LN(2)/2))/(LN(2)/2)*AQ35*AT35*VLOOKUP('Données projet'!$B$10,Paramètres!$A$1:$I$89,3,0)*0.475*44/12</f>
        <v>12.20059556845594</v>
      </c>
      <c r="AX35" s="21">
        <f t="shared" si="6"/>
        <v>46.587048939669003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12.1</v>
      </c>
      <c r="BD35" s="12">
        <f>IF('Données projet'!$A$88&gt;35,BD34+BC35-BL34,IF(A35&lt;'Données projet'!$A$88,$BA$205^A35,IF(A35='Données projet'!$A$88,'Données projet'!$B$88,BD34+BC35-BL34)))</f>
        <v>166.2</v>
      </c>
      <c r="BE35" s="13">
        <f>BD35*VLOOKUP('Données projet'!$B$11,Paramètres!$A$1:$I$89,3,0)*VLOOKUP('Données projet'!$B$11,Paramètres!$A$1:$I$89,5,0)</f>
        <v>132.22872000000001</v>
      </c>
      <c r="BF35" s="13">
        <f t="shared" si="37"/>
        <v>34.510840487492601</v>
      </c>
      <c r="BG35" s="20">
        <f t="shared" si="7"/>
        <v>290.40473451571626</v>
      </c>
      <c r="BH35" s="59">
        <f t="shared" si="8"/>
        <v>583.73806784904957</v>
      </c>
      <c r="BI35" s="59">
        <f ca="1">AVERAGE(OFFSET($BH$3,0,0,'Données projet'!$E$11+1,1))-AVERAGE(OFFSET($H$3,0,0,'Données projet'!$E$11+1,1))</f>
        <v>260.20517190557814</v>
      </c>
      <c r="BJ35" s="59">
        <f t="shared" si="38"/>
        <v>307.22009971147133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3.1362745971674917</v>
      </c>
      <c r="BQ35" s="21">
        <f>EXP(-LN(2)/25)*BQ34+(1-EXP(-LN(2)/25))/(LN(2)/25)*Calculateur!BL35*Calculateur!BN35*VLOOKUP('Données projet'!$B$11,Paramètres!$A$1:$I$89,3,0)*0.475*44/12</f>
        <v>19.412727065565573</v>
      </c>
      <c r="BR35" s="21">
        <f>EXP(-LN(2)/2)*BR34+(1-EXP(-LN(2)/2))/(LN(2)/2)*BL35*BO35*VLOOKUP('Données projet'!$B$11,Paramètres!$A$1:$I$89,3,0)*0.475*44/12</f>
        <v>12.019517126378643</v>
      </c>
      <c r="BS35" s="22">
        <f t="shared" si="9"/>
        <v>34.568518789111707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9.1999999999999993</v>
      </c>
      <c r="BY35" s="12">
        <f>IF('Données projet'!$A$114&gt;35,BY34+BX35-CG34,IF(A35&lt;'Données projet'!$A$114,$BV$205^A35,IF(A35='Données projet'!$A$114,'Données projet'!$B$114,BY34+BX35-CG34)))</f>
        <v>178.39999999999998</v>
      </c>
      <c r="BZ35" s="13">
        <f>BY35*VLOOKUP('Données projet'!$B$12,Paramètres!$A$1:$I$89,3,0)*VLOOKUP('Données projet'!$B$12,Paramètres!$A$1:$I$89,5,0)</f>
        <v>116.88767999999997</v>
      </c>
      <c r="CA35" s="13">
        <f t="shared" si="39"/>
        <v>30.947995316838725</v>
      </c>
      <c r="CB35" s="20">
        <f t="shared" si="10"/>
        <v>257.48046784349401</v>
      </c>
      <c r="CC35" s="59">
        <f t="shared" si="11"/>
        <v>550.81380117682738</v>
      </c>
      <c r="CD35" s="59">
        <f ca="1">AVERAGE(OFFSET($CC$3,0,0,'Données projet'!$E$12+1,1))-AVERAGE(OFFSET($H$3,0,0,'Données projet'!$E$12+1,1))</f>
        <v>185.21927898775016</v>
      </c>
      <c r="CE35" s="59">
        <f t="shared" si="40"/>
        <v>240.82467772396944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1.4967792195138971</v>
      </c>
      <c r="CL35" s="21">
        <f>EXP(-LN(2)/25)*CL34+(1-EXP(-LN(2)/25))/(LN(2)/25)*Calculateur!CG35*Calculateur!CI35*VLOOKUP('Données projet'!$B$12,Paramètres!$A$1:$I$89,3,0)*0.475*44/12</f>
        <v>7.6044390297127347</v>
      </c>
      <c r="CM35" s="21">
        <f>EXP(-LN(2)/2)*CM34+(1-EXP(-LN(2)/2))/(LN(2)/2)*CG35*CJ35*VLOOKUP('Données projet'!$B$12,Paramètres!$A$1:$I$89,3,0)*0.475*44/12</f>
        <v>6.9982039931035436</v>
      </c>
      <c r="CN35" s="22">
        <f t="shared" si="12"/>
        <v>16.099422242330174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29.343599999999988</v>
      </c>
      <c r="D36" s="11">
        <f t="shared" si="32"/>
        <v>9.1252947188023139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296.95287151356166</v>
      </c>
      <c r="H36" s="67">
        <f t="shared" si="1"/>
        <v>360.33332496858065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22.884615384615376</v>
      </c>
      <c r="N36" s="13">
        <f>IF('Données projet'!$A$36&gt;35,N35+M36-V35,IF(A36&lt;'Données projet'!$A$36,$K$205^A36,IF(A36='Données projet'!$A$36,'Données projet'!$B$36,N35+M36-V35)))</f>
        <v>334.85384615384595</v>
      </c>
      <c r="O36" s="13">
        <f>N36*VLOOKUP('Données projet'!$B$9,Paramètres!$A$1:$I$89,3,0)*VLOOKUP('Données projet'!$B$9,Paramètres!$A$1:$I$89,5,0)</f>
        <v>187.18329999999989</v>
      </c>
      <c r="P36" s="13">
        <f t="shared" si="33"/>
        <v>46.91668019244311</v>
      </c>
      <c r="Q36" s="20">
        <f t="shared" si="53"/>
        <v>407.72413216850492</v>
      </c>
      <c r="R36" s="59">
        <f t="shared" si="0"/>
        <v>701.05746550183824</v>
      </c>
      <c r="S36" s="59">
        <f ca="1">AVERAGE(OFFSET($R$3,0,0,'Données projet'!$E$9+1,1))-AVERAGE(OFFSET($H$3,0,0,'Données projet'!$E$9+1,1))</f>
        <v>255.5374979188561</v>
      </c>
      <c r="T36" s="59">
        <f t="shared" si="34"/>
        <v>343.10418468620901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2.91180072107323</v>
      </c>
      <c r="AA36" s="21">
        <f>EXP(-LN(2)/25)*AA35+(1-EXP(-LN(2)/25))/(LN(2)/25)*Calculateur!V36*Calculateur!X36*VLOOKUP('Données projet'!$B$9,Paramètres!$A$1:$I$89,3,0)*0.475*44/12</f>
        <v>14.68643335244553</v>
      </c>
      <c r="AB36" s="21">
        <f>EXP(-LN(2)/2)*AB35+(1-EXP(-LN(2)/2))/(LN(2)/2)*V36*Y36*VLOOKUP('Données projet'!$B$9,Paramètres!$A$1:$I$89,3,0)*0.475*44/12</f>
        <v>0.59844288178574045</v>
      </c>
      <c r="AC36" s="22">
        <f t="shared" si="3"/>
        <v>18.1966769553045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15.1</v>
      </c>
      <c r="AI36" s="13">
        <f>IF('Données projet'!$A$62&gt;35,AI35+AH36-AQ35,IF(A36&lt;'Données projet'!$A$62,$AF$205^A36,IF(A36='Données projet'!$A$62,'Données projet'!$B$62,AI35+AH36-AQ35)))</f>
        <v>224.3</v>
      </c>
      <c r="AJ36" s="13">
        <f>AI36*VLOOKUP('Données projet'!$B$10,Paramètres!$A$1:$I$89,3,0)*VLOOKUP('Données projet'!$B$10,Paramètres!$A$1:$I$89,5,0)</f>
        <v>139.9632</v>
      </c>
      <c r="AK36" s="13">
        <f t="shared" si="35"/>
        <v>36.288575002787859</v>
      </c>
      <c r="AL36" s="20">
        <f t="shared" si="4"/>
        <v>306.97184146318881</v>
      </c>
      <c r="AM36" s="59">
        <f t="shared" si="5"/>
        <v>600.30517479652212</v>
      </c>
      <c r="AN36" s="59">
        <f ca="1">AVERAGE(OFFSET($AM$3,0,0,'Données projet'!$E$10+1,1))-AVERAGE(OFFSET($H$3,0,0,'Données projet'!$E$10+1,1))</f>
        <v>255.41017495879987</v>
      </c>
      <c r="AO36" s="59">
        <f t="shared" si="36"/>
        <v>297.50513563712764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7.8626855457813818</v>
      </c>
      <c r="AV36" s="21">
        <f>EXP(-LN(2)/25)*AV35+(1-EXP(-LN(2)/25))/(LN(2)/25)*Calculateur!AQ36*Calculateur!AS36*VLOOKUP('Données projet'!$B$10,Paramètres!$A$1:$I$89,3,0)*0.475*44/12</f>
        <v>25.645508091161592</v>
      </c>
      <c r="AW36" s="21">
        <f>EXP(-LN(2)/2)*AW35+(1-EXP(-LN(2)/2))/(LN(2)/2)*AQ36*AT36*VLOOKUP('Données projet'!$B$10,Paramètres!$A$1:$I$89,3,0)*0.475*44/12</f>
        <v>8.6271238609697356</v>
      </c>
      <c r="AX36" s="21">
        <f t="shared" si="6"/>
        <v>42.135317497912709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12.1</v>
      </c>
      <c r="BD36" s="12">
        <f>IF('Données projet'!$A$88&gt;35,BD35+BC36-BL35,IF(A36&lt;'Données projet'!$A$88,$BA$205^A36,IF(A36='Données projet'!$A$88,'Données projet'!$B$88,BD35+BC36-BL35)))</f>
        <v>178.29999999999998</v>
      </c>
      <c r="BE36" s="13">
        <f>BD36*VLOOKUP('Données projet'!$B$11,Paramètres!$A$1:$I$89,3,0)*VLOOKUP('Données projet'!$B$11,Paramètres!$A$1:$I$89,5,0)</f>
        <v>141.85548</v>
      </c>
      <c r="BF36" s="13">
        <f t="shared" si="37"/>
        <v>36.721743640099248</v>
      </c>
      <c r="BG36" s="20">
        <f t="shared" si="7"/>
        <v>311.02199783983951</v>
      </c>
      <c r="BH36" s="59">
        <f t="shared" si="8"/>
        <v>604.35533117317277</v>
      </c>
      <c r="BI36" s="59">
        <f ca="1">AVERAGE(OFFSET($BH$3,0,0,'Données projet'!$E$11+1,1))-AVERAGE(OFFSET($H$3,0,0,'Données projet'!$E$11+1,1))</f>
        <v>260.20517190557814</v>
      </c>
      <c r="BJ36" s="59">
        <f t="shared" si="38"/>
        <v>307.22009971147133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3.0747741652556546</v>
      </c>
      <c r="BQ36" s="21">
        <f>EXP(-LN(2)/25)*BQ35+(1-EXP(-LN(2)/25))/(LN(2)/25)*Calculateur!BL36*Calculateur!BN36*VLOOKUP('Données projet'!$B$11,Paramètres!$A$1:$I$89,3,0)*0.475*44/12</f>
        <v>18.881885023086735</v>
      </c>
      <c r="BR36" s="21">
        <f>EXP(-LN(2)/2)*BR35+(1-EXP(-LN(2)/2))/(LN(2)/2)*BL36*BO36*VLOOKUP('Données projet'!$B$11,Paramètres!$A$1:$I$89,3,0)*0.475*44/12</f>
        <v>8.4990820666501836</v>
      </c>
      <c r="BS36" s="22">
        <f t="shared" si="9"/>
        <v>30.455741254992574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9.1999999999999993</v>
      </c>
      <c r="BY36" s="12">
        <f>IF('Données projet'!$A$114&gt;35,BY35+BX36-CG35,IF(A36&lt;'Données projet'!$A$114,$BV$205^A36,IF(A36='Données projet'!$A$114,'Données projet'!$B$114,BY35+BX36-CG35)))</f>
        <v>187.59999999999997</v>
      </c>
      <c r="BZ36" s="13">
        <f>BY36*VLOOKUP('Données projet'!$B$12,Paramètres!$A$1:$I$89,3,0)*VLOOKUP('Données projet'!$B$12,Paramètres!$A$1:$I$89,5,0)</f>
        <v>122.91551999999999</v>
      </c>
      <c r="CA36" s="13">
        <f t="shared" si="39"/>
        <v>32.354043504846558</v>
      </c>
      <c r="CB36" s="20">
        <f t="shared" si="10"/>
        <v>270.42782310427435</v>
      </c>
      <c r="CC36" s="59">
        <f t="shared" si="11"/>
        <v>563.76115643760772</v>
      </c>
      <c r="CD36" s="59">
        <f ca="1">AVERAGE(OFFSET($CC$3,0,0,'Données projet'!$E$12+1,1))-AVERAGE(OFFSET($H$3,0,0,'Données projet'!$E$12+1,1))</f>
        <v>185.21927898775016</v>
      </c>
      <c r="CE36" s="59">
        <f t="shared" si="40"/>
        <v>240.82467772396944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1.4674282919644077</v>
      </c>
      <c r="CL36" s="21">
        <f>EXP(-LN(2)/25)*CL35+(1-EXP(-LN(2)/25))/(LN(2)/25)*Calculateur!CG36*Calculateur!CI36*VLOOKUP('Données projet'!$B$12,Paramètres!$A$1:$I$89,3,0)*0.475*44/12</f>
        <v>7.3964952445451715</v>
      </c>
      <c r="CM36" s="21">
        <f>EXP(-LN(2)/2)*CM35+(1-EXP(-LN(2)/2))/(LN(2)/2)*CG36*CJ36*VLOOKUP('Données projet'!$B$12,Paramètres!$A$1:$I$89,3,0)*0.475*44/12</f>
        <v>4.9484774996502905</v>
      </c>
      <c r="CN36" s="22">
        <f t="shared" si="12"/>
        <v>13.812401036159869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30.232799999999987</v>
      </c>
      <c r="D37" s="11">
        <f t="shared" si="32"/>
        <v>9.3692052598737909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305.69968972534144</v>
      </c>
      <c r="H37" s="67">
        <f t="shared" si="1"/>
        <v>362.30682582761347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22.884615384615376</v>
      </c>
      <c r="N37" s="13">
        <f>IF('Données projet'!$A$36&gt;35,N36+M37-V36,IF(A37&lt;'Données projet'!$A$36,$K$205^A37,IF(A37='Données projet'!$A$36,'Données projet'!$B$36,N36+M37-V36)))</f>
        <v>357.73846153846131</v>
      </c>
      <c r="O37" s="13">
        <f>N37*VLOOKUP('Données projet'!$B$9,Paramètres!$A$1:$I$89,3,0)*VLOOKUP('Données projet'!$B$9,Paramètres!$A$1:$I$89,5,0)</f>
        <v>199.97579999999988</v>
      </c>
      <c r="P37" s="13">
        <f t="shared" si="33"/>
        <v>49.738849260389202</v>
      </c>
      <c r="Q37" s="20">
        <f t="shared" si="53"/>
        <v>434.91968079517761</v>
      </c>
      <c r="R37" s="59">
        <f t="shared" si="0"/>
        <v>728.25301412851093</v>
      </c>
      <c r="S37" s="59">
        <f ca="1">AVERAGE(OFFSET($R$3,0,0,'Données projet'!$E$9+1,1))-AVERAGE(OFFSET($H$3,0,0,'Données projet'!$E$9+1,1))</f>
        <v>255.5374979188561</v>
      </c>
      <c r="T37" s="59">
        <f t="shared" si="34"/>
        <v>343.10418468620901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2.854702084956056</v>
      </c>
      <c r="AA37" s="21">
        <f>EXP(-LN(2)/25)*AA36+(1-EXP(-LN(2)/25))/(LN(2)/25)*Calculateur!V37*Calculateur!X37*VLOOKUP('Données projet'!$B$9,Paramètres!$A$1:$I$89,3,0)*0.475*44/12</f>
        <v>14.284832060096942</v>
      </c>
      <c r="AB37" s="21">
        <f>EXP(-LN(2)/2)*AB36+(1-EXP(-LN(2)/2))/(LN(2)/2)*V37*Y37*VLOOKUP('Données projet'!$B$9,Paramètres!$A$1:$I$89,3,0)*0.475*44/12</f>
        <v>0.42316301986351651</v>
      </c>
      <c r="AC37" s="22">
        <f t="shared" si="3"/>
        <v>17.562697164916514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15.1</v>
      </c>
      <c r="AI37" s="13">
        <f>IF('Données projet'!$A$62&gt;35,AI36+AH37-AQ36,IF(A37&lt;'Données projet'!$A$62,$AF$205^A37,IF(A37='Données projet'!$A$62,'Données projet'!$B$62,AI36+AH37-AQ36)))</f>
        <v>239.4</v>
      </c>
      <c r="AJ37" s="13">
        <f>AI37*VLOOKUP('Données projet'!$B$10,Paramètres!$A$1:$I$89,3,0)*VLOOKUP('Données projet'!$B$10,Paramètres!$A$1:$I$89,5,0)</f>
        <v>149.38559999999998</v>
      </c>
      <c r="AK37" s="13">
        <f t="shared" si="35"/>
        <v>38.438927680599591</v>
      </c>
      <c r="AL37" s="20">
        <f t="shared" si="4"/>
        <v>327.1277190437109</v>
      </c>
      <c r="AM37" s="59">
        <f t="shared" si="5"/>
        <v>620.46105237704421</v>
      </c>
      <c r="AN37" s="59">
        <f ca="1">AVERAGE(OFFSET($AM$3,0,0,'Données projet'!$E$10+1,1))-AVERAGE(OFFSET($H$3,0,0,'Données projet'!$E$10+1,1))</f>
        <v>255.41017495879987</v>
      </c>
      <c r="AO37" s="59">
        <f t="shared" si="36"/>
        <v>297.50513563712764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7.7085030779932495</v>
      </c>
      <c r="AV37" s="21">
        <f>EXP(-LN(2)/25)*AV36+(1-EXP(-LN(2)/25))/(LN(2)/25)*Calculateur!AQ37*Calculateur!AS37*VLOOKUP('Données projet'!$B$10,Paramètres!$A$1:$I$89,3,0)*0.475*44/12</f>
        <v>24.944230323770121</v>
      </c>
      <c r="AW37" s="21">
        <f>EXP(-LN(2)/2)*AW36+(1-EXP(-LN(2)/2))/(LN(2)/2)*AQ37*AT37*VLOOKUP('Données projet'!$B$10,Paramètres!$A$1:$I$89,3,0)*0.475*44/12</f>
        <v>6.10029778422797</v>
      </c>
      <c r="AX37" s="21">
        <f t="shared" si="6"/>
        <v>38.75303118599134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12.1</v>
      </c>
      <c r="BD37" s="12">
        <f>IF('Données projet'!$A$88&gt;35,BD36+BC37-BL36,IF(A37&lt;'Données projet'!$A$88,$BA$205^A37,IF(A37='Données projet'!$A$88,'Données projet'!$B$88,BD36+BC37-BL36)))</f>
        <v>190.39999999999998</v>
      </c>
      <c r="BE37" s="13">
        <f>BD37*VLOOKUP('Données projet'!$B$11,Paramètres!$A$1:$I$89,3,0)*VLOOKUP('Données projet'!$B$11,Paramètres!$A$1:$I$89,5,0)</f>
        <v>151.48223999999999</v>
      </c>
      <c r="BF37" s="13">
        <f t="shared" si="37"/>
        <v>38.915236966075291</v>
      </c>
      <c r="BG37" s="20">
        <f t="shared" si="7"/>
        <v>331.60893904924779</v>
      </c>
      <c r="BH37" s="59">
        <f t="shared" si="8"/>
        <v>624.94227238258111</v>
      </c>
      <c r="BI37" s="59">
        <f ca="1">AVERAGE(OFFSET($BH$3,0,0,'Données projet'!$E$11+1,1))-AVERAGE(OFFSET($H$3,0,0,'Données projet'!$E$11+1,1))</f>
        <v>260.20517190557814</v>
      </c>
      <c r="BJ37" s="59">
        <f t="shared" si="38"/>
        <v>307.22009971147133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3.0144797193020492</v>
      </c>
      <c r="BQ37" s="21">
        <f>EXP(-LN(2)/25)*BQ36+(1-EXP(-LN(2)/25))/(LN(2)/25)*Calculateur!BL37*Calculateur!BN37*VLOOKUP('Données projet'!$B$11,Paramètres!$A$1:$I$89,3,0)*0.475*44/12</f>
        <v>18.36555888417525</v>
      </c>
      <c r="BR37" s="21">
        <f>EXP(-LN(2)/2)*BR36+(1-EXP(-LN(2)/2))/(LN(2)/2)*BL37*BO37*VLOOKUP('Données projet'!$B$11,Paramètres!$A$1:$I$89,3,0)*0.475*44/12</f>
        <v>6.0097585631893216</v>
      </c>
      <c r="BS37" s="22">
        <f t="shared" si="9"/>
        <v>27.389797166666622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9.1999999999999993</v>
      </c>
      <c r="BY37" s="12">
        <f>IF('Données projet'!$A$114&gt;35,BY36+BX37-CG36,IF(A37&lt;'Données projet'!$A$114,$BV$205^A37,IF(A37='Données projet'!$A$114,'Données projet'!$B$114,BY36+BX37-CG36)))</f>
        <v>196.79999999999995</v>
      </c>
      <c r="BZ37" s="13">
        <f>BY37*VLOOKUP('Données projet'!$B$12,Paramètres!$A$1:$I$89,3,0)*VLOOKUP('Données projet'!$B$12,Paramètres!$A$1:$I$89,5,0)</f>
        <v>128.94335999999996</v>
      </c>
      <c r="CA37" s="13">
        <f t="shared" si="39"/>
        <v>33.752085002132162</v>
      </c>
      <c r="CB37" s="20">
        <f t="shared" si="10"/>
        <v>283.36123337871345</v>
      </c>
      <c r="CC37" s="59">
        <f t="shared" si="11"/>
        <v>576.69456671204671</v>
      </c>
      <c r="CD37" s="59">
        <f ca="1">AVERAGE(OFFSET($CC$3,0,0,'Données projet'!$E$12+1,1))-AVERAGE(OFFSET($H$3,0,0,'Données projet'!$E$12+1,1))</f>
        <v>185.21927898775016</v>
      </c>
      <c r="CE37" s="59">
        <f t="shared" si="40"/>
        <v>240.82467772396944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1.4386529182018657</v>
      </c>
      <c r="CL37" s="21">
        <f>EXP(-LN(2)/25)*CL36+(1-EXP(-LN(2)/25))/(LN(2)/25)*Calculateur!CG37*Calculateur!CI37*VLOOKUP('Données projet'!$B$12,Paramètres!$A$1:$I$89,3,0)*0.475*44/12</f>
        <v>7.1942376931183034</v>
      </c>
      <c r="CM37" s="21">
        <f>EXP(-LN(2)/2)*CM36+(1-EXP(-LN(2)/2))/(LN(2)/2)*CG37*CJ37*VLOOKUP('Données projet'!$B$12,Paramètres!$A$1:$I$89,3,0)*0.475*44/12</f>
        <v>3.4991019965517718</v>
      </c>
      <c r="CN37" s="22">
        <f t="shared" si="12"/>
        <v>12.131992607871942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31.121999999999986</v>
      </c>
      <c r="D38" s="11">
        <f t="shared" si="32"/>
        <v>9.612282066778798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314.44007209443271</v>
      </c>
      <c r="H38" s="67">
        <f t="shared" si="1"/>
        <v>364.27887459963966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22.884615384615376</v>
      </c>
      <c r="N38" s="13">
        <f>IF('Données projet'!$A$36&gt;35,N37+M38-V37,IF(A38&lt;'Données projet'!$A$36,$K$205^A38,IF(A38='Données projet'!$A$36,'Données projet'!$B$36,N37+M38-V37)))</f>
        <v>380.62307692307667</v>
      </c>
      <c r="O38" s="13">
        <f>N38*VLOOKUP('Données projet'!$B$9,Paramètres!$A$1:$I$89,3,0)*VLOOKUP('Données projet'!$B$9,Paramètres!$A$1:$I$89,5,0)</f>
        <v>212.76829999999987</v>
      </c>
      <c r="P38" s="13">
        <f t="shared" si="33"/>
        <v>52.540067037520458</v>
      </c>
      <c r="Q38" s="20">
        <f t="shared" si="53"/>
        <v>462.07873925701455</v>
      </c>
      <c r="R38" s="59">
        <f t="shared" si="0"/>
        <v>755.41207259034786</v>
      </c>
      <c r="S38" s="59">
        <f ca="1">AVERAGE(OFFSET($R$3,0,0,'Données projet'!$E$9+1,1))-AVERAGE(OFFSET($H$3,0,0,'Données projet'!$E$9+1,1))</f>
        <v>255.5374979188561</v>
      </c>
      <c r="T38" s="59">
        <f t="shared" si="34"/>
        <v>343.10418468620901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2.7987231182664107</v>
      </c>
      <c r="AA38" s="21">
        <f>EXP(-LN(2)/25)*AA37+(1-EXP(-LN(2)/25))/(LN(2)/25)*Calculateur!V38*Calculateur!X38*VLOOKUP('Données projet'!$B$9,Paramètres!$A$1:$I$89,3,0)*0.475*44/12</f>
        <v>13.894212576206922</v>
      </c>
      <c r="AB38" s="21">
        <f>EXP(-LN(2)/2)*AB37+(1-EXP(-LN(2)/2))/(LN(2)/2)*V38*Y38*VLOOKUP('Données projet'!$B$9,Paramètres!$A$1:$I$89,3,0)*0.475*44/12</f>
        <v>0.29922144089287023</v>
      </c>
      <c r="AC38" s="22">
        <f t="shared" si="3"/>
        <v>16.992157135366206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15.1</v>
      </c>
      <c r="AI38" s="13">
        <f>IF('Données projet'!$A$62&gt;35,AI37+AH38-AQ37,IF(A38&lt;'Données projet'!$A$62,$AF$205^A38,IF(A38='Données projet'!$A$62,'Données projet'!$B$62,AI37+AH38-AQ37)))</f>
        <v>254.5</v>
      </c>
      <c r="AJ38" s="13">
        <f>AI38*VLOOKUP('Données projet'!$B$10,Paramètres!$A$1:$I$89,3,0)*VLOOKUP('Données projet'!$B$10,Paramètres!$A$1:$I$89,5,0)</f>
        <v>158.80799999999999</v>
      </c>
      <c r="AK38" s="13">
        <f t="shared" si="35"/>
        <v>40.573539580413687</v>
      </c>
      <c r="AL38" s="20">
        <f t="shared" si="4"/>
        <v>347.25618143588719</v>
      </c>
      <c r="AM38" s="59">
        <f t="shared" si="5"/>
        <v>640.5895147692205</v>
      </c>
      <c r="AN38" s="59">
        <f ca="1">AVERAGE(OFFSET($AM$3,0,0,'Données projet'!$E$10+1,1))-AVERAGE(OFFSET($H$3,0,0,'Données projet'!$E$10+1,1))</f>
        <v>255.41017495879987</v>
      </c>
      <c r="AO38" s="59">
        <f t="shared" si="36"/>
        <v>297.50513563712764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7.5573440343564231</v>
      </c>
      <c r="AV38" s="21">
        <f>EXP(-LN(2)/25)*AV37+(1-EXP(-LN(2)/25))/(LN(2)/25)*Calculateur!AQ38*Calculateur!AS38*VLOOKUP('Données projet'!$B$10,Paramètres!$A$1:$I$89,3,0)*0.475*44/12</f>
        <v>24.262129033806566</v>
      </c>
      <c r="AW38" s="21">
        <f>EXP(-LN(2)/2)*AW37+(1-EXP(-LN(2)/2))/(LN(2)/2)*AQ38*AT38*VLOOKUP('Données projet'!$B$10,Paramètres!$A$1:$I$89,3,0)*0.475*44/12</f>
        <v>4.3135619304848678</v>
      </c>
      <c r="AX38" s="21">
        <f t="shared" si="6"/>
        <v>36.133034998647858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12.1</v>
      </c>
      <c r="BD38" s="12">
        <f>IF('Données projet'!$A$88&gt;35,BD37+BC38-BL37,IF(A38&lt;'Données projet'!$A$88,$BA$205^A38,IF(A38='Données projet'!$A$88,'Données projet'!$B$88,BD37+BC38-BL37)))</f>
        <v>202.49999999999997</v>
      </c>
      <c r="BE38" s="13">
        <f>BD38*VLOOKUP('Données projet'!$B$11,Paramètres!$A$1:$I$89,3,0)*VLOOKUP('Données projet'!$B$11,Paramètres!$A$1:$I$89,5,0)</f>
        <v>161.10899999999998</v>
      </c>
      <c r="BF38" s="13">
        <f t="shared" si="37"/>
        <v>41.092552806229541</v>
      </c>
      <c r="BG38" s="20">
        <f t="shared" si="7"/>
        <v>352.16770447084974</v>
      </c>
      <c r="BH38" s="59">
        <f t="shared" si="8"/>
        <v>645.50103780418306</v>
      </c>
      <c r="BI38" s="59">
        <f ca="1">AVERAGE(OFFSET($BH$3,0,0,'Données projet'!$E$11+1,1))-AVERAGE(OFFSET($H$3,0,0,'Données projet'!$E$11+1,1))</f>
        <v>260.20517190557814</v>
      </c>
      <c r="BJ38" s="59">
        <f t="shared" si="38"/>
        <v>307.22009971147133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2.9553676106576132</v>
      </c>
      <c r="BQ38" s="21">
        <f>EXP(-LN(2)/25)*BQ37+(1-EXP(-LN(2)/25))/(LN(2)/25)*Calculateur!BL38*Calculateur!BN38*VLOOKUP('Données projet'!$B$11,Paramètres!$A$1:$I$89,3,0)*0.475*44/12</f>
        <v>17.863351710684711</v>
      </c>
      <c r="BR38" s="21">
        <f>EXP(-LN(2)/2)*BR37+(1-EXP(-LN(2)/2))/(LN(2)/2)*BL38*BO38*VLOOKUP('Données projet'!$B$11,Paramètres!$A$1:$I$89,3,0)*0.475*44/12</f>
        <v>4.2495410333250918</v>
      </c>
      <c r="BS38" s="22">
        <f t="shared" si="9"/>
        <v>25.068260354667416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9.1999999999999993</v>
      </c>
      <c r="BY38" s="12">
        <f>IF('Données projet'!$A$114&gt;35,BY37+BX38-CG37,IF(A38&lt;'Données projet'!$A$114,$BV$205^A38,IF(A38='Données projet'!$A$114,'Données projet'!$B$114,BY37+BX38-CG37)))</f>
        <v>205.99999999999994</v>
      </c>
      <c r="BZ38" s="13">
        <f>BY38*VLOOKUP('Données projet'!$B$12,Paramètres!$A$1:$I$89,3,0)*VLOOKUP('Données projet'!$B$12,Paramètres!$A$1:$I$89,5,0)</f>
        <v>134.97119999999995</v>
      </c>
      <c r="CA38" s="13">
        <f t="shared" si="39"/>
        <v>35.142536849088657</v>
      </c>
      <c r="CB38" s="20">
        <f t="shared" si="10"/>
        <v>296.28142501216263</v>
      </c>
      <c r="CC38" s="59">
        <f t="shared" si="11"/>
        <v>589.61475834549594</v>
      </c>
      <c r="CD38" s="59">
        <f ca="1">AVERAGE(OFFSET($CC$3,0,0,'Données projet'!$E$12+1,1))-AVERAGE(OFFSET($H$3,0,0,'Données projet'!$E$12+1,1))</f>
        <v>185.21927898775016</v>
      </c>
      <c r="CE38" s="59">
        <f t="shared" si="40"/>
        <v>240.82467772396944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>
        <f>EXP(-LN(2)/35)*CK37+(1-EXP(-LN(2)/35))/(LN(2)/35)*CG38*CH38*VLOOKUP('Données projet'!$B$12,Paramètres!$A$1:$I$89,3,0)*0.475*44/12</f>
        <v>1.4104418119675621</v>
      </c>
      <c r="CL38" s="21">
        <f>EXP(-LN(2)/25)*CL37+(1-EXP(-LN(2)/25))/(LN(2)/25)*Calculateur!CG38*Calculateur!CI38*VLOOKUP('Données projet'!$B$12,Paramètres!$A$1:$I$89,3,0)*0.475*44/12</f>
        <v>6.997510885071466</v>
      </c>
      <c r="CM38" s="21">
        <f>EXP(-LN(2)/2)*CM37+(1-EXP(-LN(2)/2))/(LN(2)/2)*CG38*CJ38*VLOOKUP('Données projet'!$B$12,Paramètres!$A$1:$I$89,3,0)*0.475*44/12</f>
        <v>2.4742387498251452</v>
      </c>
      <c r="CN38" s="22">
        <f t="shared" si="12"/>
        <v>10.882191446864175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32.011199999999988</v>
      </c>
      <c r="D39" s="11">
        <f t="shared" si="32"/>
        <v>9.8545516964045738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323.17422362136853</v>
      </c>
      <c r="H39" s="67">
        <f t="shared" si="1"/>
        <v>366.24951753790458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>
        <f>VLOOKUP(A39,'Données projet'!$A$35:$I$55,2,0)</f>
        <v>403.50769230769225</v>
      </c>
      <c r="L39" s="12">
        <f>VLOOKUP(A39,'Données projet'!$A$35:$I$55,9,0)</f>
        <v>22.884615384615376</v>
      </c>
      <c r="M39" s="12">
        <f t="array" ref="M39">INDEX(L:L,MIN(IF(ISNUMBER(L39:L235),ROW(L39:L235),"")))</f>
        <v>22.884615384615376</v>
      </c>
      <c r="N39" s="13">
        <f>IF('Données projet'!$A$36&gt;35,N38+M39-V38,IF(A39&lt;'Données projet'!$A$36,$K$205^A39,IF(A39='Données projet'!$A$36,'Données projet'!$B$36,N38+M39-V38)))</f>
        <v>403.50769230769203</v>
      </c>
      <c r="O39" s="13">
        <f>N39*VLOOKUP('Données projet'!$B$9,Paramètres!$A$1:$I$89,3,0)*VLOOKUP('Données projet'!$B$9,Paramètres!$A$1:$I$89,5,0)</f>
        <v>225.56079999999986</v>
      </c>
      <c r="P39" s="13">
        <f t="shared" si="33"/>
        <v>55.321736658663617</v>
      </c>
      <c r="Q39" s="20">
        <f t="shared" si="53"/>
        <v>489.20375134717227</v>
      </c>
      <c r="R39" s="59">
        <f t="shared" si="0"/>
        <v>782.53708468050559</v>
      </c>
      <c r="S39" s="59">
        <f ca="1">AVERAGE(OFFSET($R$3,0,0,'Données projet'!$E$9+1,1))-AVERAGE(OFFSET($H$3,0,0,'Données projet'!$E$9+1,1))</f>
        <v>255.5374979188561</v>
      </c>
      <c r="T39" s="59">
        <f t="shared" si="34"/>
        <v>343.10418468620901</v>
      </c>
      <c r="U39" s="15">
        <f>IF(ISNA(VLOOKUP(A39,'Données projet'!$A$35:$I$55,3,0)),0,VLOOKUP(A39,'Données projet'!$A$35:$I$55,3,0))</f>
        <v>4</v>
      </c>
      <c r="V39" s="15">
        <f>IF(ISNA(VLOOKUP(A39,'Données projet'!$A$35:$I$55,4,0)),0,VLOOKUP(A39,'Données projet'!$A$35:$I$55,4,0))</f>
        <v>69.3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2.7438418649697511</v>
      </c>
      <c r="AA39" s="21">
        <f>EXP(-LN(2)/25)*AA38+(1-EXP(-LN(2)/25))/(LN(2)/25)*Calculateur!V39*Calculateur!X39*VLOOKUP('Données projet'!$B$9,Paramètres!$A$1:$I$89,3,0)*0.475*44/12</f>
        <v>13.51427460264566</v>
      </c>
      <c r="AB39" s="21">
        <f>EXP(-LN(2)/2)*AB38+(1-EXP(-LN(2)/2))/(LN(2)/2)*V39*Y39*VLOOKUP('Données projet'!$B$9,Paramètres!$A$1:$I$89,3,0)*0.475*44/12</f>
        <v>0.21158150993175825</v>
      </c>
      <c r="AC39" s="22">
        <f t="shared" si="3"/>
        <v>16.46969797754717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15.1</v>
      </c>
      <c r="AI39" s="13">
        <f>IF('Données projet'!$A$62&gt;35,AI38+AH39-AQ38,IF(A39&lt;'Données projet'!$A$62,$AF$205^A39,IF(A39='Données projet'!$A$62,'Données projet'!$B$62,AI38+AH39-AQ38)))</f>
        <v>269.60000000000002</v>
      </c>
      <c r="AJ39" s="13">
        <f>AI39*VLOOKUP('Données projet'!$B$10,Paramètres!$A$1:$I$89,3,0)*VLOOKUP('Données projet'!$B$10,Paramètres!$A$1:$I$89,5,0)</f>
        <v>168.23040000000003</v>
      </c>
      <c r="AK39" s="13">
        <f t="shared" si="35"/>
        <v>42.693451008292193</v>
      </c>
      <c r="AL39" s="20">
        <f t="shared" si="4"/>
        <v>367.3590405061089</v>
      </c>
      <c r="AM39" s="59">
        <f t="shared" si="5"/>
        <v>660.69237383944221</v>
      </c>
      <c r="AN39" s="59">
        <f ca="1">AVERAGE(OFFSET($AM$3,0,0,'Données projet'!$E$10+1,1))-AVERAGE(OFFSET($H$3,0,0,'Données projet'!$E$10+1,1))</f>
        <v>255.41017495879987</v>
      </c>
      <c r="AO39" s="59">
        <f t="shared" si="36"/>
        <v>297.50513563712764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7.4091491273674022</v>
      </c>
      <c r="AV39" s="21">
        <f>EXP(-LN(2)/25)*AV38+(1-EXP(-LN(2)/25))/(LN(2)/25)*Calculateur!AQ39*Calculateur!AS39*VLOOKUP('Données projet'!$B$10,Paramètres!$A$1:$I$89,3,0)*0.475*44/12</f>
        <v>23.598679839487211</v>
      </c>
      <c r="AW39" s="21">
        <f>EXP(-LN(2)/2)*AW38+(1-EXP(-LN(2)/2))/(LN(2)/2)*AQ39*AT39*VLOOKUP('Données projet'!$B$10,Paramètres!$A$1:$I$89,3,0)*0.475*44/12</f>
        <v>3.050148892113985</v>
      </c>
      <c r="AX39" s="21">
        <f t="shared" si="6"/>
        <v>34.057977858968599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12.1</v>
      </c>
      <c r="BD39" s="12">
        <f>IF('Données projet'!$A$88&gt;35,BD38+BC39-BL38,IF(A39&lt;'Données projet'!$A$88,$BA$205^A39,IF(A39='Données projet'!$A$88,'Données projet'!$B$88,BD38+BC39-BL38)))</f>
        <v>214.59999999999997</v>
      </c>
      <c r="BE39" s="13">
        <f>BD39*VLOOKUP('Données projet'!$B$11,Paramètres!$A$1:$I$89,3,0)*VLOOKUP('Données projet'!$B$11,Paramètres!$A$1:$I$89,5,0)</f>
        <v>170.73575999999997</v>
      </c>
      <c r="BF39" s="13">
        <f t="shared" si="37"/>
        <v>43.254767908658785</v>
      </c>
      <c r="BG39" s="20">
        <f t="shared" si="7"/>
        <v>372.70016944091395</v>
      </c>
      <c r="BH39" s="59">
        <f t="shared" si="8"/>
        <v>666.03350277424727</v>
      </c>
      <c r="BI39" s="59">
        <f ca="1">AVERAGE(OFFSET($BH$3,0,0,'Données projet'!$E$11+1,1))-AVERAGE(OFFSET($H$3,0,0,'Données projet'!$E$11+1,1))</f>
        <v>260.20517190557814</v>
      </c>
      <c r="BJ39" s="59">
        <f t="shared" si="38"/>
        <v>307.22009971147133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2.8974146544088684</v>
      </c>
      <c r="BQ39" s="21">
        <f>EXP(-LN(2)/25)*BQ38+(1-EXP(-LN(2)/25))/(LN(2)/25)*Calculateur!BL39*Calculateur!BN39*VLOOKUP('Données projet'!$B$11,Paramètres!$A$1:$I$89,3,0)*0.475*44/12</f>
        <v>17.374877418763198</v>
      </c>
      <c r="BR39" s="21">
        <f>EXP(-LN(2)/2)*BR38+(1-EXP(-LN(2)/2))/(LN(2)/2)*BL39*BO39*VLOOKUP('Données projet'!$B$11,Paramètres!$A$1:$I$89,3,0)*0.475*44/12</f>
        <v>3.0048792815946608</v>
      </c>
      <c r="BS39" s="22">
        <f t="shared" si="9"/>
        <v>23.277171354766729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9.1999999999999993</v>
      </c>
      <c r="BY39" s="12">
        <f>IF('Données projet'!$A$114&gt;35,BY38+BX39-CG38,IF(A39&lt;'Données projet'!$A$114,$BV$205^A39,IF(A39='Données projet'!$A$114,'Données projet'!$B$114,BY38+BX39-CG38)))</f>
        <v>215.19999999999993</v>
      </c>
      <c r="BZ39" s="13">
        <f>BY39*VLOOKUP('Données projet'!$B$12,Paramètres!$A$1:$I$89,3,0)*VLOOKUP('Données projet'!$B$12,Paramètres!$A$1:$I$89,5,0)</f>
        <v>140.99903999999995</v>
      </c>
      <c r="CA39" s="13">
        <f t="shared" si="39"/>
        <v>36.525776729948824</v>
      </c>
      <c r="CB39" s="20">
        <f t="shared" si="10"/>
        <v>309.18905580466077</v>
      </c>
      <c r="CC39" s="59">
        <f t="shared" si="11"/>
        <v>602.52238913799408</v>
      </c>
      <c r="CD39" s="59">
        <f ca="1">AVERAGE(OFFSET($CC$3,0,0,'Données projet'!$E$12+1,1))-AVERAGE(OFFSET($H$3,0,0,'Données projet'!$E$12+1,1))</f>
        <v>185.21927898775016</v>
      </c>
      <c r="CE39" s="59">
        <f t="shared" si="40"/>
        <v>240.82467772396944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1.3827839083194375</v>
      </c>
      <c r="CL39" s="21">
        <f>EXP(-LN(2)/25)*CL38+(1-EXP(-LN(2)/25))/(LN(2)/25)*Calculateur!CG39*Calculateur!CI39*VLOOKUP('Données projet'!$B$12,Paramètres!$A$1:$I$89,3,0)*0.475*44/12</f>
        <v>6.8061635819360822</v>
      </c>
      <c r="CM39" s="21">
        <f>EXP(-LN(2)/2)*CM38+(1-EXP(-LN(2)/2))/(LN(2)/2)*CG39*CJ39*VLOOKUP('Données projet'!$B$12,Paramètres!$A$1:$I$89,3,0)*0.475*44/12</f>
        <v>1.7495509982758859</v>
      </c>
      <c r="CN39" s="22">
        <f t="shared" si="12"/>
        <v>9.9384984885314065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32.900399999999991</v>
      </c>
      <c r="D40" s="11">
        <f t="shared" si="32"/>
        <v>10.096039146303498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331.90233726971115</v>
      </c>
      <c r="H40" s="67">
        <f t="shared" si="1"/>
        <v>368.21879817981187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22.419230769230779</v>
      </c>
      <c r="N40" s="13">
        <f>IF('Données projet'!$A$36&gt;35,N39+M40-V39,IF(A40&lt;'Données projet'!$A$36,$K$205^A40,IF(A40='Données projet'!$A$36,'Données projet'!$B$36,N39+M40-V39)))</f>
        <v>356.62692307692276</v>
      </c>
      <c r="O40" s="13">
        <f>N40*VLOOKUP('Données projet'!$B$9,Paramètres!$A$1:$I$89,3,0)*VLOOKUP('Données projet'!$B$9,Paramètres!$A$1:$I$89,5,0)</f>
        <v>199.35444999999984</v>
      </c>
      <c r="P40" s="13">
        <f t="shared" si="33"/>
        <v>49.602268690733197</v>
      </c>
      <c r="Q40" s="20">
        <f t="shared" si="53"/>
        <v>433.59961838636008</v>
      </c>
      <c r="R40" s="59">
        <f t="shared" si="0"/>
        <v>726.93295171969339</v>
      </c>
      <c r="S40" s="59">
        <f ca="1">AVERAGE(OFFSET($R$3,0,0,'Données projet'!$E$9+1,1))-AVERAGE(OFFSET($H$3,0,0,'Données projet'!$E$9+1,1))</f>
        <v>255.5374979188561</v>
      </c>
      <c r="T40" s="59">
        <f t="shared" si="34"/>
        <v>343.10418468620901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2.6900367995759797</v>
      </c>
      <c r="AA40" s="21">
        <f>EXP(-LN(2)/25)*AA39+(1-EXP(-LN(2)/25))/(LN(2)/25)*Calculateur!V40*Calculateur!X40*VLOOKUP('Données projet'!$B$9,Paramètres!$A$1:$I$89,3,0)*0.475*44/12</f>
        <v>13.1447260529515</v>
      </c>
      <c r="AB40" s="21">
        <f>EXP(-LN(2)/2)*AB39+(1-EXP(-LN(2)/2))/(LN(2)/2)*V40*Y40*VLOOKUP('Données projet'!$B$9,Paramètres!$A$1:$I$89,3,0)*0.475*44/12</f>
        <v>0.14961072044643511</v>
      </c>
      <c r="AC40" s="22">
        <f t="shared" si="3"/>
        <v>15.984373572973915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15.1</v>
      </c>
      <c r="AI40" s="13">
        <f>IF('Données projet'!$A$62&gt;35,AI39+AH40-AQ39,IF(A40&lt;'Données projet'!$A$62,$AF$205^A40,IF(A40='Données projet'!$A$62,'Données projet'!$B$62,AI39+AH40-AQ39)))</f>
        <v>284.70000000000005</v>
      </c>
      <c r="AJ40" s="13">
        <f>AI40*VLOOKUP('Données projet'!$B$10,Paramètres!$A$1:$I$89,3,0)*VLOOKUP('Données projet'!$B$10,Paramètres!$A$1:$I$89,5,0)</f>
        <v>177.65280000000001</v>
      </c>
      <c r="AK40" s="13">
        <f t="shared" si="35"/>
        <v>44.799579155749747</v>
      </c>
      <c r="AL40" s="20">
        <f t="shared" si="4"/>
        <v>387.43789369626415</v>
      </c>
      <c r="AM40" s="59">
        <f t="shared" si="5"/>
        <v>680.77122702959741</v>
      </c>
      <c r="AN40" s="59">
        <f ca="1">AVERAGE(OFFSET($AM$3,0,0,'Données projet'!$E$10+1,1))-AVERAGE(OFFSET($H$3,0,0,'Données projet'!$E$10+1,1))</f>
        <v>255.41017495879987</v>
      </c>
      <c r="AO40" s="59">
        <f t="shared" si="36"/>
        <v>297.50513563712764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7.2638602321144674</v>
      </c>
      <c r="AV40" s="21">
        <f>EXP(-LN(2)/25)*AV39+(1-EXP(-LN(2)/25))/(LN(2)/25)*Calculateur!AQ40*Calculateur!AS40*VLOOKUP('Données projet'!$B$10,Paramètres!$A$1:$I$89,3,0)*0.475*44/12</f>
        <v>22.953372698275796</v>
      </c>
      <c r="AW40" s="21">
        <f>EXP(-LN(2)/2)*AW39+(1-EXP(-LN(2)/2))/(LN(2)/2)*AQ40*AT40*VLOOKUP('Données projet'!$B$10,Paramètres!$A$1:$I$89,3,0)*0.475*44/12</f>
        <v>2.1567809652424339</v>
      </c>
      <c r="AX40" s="21">
        <f t="shared" si="6"/>
        <v>32.3740138956327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12.1</v>
      </c>
      <c r="BD40" s="12">
        <f>IF('Données projet'!$A$88&gt;35,BD39+BC40-BL39,IF(A40&lt;'Données projet'!$A$88,$BA$205^A40,IF(A40='Données projet'!$A$88,'Données projet'!$B$88,BD39+BC40-BL39)))</f>
        <v>226.69999999999996</v>
      </c>
      <c r="BE40" s="13">
        <f>BD40*VLOOKUP('Données projet'!$B$11,Paramètres!$A$1:$I$89,3,0)*VLOOKUP('Données projet'!$B$11,Paramètres!$A$1:$I$89,5,0)</f>
        <v>180.36251999999996</v>
      </c>
      <c r="BF40" s="13">
        <f t="shared" si="37"/>
        <v>45.402830740762262</v>
      </c>
      <c r="BG40" s="20">
        <f t="shared" si="7"/>
        <v>393.20798587349418</v>
      </c>
      <c r="BH40" s="59">
        <f t="shared" si="8"/>
        <v>686.54131920682744</v>
      </c>
      <c r="BI40" s="59">
        <f ca="1">AVERAGE(OFFSET($BH$3,0,0,'Données projet'!$E$11+1,1))-AVERAGE(OFFSET($H$3,0,0,'Données projet'!$E$11+1,1))</f>
        <v>260.20517190557814</v>
      </c>
      <c r="BJ40" s="59">
        <f t="shared" si="38"/>
        <v>307.22009971147133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2.8405981202843482</v>
      </c>
      <c r="BQ40" s="21">
        <f>EXP(-LN(2)/25)*BQ39+(1-EXP(-LN(2)/25))/(LN(2)/25)*Calculateur!BL40*Calculateur!BN40*VLOOKUP('Données projet'!$B$11,Paramètres!$A$1:$I$89,3,0)*0.475*44/12</f>
        <v>16.899760482042026</v>
      </c>
      <c r="BR40" s="21">
        <f>EXP(-LN(2)/2)*BR39+(1-EXP(-LN(2)/2))/(LN(2)/2)*BL40*BO40*VLOOKUP('Données projet'!$B$11,Paramètres!$A$1:$I$89,3,0)*0.475*44/12</f>
        <v>2.1247705166625459</v>
      </c>
      <c r="BS40" s="22">
        <f t="shared" si="9"/>
        <v>21.865129118988921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9.1999999999999993</v>
      </c>
      <c r="BY40" s="12">
        <f>IF('Données projet'!$A$114&gt;35,BY39+BX40-CG39,IF(A40&lt;'Données projet'!$A$114,$BV$205^A40,IF(A40='Données projet'!$A$114,'Données projet'!$B$114,BY39+BX40-CG39)))</f>
        <v>224.39999999999992</v>
      </c>
      <c r="BZ40" s="13">
        <f>BY40*VLOOKUP('Données projet'!$B$12,Paramètres!$A$1:$I$89,3,0)*VLOOKUP('Données projet'!$B$12,Paramètres!$A$1:$I$89,5,0)</f>
        <v>147.02687999999995</v>
      </c>
      <c r="CA40" s="13">
        <f t="shared" si="39"/>
        <v>37.902148209767233</v>
      </c>
      <c r="CB40" s="20">
        <f t="shared" si="10"/>
        <v>322.08472413201116</v>
      </c>
      <c r="CC40" s="59">
        <f t="shared" si="11"/>
        <v>615.41805746534442</v>
      </c>
      <c r="CD40" s="59">
        <f ca="1">AVERAGE(OFFSET($CC$3,0,0,'Données projet'!$E$12+1,1))-AVERAGE(OFFSET($H$3,0,0,'Données projet'!$E$12+1,1))</f>
        <v>185.21927898775016</v>
      </c>
      <c r="CE40" s="59">
        <f t="shared" si="40"/>
        <v>240.82467772396944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1.3556683592921972</v>
      </c>
      <c r="CL40" s="21">
        <f>EXP(-LN(2)/25)*CL39+(1-EXP(-LN(2)/25))/(LN(2)/25)*Calculateur!CG40*Calculateur!CI40*VLOOKUP('Données projet'!$B$12,Paramètres!$A$1:$I$89,3,0)*0.475*44/12</f>
        <v>6.6200486808674528</v>
      </c>
      <c r="CM40" s="21">
        <f>EXP(-LN(2)/2)*CM39+(1-EXP(-LN(2)/2))/(LN(2)/2)*CG40*CJ40*VLOOKUP('Données projet'!$B$12,Paramètres!$A$1:$I$89,3,0)*0.475*44/12</f>
        <v>1.2371193749125726</v>
      </c>
      <c r="CN40" s="22">
        <f t="shared" si="12"/>
        <v>9.2128364150722231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33.789599999999993</v>
      </c>
      <c r="D41" s="11">
        <f t="shared" si="32"/>
        <v>10.336767985889495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340.62459497879604</v>
      </c>
      <c r="H41" s="67">
        <f t="shared" si="1"/>
        <v>370.18675757542417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22.419230769230779</v>
      </c>
      <c r="N41" s="13">
        <f>IF('Données projet'!$A$36&gt;35,N40+M41-V40,IF(A41&lt;'Données projet'!$A$36,$K$205^A41,IF(A41='Données projet'!$A$36,'Données projet'!$B$36,N40+M41-V40)))</f>
        <v>379.04615384615352</v>
      </c>
      <c r="O41" s="13">
        <f>N41*VLOOKUP('Données projet'!$B$9,Paramètres!$A$1:$I$89,3,0)*VLOOKUP('Données projet'!$B$9,Paramètres!$A$1:$I$89,5,0)</f>
        <v>211.88679999999982</v>
      </c>
      <c r="P41" s="13">
        <f t="shared" si="33"/>
        <v>52.347684082939267</v>
      </c>
      <c r="Q41" s="20">
        <f t="shared" si="53"/>
        <v>460.20839311111894</v>
      </c>
      <c r="R41" s="59">
        <f t="shared" si="0"/>
        <v>753.54172644445225</v>
      </c>
      <c r="S41" s="59">
        <f ca="1">AVERAGE(OFFSET($R$3,0,0,'Données projet'!$E$9+1,1))-AVERAGE(OFFSET($H$3,0,0,'Données projet'!$E$9+1,1))</f>
        <v>255.5374979188561</v>
      </c>
      <c r="T41" s="59">
        <f t="shared" si="34"/>
        <v>343.10418468620901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2.6372868186967309</v>
      </c>
      <c r="AA41" s="21">
        <f>EXP(-LN(2)/25)*AA40+(1-EXP(-LN(2)/25))/(LN(2)/25)*Calculateur!V41*Calculateur!X41*VLOOKUP('Données projet'!$B$9,Paramètres!$A$1:$I$89,3,0)*0.475*44/12</f>
        <v>12.78528282778244</v>
      </c>
      <c r="AB41" s="21">
        <f>EXP(-LN(2)/2)*AB40+(1-EXP(-LN(2)/2))/(LN(2)/2)*V41*Y41*VLOOKUP('Données projet'!$B$9,Paramètres!$A$1:$I$89,3,0)*0.475*44/12</f>
        <v>0.10579075496587913</v>
      </c>
      <c r="AC41" s="22">
        <f t="shared" si="3"/>
        <v>15.528360401445051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15.1</v>
      </c>
      <c r="AI41" s="13">
        <f>IF('Données projet'!$A$62&gt;35,AI40+AH41-AQ40,IF(A41&lt;'Données projet'!$A$62,$AF$205^A41,IF(A41='Données projet'!$A$62,'Données projet'!$B$62,AI40+AH41-AQ40)))</f>
        <v>299.80000000000007</v>
      </c>
      <c r="AJ41" s="13">
        <f>AI41*VLOOKUP('Données projet'!$B$10,Paramètres!$A$1:$I$89,3,0)*VLOOKUP('Données projet'!$B$10,Paramètres!$A$1:$I$89,5,0)</f>
        <v>187.07520000000005</v>
      </c>
      <c r="AK41" s="13">
        <f t="shared" si="35"/>
        <v>46.892738426785456</v>
      </c>
      <c r="AL41" s="20">
        <f t="shared" si="4"/>
        <v>407.49415942665138</v>
      </c>
      <c r="AM41" s="59">
        <f t="shared" si="5"/>
        <v>700.82749275998469</v>
      </c>
      <c r="AN41" s="59">
        <f ca="1">AVERAGE(OFFSET($AM$3,0,0,'Données projet'!$E$10+1,1))-AVERAGE(OFFSET($H$3,0,0,'Données projet'!$E$10+1,1))</f>
        <v>255.41017495879987</v>
      </c>
      <c r="AO41" s="59">
        <f t="shared" si="36"/>
        <v>297.50513563712764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7.1214203634799667</v>
      </c>
      <c r="AV41" s="21">
        <f>EXP(-LN(2)/25)*AV40+(1-EXP(-LN(2)/25))/(LN(2)/25)*Calculateur!AQ41*Calculateur!AS41*VLOOKUP('Données projet'!$B$10,Paramètres!$A$1:$I$89,3,0)*0.475*44/12</f>
        <v>22.325711514776035</v>
      </c>
      <c r="AW41" s="21">
        <f>EXP(-LN(2)/2)*AW40+(1-EXP(-LN(2)/2))/(LN(2)/2)*AQ41*AT41*VLOOKUP('Données projet'!$B$10,Paramètres!$A$1:$I$89,3,0)*0.475*44/12</f>
        <v>1.5250744460569925</v>
      </c>
      <c r="AX41" s="21">
        <f t="shared" si="6"/>
        <v>30.972206324312996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12.1</v>
      </c>
      <c r="BD41" s="12">
        <f>IF('Données projet'!$A$88&gt;35,BD40+BC41-BL40,IF(A41&lt;'Données projet'!$A$88,$BA$205^A41,IF(A41='Données projet'!$A$88,'Données projet'!$B$88,BD40+BC41-BL40)))</f>
        <v>238.79999999999995</v>
      </c>
      <c r="BE41" s="13">
        <f>BD41*VLOOKUP('Données projet'!$B$11,Paramètres!$A$1:$I$89,3,0)*VLOOKUP('Données projet'!$B$11,Paramètres!$A$1:$I$89,5,0)</f>
        <v>189.98927999999998</v>
      </c>
      <c r="BF41" s="13">
        <f t="shared" si="37"/>
        <v>47.537582803650189</v>
      </c>
      <c r="BG41" s="20">
        <f t="shared" si="7"/>
        <v>413.69261938302407</v>
      </c>
      <c r="BH41" s="59">
        <f t="shared" si="8"/>
        <v>707.02595271635732</v>
      </c>
      <c r="BI41" s="59">
        <f ca="1">AVERAGE(OFFSET($BH$3,0,0,'Données projet'!$E$11+1,1))-AVERAGE(OFFSET($H$3,0,0,'Données projet'!$E$11+1,1))</f>
        <v>260.20517190557814</v>
      </c>
      <c r="BJ41" s="59">
        <f t="shared" si="38"/>
        <v>307.22009971147133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2.7848957237393459</v>
      </c>
      <c r="BQ41" s="21">
        <f>EXP(-LN(2)/25)*BQ40+(1-EXP(-LN(2)/25))/(LN(2)/25)*Calculateur!BL41*Calculateur!BN41*VLOOKUP('Données projet'!$B$11,Paramètres!$A$1:$I$89,3,0)*0.475*44/12</f>
        <v>16.437635642940808</v>
      </c>
      <c r="BR41" s="21">
        <f>EXP(-LN(2)/2)*BR40+(1-EXP(-LN(2)/2))/(LN(2)/2)*BL41*BO41*VLOOKUP('Données projet'!$B$11,Paramètres!$A$1:$I$89,3,0)*0.475*44/12</f>
        <v>1.5024396407973304</v>
      </c>
      <c r="BS41" s="22">
        <f t="shared" si="9"/>
        <v>20.724971007477485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9.1999999999999993</v>
      </c>
      <c r="BY41" s="12">
        <f>IF('Données projet'!$A$114&gt;35,BY40+BX41-CG40,IF(A41&lt;'Données projet'!$A$114,$BV$205^A41,IF(A41='Données projet'!$A$114,'Données projet'!$B$114,BY40+BX41-CG40)))</f>
        <v>233.59999999999991</v>
      </c>
      <c r="BZ41" s="13">
        <f>BY41*VLOOKUP('Données projet'!$B$12,Paramètres!$A$1:$I$89,3,0)*VLOOKUP('Données projet'!$B$12,Paramètres!$A$1:$I$89,5,0)</f>
        <v>153.05471999999992</v>
      </c>
      <c r="CA41" s="13">
        <f t="shared" si="39"/>
        <v>39.271965088385166</v>
      </c>
      <c r="CB41" s="20">
        <f t="shared" si="10"/>
        <v>334.96897652893739</v>
      </c>
      <c r="CC41" s="59">
        <f t="shared" si="11"/>
        <v>628.3023098622707</v>
      </c>
      <c r="CD41" s="59">
        <f ca="1">AVERAGE(OFFSET($CC$3,0,0,'Données projet'!$E$12+1,1))-AVERAGE(OFFSET($H$3,0,0,'Données projet'!$E$12+1,1))</f>
        <v>185.21927898775016</v>
      </c>
      <c r="CE41" s="59">
        <f t="shared" si="40"/>
        <v>240.82467772396944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1.3290845296425291</v>
      </c>
      <c r="CL41" s="21">
        <f>EXP(-LN(2)/25)*CL40+(1-EXP(-LN(2)/25))/(LN(2)/25)*Calculateur!CG41*Calculateur!CI41*VLOOKUP('Données projet'!$B$12,Paramètres!$A$1:$I$89,3,0)*0.475*44/12</f>
        <v>6.4390231015559021</v>
      </c>
      <c r="CM41" s="21">
        <f>EXP(-LN(2)/2)*CM40+(1-EXP(-LN(2)/2))/(LN(2)/2)*CG41*CJ41*VLOOKUP('Données projet'!$B$12,Paramètres!$A$1:$I$89,3,0)*0.475*44/12</f>
        <v>0.87477549913794295</v>
      </c>
      <c r="CN41" s="22">
        <f t="shared" si="12"/>
        <v>8.642883130336374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34.678799999999995</v>
      </c>
      <c r="D42" s="11">
        <f t="shared" si="32"/>
        <v>10.576760473435781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349.34116856687268</v>
      </c>
      <c r="H42" s="67">
        <f t="shared" si="1"/>
        <v>372.15343449123395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22.419230769230779</v>
      </c>
      <c r="N42" s="13">
        <f>IF('Données projet'!$A$36&gt;35,N41+M42-V41,IF(A42&lt;'Données projet'!$A$36,$K$205^A42,IF(A42='Données projet'!$A$36,'Données projet'!$B$36,N41+M42-V41)))</f>
        <v>401.46538461538432</v>
      </c>
      <c r="O42" s="13">
        <f>N42*VLOOKUP('Données projet'!$B$9,Paramètres!$A$1:$I$89,3,0)*VLOOKUP('Données projet'!$B$9,Paramètres!$A$1:$I$89,5,0)</f>
        <v>224.41914999999986</v>
      </c>
      <c r="P42" s="13">
        <f t="shared" si="33"/>
        <v>55.074251579267411</v>
      </c>
      <c r="Q42" s="20">
        <f t="shared" si="53"/>
        <v>486.78434108389047</v>
      </c>
      <c r="R42" s="59">
        <f t="shared" si="0"/>
        <v>780.11767441722372</v>
      </c>
      <c r="S42" s="59">
        <f ca="1">AVERAGE(OFFSET($R$3,0,0,'Données projet'!$E$9+1,1))-AVERAGE(OFFSET($H$3,0,0,'Données projet'!$E$9+1,1))</f>
        <v>255.5374979188561</v>
      </c>
      <c r="T42" s="59">
        <f t="shared" si="34"/>
        <v>343.10418468620901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2.5855712327682125</v>
      </c>
      <c r="AA42" s="21">
        <f>EXP(-LN(2)/25)*AA41+(1-EXP(-LN(2)/25))/(LN(2)/25)*Calculateur!V42*Calculateur!X42*VLOOKUP('Données projet'!$B$9,Paramètres!$A$1:$I$89,3,0)*0.475*44/12</f>
        <v>12.435668596507927</v>
      </c>
      <c r="AB42" s="21">
        <f>EXP(-LN(2)/2)*AB41+(1-EXP(-LN(2)/2))/(LN(2)/2)*V42*Y42*VLOOKUP('Données projet'!$B$9,Paramètres!$A$1:$I$89,3,0)*0.475*44/12</f>
        <v>7.4805360223217557E-2</v>
      </c>
      <c r="AC42" s="22">
        <f t="shared" si="3"/>
        <v>15.096045189499359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15.1</v>
      </c>
      <c r="AI42" s="13">
        <f>IF('Données projet'!$A$62&gt;35,AI41+AH42-AQ41,IF(A42&lt;'Données projet'!$A$62,$AF$205^A42,IF(A42='Données projet'!$A$62,'Données projet'!$B$62,AI41+AH42-AQ41)))</f>
        <v>314.90000000000009</v>
      </c>
      <c r="AJ42" s="13">
        <f>AI42*VLOOKUP('Données projet'!$B$10,Paramètres!$A$1:$I$89,3,0)*VLOOKUP('Données projet'!$B$10,Paramètres!$A$1:$I$89,5,0)</f>
        <v>196.49760000000006</v>
      </c>
      <c r="AK42" s="13">
        <f t="shared" si="35"/>
        <v>48.973656553237205</v>
      </c>
      <c r="AL42" s="20">
        <f t="shared" si="4"/>
        <v>427.5291051635549</v>
      </c>
      <c r="AM42" s="59">
        <f t="shared" si="5"/>
        <v>720.86243849688822</v>
      </c>
      <c r="AN42" s="59">
        <f ca="1">AVERAGE(OFFSET($AM$3,0,0,'Données projet'!$E$10+1,1))-AVERAGE(OFFSET($H$3,0,0,'Données projet'!$E$10+1,1))</f>
        <v>255.41017495879987</v>
      </c>
      <c r="AO42" s="59">
        <f t="shared" si="36"/>
        <v>297.50513563712764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6.9817736537896478</v>
      </c>
      <c r="AV42" s="21">
        <f>EXP(-LN(2)/25)*AV41+(1-EXP(-LN(2)/25))/(LN(2)/25)*Calculateur!AQ42*Calculateur!AS42*VLOOKUP('Données projet'!$B$10,Paramètres!$A$1:$I$89,3,0)*0.475*44/12</f>
        <v>21.715213759346341</v>
      </c>
      <c r="AW42" s="21">
        <f>EXP(-LN(2)/2)*AW41+(1-EXP(-LN(2)/2))/(LN(2)/2)*AQ42*AT42*VLOOKUP('Données projet'!$B$10,Paramètres!$A$1:$I$89,3,0)*0.475*44/12</f>
        <v>1.078390482621217</v>
      </c>
      <c r="AX42" s="21">
        <f t="shared" si="6"/>
        <v>29.775377895757206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12.1</v>
      </c>
      <c r="BD42" s="12">
        <f>IF('Données projet'!$A$88&gt;35,BD41+BC42-BL41,IF(A42&lt;'Données projet'!$A$88,$BA$205^A42,IF(A42='Données projet'!$A$88,'Données projet'!$B$88,BD41+BC42-BL41)))</f>
        <v>250.89999999999995</v>
      </c>
      <c r="BE42" s="13">
        <f>BD42*VLOOKUP('Données projet'!$B$11,Paramètres!$A$1:$I$89,3,0)*VLOOKUP('Données projet'!$B$11,Paramètres!$A$1:$I$89,5,0)</f>
        <v>199.61603999999997</v>
      </c>
      <c r="BF42" s="13">
        <f t="shared" si="37"/>
        <v>49.659775503665841</v>
      </c>
      <c r="BG42" s="20">
        <f t="shared" si="7"/>
        <v>434.15537866888457</v>
      </c>
      <c r="BH42" s="59">
        <f t="shared" si="8"/>
        <v>727.48871200221788</v>
      </c>
      <c r="BI42" s="59">
        <f ca="1">AVERAGE(OFFSET($BH$3,0,0,'Données projet'!$E$11+1,1))-AVERAGE(OFFSET($H$3,0,0,'Données projet'!$E$11+1,1))</f>
        <v>260.20517190557814</v>
      </c>
      <c r="BJ42" s="59">
        <f t="shared" si="38"/>
        <v>307.22009971147133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2.7302856172154844</v>
      </c>
      <c r="BQ42" s="21">
        <f>EXP(-LN(2)/25)*BQ41+(1-EXP(-LN(2)/25))/(LN(2)/25)*Calculateur!BL42*Calculateur!BN42*VLOOKUP('Données projet'!$B$11,Paramètres!$A$1:$I$89,3,0)*0.475*44/12</f>
        <v>15.988147631866902</v>
      </c>
      <c r="BR42" s="21">
        <f>EXP(-LN(2)/2)*BR41+(1-EXP(-LN(2)/2))/(LN(2)/2)*BL42*BO42*VLOOKUP('Données projet'!$B$11,Paramètres!$A$1:$I$89,3,0)*0.475*44/12</f>
        <v>1.062385258331273</v>
      </c>
      <c r="BS42" s="22">
        <f t="shared" si="9"/>
        <v>19.78081850741366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9.1999999999999993</v>
      </c>
      <c r="BY42" s="12">
        <f>IF('Données projet'!$A$114&gt;35,BY41+BX42-CG41,IF(A42&lt;'Données projet'!$A$114,$BV$205^A42,IF(A42='Données projet'!$A$114,'Données projet'!$B$114,BY41+BX42-CG41)))</f>
        <v>242.7999999999999</v>
      </c>
      <c r="BZ42" s="13">
        <f>BY42*VLOOKUP('Données projet'!$B$12,Paramètres!$A$1:$I$89,3,0)*VLOOKUP('Données projet'!$B$12,Paramètres!$A$1:$I$89,5,0)</f>
        <v>159.08255999999994</v>
      </c>
      <c r="CA42" s="13">
        <f t="shared" si="39"/>
        <v>40.635515049195867</v>
      </c>
      <c r="CB42" s="20">
        <f t="shared" si="10"/>
        <v>347.84231404401606</v>
      </c>
      <c r="CC42" s="59">
        <f t="shared" si="11"/>
        <v>641.17564737734938</v>
      </c>
      <c r="CD42" s="59">
        <f ca="1">AVERAGE(OFFSET($CC$3,0,0,'Données projet'!$E$12+1,1))-AVERAGE(OFFSET($H$3,0,0,'Données projet'!$E$12+1,1))</f>
        <v>185.21927898775016</v>
      </c>
      <c r="CE42" s="59">
        <f t="shared" si="40"/>
        <v>240.82467772396944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1.303021992677756</v>
      </c>
      <c r="CL42" s="21">
        <f>EXP(-LN(2)/25)*CL41+(1-EXP(-LN(2)/25))/(LN(2)/25)*Calculateur!CG42*Calculateur!CI42*VLOOKUP('Données projet'!$B$12,Paramètres!$A$1:$I$89,3,0)*0.475*44/12</f>
        <v>6.2629476762303478</v>
      </c>
      <c r="CM42" s="21">
        <f>EXP(-LN(2)/2)*CM41+(1-EXP(-LN(2)/2))/(LN(2)/2)*CG42*CJ42*VLOOKUP('Données projet'!$B$12,Paramètres!$A$1:$I$89,3,0)*0.475*44/12</f>
        <v>0.61855968745628631</v>
      </c>
      <c r="CN42" s="22">
        <f t="shared" si="12"/>
        <v>8.1845293563643899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35.567999999999998</v>
      </c>
      <c r="D43" s="11">
        <f t="shared" si="32"/>
        <v>10.816037660735208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358.0522205390086</v>
      </c>
      <c r="H43" s="67">
        <f t="shared" si="1"/>
        <v>374.11886559244715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22.419230769230779</v>
      </c>
      <c r="N43" s="13">
        <f>IF('Données projet'!$A$36&gt;35,N42+M43-V42,IF(A43&lt;'Données projet'!$A$36,$K$205^A43,IF(A43='Données projet'!$A$36,'Données projet'!$B$36,N42+M43-V42)))</f>
        <v>423.88461538461513</v>
      </c>
      <c r="O43" s="13">
        <f>N43*VLOOKUP('Données projet'!$B$9,Paramètres!$A$1:$I$89,3,0)*VLOOKUP('Données projet'!$B$9,Paramètres!$A$1:$I$89,5,0)</f>
        <v>236.95149999999987</v>
      </c>
      <c r="P43" s="13">
        <f t="shared" si="33"/>
        <v>57.783143668102703</v>
      </c>
      <c r="Q43" s="20">
        <f t="shared" si="53"/>
        <v>513.32950438861201</v>
      </c>
      <c r="R43" s="59">
        <f t="shared" si="0"/>
        <v>806.66283772194538</v>
      </c>
      <c r="S43" s="59">
        <f ca="1">AVERAGE(OFFSET($R$3,0,0,'Données projet'!$E$9+1,1))-AVERAGE(OFFSET($H$3,0,0,'Données projet'!$E$9+1,1))</f>
        <v>255.5374979188561</v>
      </c>
      <c r="T43" s="59">
        <f t="shared" si="34"/>
        <v>343.10418468620901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2.5348697579363599</v>
      </c>
      <c r="AA43" s="21">
        <f>EXP(-LN(2)/25)*AA42+(1-EXP(-LN(2)/25))/(LN(2)/25)*Calculateur!V43*Calculateur!X43*VLOOKUP('Données projet'!$B$9,Paramètres!$A$1:$I$89,3,0)*0.475*44/12</f>
        <v>12.095614584773029</v>
      </c>
      <c r="AB43" s="21">
        <f>EXP(-LN(2)/2)*AB42+(1-EXP(-LN(2)/2))/(LN(2)/2)*V43*Y43*VLOOKUP('Données projet'!$B$9,Paramètres!$A$1:$I$89,3,0)*0.475*44/12</f>
        <v>5.2895377482939564E-2</v>
      </c>
      <c r="AC43" s="22">
        <f t="shared" si="3"/>
        <v>14.683379720192329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>
        <f>VLOOKUP(A43,'Données projet'!$A$61:$I$81,2,0)</f>
        <v>330</v>
      </c>
      <c r="AG43" s="12">
        <f>VLOOKUP(A43,'Données projet'!$A$61:$I$81,9,0)</f>
        <v>15.1</v>
      </c>
      <c r="AH43" s="12">
        <f t="array" ref="AH43">INDEX(AG:AG,MIN(IF(ISNUMBER(AG43:AG239),ROW(AG43:AG239),"")))</f>
        <v>15.1</v>
      </c>
      <c r="AI43" s="13">
        <f>IF('Données projet'!$A$62&gt;35,AI42+AH43-AQ42,IF(A43&lt;'Données projet'!$A$62,$AF$205^A43,IF(A43='Données projet'!$A$62,'Données projet'!$B$62,AI42+AH43-AQ42)))</f>
        <v>330.00000000000011</v>
      </c>
      <c r="AJ43" s="13">
        <f>AI43*VLOOKUP('Données projet'!$B$10,Paramètres!$A$1:$I$89,3,0)*VLOOKUP('Données projet'!$B$10,Paramètres!$A$1:$I$89,5,0)</f>
        <v>205.9200000000001</v>
      </c>
      <c r="AK43" s="13">
        <f t="shared" si="35"/>
        <v>51.042987531485686</v>
      </c>
      <c r="AL43" s="20">
        <f t="shared" si="4"/>
        <v>447.54386995067108</v>
      </c>
      <c r="AM43" s="59">
        <f t="shared" si="5"/>
        <v>740.87720328400439</v>
      </c>
      <c r="AN43" s="59">
        <f ca="1">AVERAGE(OFFSET($AM$3,0,0,'Données projet'!$E$10+1,1))-AVERAGE(OFFSET($H$3,0,0,'Données projet'!$E$10+1,1))</f>
        <v>255.41017495879987</v>
      </c>
      <c r="AO43" s="59">
        <f t="shared" si="36"/>
        <v>297.50513563712764</v>
      </c>
      <c r="AP43" s="15">
        <f>IF(ISNA(VLOOKUP(A43,'Données projet'!$A$61:$I$81,3,0)),0,VLOOKUP(A43,'Données projet'!$A$61:$I$81,3,0))</f>
        <v>3</v>
      </c>
      <c r="AQ43" s="15">
        <f>IF(ISNA(VLOOKUP(A43,'Données projet'!$A$61:$I$81,4,0)),0,VLOOKUP(A43,'Données projet'!$A$61:$I$81,4,0))</f>
        <v>82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6.8448653309002738</v>
      </c>
      <c r="AV43" s="21">
        <f>EXP(-LN(2)/25)*AV42+(1-EXP(-LN(2)/25))/(LN(2)/25)*Calculateur!AQ43*Calculateur!AS43*VLOOKUP('Données projet'!$B$10,Paramètres!$A$1:$I$89,3,0)*0.475*44/12</f>
        <v>21.121410097143553</v>
      </c>
      <c r="AW43" s="21">
        <f>EXP(-LN(2)/2)*AW42+(1-EXP(-LN(2)/2))/(LN(2)/2)*AQ43*AT43*VLOOKUP('Données projet'!$B$10,Paramètres!$A$1:$I$89,3,0)*0.475*44/12</f>
        <v>0.76253722302849625</v>
      </c>
      <c r="AX43" s="21">
        <f t="shared" si="6"/>
        <v>28.728812651072321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>
        <f>VLOOKUP(A43,'Données projet'!$A$87:$I$107,2,0)</f>
        <v>263</v>
      </c>
      <c r="BB43" s="12">
        <f>VLOOKUP(A43,'Données projet'!$A$87:$I$107,9,0)</f>
        <v>12.1</v>
      </c>
      <c r="BC43" s="12">
        <f t="array" ref="BC43">INDEX(BB:BB,MIN(IF(ISNUMBER(BB43:BB239),ROW(BB43:BB239),"")))</f>
        <v>12.1</v>
      </c>
      <c r="BD43" s="12">
        <f>IF('Données projet'!$A$88&gt;35,BD42+BC43-BL42,IF(A43&lt;'Données projet'!$A$88,$BA$205^A43,IF(A43='Données projet'!$A$88,'Données projet'!$B$88,BD42+BC43-BL42)))</f>
        <v>262.99999999999994</v>
      </c>
      <c r="BE43" s="13">
        <f>BD43*VLOOKUP('Données projet'!$B$11,Paramètres!$A$1:$I$89,3,0)*VLOOKUP('Données projet'!$B$11,Paramètres!$A$1:$I$89,5,0)</f>
        <v>209.24279999999996</v>
      </c>
      <c r="BF43" s="13">
        <f t="shared" si="37"/>
        <v>51.770083677016814</v>
      </c>
      <c r="BG43" s="20">
        <f t="shared" si="7"/>
        <v>454.59743907080411</v>
      </c>
      <c r="BH43" s="59">
        <f t="shared" si="8"/>
        <v>747.93077240413743</v>
      </c>
      <c r="BI43" s="59">
        <f ca="1">AVERAGE(OFFSET($BH$3,0,0,'Données projet'!$E$11+1,1))-AVERAGE(OFFSET($H$3,0,0,'Données projet'!$E$11+1,1))</f>
        <v>260.20517190557814</v>
      </c>
      <c r="BJ43" s="59">
        <f t="shared" si="38"/>
        <v>307.22009971147133</v>
      </c>
      <c r="BK43" s="15">
        <f>IF(ISNA(VLOOKUP(A43,'Données projet'!$A$87:$I$107,3,0)),0,VLOOKUP(A43,'Données projet'!$A$87:$I$107,3,0))</f>
        <v>3</v>
      </c>
      <c r="BL43" s="15">
        <f>IF(ISNA(VLOOKUP(A43,'Données projet'!$A$87:$I$107,4,0)),0,VLOOKUP(A43,'Données projet'!$A$87:$I$107,4,0))</f>
        <v>70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2.6767463815716797</v>
      </c>
      <c r="BQ43" s="21">
        <f>EXP(-LN(2)/25)*BQ42+(1-EXP(-LN(2)/25))/(LN(2)/25)*Calculateur!BL43*Calculateur!BN43*VLOOKUP('Données projet'!$B$11,Paramètres!$A$1:$I$89,3,0)*0.475*44/12</f>
        <v>15.550950894093358</v>
      </c>
      <c r="BR43" s="21">
        <f>EXP(-LN(2)/2)*BR42+(1-EXP(-LN(2)/2))/(LN(2)/2)*BL43*BO43*VLOOKUP('Données projet'!$B$11,Paramètres!$A$1:$I$89,3,0)*0.475*44/12</f>
        <v>0.75121982039866519</v>
      </c>
      <c r="BS43" s="22">
        <f t="shared" si="9"/>
        <v>18.9789170960637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>
        <f>VLOOKUP(A43,'Données projet'!$A$113:$I$133,2,0)</f>
        <v>252</v>
      </c>
      <c r="BW43" s="12">
        <f>VLOOKUP(A43,'Données projet'!$A$113:$I$133,9,0)</f>
        <v>9.1999999999999993</v>
      </c>
      <c r="BX43" s="12">
        <f t="array" ref="BX43">INDEX(BW:BW,MIN(IF(ISNUMBER(BW43:BW239),ROW(BW43:BW239),"")))</f>
        <v>9.1999999999999993</v>
      </c>
      <c r="BY43" s="12">
        <f>IF('Données projet'!$A$114&gt;35,BY42+BX43-CG42,IF(A43&lt;'Données projet'!$A$114,$BV$205^A43,IF(A43='Données projet'!$A$114,'Données projet'!$B$114,BY42+BX43-CG42)))</f>
        <v>251.99999999999989</v>
      </c>
      <c r="BZ43" s="13">
        <f>BY43*VLOOKUP('Données projet'!$B$12,Paramètres!$A$1:$I$89,3,0)*VLOOKUP('Données projet'!$B$12,Paramètres!$A$1:$I$89,5,0)</f>
        <v>165.11039999999991</v>
      </c>
      <c r="CA43" s="13">
        <f t="shared" si="39"/>
        <v>41.993062739333446</v>
      </c>
      <c r="CB43" s="20">
        <f t="shared" si="10"/>
        <v>360.70519760433893</v>
      </c>
      <c r="CC43" s="59">
        <f t="shared" si="11"/>
        <v>654.03853093767225</v>
      </c>
      <c r="CD43" s="59">
        <f ca="1">AVERAGE(OFFSET($CC$3,0,0,'Données projet'!$E$12+1,1))-AVERAGE(OFFSET($H$3,0,0,'Données projet'!$E$12+1,1))</f>
        <v>185.21927898775016</v>
      </c>
      <c r="CE43" s="59">
        <f t="shared" si="40"/>
        <v>240.82467772396944</v>
      </c>
      <c r="CF43" s="15">
        <f>IF(ISNA(VLOOKUP(A43,'Données projet'!$A$113:$I$133,3,0)),0,VLOOKUP(A43,'Données projet'!$A$113:$I$133,3,0))</f>
        <v>3</v>
      </c>
      <c r="CG43" s="15">
        <f>IF(ISNA(VLOOKUP(A43,'Données projet'!$A$113:$I$133,4,0)),0,VLOOKUP(A43,'Données projet'!$A$113:$I$133,4,0))</f>
        <v>56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>
        <f>EXP(-LN(2)/35)*CK42+(1-EXP(-LN(2)/35))/(LN(2)/35)*CG43*CH43*VLOOKUP('Données projet'!$B$12,Paramètres!$A$1:$I$89,3,0)*0.475*44/12</f>
        <v>1.2774705261662842</v>
      </c>
      <c r="CL43" s="21">
        <f>EXP(-LN(2)/25)*CL42+(1-EXP(-LN(2)/25))/(LN(2)/25)*Calculateur!CG43*Calculateur!CI43*VLOOKUP('Données projet'!$B$12,Paramètres!$A$1:$I$89,3,0)*0.475*44/12</f>
        <v>6.0916870426697249</v>
      </c>
      <c r="CM43" s="21">
        <f>EXP(-LN(2)/2)*CM42+(1-EXP(-LN(2)/2))/(LN(2)/2)*CG43*CJ43*VLOOKUP('Données projet'!$B$12,Paramètres!$A$1:$I$89,3,0)*0.475*44/12</f>
        <v>0.43738774956897147</v>
      </c>
      <c r="CN43" s="22">
        <f t="shared" si="12"/>
        <v>7.8065453184049804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36.4572</v>
      </c>
      <c r="D44" s="11">
        <f t="shared" si="32"/>
        <v>11.054619486999963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366.75790481192956</v>
      </c>
      <c r="H44" s="67">
        <f t="shared" si="1"/>
        <v>376.08308560652495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22.419230769230779</v>
      </c>
      <c r="N44" s="13">
        <f>IF('Données projet'!$A$36&gt;35,N43+M44-V43,IF(A44&lt;'Données projet'!$A$36,$K$205^A44,IF(A44='Données projet'!$A$36,'Données projet'!$B$36,N43+M44-V43)))</f>
        <v>446.30384615384594</v>
      </c>
      <c r="O44" s="13">
        <f>N44*VLOOKUP('Données projet'!$B$9,Paramètres!$A$1:$I$89,3,0)*VLOOKUP('Données projet'!$B$9,Paramètres!$A$1:$I$89,5,0)</f>
        <v>249.4838499999999</v>
      </c>
      <c r="P44" s="13">
        <f t="shared" si="33"/>
        <v>60.475401807280001</v>
      </c>
      <c r="Q44" s="20">
        <f t="shared" si="53"/>
        <v>539.84569689767909</v>
      </c>
      <c r="R44" s="59">
        <f t="shared" si="0"/>
        <v>833.17903023101235</v>
      </c>
      <c r="S44" s="59">
        <f ca="1">AVERAGE(OFFSET($R$3,0,0,'Données projet'!$E$9+1,1))-AVERAGE(OFFSET($H$3,0,0,'Données projet'!$E$9+1,1))</f>
        <v>255.5374979188561</v>
      </c>
      <c r="T44" s="59">
        <f t="shared" si="34"/>
        <v>343.10418468620901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2.4851625081011139</v>
      </c>
      <c r="AA44" s="21">
        <f>EXP(-LN(2)/25)*AA43+(1-EXP(-LN(2)/25))/(LN(2)/25)*Calculateur!V44*Calculateur!X44*VLOOKUP('Données projet'!$B$9,Paramètres!$A$1:$I$89,3,0)*0.475*44/12</f>
        <v>11.764859367871685</v>
      </c>
      <c r="AB44" s="21">
        <f>EXP(-LN(2)/2)*AB43+(1-EXP(-LN(2)/2))/(LN(2)/2)*V44*Y44*VLOOKUP('Données projet'!$B$9,Paramètres!$A$1:$I$89,3,0)*0.475*44/12</f>
        <v>3.7402680111608778E-2</v>
      </c>
      <c r="AC44" s="22">
        <f t="shared" si="3"/>
        <v>14.287424556084407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12.4</v>
      </c>
      <c r="AI44" s="13">
        <f>IF('Données projet'!$A$62&gt;35,AI43+AH44-AQ43,IF(A44&lt;'Données projet'!$A$62,$AF$205^A44,IF(A44='Données projet'!$A$62,'Données projet'!$B$62,AI43+AH44-AQ43)))</f>
        <v>260.40000000000009</v>
      </c>
      <c r="AJ44" s="13">
        <f>AI44*VLOOKUP('Données projet'!$B$10,Paramètres!$A$1:$I$89,3,0)*VLOOKUP('Données projet'!$B$10,Paramètres!$A$1:$I$89,5,0)</f>
        <v>162.48960000000005</v>
      </c>
      <c r="AK44" s="13">
        <f t="shared" si="35"/>
        <v>41.403546033820696</v>
      </c>
      <c r="AL44" s="20">
        <f t="shared" si="4"/>
        <v>355.11389600890448</v>
      </c>
      <c r="AM44" s="59">
        <f t="shared" si="5"/>
        <v>648.44722934223773</v>
      </c>
      <c r="AN44" s="59">
        <f ca="1">AVERAGE(OFFSET($AM$3,0,0,'Données projet'!$E$10+1,1))-AVERAGE(OFFSET($H$3,0,0,'Données projet'!$E$10+1,1))</f>
        <v>255.41017495879987</v>
      </c>
      <c r="AO44" s="59">
        <f t="shared" si="36"/>
        <v>297.50513563712764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6.7106416967169285</v>
      </c>
      <c r="AV44" s="21">
        <f>EXP(-LN(2)/25)*AV43+(1-EXP(-LN(2)/25))/(LN(2)/25)*Calculateur!AQ44*Calculateur!AS44*VLOOKUP('Données projet'!$B$10,Paramètres!$A$1:$I$89,3,0)*0.475*44/12</f>
        <v>20.543844027310477</v>
      </c>
      <c r="AW44" s="21">
        <f>EXP(-LN(2)/2)*AW43+(1-EXP(-LN(2)/2))/(LN(2)/2)*AQ44*AT44*VLOOKUP('Données projet'!$B$10,Paramètres!$A$1:$I$89,3,0)*0.475*44/12</f>
        <v>0.53919524131060848</v>
      </c>
      <c r="AX44" s="21">
        <f t="shared" si="6"/>
        <v>27.793680965338012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9.1999999999999993</v>
      </c>
      <c r="BD44" s="12">
        <f>IF('Données projet'!$A$88&gt;35,BD43+BC44-BL43,IF(A44&lt;'Données projet'!$A$88,$BA$205^A44,IF(A44='Données projet'!$A$88,'Données projet'!$B$88,BD43+BC44-BL43)))</f>
        <v>202.19999999999993</v>
      </c>
      <c r="BE44" s="13">
        <f>BD44*VLOOKUP('Données projet'!$B$11,Paramètres!$A$1:$I$89,3,0)*VLOOKUP('Données projet'!$B$11,Paramètres!$A$1:$I$89,5,0)</f>
        <v>160.87031999999996</v>
      </c>
      <c r="BF44" s="13">
        <f t="shared" si="37"/>
        <v>41.038756492063129</v>
      </c>
      <c r="BG44" s="20">
        <f t="shared" si="7"/>
        <v>351.65830822367656</v>
      </c>
      <c r="BH44" s="59">
        <f t="shared" si="8"/>
        <v>644.99164155700987</v>
      </c>
      <c r="BI44" s="59">
        <f ca="1">AVERAGE(OFFSET($BH$3,0,0,'Données projet'!$E$11+1,1))-AVERAGE(OFFSET($H$3,0,0,'Données projet'!$E$11+1,1))</f>
        <v>260.20517190557814</v>
      </c>
      <c r="BJ44" s="59">
        <f t="shared" si="38"/>
        <v>307.22009971147133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2.6242570176831408</v>
      </c>
      <c r="BQ44" s="21">
        <f>EXP(-LN(2)/25)*BQ43+(1-EXP(-LN(2)/25))/(LN(2)/25)*Calculateur!BL44*Calculateur!BN44*VLOOKUP('Données projet'!$B$11,Paramètres!$A$1:$I$89,3,0)*0.475*44/12</f>
        <v>15.12570932410541</v>
      </c>
      <c r="BR44" s="21">
        <f>EXP(-LN(2)/2)*BR43+(1-EXP(-LN(2)/2))/(LN(2)/2)*BL44*BO44*VLOOKUP('Données projet'!$B$11,Paramètres!$A$1:$I$89,3,0)*0.475*44/12</f>
        <v>0.53119262916563648</v>
      </c>
      <c r="BS44" s="22">
        <f t="shared" si="9"/>
        <v>18.281158970954188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7.8</v>
      </c>
      <c r="BY44" s="12">
        <f>IF('Données projet'!$A$114&gt;35,BY43+BX44-CG43,IF(A44&lt;'Données projet'!$A$114,$BV$205^A44,IF(A44='Données projet'!$A$114,'Données projet'!$B$114,BY43+BX44-CG43)))</f>
        <v>203.7999999999999</v>
      </c>
      <c r="BZ44" s="13">
        <f>BY44*VLOOKUP('Données projet'!$B$12,Paramètres!$A$1:$I$89,3,0)*VLOOKUP('Données projet'!$B$12,Paramètres!$A$1:$I$89,5,0)</f>
        <v>133.52975999999992</v>
      </c>
      <c r="CA44" s="13">
        <f t="shared" si="39"/>
        <v>34.810707184454202</v>
      </c>
      <c r="CB44" s="20">
        <f t="shared" si="10"/>
        <v>293.19298034625757</v>
      </c>
      <c r="CC44" s="59">
        <f t="shared" si="11"/>
        <v>586.52631367959088</v>
      </c>
      <c r="CD44" s="59">
        <f ca="1">AVERAGE(OFFSET($CC$3,0,0,'Données projet'!$E$12+1,1))-AVERAGE(OFFSET($H$3,0,0,'Données projet'!$E$12+1,1))</f>
        <v>185.21927898775016</v>
      </c>
      <c r="CE44" s="59">
        <f t="shared" si="40"/>
        <v>240.82467772396944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1.2524201083282467</v>
      </c>
      <c r="CL44" s="21">
        <f>EXP(-LN(2)/25)*CL43+(1-EXP(-LN(2)/25))/(LN(2)/25)*Calculateur!CG44*Calculateur!CI44*VLOOKUP('Données projet'!$B$12,Paramètres!$A$1:$I$89,3,0)*0.475*44/12</f>
        <v>5.9251095401400224</v>
      </c>
      <c r="CM44" s="21">
        <f>EXP(-LN(2)/2)*CM43+(1-EXP(-LN(2)/2))/(LN(2)/2)*CG44*CJ44*VLOOKUP('Données projet'!$B$12,Paramètres!$A$1:$I$89,3,0)*0.475*44/12</f>
        <v>0.30927984372814316</v>
      </c>
      <c r="CN44" s="22">
        <f t="shared" si="12"/>
        <v>7.4868094921964126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37.346400000000003</v>
      </c>
      <c r="D45" s="11">
        <f t="shared" si="32"/>
        <v>11.292524863342397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375.45836736615183</v>
      </c>
      <c r="H45" s="67">
        <f t="shared" si="1"/>
        <v>378.04612747032132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>
        <f>VLOOKUP(A45,'Données projet'!$A$35:$I$55,2,0)</f>
        <v>468.72307692307692</v>
      </c>
      <c r="L45" s="12">
        <f>VLOOKUP(A45,'Données projet'!$A$35:$I$55,9,0)</f>
        <v>22.419230769230779</v>
      </c>
      <c r="M45" s="12">
        <f t="array" ref="M45">INDEX(L:L,MIN(IF(ISNUMBER(L45:L241),ROW(L45:L241),"")))</f>
        <v>22.419230769230779</v>
      </c>
      <c r="N45" s="13">
        <f>IF('Données projet'!$A$36&gt;35,N44+M45-V44,IF(A45&lt;'Données projet'!$A$36,$K$205^A45,IF(A45='Données projet'!$A$36,'Données projet'!$B$36,N44+M45-V44)))</f>
        <v>468.72307692307675</v>
      </c>
      <c r="O45" s="13">
        <f>N45*VLOOKUP('Données projet'!$B$9,Paramètres!$A$1:$I$89,3,0)*VLOOKUP('Données projet'!$B$9,Paramètres!$A$1:$I$89,5,0)</f>
        <v>262.01619999999991</v>
      </c>
      <c r="P45" s="13">
        <f t="shared" si="33"/>
        <v>63.151956912854573</v>
      </c>
      <c r="Q45" s="20">
        <f t="shared" si="53"/>
        <v>566.33453995655486</v>
      </c>
      <c r="R45" s="59">
        <f t="shared" si="0"/>
        <v>859.66787328988812</v>
      </c>
      <c r="S45" s="59">
        <f ca="1">AVERAGE(OFFSET($R$3,0,0,'Données projet'!$E$9+1,1))-AVERAGE(OFFSET($H$3,0,0,'Données projet'!$E$9+1,1))</f>
        <v>255.5374979188561</v>
      </c>
      <c r="T45" s="59">
        <f t="shared" si="34"/>
        <v>343.10418468620901</v>
      </c>
      <c r="U45" s="15">
        <f>IF(ISNA(VLOOKUP(A45,'Données projet'!$A$35:$I$55,3,0)),0,VLOOKUP(A45,'Données projet'!$A$35:$I$55,3,0))</f>
        <v>5</v>
      </c>
      <c r="V45" s="15">
        <f>IF(ISNA(VLOOKUP(A45,'Données projet'!$A$35:$I$55,4,0)),0,VLOOKUP(A45,'Données projet'!$A$35:$I$55,4,0))</f>
        <v>73.392307692307682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2.4364299871167083</v>
      </c>
      <c r="AA45" s="21">
        <f>EXP(-LN(2)/25)*AA44+(1-EXP(-LN(2)/25))/(LN(2)/25)*Calculateur!V45*Calculateur!X45*VLOOKUP('Données projet'!$B$9,Paramètres!$A$1:$I$89,3,0)*0.475*44/12</f>
        <v>11.443148669770169</v>
      </c>
      <c r="AB45" s="21">
        <f>EXP(-LN(2)/2)*AB44+(1-EXP(-LN(2)/2))/(LN(2)/2)*V45*Y45*VLOOKUP('Données projet'!$B$9,Paramètres!$A$1:$I$89,3,0)*0.475*44/12</f>
        <v>2.6447688741469782E-2</v>
      </c>
      <c r="AC45" s="22">
        <f t="shared" si="3"/>
        <v>13.906026345628348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12.4</v>
      </c>
      <c r="AI45" s="13">
        <f>IF('Données projet'!$A$62&gt;35,AI44+AH45-AQ44,IF(A45&lt;'Données projet'!$A$62,$AF$205^A45,IF(A45='Données projet'!$A$62,'Données projet'!$B$62,AI44+AH45-AQ44)))</f>
        <v>272.80000000000007</v>
      </c>
      <c r="AJ45" s="13">
        <f>AI45*VLOOKUP('Données projet'!$B$10,Paramètres!$A$1:$I$89,3,0)*VLOOKUP('Données projet'!$B$10,Paramètres!$A$1:$I$89,5,0)</f>
        <v>170.22720000000004</v>
      </c>
      <c r="AK45" s="13">
        <f t="shared" si="35"/>
        <v>43.140904871338378</v>
      </c>
      <c r="AL45" s="20">
        <f t="shared" si="4"/>
        <v>371.6161159842477</v>
      </c>
      <c r="AM45" s="59">
        <f t="shared" si="5"/>
        <v>664.94944931758096</v>
      </c>
      <c r="AN45" s="59">
        <f ca="1">AVERAGE(OFFSET($AM$3,0,0,'Données projet'!$E$10+1,1))-AVERAGE(OFFSET($H$3,0,0,'Données projet'!$E$10+1,1))</f>
        <v>255.41017495879987</v>
      </c>
      <c r="AO45" s="59">
        <f t="shared" si="36"/>
        <v>297.50513563712764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6.5790501061315858</v>
      </c>
      <c r="AV45" s="21">
        <f>EXP(-LN(2)/25)*AV44+(1-EXP(-LN(2)/25))/(LN(2)/25)*Calculateur!AQ45*Calculateur!AS45*VLOOKUP('Données projet'!$B$10,Paramètres!$A$1:$I$89,3,0)*0.475*44/12</f>
        <v>19.98207153202987</v>
      </c>
      <c r="AW45" s="21">
        <f>EXP(-LN(2)/2)*AW44+(1-EXP(-LN(2)/2))/(LN(2)/2)*AQ45*AT45*VLOOKUP('Données projet'!$B$10,Paramètres!$A$1:$I$89,3,0)*0.475*44/12</f>
        <v>0.38126861151424812</v>
      </c>
      <c r="AX45" s="21">
        <f t="shared" si="6"/>
        <v>26.942390249675704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9.1999999999999993</v>
      </c>
      <c r="BD45" s="12">
        <f>IF('Données projet'!$A$88&gt;35,BD44+BC45-BL44,IF(A45&lt;'Données projet'!$A$88,$BA$205^A45,IF(A45='Données projet'!$A$88,'Données projet'!$B$88,BD44+BC45-BL44)))</f>
        <v>211.39999999999992</v>
      </c>
      <c r="BE45" s="13">
        <f>BD45*VLOOKUP('Données projet'!$B$11,Paramètres!$A$1:$I$89,3,0)*VLOOKUP('Données projet'!$B$11,Paramètres!$A$1:$I$89,5,0)</f>
        <v>168.18983999999995</v>
      </c>
      <c r="BF45" s="13">
        <f t="shared" si="37"/>
        <v>42.684355718695357</v>
      </c>
      <c r="BG45" s="20">
        <f t="shared" si="7"/>
        <v>367.27255754339438</v>
      </c>
      <c r="BH45" s="59">
        <f t="shared" si="8"/>
        <v>660.6058908767277</v>
      </c>
      <c r="BI45" s="59">
        <f ca="1">AVERAGE(OFFSET($BH$3,0,0,'Données projet'!$E$11+1,1))-AVERAGE(OFFSET($H$3,0,0,'Données projet'!$E$11+1,1))</f>
        <v>260.20517190557814</v>
      </c>
      <c r="BJ45" s="59">
        <f t="shared" si="38"/>
        <v>307.22009971147133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2.572796938205105</v>
      </c>
      <c r="BQ45" s="21">
        <f>EXP(-LN(2)/25)*BQ44+(1-EXP(-LN(2)/25))/(LN(2)/25)*Calculateur!BL45*Calculateur!BN45*VLOOKUP('Données projet'!$B$11,Paramètres!$A$1:$I$89,3,0)*0.475*44/12</f>
        <v>14.712096007211263</v>
      </c>
      <c r="BR45" s="21">
        <f>EXP(-LN(2)/2)*BR44+(1-EXP(-LN(2)/2))/(LN(2)/2)*BL45*BO45*VLOOKUP('Données projet'!$B$11,Paramètres!$A$1:$I$89,3,0)*0.475*44/12</f>
        <v>0.3756099101993326</v>
      </c>
      <c r="BS45" s="22">
        <f t="shared" si="9"/>
        <v>17.6605028556157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7.8</v>
      </c>
      <c r="BY45" s="12">
        <f>IF('Données projet'!$A$114&gt;35,BY44+BX45-CG44,IF(A45&lt;'Données projet'!$A$114,$BV$205^A45,IF(A45='Données projet'!$A$114,'Données projet'!$B$114,BY44+BX45-CG44)))</f>
        <v>211.59999999999991</v>
      </c>
      <c r="BZ45" s="13">
        <f>BY45*VLOOKUP('Données projet'!$B$12,Paramètres!$A$1:$I$89,3,0)*VLOOKUP('Données projet'!$B$12,Paramètres!$A$1:$I$89,5,0)</f>
        <v>138.64031999999995</v>
      </c>
      <c r="CA45" s="13">
        <f t="shared" si="39"/>
        <v>35.985345198165781</v>
      </c>
      <c r="CB45" s="20">
        <f t="shared" si="10"/>
        <v>304.13970022013865</v>
      </c>
      <c r="CC45" s="59">
        <f t="shared" si="11"/>
        <v>597.47303355347196</v>
      </c>
      <c r="CD45" s="59">
        <f ca="1">AVERAGE(OFFSET($CC$3,0,0,'Données projet'!$E$12+1,1))-AVERAGE(OFFSET($H$3,0,0,'Données projet'!$E$12+1,1))</f>
        <v>185.21927898775016</v>
      </c>
      <c r="CE45" s="59">
        <f t="shared" si="40"/>
        <v>240.82467772396944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1.2278609139047669</v>
      </c>
      <c r="CL45" s="21">
        <f>EXP(-LN(2)/25)*CL44+(1-EXP(-LN(2)/25))/(LN(2)/25)*Calculateur!CG45*Calculateur!CI45*VLOOKUP('Données projet'!$B$12,Paramètres!$A$1:$I$89,3,0)*0.475*44/12</f>
        <v>5.7630871081769248</v>
      </c>
      <c r="CM45" s="21">
        <f>EXP(-LN(2)/2)*CM44+(1-EXP(-LN(2)/2))/(LN(2)/2)*CG45*CJ45*VLOOKUP('Données projet'!$B$12,Paramètres!$A$1:$I$89,3,0)*0.475*44/12</f>
        <v>0.21869387478448574</v>
      </c>
      <c r="CN45" s="22">
        <f t="shared" si="12"/>
        <v>7.2096418968661773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38.235600000000005</v>
      </c>
      <c r="D46" s="11">
        <f t="shared" si="32"/>
        <v>11.529771748983352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384.15374683425745</v>
      </c>
      <c r="H46" s="67">
        <f t="shared" si="1"/>
        <v>380.00802246281268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21.625641025641027</v>
      </c>
      <c r="N46" s="13">
        <f>IF('Données projet'!$A$36&gt;35,N45+M46-V45,IF(A46&lt;'Données projet'!$A$36,$K$205^A46,IF(A46='Données projet'!$A$36,'Données projet'!$B$36,N45+M46-V45)))</f>
        <v>416.95641025641009</v>
      </c>
      <c r="O46" s="13">
        <f>N46*VLOOKUP('Données projet'!$B$9,Paramètres!$A$1:$I$89,3,0)*VLOOKUP('Données projet'!$B$9,Paramètres!$A$1:$I$89,5,0)</f>
        <v>233.07863333333327</v>
      </c>
      <c r="P46" s="13">
        <f t="shared" si="33"/>
        <v>56.947838023653489</v>
      </c>
      <c r="Q46" s="20">
        <f t="shared" si="53"/>
        <v>505.12943761341859</v>
      </c>
      <c r="R46" s="59">
        <f t="shared" si="0"/>
        <v>798.4627709467519</v>
      </c>
      <c r="S46" s="59">
        <f ca="1">AVERAGE(OFFSET($R$3,0,0,'Données projet'!$E$9+1,1))-AVERAGE(OFFSET($H$3,0,0,'Données projet'!$E$9+1,1))</f>
        <v>255.5374979188561</v>
      </c>
      <c r="T46" s="59">
        <f t="shared" si="34"/>
        <v>343.10418468620901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2.3886530811449043</v>
      </c>
      <c r="AA46" s="21">
        <f>EXP(-LN(2)/25)*AA45+(1-EXP(-LN(2)/25))/(LN(2)/25)*Calculateur!V46*Calculateur!X46*VLOOKUP('Données projet'!$B$9,Paramètres!$A$1:$I$89,3,0)*0.475*44/12</f>
        <v>11.130235167626269</v>
      </c>
      <c r="AB46" s="21">
        <f>EXP(-LN(2)/2)*AB45+(1-EXP(-LN(2)/2))/(LN(2)/2)*V46*Y46*VLOOKUP('Données projet'!$B$9,Paramètres!$A$1:$I$89,3,0)*0.475*44/12</f>
        <v>1.8701340055804389E-2</v>
      </c>
      <c r="AC46" s="22">
        <f t="shared" si="3"/>
        <v>13.537589588826977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12.4</v>
      </c>
      <c r="AI46" s="13">
        <f>IF('Données projet'!$A$62&gt;35,AI45+AH46-AQ45,IF(A46&lt;'Données projet'!$A$62,$AF$205^A46,IF(A46='Données projet'!$A$62,'Données projet'!$B$62,AI45+AH46-AQ45)))</f>
        <v>285.20000000000005</v>
      </c>
      <c r="AJ46" s="13">
        <f>AI46*VLOOKUP('Données projet'!$B$10,Paramètres!$A$1:$I$89,3,0)*VLOOKUP('Données projet'!$B$10,Paramètres!$A$1:$I$89,5,0)</f>
        <v>177.96480000000003</v>
      </c>
      <c r="AK46" s="13">
        <f t="shared" si="35"/>
        <v>44.869092441133326</v>
      </c>
      <c r="AL46" s="20">
        <f t="shared" si="4"/>
        <v>388.10236266830719</v>
      </c>
      <c r="AM46" s="59">
        <f t="shared" si="5"/>
        <v>681.43569600164051</v>
      </c>
      <c r="AN46" s="59">
        <f ca="1">AVERAGE(OFFSET($AM$3,0,0,'Données projet'!$E$10+1,1))-AVERAGE(OFFSET($H$3,0,0,'Données projet'!$E$10+1,1))</f>
        <v>255.41017495879987</v>
      </c>
      <c r="AO46" s="59">
        <f t="shared" si="36"/>
        <v>297.50513563712764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6.4500389463746766</v>
      </c>
      <c r="AV46" s="21">
        <f>EXP(-LN(2)/25)*AV45+(1-EXP(-LN(2)/25))/(LN(2)/25)*Calculateur!AQ46*Calculateur!AS46*VLOOKUP('Données projet'!$B$10,Paramètres!$A$1:$I$89,3,0)*0.475*44/12</f>
        <v>19.435660735175041</v>
      </c>
      <c r="AW46" s="21">
        <f>EXP(-LN(2)/2)*AW45+(1-EXP(-LN(2)/2))/(LN(2)/2)*AQ46*AT46*VLOOKUP('Données projet'!$B$10,Paramètres!$A$1:$I$89,3,0)*0.475*44/12</f>
        <v>0.26959762065530424</v>
      </c>
      <c r="AX46" s="21">
        <f t="shared" si="6"/>
        <v>26.155297302205021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9.1999999999999993</v>
      </c>
      <c r="BD46" s="12">
        <f>IF('Données projet'!$A$88&gt;35,BD45+BC46-BL45,IF(A46&lt;'Données projet'!$A$88,$BA$205^A46,IF(A46='Données projet'!$A$88,'Données projet'!$B$88,BD45+BC46-BL45)))</f>
        <v>220.59999999999991</v>
      </c>
      <c r="BE46" s="13">
        <f>BD46*VLOOKUP('Données projet'!$B$11,Paramètres!$A$1:$I$89,3,0)*VLOOKUP('Données projet'!$B$11,Paramètres!$A$1:$I$89,5,0)</f>
        <v>175.50935999999993</v>
      </c>
      <c r="BF46" s="13">
        <f t="shared" si="37"/>
        <v>44.321637208794016</v>
      </c>
      <c r="BG46" s="20">
        <f t="shared" si="7"/>
        <v>382.87232013864946</v>
      </c>
      <c r="BH46" s="59">
        <f t="shared" si="8"/>
        <v>676.20565347198271</v>
      </c>
      <c r="BI46" s="59">
        <f ca="1">AVERAGE(OFFSET($BH$3,0,0,'Données projet'!$E$11+1,1))-AVERAGE(OFFSET($H$3,0,0,'Données projet'!$E$11+1,1))</f>
        <v>260.20517190557814</v>
      </c>
      <c r="BJ46" s="59">
        <f t="shared" si="38"/>
        <v>307.22009971147133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2.5223459594980846</v>
      </c>
      <c r="BQ46" s="21">
        <f>EXP(-LN(2)/25)*BQ45+(1-EXP(-LN(2)/25))/(LN(2)/25)*Calculateur!BL46*Calculateur!BN46*VLOOKUP('Données projet'!$B$11,Paramètres!$A$1:$I$89,3,0)*0.475*44/12</f>
        <v>14.309792968218567</v>
      </c>
      <c r="BR46" s="21">
        <f>EXP(-LN(2)/2)*BR45+(1-EXP(-LN(2)/2))/(LN(2)/2)*BL46*BO46*VLOOKUP('Données projet'!$B$11,Paramètres!$A$1:$I$89,3,0)*0.475*44/12</f>
        <v>0.26559631458281824</v>
      </c>
      <c r="BS46" s="22">
        <f t="shared" si="9"/>
        <v>17.097735242299471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7.8</v>
      </c>
      <c r="BY46" s="12">
        <f>IF('Données projet'!$A$114&gt;35,BY45+BX46-CG45,IF(A46&lt;'Données projet'!$A$114,$BV$205^A46,IF(A46='Données projet'!$A$114,'Données projet'!$B$114,BY45+BX46-CG45)))</f>
        <v>219.39999999999992</v>
      </c>
      <c r="BZ46" s="13">
        <f>BY46*VLOOKUP('Données projet'!$B$12,Paramètres!$A$1:$I$89,3,0)*VLOOKUP('Données projet'!$B$12,Paramètres!$A$1:$I$89,5,0)</f>
        <v>143.75087999999997</v>
      </c>
      <c r="CA46" s="13">
        <f t="shared" si="39"/>
        <v>37.154952742797676</v>
      </c>
      <c r="CB46" s="20">
        <f t="shared" si="10"/>
        <v>315.07765869370593</v>
      </c>
      <c r="CC46" s="59">
        <f t="shared" si="11"/>
        <v>608.41099202703924</v>
      </c>
      <c r="CD46" s="59">
        <f ca="1">AVERAGE(OFFSET($CC$3,0,0,'Données projet'!$E$12+1,1))-AVERAGE(OFFSET($H$3,0,0,'Données projet'!$E$12+1,1))</f>
        <v>185.21927898775016</v>
      </c>
      <c r="CE46" s="59">
        <f t="shared" si="40"/>
        <v>240.82467772396944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1.2037833103043021</v>
      </c>
      <c r="CL46" s="21">
        <f>EXP(-LN(2)/25)*CL45+(1-EXP(-LN(2)/25))/(LN(2)/25)*Calculateur!CG46*Calculateur!CI46*VLOOKUP('Données projet'!$B$12,Paramètres!$A$1:$I$89,3,0)*0.475*44/12</f>
        <v>5.6054951881362474</v>
      </c>
      <c r="CM46" s="21">
        <f>EXP(-LN(2)/2)*CM45+(1-EXP(-LN(2)/2))/(LN(2)/2)*CG46*CJ46*VLOOKUP('Données projet'!$B$12,Paramètres!$A$1:$I$89,3,0)*0.475*44/12</f>
        <v>0.15463992186407158</v>
      </c>
      <c r="CN46" s="22">
        <f t="shared" si="12"/>
        <v>6.9639184203046209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39.124800000000008</v>
      </c>
      <c r="D47" s="11">
        <f t="shared" si="32"/>
        <v>11.766377220171686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392.84417503290433</v>
      </c>
      <c r="H47" s="67">
        <f t="shared" si="1"/>
        <v>381.96880032513235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21.625641025641027</v>
      </c>
      <c r="N47" s="13">
        <f>IF('Données projet'!$A$36&gt;35,N46+M47-V46,IF(A47&lt;'Données projet'!$A$36,$K$205^A47,IF(A47='Données projet'!$A$36,'Données projet'!$B$36,N46+M47-V46)))</f>
        <v>438.58205128205111</v>
      </c>
      <c r="O47" s="13">
        <f>N47*VLOOKUP('Données projet'!$B$9,Paramètres!$A$1:$I$89,3,0)*VLOOKUP('Données projet'!$B$9,Paramètres!$A$1:$I$89,5,0)</f>
        <v>245.16736666666657</v>
      </c>
      <c r="P47" s="13">
        <f t="shared" si="33"/>
        <v>59.549932468183236</v>
      </c>
      <c r="Q47" s="20">
        <f t="shared" si="53"/>
        <v>530.71596265986329</v>
      </c>
      <c r="R47" s="59">
        <f t="shared" si="0"/>
        <v>824.04929599319667</v>
      </c>
      <c r="S47" s="59">
        <f ca="1">AVERAGE(OFFSET($R$3,0,0,'Données projet'!$E$9+1,1))-AVERAGE(OFFSET($H$3,0,0,'Données projet'!$E$9+1,1))</f>
        <v>255.5374979188561</v>
      </c>
      <c r="T47" s="59">
        <f t="shared" si="34"/>
        <v>343.10418468620901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2.3418130511581721</v>
      </c>
      <c r="AA47" s="21">
        <f>EXP(-LN(2)/25)*AA46+(1-EXP(-LN(2)/25))/(LN(2)/25)*Calculateur!V47*Calculateur!X47*VLOOKUP('Données projet'!$B$9,Paramètres!$A$1:$I$89,3,0)*0.475*44/12</f>
        <v>10.8258783016539</v>
      </c>
      <c r="AB47" s="21">
        <f>EXP(-LN(2)/2)*AB46+(1-EXP(-LN(2)/2))/(LN(2)/2)*V47*Y47*VLOOKUP('Données projet'!$B$9,Paramètres!$A$1:$I$89,3,0)*0.475*44/12</f>
        <v>1.3223844370734891E-2</v>
      </c>
      <c r="AC47" s="22">
        <f t="shared" si="3"/>
        <v>13.180915197182806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12.4</v>
      </c>
      <c r="AI47" s="13">
        <f>IF('Données projet'!$A$62&gt;35,AI46+AH47-AQ46,IF(A47&lt;'Données projet'!$A$62,$AF$205^A47,IF(A47='Données projet'!$A$62,'Données projet'!$B$62,AI46+AH47-AQ46)))</f>
        <v>297.60000000000002</v>
      </c>
      <c r="AJ47" s="13">
        <f>AI47*VLOOKUP('Données projet'!$B$10,Paramètres!$A$1:$I$89,3,0)*VLOOKUP('Données projet'!$B$10,Paramètres!$A$1:$I$89,5,0)</f>
        <v>185.70240000000001</v>
      </c>
      <c r="AK47" s="13">
        <f t="shared" si="35"/>
        <v>46.588553069776829</v>
      </c>
      <c r="AL47" s="20">
        <f t="shared" si="4"/>
        <v>404.57340992986133</v>
      </c>
      <c r="AM47" s="59">
        <f t="shared" si="5"/>
        <v>697.90674326319458</v>
      </c>
      <c r="AN47" s="59">
        <f ca="1">AVERAGE(OFFSET($AM$3,0,0,'Données projet'!$E$10+1,1))-AVERAGE(OFFSET($H$3,0,0,'Données projet'!$E$10+1,1))</f>
        <v>255.41017495879987</v>
      </c>
      <c r="AO47" s="59">
        <f t="shared" si="36"/>
        <v>297.50513563712764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6.3235576167715628</v>
      </c>
      <c r="AV47" s="21">
        <f>EXP(-LN(2)/25)*AV46+(1-EXP(-LN(2)/25))/(LN(2)/25)*Calculateur!AQ47*Calculateur!AS47*VLOOKUP('Données projet'!$B$10,Paramètres!$A$1:$I$89,3,0)*0.475*44/12</f>
        <v>18.904191570294703</v>
      </c>
      <c r="AW47" s="21">
        <f>EXP(-LN(2)/2)*AW46+(1-EXP(-LN(2)/2))/(LN(2)/2)*AQ47*AT47*VLOOKUP('Données projet'!$B$10,Paramètres!$A$1:$I$89,3,0)*0.475*44/12</f>
        <v>0.19063430575712406</v>
      </c>
      <c r="AX47" s="21">
        <f t="shared" si="6"/>
        <v>25.418383492823391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9.1999999999999993</v>
      </c>
      <c r="BD47" s="12">
        <f>IF('Données projet'!$A$88&gt;35,BD46+BC47-BL46,IF(A47&lt;'Données projet'!$A$88,$BA$205^A47,IF(A47='Données projet'!$A$88,'Données projet'!$B$88,BD46+BC47-BL46)))</f>
        <v>229.7999999999999</v>
      </c>
      <c r="BE47" s="13">
        <f>BD47*VLOOKUP('Données projet'!$B$11,Paramètres!$A$1:$I$89,3,0)*VLOOKUP('Données projet'!$B$11,Paramètres!$A$1:$I$89,5,0)</f>
        <v>182.82887999999994</v>
      </c>
      <c r="BF47" s="13">
        <f t="shared" si="37"/>
        <v>45.950987516613559</v>
      </c>
      <c r="BG47" s="20">
        <f t="shared" si="7"/>
        <v>398.45826925810184</v>
      </c>
      <c r="BH47" s="59">
        <f t="shared" si="8"/>
        <v>691.79160259143509</v>
      </c>
      <c r="BI47" s="59">
        <f ca="1">AVERAGE(OFFSET($BH$3,0,0,'Données projet'!$E$11+1,1))-AVERAGE(OFFSET($H$3,0,0,'Données projet'!$E$11+1,1))</f>
        <v>260.20517190557814</v>
      </c>
      <c r="BJ47" s="59">
        <f t="shared" si="38"/>
        <v>307.22009971147133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2.4728842937114504</v>
      </c>
      <c r="BQ47" s="21">
        <f>EXP(-LN(2)/25)*BQ46+(1-EXP(-LN(2)/25))/(LN(2)/25)*Calculateur!BL47*Calculateur!BN47*VLOOKUP('Données projet'!$B$11,Paramètres!$A$1:$I$89,3,0)*0.475*44/12</f>
        <v>13.918490926983322</v>
      </c>
      <c r="BR47" s="21">
        <f>EXP(-LN(2)/2)*BR46+(1-EXP(-LN(2)/2))/(LN(2)/2)*BL47*BO47*VLOOKUP('Données projet'!$B$11,Paramètres!$A$1:$I$89,3,0)*0.475*44/12</f>
        <v>0.1878049550996663</v>
      </c>
      <c r="BS47" s="22">
        <f t="shared" si="9"/>
        <v>16.579180175794438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7.8</v>
      </c>
      <c r="BY47" s="12">
        <f>IF('Données projet'!$A$114&gt;35,BY46+BX47-CG46,IF(A47&lt;'Données projet'!$A$114,$BV$205^A47,IF(A47='Données projet'!$A$114,'Données projet'!$B$114,BY46+BX47-CG46)))</f>
        <v>227.19999999999993</v>
      </c>
      <c r="BZ47" s="13">
        <f>BY47*VLOOKUP('Données projet'!$B$12,Paramètres!$A$1:$I$89,3,0)*VLOOKUP('Données projet'!$B$12,Paramètres!$A$1:$I$89,5,0)</f>
        <v>148.86143999999996</v>
      </c>
      <c r="CA47" s="13">
        <f t="shared" si="39"/>
        <v>38.319729148991918</v>
      </c>
      <c r="CB47" s="20">
        <f t="shared" si="10"/>
        <v>326.00720293449416</v>
      </c>
      <c r="CC47" s="59">
        <f t="shared" si="11"/>
        <v>619.34053626782747</v>
      </c>
      <c r="CD47" s="59">
        <f ca="1">AVERAGE(OFFSET($CC$3,0,0,'Données projet'!$E$12+1,1))-AVERAGE(OFFSET($H$3,0,0,'Données projet'!$E$12+1,1))</f>
        <v>185.21927898775016</v>
      </c>
      <c r="CE47" s="59">
        <f t="shared" si="40"/>
        <v>240.82467772396944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1.1801778538245542</v>
      </c>
      <c r="CL47" s="21">
        <f>EXP(-LN(2)/25)*CL46+(1-EXP(-LN(2)/25))/(LN(2)/25)*Calculateur!CG47*Calculateur!CI47*VLOOKUP('Données projet'!$B$12,Paramètres!$A$1:$I$89,3,0)*0.475*44/12</f>
        <v>5.4522126274364808</v>
      </c>
      <c r="CM47" s="21">
        <f>EXP(-LN(2)/2)*CM46+(1-EXP(-LN(2)/2))/(LN(2)/2)*CG47*CJ47*VLOOKUP('Données projet'!$B$12,Paramètres!$A$1:$I$89,3,0)*0.475*44/12</f>
        <v>0.10934693739224287</v>
      </c>
      <c r="CN47" s="22">
        <f t="shared" si="12"/>
        <v>6.7417374186532779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40.01400000000001</v>
      </c>
      <c r="D48" s="11">
        <f t="shared" si="32"/>
        <v>12.002357532661732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401.52977744510821</v>
      </c>
      <c r="H48" s="67">
        <f t="shared" si="1"/>
        <v>383.92848936938583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21.625641025641027</v>
      </c>
      <c r="N48" s="13">
        <f>IF('Données projet'!$A$36&gt;35,N47+M48-V47,IF(A48&lt;'Données projet'!$A$36,$K$205^A48,IF(A48='Données projet'!$A$36,'Données projet'!$B$36,N47+M48-V47)))</f>
        <v>460.20769230769213</v>
      </c>
      <c r="O48" s="13">
        <f>N48*VLOOKUP('Données projet'!$B$9,Paramètres!$A$1:$I$89,3,0)*VLOOKUP('Données projet'!$B$9,Paramètres!$A$1:$I$89,5,0)</f>
        <v>257.25609999999995</v>
      </c>
      <c r="P48" s="13">
        <f t="shared" si="33"/>
        <v>62.137128695600659</v>
      </c>
      <c r="Q48" s="20">
        <f t="shared" si="53"/>
        <v>556.27653997817106</v>
      </c>
      <c r="R48" s="59">
        <f t="shared" si="0"/>
        <v>849.60987331150432</v>
      </c>
      <c r="S48" s="59">
        <f ca="1">AVERAGE(OFFSET($R$3,0,0,'Données projet'!$E$9+1,1))-AVERAGE(OFFSET($H$3,0,0,'Données projet'!$E$9+1,1))</f>
        <v>255.5374979188561</v>
      </c>
      <c r="T48" s="59">
        <f t="shared" si="34"/>
        <v>343.10418468620901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2.2958915255898824</v>
      </c>
      <c r="AA48" s="21">
        <f>EXP(-LN(2)/25)*AA47+(1-EXP(-LN(2)/25))/(LN(2)/25)*Calculateur!V48*Calculateur!X48*VLOOKUP('Données projet'!$B$9,Paramètres!$A$1:$I$89,3,0)*0.475*44/12</f>
        <v>10.529844090186977</v>
      </c>
      <c r="AB48" s="21">
        <f>EXP(-LN(2)/2)*AB47+(1-EXP(-LN(2)/2))/(LN(2)/2)*V48*Y48*VLOOKUP('Données projet'!$B$9,Paramètres!$A$1:$I$89,3,0)*0.475*44/12</f>
        <v>9.3506700279021946E-3</v>
      </c>
      <c r="AC48" s="22">
        <f t="shared" si="3"/>
        <v>12.835086285804762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12.4</v>
      </c>
      <c r="AI48" s="13">
        <f>IF('Données projet'!$A$62&gt;35,AI47+AH48-AQ47,IF(A48&lt;'Données projet'!$A$62,$AF$205^A48,IF(A48='Données projet'!$A$62,'Données projet'!$B$62,AI47+AH48-AQ47)))</f>
        <v>310</v>
      </c>
      <c r="AJ48" s="13">
        <f>AI48*VLOOKUP('Données projet'!$B$10,Paramètres!$A$1:$I$89,3,0)*VLOOKUP('Données projet'!$B$10,Paramètres!$A$1:$I$89,5,0)</f>
        <v>193.44</v>
      </c>
      <c r="AK48" s="13">
        <f t="shared" si="35"/>
        <v>48.299691961776745</v>
      </c>
      <c r="AL48" s="20">
        <f t="shared" si="4"/>
        <v>421.02996350009448</v>
      </c>
      <c r="AM48" s="59">
        <f t="shared" si="5"/>
        <v>714.36329683342774</v>
      </c>
      <c r="AN48" s="59">
        <f ca="1">AVERAGE(OFFSET($AM$3,0,0,'Données projet'!$E$10+1,1))-AVERAGE(OFFSET($H$3,0,0,'Données projet'!$E$10+1,1))</f>
        <v>255.41017495879987</v>
      </c>
      <c r="AO48" s="59">
        <f t="shared" si="36"/>
        <v>297.50513563712764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6.1995565088959728</v>
      </c>
      <c r="AV48" s="21">
        <f>EXP(-LN(2)/25)*AV47+(1-EXP(-LN(2)/25))/(LN(2)/25)*Calculateur!AQ48*Calculateur!AS48*VLOOKUP('Données projet'!$B$10,Paramètres!$A$1:$I$89,3,0)*0.475*44/12</f>
        <v>18.387255457676766</v>
      </c>
      <c r="AW48" s="21">
        <f>EXP(-LN(2)/2)*AW47+(1-EXP(-LN(2)/2))/(LN(2)/2)*AQ48*AT48*VLOOKUP('Données projet'!$B$10,Paramètres!$A$1:$I$89,3,0)*0.475*44/12</f>
        <v>0.13479881032765212</v>
      </c>
      <c r="AX48" s="21">
        <f t="shared" si="6"/>
        <v>24.721610776900391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9.1999999999999993</v>
      </c>
      <c r="BD48" s="12">
        <f>IF('Données projet'!$A$88&gt;35,BD47+BC48-BL47,IF(A48&lt;'Données projet'!$A$88,$BA$205^A48,IF(A48='Données projet'!$A$88,'Données projet'!$B$88,BD47+BC48-BL47)))</f>
        <v>238.99999999999989</v>
      </c>
      <c r="BE48" s="13">
        <f>BD48*VLOOKUP('Données projet'!$B$11,Paramètres!$A$1:$I$89,3,0)*VLOOKUP('Données projet'!$B$11,Paramètres!$A$1:$I$89,5,0)</f>
        <v>190.14839999999992</v>
      </c>
      <c r="BF48" s="13">
        <f t="shared" si="37"/>
        <v>47.572760493232991</v>
      </c>
      <c r="BG48" s="20">
        <f t="shared" si="7"/>
        <v>414.03102119238065</v>
      </c>
      <c r="BH48" s="59">
        <f t="shared" si="8"/>
        <v>707.36435452571391</v>
      </c>
      <c r="BI48" s="59">
        <f ca="1">AVERAGE(OFFSET($BH$3,0,0,'Données projet'!$E$11+1,1))-AVERAGE(OFFSET($H$3,0,0,'Données projet'!$E$11+1,1))</f>
        <v>260.20517190557814</v>
      </c>
      <c r="BJ48" s="59">
        <f t="shared" si="38"/>
        <v>307.22009971147133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2.4243925410222547</v>
      </c>
      <c r="BQ48" s="21">
        <f>EXP(-LN(2)/25)*BQ47+(1-EXP(-LN(2)/25))/(LN(2)/25)*Calculateur!BL48*Calculateur!BN48*VLOOKUP('Données projet'!$B$11,Paramètres!$A$1:$I$89,3,0)*0.475*44/12</f>
        <v>13.537889060643337</v>
      </c>
      <c r="BR48" s="21">
        <f>EXP(-LN(2)/2)*BR47+(1-EXP(-LN(2)/2))/(LN(2)/2)*BL48*BO48*VLOOKUP('Données projet'!$B$11,Paramètres!$A$1:$I$89,3,0)*0.475*44/12</f>
        <v>0.13279815729140912</v>
      </c>
      <c r="BS48" s="22">
        <f t="shared" si="9"/>
        <v>16.095079758956999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7.8</v>
      </c>
      <c r="BY48" s="12">
        <f>IF('Données projet'!$A$114&gt;35,BY47+BX48-CG47,IF(A48&lt;'Données projet'!$A$114,$BV$205^A48,IF(A48='Données projet'!$A$114,'Données projet'!$B$114,BY47+BX48-CG47)))</f>
        <v>234.99999999999994</v>
      </c>
      <c r="BZ48" s="13">
        <f>BY48*VLOOKUP('Données projet'!$B$12,Paramètres!$A$1:$I$89,3,0)*VLOOKUP('Données projet'!$B$12,Paramètres!$A$1:$I$89,5,0)</f>
        <v>153.97199999999995</v>
      </c>
      <c r="CA48" s="13">
        <f t="shared" si="39"/>
        <v>39.479859284656378</v>
      </c>
      <c r="CB48" s="20">
        <f t="shared" si="10"/>
        <v>336.92865492077641</v>
      </c>
      <c r="CC48" s="59">
        <f t="shared" si="11"/>
        <v>630.26198825410972</v>
      </c>
      <c r="CD48" s="59">
        <f ca="1">AVERAGE(OFFSET($CC$3,0,0,'Données projet'!$E$12+1,1))-AVERAGE(OFFSET($H$3,0,0,'Données projet'!$E$12+1,1))</f>
        <v>185.21927898775016</v>
      </c>
      <c r="CE48" s="59">
        <f t="shared" si="40"/>
        <v>240.82467772396944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>
        <f>EXP(-LN(2)/35)*CK47+(1-EXP(-LN(2)/35))/(LN(2)/35)*CG48*CH48*VLOOKUP('Données projet'!$B$12,Paramètres!$A$1:$I$89,3,0)*0.475*44/12</f>
        <v>1.1570352859484674</v>
      </c>
      <c r="CL48" s="21">
        <f>EXP(-LN(2)/25)*CL47+(1-EXP(-LN(2)/25))/(LN(2)/25)*Calculateur!CG48*Calculateur!CI48*VLOOKUP('Données projet'!$B$12,Paramètres!$A$1:$I$89,3,0)*0.475*44/12</f>
        <v>5.3031215864198291</v>
      </c>
      <c r="CM48" s="21">
        <f>EXP(-LN(2)/2)*CM47+(1-EXP(-LN(2)/2))/(LN(2)/2)*CG48*CJ48*VLOOKUP('Données projet'!$B$12,Paramètres!$A$1:$I$89,3,0)*0.475*44/12</f>
        <v>7.7319960932035789E-2</v>
      </c>
      <c r="CN48" s="22">
        <f t="shared" si="12"/>
        <v>6.5374768333003317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40.903200000000012</v>
      </c>
      <c r="D49" s="11">
        <f t="shared" si="32"/>
        <v>12.237728178480605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410.21067365844692</v>
      </c>
      <c r="H49" s="67">
        <f t="shared" si="1"/>
        <v>385.88711657752037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21.625641025641027</v>
      </c>
      <c r="N49" s="13">
        <f>IF('Données projet'!$A$36&gt;35,N48+M49-V48,IF(A49&lt;'Données projet'!$A$36,$K$205^A49,IF(A49='Données projet'!$A$36,'Données projet'!$B$36,N48+M49-V48)))</f>
        <v>481.83333333333314</v>
      </c>
      <c r="O49" s="13">
        <f>N49*VLOOKUP('Données projet'!$B$9,Paramètres!$A$1:$I$89,3,0)*VLOOKUP('Données projet'!$B$9,Paramètres!$A$1:$I$89,5,0)</f>
        <v>269.34483333333321</v>
      </c>
      <c r="P49" s="13">
        <f t="shared" si="33"/>
        <v>64.710206731812519</v>
      </c>
      <c r="Q49" s="20">
        <f t="shared" si="53"/>
        <v>581.81252811346212</v>
      </c>
      <c r="R49" s="59">
        <f t="shared" si="0"/>
        <v>875.14586144679538</v>
      </c>
      <c r="S49" s="59">
        <f ca="1">AVERAGE(OFFSET($R$3,0,0,'Données projet'!$E$9+1,1))-AVERAGE(OFFSET($H$3,0,0,'Données projet'!$E$9+1,1))</f>
        <v>255.5374979188561</v>
      </c>
      <c r="T49" s="59">
        <f t="shared" si="34"/>
        <v>343.10418468620901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2.2508704931286219</v>
      </c>
      <c r="AA49" s="21">
        <f>EXP(-LN(2)/25)*AA48+(1-EXP(-LN(2)/25))/(LN(2)/25)*Calculateur!V49*Calculateur!X49*VLOOKUP('Données projet'!$B$9,Paramètres!$A$1:$I$89,3,0)*0.475*44/12</f>
        <v>10.241904949800379</v>
      </c>
      <c r="AB49" s="21">
        <f>EXP(-LN(2)/2)*AB48+(1-EXP(-LN(2)/2))/(LN(2)/2)*V49*Y49*VLOOKUP('Données projet'!$B$9,Paramètres!$A$1:$I$89,3,0)*0.475*44/12</f>
        <v>6.6119221853674455E-3</v>
      </c>
      <c r="AC49" s="22">
        <f t="shared" si="3"/>
        <v>12.499387365114368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12.4</v>
      </c>
      <c r="AI49" s="13">
        <f>IF('Données projet'!$A$62&gt;35,AI48+AH49-AQ48,IF(A49&lt;'Données projet'!$A$62,$AF$205^A49,IF(A49='Données projet'!$A$62,'Données projet'!$B$62,AI48+AH49-AQ48)))</f>
        <v>322.39999999999998</v>
      </c>
      <c r="AJ49" s="13">
        <f>AI49*VLOOKUP('Données projet'!$B$10,Paramètres!$A$1:$I$89,3,0)*VLOOKUP('Données projet'!$B$10,Paramètres!$A$1:$I$89,5,0)</f>
        <v>201.17759999999998</v>
      </c>
      <c r="AK49" s="13">
        <f t="shared" si="35"/>
        <v>50.002880070410733</v>
      </c>
      <c r="AL49" s="20">
        <f t="shared" si="4"/>
        <v>437.47266945596533</v>
      </c>
      <c r="AM49" s="59">
        <f t="shared" si="5"/>
        <v>730.80600278929865</v>
      </c>
      <c r="AN49" s="59">
        <f ca="1">AVERAGE(OFFSET($AM$3,0,0,'Données projet'!$E$10+1,1))-AVERAGE(OFFSET($H$3,0,0,'Données projet'!$E$10+1,1))</f>
        <v>255.41017495879987</v>
      </c>
      <c r="AO49" s="59">
        <f t="shared" si="36"/>
        <v>297.50513563712764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6.0779869871126149</v>
      </c>
      <c r="AV49" s="21">
        <f>EXP(-LN(2)/25)*AV48+(1-EXP(-LN(2)/25))/(LN(2)/25)*Calculateur!AQ49*Calculateur!AS49*VLOOKUP('Données projet'!$B$10,Paramètres!$A$1:$I$89,3,0)*0.475*44/12</f>
        <v>17.884454990242855</v>
      </c>
      <c r="AW49" s="21">
        <f>EXP(-LN(2)/2)*AW48+(1-EXP(-LN(2)/2))/(LN(2)/2)*AQ49*AT49*VLOOKUP('Données projet'!$B$10,Paramètres!$A$1:$I$89,3,0)*0.475*44/12</f>
        <v>9.5317152878562031E-2</v>
      </c>
      <c r="AX49" s="21">
        <f t="shared" si="6"/>
        <v>24.057759130234029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9.1999999999999993</v>
      </c>
      <c r="BD49" s="12">
        <f>IF('Données projet'!$A$88&gt;35,BD48+BC49-BL48,IF(A49&lt;'Données projet'!$A$88,$BA$205^A49,IF(A49='Données projet'!$A$88,'Données projet'!$B$88,BD48+BC49-BL48)))</f>
        <v>248.19999999999987</v>
      </c>
      <c r="BE49" s="13">
        <f>BD49*VLOOKUP('Données projet'!$B$11,Paramètres!$A$1:$I$89,3,0)*VLOOKUP('Données projet'!$B$11,Paramètres!$A$1:$I$89,5,0)</f>
        <v>197.46791999999991</v>
      </c>
      <c r="BF49" s="13">
        <f t="shared" si="37"/>
        <v>49.187281204902298</v>
      </c>
      <c r="BG49" s="20">
        <f t="shared" si="7"/>
        <v>429.591142098538</v>
      </c>
      <c r="BH49" s="59">
        <f t="shared" si="8"/>
        <v>722.92447543187131</v>
      </c>
      <c r="BI49" s="59">
        <f ca="1">AVERAGE(OFFSET($BH$3,0,0,'Données projet'!$E$11+1,1))-AVERAGE(OFFSET($H$3,0,0,'Données projet'!$E$11+1,1))</f>
        <v>260.20517190557814</v>
      </c>
      <c r="BJ49" s="59">
        <f t="shared" si="38"/>
        <v>307.22009971147133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2.3768516820262455</v>
      </c>
      <c r="BQ49" s="21">
        <f>EXP(-LN(2)/25)*BQ48+(1-EXP(-LN(2)/25))/(LN(2)/25)*Calculateur!BL49*Calculateur!BN49*VLOOKUP('Données projet'!$B$11,Paramètres!$A$1:$I$89,3,0)*0.475*44/12</f>
        <v>13.167694772353402</v>
      </c>
      <c r="BR49" s="21">
        <f>EXP(-LN(2)/2)*BR48+(1-EXP(-LN(2)/2))/(LN(2)/2)*BL49*BO49*VLOOKUP('Données projet'!$B$11,Paramètres!$A$1:$I$89,3,0)*0.475*44/12</f>
        <v>9.3902477549833149E-2</v>
      </c>
      <c r="BS49" s="22">
        <f t="shared" si="9"/>
        <v>15.63844893192948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7.8</v>
      </c>
      <c r="BY49" s="12">
        <f>IF('Données projet'!$A$114&gt;35,BY48+BX49-CG48,IF(A49&lt;'Données projet'!$A$114,$BV$205^A49,IF(A49='Données projet'!$A$114,'Données projet'!$B$114,BY48+BX49-CG48)))</f>
        <v>242.79999999999995</v>
      </c>
      <c r="BZ49" s="13">
        <f>BY49*VLOOKUP('Données projet'!$B$12,Paramètres!$A$1:$I$89,3,0)*VLOOKUP('Données projet'!$B$12,Paramètres!$A$1:$I$89,5,0)</f>
        <v>159.08255999999997</v>
      </c>
      <c r="CA49" s="13">
        <f t="shared" si="39"/>
        <v>40.635515049195867</v>
      </c>
      <c r="CB49" s="20">
        <f t="shared" si="10"/>
        <v>347.84231404401612</v>
      </c>
      <c r="CC49" s="59">
        <f t="shared" si="11"/>
        <v>641.17564737734938</v>
      </c>
      <c r="CD49" s="59">
        <f ca="1">AVERAGE(OFFSET($CC$3,0,0,'Données projet'!$E$12+1,1))-AVERAGE(OFFSET($H$3,0,0,'Données projet'!$E$12+1,1))</f>
        <v>185.21927898775016</v>
      </c>
      <c r="CE49" s="59">
        <f t="shared" si="40"/>
        <v>240.82467772396944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1.1343465297128581</v>
      </c>
      <c r="CL49" s="21">
        <f>EXP(-LN(2)/25)*CL48+(1-EXP(-LN(2)/25))/(LN(2)/25)*Calculateur!CG49*Calculateur!CI49*VLOOKUP('Données projet'!$B$12,Paramètres!$A$1:$I$89,3,0)*0.475*44/12</f>
        <v>5.158107447760135</v>
      </c>
      <c r="CM49" s="21">
        <f>EXP(-LN(2)/2)*CM48+(1-EXP(-LN(2)/2))/(LN(2)/2)*CG49*CJ49*VLOOKUP('Données projet'!$B$12,Paramètres!$A$1:$I$89,3,0)*0.475*44/12</f>
        <v>5.4673468696121434E-2</v>
      </c>
      <c r="CN49" s="22">
        <f t="shared" si="12"/>
        <v>6.3471274461691145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41.792400000000015</v>
      </c>
      <c r="D50" s="11">
        <f t="shared" si="32"/>
        <v>12.472503937619972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418.88697776408418</v>
      </c>
      <c r="H50" s="67">
        <f t="shared" si="1"/>
        <v>387.84470769135481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21.625641025641027</v>
      </c>
      <c r="N50" s="13">
        <f>IF('Données projet'!$A$36&gt;35,N49+M50-V49,IF(A50&lt;'Données projet'!$A$36,$K$205^A50,IF(A50='Données projet'!$A$36,'Données projet'!$B$36,N49+M50-V49)))</f>
        <v>503.45897435897416</v>
      </c>
      <c r="O50" s="13">
        <f>N50*VLOOKUP('Données projet'!$B$9,Paramètres!$A$1:$I$89,3,0)*VLOOKUP('Données projet'!$B$9,Paramètres!$A$1:$I$89,5,0)</f>
        <v>281.43356666666659</v>
      </c>
      <c r="P50" s="13">
        <f t="shared" si="33"/>
        <v>67.26987262617007</v>
      </c>
      <c r="Q50" s="20">
        <f t="shared" si="53"/>
        <v>607.32515676835726</v>
      </c>
      <c r="R50" s="59">
        <f t="shared" si="0"/>
        <v>900.65849010169063</v>
      </c>
      <c r="S50" s="59">
        <f ca="1">AVERAGE(OFFSET($R$3,0,0,'Données projet'!$E$9+1,1))-AVERAGE(OFFSET($H$3,0,0,'Données projet'!$E$9+1,1))</f>
        <v>255.5374979188561</v>
      </c>
      <c r="T50" s="59">
        <f t="shared" si="34"/>
        <v>343.10418468620901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2.2067322956538082</v>
      </c>
      <c r="AA50" s="21">
        <f>EXP(-LN(2)/25)*AA49+(1-EXP(-LN(2)/25))/(LN(2)/25)*Calculateur!V50*Calculateur!X50*VLOOKUP('Données projet'!$B$9,Paramètres!$A$1:$I$89,3,0)*0.475*44/12</f>
        <v>9.9618395203497148</v>
      </c>
      <c r="AB50" s="21">
        <f>EXP(-LN(2)/2)*AB49+(1-EXP(-LN(2)/2))/(LN(2)/2)*V50*Y50*VLOOKUP('Données projet'!$B$9,Paramètres!$A$1:$I$89,3,0)*0.475*44/12</f>
        <v>4.6753350139510973E-3</v>
      </c>
      <c r="AC50" s="22">
        <f t="shared" si="3"/>
        <v>12.173247151017474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12.4</v>
      </c>
      <c r="AI50" s="13">
        <f>IF('Données projet'!$A$62&gt;35,AI49+AH50-AQ49,IF(A50&lt;'Données projet'!$A$62,$AF$205^A50,IF(A50='Données projet'!$A$62,'Données projet'!$B$62,AI49+AH50-AQ49)))</f>
        <v>334.79999999999995</v>
      </c>
      <c r="AJ50" s="13">
        <f>AI50*VLOOKUP('Données projet'!$B$10,Paramètres!$A$1:$I$89,3,0)*VLOOKUP('Données projet'!$B$10,Paramètres!$A$1:$I$89,5,0)</f>
        <v>208.91519999999997</v>
      </c>
      <c r="AK50" s="13">
        <f t="shared" si="35"/>
        <v>51.698458198123326</v>
      </c>
      <c r="AL50" s="20">
        <f t="shared" si="4"/>
        <v>453.90212136173136</v>
      </c>
      <c r="AM50" s="59">
        <f t="shared" si="5"/>
        <v>747.23545469506462</v>
      </c>
      <c r="AN50" s="59">
        <f ca="1">AVERAGE(OFFSET($AM$3,0,0,'Données projet'!$E$10+1,1))-AVERAGE(OFFSET($H$3,0,0,'Données projet'!$E$10+1,1))</f>
        <v>255.41017495879987</v>
      </c>
      <c r="AO50" s="59">
        <f t="shared" si="36"/>
        <v>297.50513563712764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5.9588013695013426</v>
      </c>
      <c r="AV50" s="21">
        <f>EXP(-LN(2)/25)*AV49+(1-EXP(-LN(2)/25))/(LN(2)/25)*Calculateur!AQ50*Calculateur!AS50*VLOOKUP('Données projet'!$B$10,Paramètres!$A$1:$I$89,3,0)*0.475*44/12</f>
        <v>17.395403628032053</v>
      </c>
      <c r="AW50" s="21">
        <f>EXP(-LN(2)/2)*AW49+(1-EXP(-LN(2)/2))/(LN(2)/2)*AQ50*AT50*VLOOKUP('Données projet'!$B$10,Paramètres!$A$1:$I$89,3,0)*0.475*44/12</f>
        <v>6.7399405163826059E-2</v>
      </c>
      <c r="AX50" s="21">
        <f t="shared" si="6"/>
        <v>23.42160440269722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9.1999999999999993</v>
      </c>
      <c r="BD50" s="12">
        <f>IF('Données projet'!$A$88&gt;35,BD49+BC50-BL49,IF(A50&lt;'Données projet'!$A$88,$BA$205^A50,IF(A50='Données projet'!$A$88,'Données projet'!$B$88,BD49+BC50-BL49)))</f>
        <v>257.39999999999986</v>
      </c>
      <c r="BE50" s="13">
        <f>BD50*VLOOKUP('Données projet'!$B$11,Paramètres!$A$1:$I$89,3,0)*VLOOKUP('Données projet'!$B$11,Paramètres!$A$1:$I$89,5,0)</f>
        <v>204.78743999999992</v>
      </c>
      <c r="BF50" s="13">
        <f t="shared" si="37"/>
        <v>50.794849254094281</v>
      </c>
      <c r="BG50" s="20">
        <f t="shared" si="7"/>
        <v>445.1391537842141</v>
      </c>
      <c r="BH50" s="59">
        <f t="shared" si="8"/>
        <v>738.47248711754742</v>
      </c>
      <c r="BI50" s="59">
        <f ca="1">AVERAGE(OFFSET($BH$3,0,0,'Données projet'!$E$11+1,1))-AVERAGE(OFFSET($H$3,0,0,'Données projet'!$E$11+1,1))</f>
        <v>260.20517190557814</v>
      </c>
      <c r="BJ50" s="59">
        <f t="shared" si="38"/>
        <v>307.22009971147133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2.3302430702780872</v>
      </c>
      <c r="BQ50" s="21">
        <f>EXP(-LN(2)/25)*BQ49+(1-EXP(-LN(2)/25))/(LN(2)/25)*Calculateur!BL50*Calculateur!BN50*VLOOKUP('Données projet'!$B$11,Paramètres!$A$1:$I$89,3,0)*0.475*44/12</f>
        <v>12.807623466344426</v>
      </c>
      <c r="BR50" s="21">
        <f>EXP(-LN(2)/2)*BR49+(1-EXP(-LN(2)/2))/(LN(2)/2)*BL50*BO50*VLOOKUP('Données projet'!$B$11,Paramètres!$A$1:$I$89,3,0)*0.475*44/12</f>
        <v>6.639907864570456E-2</v>
      </c>
      <c r="BS50" s="22">
        <f t="shared" si="9"/>
        <v>15.204265615268216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7.8</v>
      </c>
      <c r="BY50" s="12">
        <f>IF('Données projet'!$A$114&gt;35,BY49+BX50-CG49,IF(A50&lt;'Données projet'!$A$114,$BV$205^A50,IF(A50='Données projet'!$A$114,'Données projet'!$B$114,BY49+BX50-CG49)))</f>
        <v>250.59999999999997</v>
      </c>
      <c r="BZ50" s="13">
        <f>BY50*VLOOKUP('Données projet'!$B$12,Paramètres!$A$1:$I$89,3,0)*VLOOKUP('Données projet'!$B$12,Paramètres!$A$1:$I$89,5,0)</f>
        <v>164.19311999999996</v>
      </c>
      <c r="CA50" s="13">
        <f t="shared" si="39"/>
        <v>41.786856670339013</v>
      </c>
      <c r="CB50" s="20">
        <f t="shared" si="10"/>
        <v>358.748459367507</v>
      </c>
      <c r="CC50" s="59">
        <f t="shared" si="11"/>
        <v>652.08179270084031</v>
      </c>
      <c r="CD50" s="59">
        <f ca="1">AVERAGE(OFFSET($CC$3,0,0,'Données projet'!$E$12+1,1))-AVERAGE(OFFSET($H$3,0,0,'Données projet'!$E$12+1,1))</f>
        <v>185.21927898775016</v>
      </c>
      <c r="CE50" s="59">
        <f t="shared" si="40"/>
        <v>240.82467772396944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1.1121026861482544</v>
      </c>
      <c r="CL50" s="21">
        <f>EXP(-LN(2)/25)*CL49+(1-EXP(-LN(2)/25))/(LN(2)/25)*Calculateur!CG50*Calculateur!CI50*VLOOKUP('Données projet'!$B$12,Paramètres!$A$1:$I$89,3,0)*0.475*44/12</f>
        <v>5.0170587283480526</v>
      </c>
      <c r="CM50" s="21">
        <f>EXP(-LN(2)/2)*CM49+(1-EXP(-LN(2)/2))/(LN(2)/2)*CG50*CJ50*VLOOKUP('Données projet'!$B$12,Paramètres!$A$1:$I$89,3,0)*0.475*44/12</f>
        <v>3.8659980466017894E-2</v>
      </c>
      <c r="CN50" s="22">
        <f t="shared" si="12"/>
        <v>6.1678213949623251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42.681600000000017</v>
      </c>
      <c r="D51" s="11">
        <f t="shared" si="32"/>
        <v>12.706698925204435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427.55879872087644</v>
      </c>
      <c r="H51" s="67">
        <f t="shared" si="1"/>
        <v>389.80128729473108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>
        <f>VLOOKUP(A51,'Données projet'!$A$35:$I$55,2,0)</f>
        <v>525.0846153846154</v>
      </c>
      <c r="L51" s="12">
        <f>VLOOKUP(A51,'Données projet'!$A$35:$I$55,9,0)</f>
        <v>21.625641025641027</v>
      </c>
      <c r="M51" s="12">
        <f t="array" ref="M51">INDEX(L:L,MIN(IF(ISNUMBER(L51:L247),ROW(L51:L247),"")))</f>
        <v>21.625641025641027</v>
      </c>
      <c r="N51" s="13">
        <f>IF('Données projet'!$A$36&gt;35,N50+M51-V50,IF(A51&lt;'Données projet'!$A$36,$K$205^A51,IF(A51='Données projet'!$A$36,'Données projet'!$B$36,N50+M51-V50)))</f>
        <v>525.08461538461518</v>
      </c>
      <c r="O51" s="13">
        <f>N51*VLOOKUP('Données projet'!$B$9,Paramètres!$A$1:$I$89,3,0)*VLOOKUP('Données projet'!$B$9,Paramètres!$A$1:$I$89,5,0)</f>
        <v>293.52229999999986</v>
      </c>
      <c r="P51" s="13">
        <f t="shared" si="33"/>
        <v>69.816768342057628</v>
      </c>
      <c r="Q51" s="20">
        <f t="shared" si="53"/>
        <v>632.81554402908341</v>
      </c>
      <c r="R51" s="59">
        <f t="shared" si="0"/>
        <v>926.14887736241667</v>
      </c>
      <c r="S51" s="59">
        <f ca="1">AVERAGE(OFFSET($R$3,0,0,'Données projet'!$E$9+1,1))-AVERAGE(OFFSET($H$3,0,0,'Données projet'!$E$9+1,1))</f>
        <v>255.5374979188561</v>
      </c>
      <c r="T51" s="59">
        <f t="shared" si="34"/>
        <v>343.10418468620901</v>
      </c>
      <c r="U51" s="15">
        <f>IF(ISNA(VLOOKUP(A51,'Données projet'!$A$35:$I$55,3,0)),0,VLOOKUP(A51,'Données projet'!$A$35:$I$55,3,0))</f>
        <v>6</v>
      </c>
      <c r="V51" s="15">
        <f>IF(ISNA(VLOOKUP(A51,'Données projet'!$A$35:$I$55,4,0)),0,VLOOKUP(A51,'Données projet'!$A$35:$I$55,4,0))</f>
        <v>81.330769230769235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2.1634596213098334</v>
      </c>
      <c r="AA51" s="21">
        <f>EXP(-LN(2)/25)*AA50+(1-EXP(-LN(2)/25))/(LN(2)/25)*Calculateur!V51*Calculateur!X51*VLOOKUP('Données projet'!$B$9,Paramètres!$A$1:$I$89,3,0)*0.475*44/12</f>
        <v>9.6894324947953798</v>
      </c>
      <c r="AB51" s="21">
        <f>EXP(-LN(2)/2)*AB50+(1-EXP(-LN(2)/2))/(LN(2)/2)*V51*Y51*VLOOKUP('Données projet'!$B$9,Paramètres!$A$1:$I$89,3,0)*0.475*44/12</f>
        <v>3.3059610926837227E-3</v>
      </c>
      <c r="AC51" s="22">
        <f t="shared" si="3"/>
        <v>11.856198077197897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12.4</v>
      </c>
      <c r="AI51" s="13">
        <f>IF('Données projet'!$A$62&gt;35,AI50+AH51-AQ50,IF(A51&lt;'Données projet'!$A$62,$AF$205^A51,IF(A51='Données projet'!$A$62,'Données projet'!$B$62,AI50+AH51-AQ50)))</f>
        <v>347.19999999999993</v>
      </c>
      <c r="AJ51" s="13">
        <f>AI51*VLOOKUP('Données projet'!$B$10,Paramètres!$A$1:$I$89,3,0)*VLOOKUP('Données projet'!$B$10,Paramètres!$A$1:$I$89,5,0)</f>
        <v>216.65279999999993</v>
      </c>
      <c r="AK51" s="13">
        <f t="shared" si="35"/>
        <v>53.38674047237982</v>
      </c>
      <c r="AL51" s="20">
        <f t="shared" si="4"/>
        <v>470.31886632272807</v>
      </c>
      <c r="AM51" s="59">
        <f t="shared" si="5"/>
        <v>763.65219965606138</v>
      </c>
      <c r="AN51" s="59">
        <f ca="1">AVERAGE(OFFSET($AM$3,0,0,'Données projet'!$E$10+1,1))-AVERAGE(OFFSET($H$3,0,0,'Données projet'!$E$10+1,1))</f>
        <v>255.41017495879987</v>
      </c>
      <c r="AO51" s="59">
        <f t="shared" si="36"/>
        <v>297.50513563712764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5.8419529091553786</v>
      </c>
      <c r="AV51" s="21">
        <f>EXP(-LN(2)/25)*AV50+(1-EXP(-LN(2)/25))/(LN(2)/25)*Calculateur!AQ51*Calculateur!AS51*VLOOKUP('Données projet'!$B$10,Paramètres!$A$1:$I$89,3,0)*0.475*44/12</f>
        <v>16.919725401038999</v>
      </c>
      <c r="AW51" s="21">
        <f>EXP(-LN(2)/2)*AW50+(1-EXP(-LN(2)/2))/(LN(2)/2)*AQ51*AT51*VLOOKUP('Données projet'!$B$10,Paramètres!$A$1:$I$89,3,0)*0.475*44/12</f>
        <v>4.7658576439281015E-2</v>
      </c>
      <c r="AX51" s="21">
        <f t="shared" si="6"/>
        <v>22.809336886633659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9.1999999999999993</v>
      </c>
      <c r="BD51" s="12">
        <f>IF('Données projet'!$A$88&gt;35,BD50+BC51-BL50,IF(A51&lt;'Données projet'!$A$88,$BA$205^A51,IF(A51='Données projet'!$A$88,'Données projet'!$B$88,BD50+BC51-BL50)))</f>
        <v>266.59999999999985</v>
      </c>
      <c r="BE51" s="13">
        <f>BD51*VLOOKUP('Données projet'!$B$11,Paramètres!$A$1:$I$89,3,0)*VLOOKUP('Données projet'!$B$11,Paramètres!$A$1:$I$89,5,0)</f>
        <v>212.10695999999987</v>
      </c>
      <c r="BF51" s="13">
        <f t="shared" si="37"/>
        <v>52.395741612408194</v>
      </c>
      <c r="BG51" s="20">
        <f t="shared" si="7"/>
        <v>460.67553864161073</v>
      </c>
      <c r="BH51" s="59">
        <f t="shared" si="8"/>
        <v>754.00887197494399</v>
      </c>
      <c r="BI51" s="59">
        <f ca="1">AVERAGE(OFFSET($BH$3,0,0,'Données projet'!$E$11+1,1))-AVERAGE(OFFSET($H$3,0,0,'Données projet'!$E$11+1,1))</f>
        <v>260.20517190557814</v>
      </c>
      <c r="BJ51" s="59">
        <f t="shared" si="38"/>
        <v>307.22009971147133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2.2845484249778645</v>
      </c>
      <c r="BQ51" s="21">
        <f>EXP(-LN(2)/25)*BQ50+(1-EXP(-LN(2)/25))/(LN(2)/25)*Calculateur!BL51*Calculateur!BN51*VLOOKUP('Données projet'!$B$11,Paramètres!$A$1:$I$89,3,0)*0.475*44/12</f>
        <v>12.457398329133591</v>
      </c>
      <c r="BR51" s="21">
        <f>EXP(-LN(2)/2)*BR50+(1-EXP(-LN(2)/2))/(LN(2)/2)*BL51*BO51*VLOOKUP('Données projet'!$B$11,Paramètres!$A$1:$I$89,3,0)*0.475*44/12</f>
        <v>4.6951238774916575E-2</v>
      </c>
      <c r="BS51" s="22">
        <f t="shared" si="9"/>
        <v>14.788897992886373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7.8</v>
      </c>
      <c r="BY51" s="12">
        <f>IF('Données projet'!$A$114&gt;35,BY50+BX51-CG50,IF(A51&lt;'Données projet'!$A$114,$BV$205^A51,IF(A51='Données projet'!$A$114,'Données projet'!$B$114,BY50+BX51-CG50)))</f>
        <v>258.39999999999998</v>
      </c>
      <c r="BZ51" s="13">
        <f>BY51*VLOOKUP('Données projet'!$B$12,Paramètres!$A$1:$I$89,3,0)*VLOOKUP('Données projet'!$B$12,Paramètres!$A$1:$I$89,5,0)</f>
        <v>169.30367999999999</v>
      </c>
      <c r="CA51" s="13">
        <f t="shared" si="39"/>
        <v>42.934033834973214</v>
      </c>
      <c r="CB51" s="20">
        <f t="shared" si="10"/>
        <v>369.64735159591163</v>
      </c>
      <c r="CC51" s="59">
        <f t="shared" si="11"/>
        <v>662.98068492924494</v>
      </c>
      <c r="CD51" s="59">
        <f ca="1">AVERAGE(OFFSET($CC$3,0,0,'Données projet'!$E$12+1,1))-AVERAGE(OFFSET($H$3,0,0,'Données projet'!$E$12+1,1))</f>
        <v>185.21927898775016</v>
      </c>
      <c r="CE51" s="59">
        <f t="shared" si="40"/>
        <v>240.82467772396944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1.0902950307885475</v>
      </c>
      <c r="CL51" s="21">
        <f>EXP(-LN(2)/25)*CL50+(1-EXP(-LN(2)/25))/(LN(2)/25)*Calculateur!CG51*Calculateur!CI51*VLOOKUP('Données projet'!$B$12,Paramètres!$A$1:$I$89,3,0)*0.475*44/12</f>
        <v>4.8798669935857228</v>
      </c>
      <c r="CM51" s="21">
        <f>EXP(-LN(2)/2)*CM50+(1-EXP(-LN(2)/2))/(LN(2)/2)*CG51*CJ51*VLOOKUP('Données projet'!$B$12,Paramètres!$A$1:$I$89,3,0)*0.475*44/12</f>
        <v>2.7336734348060717E-2</v>
      </c>
      <c r="CN51" s="22">
        <f t="shared" si="12"/>
        <v>5.9974987587223305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43.57080000000002</v>
      </c>
      <c r="D52" s="11">
        <f t="shared" si="32"/>
        <v>12.940326634618209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436.22624068828105</v>
      </c>
      <c r="H52" s="67">
        <f t="shared" si="1"/>
        <v>391.75687888862672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20.507692307692299</v>
      </c>
      <c r="N52" s="13">
        <f>IF('Données projet'!$A$36&gt;35,N51+M52-V51,IF(A52&lt;'Données projet'!$A$36,$K$205^A52,IF(A52='Données projet'!$A$36,'Données projet'!$B$36,N51+M52-V51)))</f>
        <v>464.26153846153824</v>
      </c>
      <c r="O52" s="13">
        <f>N52*VLOOKUP('Données projet'!$B$9,Paramètres!$A$1:$I$89,3,0)*VLOOKUP('Données projet'!$B$9,Paramètres!$A$1:$I$89,5,0)</f>
        <v>259.52219999999988</v>
      </c>
      <c r="P52" s="13">
        <f t="shared" si="33"/>
        <v>62.620519404058868</v>
      </c>
      <c r="Q52" s="20">
        <f t="shared" si="53"/>
        <v>561.06523629540231</v>
      </c>
      <c r="R52" s="59">
        <f t="shared" si="0"/>
        <v>854.39856962873569</v>
      </c>
      <c r="S52" s="59">
        <f ca="1">AVERAGE(OFFSET($R$3,0,0,'Données projet'!$E$9+1,1))-AVERAGE(OFFSET($H$3,0,0,'Données projet'!$E$9+1,1))</f>
        <v>255.5374979188561</v>
      </c>
      <c r="T52" s="59">
        <f t="shared" si="34"/>
        <v>343.10418468620901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2.1210354977160186</v>
      </c>
      <c r="AA52" s="21">
        <f>EXP(-LN(2)/25)*AA51+(1-EXP(-LN(2)/25))/(LN(2)/25)*Calculateur!V52*Calculateur!X52*VLOOKUP('Données projet'!$B$9,Paramètres!$A$1:$I$89,3,0)*0.475*44/12</f>
        <v>9.4244744536800908</v>
      </c>
      <c r="AB52" s="21">
        <f>EXP(-LN(2)/2)*AB51+(1-EXP(-LN(2)/2))/(LN(2)/2)*V52*Y52*VLOOKUP('Données projet'!$B$9,Paramètres!$A$1:$I$89,3,0)*0.475*44/12</f>
        <v>2.3376675069755487E-3</v>
      </c>
      <c r="AC52" s="22">
        <f t="shared" si="3"/>
        <v>11.547847618903084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12.4</v>
      </c>
      <c r="AI52" s="13">
        <f>IF('Données projet'!$A$62&gt;35,AI51+AH52-AQ51,IF(A52&lt;'Données projet'!$A$62,$AF$205^A52,IF(A52='Données projet'!$A$62,'Données projet'!$B$62,AI51+AH52-AQ51)))</f>
        <v>359.59999999999991</v>
      </c>
      <c r="AJ52" s="13">
        <f>AI52*VLOOKUP('Données projet'!$B$10,Paramètres!$A$1:$I$89,3,0)*VLOOKUP('Données projet'!$B$10,Paramètres!$A$1:$I$89,5,0)</f>
        <v>224.39039999999994</v>
      </c>
      <c r="AK52" s="13">
        <f t="shared" si="35"/>
        <v>55.068017311015858</v>
      </c>
      <c r="AL52" s="20">
        <f t="shared" si="4"/>
        <v>486.72341015001916</v>
      </c>
      <c r="AM52" s="59">
        <f t="shared" si="5"/>
        <v>780.05674348335242</v>
      </c>
      <c r="AN52" s="59">
        <f ca="1">AVERAGE(OFFSET($AM$3,0,0,'Données projet'!$E$10+1,1))-AVERAGE(OFFSET($H$3,0,0,'Données projet'!$E$10+1,1))</f>
        <v>255.41017495879987</v>
      </c>
      <c r="AO52" s="59">
        <f t="shared" si="36"/>
        <v>297.50513563712764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5.7273957758462757</v>
      </c>
      <c r="AV52" s="21">
        <f>EXP(-LN(2)/25)*AV51+(1-EXP(-LN(2)/25))/(LN(2)/25)*Calculateur!AQ52*Calculateur!AS52*VLOOKUP('Données projet'!$B$10,Paramètres!$A$1:$I$89,3,0)*0.475*44/12</f>
        <v>16.4570546201779</v>
      </c>
      <c r="AW52" s="21">
        <f>EXP(-LN(2)/2)*AW51+(1-EXP(-LN(2)/2))/(LN(2)/2)*AQ52*AT52*VLOOKUP('Données projet'!$B$10,Paramètres!$A$1:$I$89,3,0)*0.475*44/12</f>
        <v>3.369970258191303E-2</v>
      </c>
      <c r="AX52" s="21">
        <f t="shared" si="6"/>
        <v>22.218150098606088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9.1999999999999993</v>
      </c>
      <c r="BD52" s="12">
        <f>IF('Données projet'!$A$88&gt;35,BD51+BC52-BL51,IF(A52&lt;'Données projet'!$A$88,$BA$205^A52,IF(A52='Données projet'!$A$88,'Données projet'!$B$88,BD51+BC52-BL51)))</f>
        <v>275.79999999999984</v>
      </c>
      <c r="BE52" s="13">
        <f>BD52*VLOOKUP('Données projet'!$B$11,Paramètres!$A$1:$I$89,3,0)*VLOOKUP('Données projet'!$B$11,Paramètres!$A$1:$I$89,5,0)</f>
        <v>219.42647999999991</v>
      </c>
      <c r="BF52" s="13">
        <f t="shared" si="37"/>
        <v>53.990215051449674</v>
      </c>
      <c r="BG52" s="20">
        <f t="shared" si="7"/>
        <v>476.20074388127472</v>
      </c>
      <c r="BH52" s="59">
        <f t="shared" si="8"/>
        <v>769.53407721460803</v>
      </c>
      <c r="BI52" s="59">
        <f ca="1">AVERAGE(OFFSET($BH$3,0,0,'Données projet'!$E$11+1,1))-AVERAGE(OFFSET($H$3,0,0,'Données projet'!$E$11+1,1))</f>
        <v>260.20517190557814</v>
      </c>
      <c r="BJ52" s="59">
        <f t="shared" si="38"/>
        <v>307.22009971147133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2.2397498238009974</v>
      </c>
      <c r="BQ52" s="21">
        <f>EXP(-LN(2)/25)*BQ51+(1-EXP(-LN(2)/25))/(LN(2)/25)*Calculateur!BL52*Calculateur!BN52*VLOOKUP('Données projet'!$B$11,Paramètres!$A$1:$I$89,3,0)*0.475*44/12</f>
        <v>12.116750116717327</v>
      </c>
      <c r="BR52" s="21">
        <f>EXP(-LN(2)/2)*BR51+(1-EXP(-LN(2)/2))/(LN(2)/2)*BL52*BO52*VLOOKUP('Données projet'!$B$11,Paramètres!$A$1:$I$89,3,0)*0.475*44/12</f>
        <v>3.319953932285228E-2</v>
      </c>
      <c r="BS52" s="22">
        <f t="shared" si="9"/>
        <v>14.389699479841177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7.8</v>
      </c>
      <c r="BY52" s="12">
        <f>IF('Données projet'!$A$114&gt;35,BY51+BX52-CG51,IF(A52&lt;'Données projet'!$A$114,$BV$205^A52,IF(A52='Données projet'!$A$114,'Données projet'!$B$114,BY51+BX52-CG51)))</f>
        <v>266.2</v>
      </c>
      <c r="BZ52" s="13">
        <f>BY52*VLOOKUP('Données projet'!$B$12,Paramètres!$A$1:$I$89,3,0)*VLOOKUP('Données projet'!$B$12,Paramètres!$A$1:$I$89,5,0)</f>
        <v>174.41423999999998</v>
      </c>
      <c r="CA52" s="13">
        <f t="shared" si="39"/>
        <v>44.077186679602853</v>
      </c>
      <c r="CB52" s="20">
        <f t="shared" si="10"/>
        <v>380.53923480030829</v>
      </c>
      <c r="CC52" s="59">
        <f t="shared" si="11"/>
        <v>673.87256813364161</v>
      </c>
      <c r="CD52" s="59">
        <f ca="1">AVERAGE(OFFSET($CC$3,0,0,'Données projet'!$E$12+1,1))-AVERAGE(OFFSET($H$3,0,0,'Données projet'!$E$12+1,1))</f>
        <v>185.21927898775016</v>
      </c>
      <c r="CE52" s="59">
        <f t="shared" si="40"/>
        <v>240.82467772396944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1.0689150102490881</v>
      </c>
      <c r="CL52" s="21">
        <f>EXP(-LN(2)/25)*CL51+(1-EXP(-LN(2)/25))/(LN(2)/25)*Calculateur!CG52*Calculateur!CI52*VLOOKUP('Données projet'!$B$12,Paramètres!$A$1:$I$89,3,0)*0.475*44/12</f>
        <v>4.7464267740250694</v>
      </c>
      <c r="CM52" s="21">
        <f>EXP(-LN(2)/2)*CM51+(1-EXP(-LN(2)/2))/(LN(2)/2)*CG52*CJ52*VLOOKUP('Données projet'!$B$12,Paramètres!$A$1:$I$89,3,0)*0.475*44/12</f>
        <v>1.9329990233008947E-2</v>
      </c>
      <c r="CN52" s="22">
        <f t="shared" si="12"/>
        <v>5.834671774507167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44.460000000000022</v>
      </c>
      <c r="D53" s="11">
        <f t="shared" si="32"/>
        <v>13.17339997701186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444.88940333131978</v>
      </c>
      <c r="H53" s="67">
        <f t="shared" si="1"/>
        <v>393.71150495996233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20.507692307692299</v>
      </c>
      <c r="N53" s="13">
        <f>IF('Données projet'!$A$36&gt;35,N52+M53-V52,IF(A53&lt;'Données projet'!$A$36,$K$205^A53,IF(A53='Données projet'!$A$36,'Données projet'!$B$36,N52+M53-V52)))</f>
        <v>484.76923076923055</v>
      </c>
      <c r="O53" s="13">
        <f>N53*VLOOKUP('Données projet'!$B$9,Paramètres!$A$1:$I$89,3,0)*VLOOKUP('Données projet'!$B$9,Paramètres!$A$1:$I$89,5,0)</f>
        <v>270.98599999999988</v>
      </c>
      <c r="P53" s="13">
        <f t="shared" si="33"/>
        <v>65.058478958733772</v>
      </c>
      <c r="Q53" s="20">
        <f t="shared" si="53"/>
        <v>585.27746751979441</v>
      </c>
      <c r="R53" s="59">
        <f t="shared" si="0"/>
        <v>878.61080085312778</v>
      </c>
      <c r="S53" s="59">
        <f ca="1">AVERAGE(OFFSET($R$3,0,0,'Données projet'!$E$9+1,1))-AVERAGE(OFFSET($H$3,0,0,'Données projet'!$E$9+1,1))</f>
        <v>255.5374979188561</v>
      </c>
      <c r="T53" s="59">
        <f t="shared" si="34"/>
        <v>343.10418468620901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2.0794432853097184</v>
      </c>
      <c r="AA53" s="21">
        <f>EXP(-LN(2)/25)*AA52+(1-EXP(-LN(2)/25))/(LN(2)/25)*Calculateur!V53*Calculateur!X53*VLOOKUP('Données projet'!$B$9,Paramètres!$A$1:$I$89,3,0)*0.475*44/12</f>
        <v>9.1667617041326377</v>
      </c>
      <c r="AB53" s="21">
        <f>EXP(-LN(2)/2)*AB52+(1-EXP(-LN(2)/2))/(LN(2)/2)*V53*Y53*VLOOKUP('Données projet'!$B$9,Paramètres!$A$1:$I$89,3,0)*0.475*44/12</f>
        <v>1.6529805463418614E-3</v>
      </c>
      <c r="AC53" s="22">
        <f t="shared" si="3"/>
        <v>11.247857969988697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372</v>
      </c>
      <c r="AG53" s="12">
        <f>VLOOKUP(A53,'Données projet'!$A$61:$I$81,9,0)</f>
        <v>12.4</v>
      </c>
      <c r="AH53" s="12">
        <f t="array" ref="AH53">INDEX(AG:AG,MIN(IF(ISNUMBER(AG53:AG249),ROW(AG53:AG249),"")))</f>
        <v>12.4</v>
      </c>
      <c r="AI53" s="13">
        <f>IF('Données projet'!$A$62&gt;35,AI52+AH53-AQ52,IF(A53&lt;'Données projet'!$A$62,$AF$205^A53,IF(A53='Données projet'!$A$62,'Données projet'!$B$62,AI52+AH53-AQ52)))</f>
        <v>371.99999999999989</v>
      </c>
      <c r="AJ53" s="13">
        <f>AI53*VLOOKUP('Données projet'!$B$10,Paramètres!$A$1:$I$89,3,0)*VLOOKUP('Données projet'!$B$10,Paramètres!$A$1:$I$89,5,0)</f>
        <v>232.12799999999993</v>
      </c>
      <c r="AK53" s="13">
        <f t="shared" si="35"/>
        <v>56.742557967082398</v>
      </c>
      <c r="AL53" s="20">
        <f t="shared" si="4"/>
        <v>503.11622179266834</v>
      </c>
      <c r="AM53" s="59">
        <f t="shared" si="5"/>
        <v>796.44955512600166</v>
      </c>
      <c r="AN53" s="59">
        <f ca="1">AVERAGE(OFFSET($AM$3,0,0,'Données projet'!$E$10+1,1))-AVERAGE(OFFSET($H$3,0,0,'Données projet'!$E$10+1,1))</f>
        <v>255.41017495879987</v>
      </c>
      <c r="AO53" s="59">
        <f t="shared" si="36"/>
        <v>297.50513563712764</v>
      </c>
      <c r="AP53" s="15">
        <f>IF(ISNA(VLOOKUP(A53,'Données projet'!$A$61:$I$81,3,0)),0,VLOOKUP(A53,'Données projet'!$A$61:$I$81,3,0))</f>
        <v>4</v>
      </c>
      <c r="AQ53" s="15">
        <f>IF(ISNA(VLOOKUP(A53,'Données projet'!$A$61:$I$81,4,0)),0,VLOOKUP(A53,'Données projet'!$A$61:$I$81,4,0))</f>
        <v>68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5.6150850380484121</v>
      </c>
      <c r="AV53" s="21">
        <f>EXP(-LN(2)/25)*AV52+(1-EXP(-LN(2)/25))/(LN(2)/25)*Calculateur!AQ53*Calculateur!AS53*VLOOKUP('Données projet'!$B$10,Paramètres!$A$1:$I$89,3,0)*0.475*44/12</f>
        <v>16.007035596150246</v>
      </c>
      <c r="AW53" s="21">
        <f>EXP(-LN(2)/2)*AW52+(1-EXP(-LN(2)/2))/(LN(2)/2)*AQ53*AT53*VLOOKUP('Données projet'!$B$10,Paramètres!$A$1:$I$89,3,0)*0.475*44/12</f>
        <v>2.3829288219640508E-2</v>
      </c>
      <c r="AX53" s="21">
        <f t="shared" si="6"/>
        <v>21.6459499224183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>
        <f>VLOOKUP(A53,'Données projet'!$A$87:$I$107,2,0)</f>
        <v>285</v>
      </c>
      <c r="BB53" s="12">
        <f>VLOOKUP(A53,'Données projet'!$A$87:$I$107,9,0)</f>
        <v>9.1999999999999993</v>
      </c>
      <c r="BC53" s="12">
        <f t="array" ref="BC53">INDEX(BB:BB,MIN(IF(ISNUMBER(BB53:BB249),ROW(BB53:BB249),"")))</f>
        <v>9.1999999999999993</v>
      </c>
      <c r="BD53" s="12">
        <f>IF('Données projet'!$A$88&gt;35,BD52+BC53-BL52,IF(A53&lt;'Données projet'!$A$88,$BA$205^A53,IF(A53='Données projet'!$A$88,'Données projet'!$B$88,BD52+BC53-BL52)))</f>
        <v>284.99999999999983</v>
      </c>
      <c r="BE53" s="13">
        <f>BD53*VLOOKUP('Données projet'!$B$11,Paramètres!$A$1:$I$89,3,0)*VLOOKUP('Données projet'!$B$11,Paramètres!$A$1:$I$89,5,0)</f>
        <v>226.74599999999987</v>
      </c>
      <c r="BF53" s="13">
        <f t="shared" si="37"/>
        <v>55.578508240245917</v>
      </c>
      <c r="BG53" s="20">
        <f t="shared" si="7"/>
        <v>491.71518518509475</v>
      </c>
      <c r="BH53" s="59">
        <f t="shared" si="8"/>
        <v>785.04851851842807</v>
      </c>
      <c r="BI53" s="59">
        <f ca="1">AVERAGE(OFFSET($BH$3,0,0,'Données projet'!$E$11+1,1))-AVERAGE(OFFSET($H$3,0,0,'Données projet'!$E$11+1,1))</f>
        <v>260.20517190557814</v>
      </c>
      <c r="BJ53" s="59">
        <f t="shared" si="38"/>
        <v>307.22009971147133</v>
      </c>
      <c r="BK53" s="15">
        <f>IF(ISNA(VLOOKUP(A53,'Données projet'!$A$87:$I$107,3,0)),0,VLOOKUP(A53,'Données projet'!$A$87:$I$107,3,0))</f>
        <v>4</v>
      </c>
      <c r="BL53" s="15">
        <f>IF(ISNA(VLOOKUP(A53,'Données projet'!$A$87:$I$107,4,0)),0,VLOOKUP(A53,'Données projet'!$A$87:$I$107,4,0))</f>
        <v>43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2.1958296958687598</v>
      </c>
      <c r="BQ53" s="21">
        <f>EXP(-LN(2)/25)*BQ52+(1-EXP(-LN(2)/25))/(LN(2)/25)*Calculateur!BL53*Calculateur!BN53*VLOOKUP('Données projet'!$B$11,Paramètres!$A$1:$I$89,3,0)*0.475*44/12</f>
        <v>11.785416947583496</v>
      </c>
      <c r="BR53" s="21">
        <f>EXP(-LN(2)/2)*BR52+(1-EXP(-LN(2)/2))/(LN(2)/2)*BL53*BO53*VLOOKUP('Données projet'!$B$11,Paramètres!$A$1:$I$89,3,0)*0.475*44/12</f>
        <v>2.3475619387458287E-2</v>
      </c>
      <c r="BS53" s="22">
        <f t="shared" si="9"/>
        <v>14.004722262839714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>
        <f>VLOOKUP(A53,'Données projet'!$A$113:$I$133,2,0)</f>
        <v>274</v>
      </c>
      <c r="BW53" s="12">
        <f>VLOOKUP(A53,'Données projet'!$A$113:$I$133,9,0)</f>
        <v>7.8</v>
      </c>
      <c r="BX53" s="12">
        <f t="array" ref="BX53">INDEX(BW:BW,MIN(IF(ISNUMBER(BW53:BW249),ROW(BW53:BW249),"")))</f>
        <v>7.8</v>
      </c>
      <c r="BY53" s="12">
        <f>IF('Données projet'!$A$114&gt;35,BY52+BX53-CG52,IF(A53&lt;'Données projet'!$A$114,$BV$205^A53,IF(A53='Données projet'!$A$114,'Données projet'!$B$114,BY52+BX53-CG52)))</f>
        <v>274</v>
      </c>
      <c r="BZ53" s="13">
        <f>BY53*VLOOKUP('Données projet'!$B$12,Paramètres!$A$1:$I$89,3,0)*VLOOKUP('Données projet'!$B$12,Paramètres!$A$1:$I$89,5,0)</f>
        <v>179.5248</v>
      </c>
      <c r="CA53" s="13">
        <f t="shared" si="39"/>
        <v>45.216446661458264</v>
      </c>
      <c r="CB53" s="20">
        <f t="shared" si="10"/>
        <v>391.42433793537316</v>
      </c>
      <c r="CC53" s="59">
        <f t="shared" si="11"/>
        <v>684.75767126870642</v>
      </c>
      <c r="CD53" s="59">
        <f ca="1">AVERAGE(OFFSET($CC$3,0,0,'Données projet'!$E$12+1,1))-AVERAGE(OFFSET($H$3,0,0,'Données projet'!$E$12+1,1))</f>
        <v>185.21927898775016</v>
      </c>
      <c r="CE53" s="59">
        <f t="shared" si="40"/>
        <v>240.82467772396944</v>
      </c>
      <c r="CF53" s="15">
        <f>IF(ISNA(VLOOKUP(A53,'Données projet'!$A$113:$I$133,3,0)),0,VLOOKUP(A53,'Données projet'!$A$113:$I$133,3,0))</f>
        <v>4</v>
      </c>
      <c r="CG53" s="15">
        <f>IF(ISNA(VLOOKUP(A53,'Données projet'!$A$113:$I$133,4,0)),0,VLOOKUP(A53,'Données projet'!$A$113:$I$133,4,0))</f>
        <v>55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>
        <f>EXP(-LN(2)/35)*CK52+(1-EXP(-LN(2)/35))/(LN(2)/35)*CG53*CH53*VLOOKUP('Données projet'!$B$12,Paramètres!$A$1:$I$89,3,0)*0.475*44/12</f>
        <v>1.0479542388718825</v>
      </c>
      <c r="CL53" s="21">
        <f>EXP(-LN(2)/25)*CL52+(1-EXP(-LN(2)/25))/(LN(2)/25)*Calculateur!CG53*Calculateur!CI53*VLOOKUP('Données projet'!$B$12,Paramètres!$A$1:$I$89,3,0)*0.475*44/12</f>
        <v>4.6166354842856183</v>
      </c>
      <c r="CM53" s="21">
        <f>EXP(-LN(2)/2)*CM52+(1-EXP(-LN(2)/2))/(LN(2)/2)*CG53*CJ53*VLOOKUP('Données projet'!$B$12,Paramètres!$A$1:$I$89,3,0)*0.475*44/12</f>
        <v>1.3668367174030359E-2</v>
      </c>
      <c r="CN53" s="22">
        <f t="shared" si="12"/>
        <v>5.6782580903315321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45.349200000000025</v>
      </c>
      <c r="D54" s="11">
        <f t="shared" si="32"/>
        <v>13.405931317559242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453.54838210045756</v>
      </c>
      <c r="H54" s="67">
        <f t="shared" si="1"/>
        <v>395.66518704474902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20.507692307692299</v>
      </c>
      <c r="N54" s="13">
        <f>IF('Données projet'!$A$36&gt;35,N53+M54-V53,IF(A54&lt;'Données projet'!$A$36,$K$205^A54,IF(A54='Données projet'!$A$36,'Données projet'!$B$36,N53+M54-V53)))</f>
        <v>505.27692307692286</v>
      </c>
      <c r="O54" s="13">
        <f>N54*VLOOKUP('Données projet'!$B$9,Paramètres!$A$1:$I$89,3,0)*VLOOKUP('Données projet'!$B$9,Paramètres!$A$1:$I$89,5,0)</f>
        <v>282.44979999999987</v>
      </c>
      <c r="P54" s="13">
        <f t="shared" si="33"/>
        <v>67.484459274997945</v>
      </c>
      <c r="Q54" s="20">
        <f t="shared" si="53"/>
        <v>609.46883490395442</v>
      </c>
      <c r="R54" s="59">
        <f t="shared" si="0"/>
        <v>902.80216823728779</v>
      </c>
      <c r="S54" s="59">
        <f ca="1">AVERAGE(OFFSET($R$3,0,0,'Données projet'!$E$9+1,1))-AVERAGE(OFFSET($H$3,0,0,'Données projet'!$E$9+1,1))</f>
        <v>255.5374979188561</v>
      </c>
      <c r="T54" s="59">
        <f t="shared" si="34"/>
        <v>343.10418468620901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2.038666670819961</v>
      </c>
      <c r="AA54" s="21">
        <f>EXP(-LN(2)/25)*AA53+(1-EXP(-LN(2)/25))/(LN(2)/25)*Calculateur!V54*Calculateur!X54*VLOOKUP('Données projet'!$B$9,Paramètres!$A$1:$I$89,3,0)*0.475*44/12</f>
        <v>8.9160961232740839</v>
      </c>
      <c r="AB54" s="21">
        <f>EXP(-LN(2)/2)*AB53+(1-EXP(-LN(2)/2))/(LN(2)/2)*V54*Y54*VLOOKUP('Données projet'!$B$9,Paramètres!$A$1:$I$89,3,0)*0.475*44/12</f>
        <v>1.1688337534877743E-3</v>
      </c>
      <c r="AC54" s="22">
        <f t="shared" si="3"/>
        <v>10.955931627847532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10</v>
      </c>
      <c r="AI54" s="13">
        <f>IF('Données projet'!$A$62&gt;35,AI53+AH54-AQ53,IF(A54&lt;'Données projet'!$A$62,$AF$205^A54,IF(A54='Données projet'!$A$62,'Données projet'!$B$62,AI53+AH54-AQ53)))</f>
        <v>313.99999999999989</v>
      </c>
      <c r="AJ54" s="13">
        <f>AI54*VLOOKUP('Données projet'!$B$10,Paramètres!$A$1:$I$89,3,0)*VLOOKUP('Données projet'!$B$10,Paramètres!$A$1:$I$89,5,0)</f>
        <v>195.93599999999992</v>
      </c>
      <c r="AK54" s="13">
        <f t="shared" si="35"/>
        <v>48.849959202565856</v>
      </c>
      <c r="AL54" s="20">
        <f t="shared" si="4"/>
        <v>426.33554561113533</v>
      </c>
      <c r="AM54" s="59">
        <f t="shared" si="5"/>
        <v>719.66887894446859</v>
      </c>
      <c r="AN54" s="59">
        <f ca="1">AVERAGE(OFFSET($AM$3,0,0,'Données projet'!$E$10+1,1))-AVERAGE(OFFSET($H$3,0,0,'Données projet'!$E$10+1,1))</f>
        <v>255.41017495879987</v>
      </c>
      <c r="AO54" s="59">
        <f t="shared" si="36"/>
        <v>297.50513563712764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5.5049766453159785</v>
      </c>
      <c r="AV54" s="21">
        <f>EXP(-LN(2)/25)*AV53+(1-EXP(-LN(2)/25))/(LN(2)/25)*Calculateur!AQ54*Calculateur!AS54*VLOOKUP('Données projet'!$B$10,Paramètres!$A$1:$I$89,3,0)*0.475*44/12</f>
        <v>15.569322366000099</v>
      </c>
      <c r="AW54" s="21">
        <f>EXP(-LN(2)/2)*AW53+(1-EXP(-LN(2)/2))/(LN(2)/2)*AQ54*AT54*VLOOKUP('Données projet'!$B$10,Paramètres!$A$1:$I$89,3,0)*0.475*44/12</f>
        <v>1.6849851290956515E-2</v>
      </c>
      <c r="AX54" s="21">
        <f t="shared" si="6"/>
        <v>21.091148862607035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6.8</v>
      </c>
      <c r="BD54" s="12">
        <f>IF('Données projet'!$A$88&gt;35,BD53+BC54-BL53,IF(A54&lt;'Données projet'!$A$88,$BA$205^A54,IF(A54='Données projet'!$A$88,'Données projet'!$B$88,BD53+BC54-BL53)))</f>
        <v>248.79999999999984</v>
      </c>
      <c r="BE54" s="13">
        <f>BD54*VLOOKUP('Données projet'!$B$11,Paramètres!$A$1:$I$89,3,0)*VLOOKUP('Données projet'!$B$11,Paramètres!$A$1:$I$89,5,0)</f>
        <v>197.94527999999988</v>
      </c>
      <c r="BF54" s="13">
        <f t="shared" si="37"/>
        <v>49.29233142017484</v>
      </c>
      <c r="BG54" s="20">
        <f t="shared" si="7"/>
        <v>430.6055065568043</v>
      </c>
      <c r="BH54" s="59">
        <f t="shared" si="8"/>
        <v>723.93883989013761</v>
      </c>
      <c r="BI54" s="59">
        <f ca="1">AVERAGE(OFFSET($BH$3,0,0,'Données projet'!$E$11+1,1))-AVERAGE(OFFSET($H$3,0,0,'Données projet'!$E$11+1,1))</f>
        <v>260.20517190557814</v>
      </c>
      <c r="BJ54" s="59">
        <f t="shared" si="38"/>
        <v>307.22009971147133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2.1527708148566407</v>
      </c>
      <c r="BQ54" s="21">
        <f>EXP(-LN(2)/25)*BQ53+(1-EXP(-LN(2)/25))/(LN(2)/25)*Calculateur!BL54*Calculateur!BN54*VLOOKUP('Données projet'!$B$11,Paramètres!$A$1:$I$89,3,0)*0.475*44/12</f>
        <v>11.463144101383683</v>
      </c>
      <c r="BR54" s="21">
        <f>EXP(-LN(2)/2)*BR53+(1-EXP(-LN(2)/2))/(LN(2)/2)*BL54*BO54*VLOOKUP('Données projet'!$B$11,Paramètres!$A$1:$I$89,3,0)*0.475*44/12</f>
        <v>1.659976966142614E-2</v>
      </c>
      <c r="BS54" s="22">
        <f t="shared" si="9"/>
        <v>13.63251468590175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6.6</v>
      </c>
      <c r="BY54" s="12">
        <f>IF('Données projet'!$A$114&gt;35,BY53+BX54-CG53,IF(A54&lt;'Données projet'!$A$114,$BV$205^A54,IF(A54='Données projet'!$A$114,'Données projet'!$B$114,BY53+BX54-CG53)))</f>
        <v>225.60000000000002</v>
      </c>
      <c r="BZ54" s="13">
        <f>BY54*VLOOKUP('Données projet'!$B$12,Paramètres!$A$1:$I$89,3,0)*VLOOKUP('Données projet'!$B$12,Paramètres!$A$1:$I$89,5,0)</f>
        <v>147.81312000000003</v>
      </c>
      <c r="CA54" s="13">
        <f t="shared" si="39"/>
        <v>38.081185298782486</v>
      </c>
      <c r="CB54" s="20">
        <f t="shared" si="10"/>
        <v>323.76591506204619</v>
      </c>
      <c r="CC54" s="59">
        <f t="shared" si="11"/>
        <v>617.0992483953795</v>
      </c>
      <c r="CD54" s="59">
        <f ca="1">AVERAGE(OFFSET($CC$3,0,0,'Données projet'!$E$12+1,1))-AVERAGE(OFFSET($H$3,0,0,'Données projet'!$E$12+1,1))</f>
        <v>185.21927898775016</v>
      </c>
      <c r="CE54" s="59">
        <f t="shared" si="40"/>
        <v>240.82467772396944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1.027404495436576</v>
      </c>
      <c r="CL54" s="21">
        <f>EXP(-LN(2)/25)*CL53+(1-EXP(-LN(2)/25))/(LN(2)/25)*Calculateur!CG54*Calculateur!CI54*VLOOKUP('Données projet'!$B$12,Paramètres!$A$1:$I$89,3,0)*0.475*44/12</f>
        <v>4.4903933441895196</v>
      </c>
      <c r="CM54" s="21">
        <f>EXP(-LN(2)/2)*CM53+(1-EXP(-LN(2)/2))/(LN(2)/2)*CG54*CJ54*VLOOKUP('Données projet'!$B$12,Paramètres!$A$1:$I$89,3,0)*0.475*44/12</f>
        <v>9.6649951165044736E-3</v>
      </c>
      <c r="CN54" s="22">
        <f t="shared" si="12"/>
        <v>5.5274628347426003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46.238400000000027</v>
      </c>
      <c r="D55" s="11">
        <f t="shared" si="32"/>
        <v>13.637932508790366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462.20326848890824</v>
      </c>
      <c r="H55" s="67">
        <f t="shared" si="1"/>
        <v>397.61794578614325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20.507692307692299</v>
      </c>
      <c r="N55" s="13">
        <f>IF('Données projet'!$A$36&gt;35,N54+M55-V54,IF(A55&lt;'Données projet'!$A$36,$K$205^A55,IF(A55='Données projet'!$A$36,'Données projet'!$B$36,N54+M55-V54)))</f>
        <v>525.78461538461511</v>
      </c>
      <c r="O55" s="13">
        <f>N55*VLOOKUP('Données projet'!$B$9,Paramètres!$A$1:$I$89,3,0)*VLOOKUP('Données projet'!$B$9,Paramètres!$A$1:$I$89,5,0)</f>
        <v>293.91359999999986</v>
      </c>
      <c r="P55" s="13">
        <f t="shared" si="33"/>
        <v>69.899002171586702</v>
      </c>
      <c r="Q55" s="20">
        <f t="shared" si="53"/>
        <v>633.64028211551329</v>
      </c>
      <c r="R55" s="59">
        <f t="shared" si="0"/>
        <v>926.97361544884666</v>
      </c>
      <c r="S55" s="59">
        <f ca="1">AVERAGE(OFFSET($R$3,0,0,'Données projet'!$E$9+1,1))-AVERAGE(OFFSET($H$3,0,0,'Données projet'!$E$9+1,1))</f>
        <v>255.5374979188561</v>
      </c>
      <c r="T55" s="59">
        <f t="shared" si="34"/>
        <v>343.10418468620901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1.998689660869069</v>
      </c>
      <c r="AA55" s="21">
        <f>EXP(-LN(2)/25)*AA54+(1-EXP(-LN(2)/25))/(LN(2)/25)*Calculateur!V55*Calculateur!X55*VLOOKUP('Données projet'!$B$9,Paramètres!$A$1:$I$89,3,0)*0.475*44/12</f>
        <v>8.672285005906037</v>
      </c>
      <c r="AB55" s="21">
        <f>EXP(-LN(2)/2)*AB54+(1-EXP(-LN(2)/2))/(LN(2)/2)*V55*Y55*VLOOKUP('Données projet'!$B$9,Paramètres!$A$1:$I$89,3,0)*0.475*44/12</f>
        <v>8.2649027317093068E-4</v>
      </c>
      <c r="AC55" s="22">
        <f t="shared" si="3"/>
        <v>10.671801157048277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10</v>
      </c>
      <c r="AI55" s="13">
        <f>IF('Données projet'!$A$62&gt;35,AI54+AH55-AQ54,IF(A55&lt;'Données projet'!$A$62,$AF$205^A55,IF(A55='Données projet'!$A$62,'Données projet'!$B$62,AI54+AH55-AQ54)))</f>
        <v>323.99999999999989</v>
      </c>
      <c r="AJ55" s="13">
        <f>AI55*VLOOKUP('Données projet'!$B$10,Paramètres!$A$1:$I$89,3,0)*VLOOKUP('Données projet'!$B$10,Paramètres!$A$1:$I$89,5,0)</f>
        <v>202.17599999999996</v>
      </c>
      <c r="AK55" s="13">
        <f t="shared" si="35"/>
        <v>50.22208506756467</v>
      </c>
      <c r="AL55" s="20">
        <f t="shared" si="4"/>
        <v>439.59333149267508</v>
      </c>
      <c r="AM55" s="59">
        <f t="shared" si="5"/>
        <v>732.92666482600839</v>
      </c>
      <c r="AN55" s="59">
        <f ca="1">AVERAGE(OFFSET($AM$3,0,0,'Données projet'!$E$10+1,1))-AVERAGE(OFFSET($H$3,0,0,'Données projet'!$E$10+1,1))</f>
        <v>255.41017495879987</v>
      </c>
      <c r="AO55" s="59">
        <f t="shared" si="36"/>
        <v>297.50513563712764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5.3970274110055403</v>
      </c>
      <c r="AV55" s="21">
        <f>EXP(-LN(2)/25)*AV54+(1-EXP(-LN(2)/25))/(LN(2)/25)*Calculateur!AQ55*Calculateur!AS55*VLOOKUP('Données projet'!$B$10,Paramètres!$A$1:$I$89,3,0)*0.475*44/12</f>
        <v>15.143578427146748</v>
      </c>
      <c r="AW55" s="21">
        <f>EXP(-LN(2)/2)*AW54+(1-EXP(-LN(2)/2))/(LN(2)/2)*AQ55*AT55*VLOOKUP('Données projet'!$B$10,Paramètres!$A$1:$I$89,3,0)*0.475*44/12</f>
        <v>1.1914644109820254E-2</v>
      </c>
      <c r="AX55" s="21">
        <f t="shared" si="6"/>
        <v>20.552520482262107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6.8</v>
      </c>
      <c r="BD55" s="12">
        <f>IF('Données projet'!$A$88&gt;35,BD54+BC55-BL54,IF(A55&lt;'Données projet'!$A$88,$BA$205^A55,IF(A55='Données projet'!$A$88,'Données projet'!$B$88,BD54+BC55-BL54)))</f>
        <v>255.59999999999985</v>
      </c>
      <c r="BE55" s="13">
        <f>BD55*VLOOKUP('Données projet'!$B$11,Paramètres!$A$1:$I$89,3,0)*VLOOKUP('Données projet'!$B$11,Paramètres!$A$1:$I$89,5,0)</f>
        <v>203.35535999999991</v>
      </c>
      <c r="BF55" s="13">
        <f t="shared" si="37"/>
        <v>50.480858741452501</v>
      </c>
      <c r="BG55" s="20">
        <f t="shared" si="7"/>
        <v>442.09808097469619</v>
      </c>
      <c r="BH55" s="59">
        <f t="shared" si="8"/>
        <v>735.4314143080295</v>
      </c>
      <c r="BI55" s="59">
        <f ca="1">AVERAGE(OFFSET($BH$3,0,0,'Données projet'!$E$11+1,1))-AVERAGE(OFFSET($H$3,0,0,'Données projet'!$E$11+1,1))</f>
        <v>260.20517190557814</v>
      </c>
      <c r="BJ55" s="59">
        <f t="shared" si="38"/>
        <v>307.22009971147133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2.1105562922378449</v>
      </c>
      <c r="BQ55" s="21">
        <f>EXP(-LN(2)/25)*BQ54+(1-EXP(-LN(2)/25))/(LN(2)/25)*Calculateur!BL55*Calculateur!BN55*VLOOKUP('Données projet'!$B$11,Paramètres!$A$1:$I$89,3,0)*0.475*44/12</f>
        <v>11.149683823110797</v>
      </c>
      <c r="BR55" s="21">
        <f>EXP(-LN(2)/2)*BR54+(1-EXP(-LN(2)/2))/(LN(2)/2)*BL55*BO55*VLOOKUP('Données projet'!$B$11,Paramètres!$A$1:$I$89,3,0)*0.475*44/12</f>
        <v>1.1737809693729144E-2</v>
      </c>
      <c r="BS55" s="22">
        <f t="shared" si="9"/>
        <v>13.271977925042371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6.6</v>
      </c>
      <c r="BY55" s="12">
        <f>IF('Données projet'!$A$114&gt;35,BY54+BX55-CG54,IF(A55&lt;'Données projet'!$A$114,$BV$205^A55,IF(A55='Données projet'!$A$114,'Données projet'!$B$114,BY54+BX55-CG54)))</f>
        <v>232.20000000000002</v>
      </c>
      <c r="BZ55" s="13">
        <f>BY55*VLOOKUP('Données projet'!$B$12,Paramètres!$A$1:$I$89,3,0)*VLOOKUP('Données projet'!$B$12,Paramètres!$A$1:$I$89,5,0)</f>
        <v>152.13744</v>
      </c>
      <c r="CA55" s="13">
        <f t="shared" si="39"/>
        <v>39.063925813036093</v>
      </c>
      <c r="CB55" s="20">
        <f t="shared" si="10"/>
        <v>333.00904545770453</v>
      </c>
      <c r="CC55" s="59">
        <f t="shared" si="11"/>
        <v>626.34237879103785</v>
      </c>
      <c r="CD55" s="59">
        <f ca="1">AVERAGE(OFFSET($CC$3,0,0,'Données projet'!$E$12+1,1))-AVERAGE(OFFSET($H$3,0,0,'Données projet'!$E$12+1,1))</f>
        <v>185.21927898775016</v>
      </c>
      <c r="CE55" s="59">
        <f t="shared" si="40"/>
        <v>240.82467772396944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1.0072577199359298</v>
      </c>
      <c r="CL55" s="21">
        <f>EXP(-LN(2)/25)*CL54+(1-EXP(-LN(2)/25))/(LN(2)/25)*Calculateur!CG55*Calculateur!CI55*VLOOKUP('Données projet'!$B$12,Paramètres!$A$1:$I$89,3,0)*0.475*44/12</f>
        <v>4.3676033020531344</v>
      </c>
      <c r="CM55" s="21">
        <f>EXP(-LN(2)/2)*CM54+(1-EXP(-LN(2)/2))/(LN(2)/2)*CG55*CJ55*VLOOKUP('Données projet'!$B$12,Paramètres!$A$1:$I$89,3,0)*0.475*44/12</f>
        <v>6.8341835870151793E-3</v>
      </c>
      <c r="CN55" s="22">
        <f t="shared" si="12"/>
        <v>5.3816952055760794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47.127600000000029</v>
      </c>
      <c r="D56" s="11">
        <f t="shared" si="32"/>
        <v>13.869414921287754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470.85415026958998</v>
      </c>
      <c r="H56" s="67">
        <f t="shared" si="1"/>
        <v>399.56980098790956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20.507692307692299</v>
      </c>
      <c r="N56" s="13">
        <f>IF('Données projet'!$A$36&gt;35,N55+M56-V55,IF(A56&lt;'Données projet'!$A$36,$K$205^A56,IF(A56='Données projet'!$A$36,'Données projet'!$B$36,N55+M56-V55)))</f>
        <v>546.29230769230742</v>
      </c>
      <c r="O56" s="13">
        <f>N56*VLOOKUP('Données projet'!$B$9,Paramètres!$A$1:$I$89,3,0)*VLOOKUP('Données projet'!$B$9,Paramètres!$A$1:$I$89,5,0)</f>
        <v>305.37739999999985</v>
      </c>
      <c r="P56" s="13">
        <f t="shared" si="33"/>
        <v>72.302604807906476</v>
      </c>
      <c r="Q56" s="20">
        <f t="shared" si="53"/>
        <v>657.79267504043685</v>
      </c>
      <c r="R56" s="59">
        <f t="shared" si="0"/>
        <v>951.12600837377022</v>
      </c>
      <c r="S56" s="59">
        <f ca="1">AVERAGE(OFFSET($R$3,0,0,'Données projet'!$E$9+1,1))-AVERAGE(OFFSET($H$3,0,0,'Données projet'!$E$9+1,1))</f>
        <v>255.5374979188561</v>
      </c>
      <c r="T56" s="59">
        <f t="shared" si="34"/>
        <v>343.10418468620901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1.9594965756997456</v>
      </c>
      <c r="AA56" s="21">
        <f>EXP(-LN(2)/25)*AA55+(1-EXP(-LN(2)/25))/(LN(2)/25)*Calculateur!V56*Calculateur!X56*VLOOKUP('Données projet'!$B$9,Paramètres!$A$1:$I$89,3,0)*0.475*44/12</f>
        <v>8.4351409163638884</v>
      </c>
      <c r="AB56" s="21">
        <f>EXP(-LN(2)/2)*AB55+(1-EXP(-LN(2)/2))/(LN(2)/2)*V56*Y56*VLOOKUP('Données projet'!$B$9,Paramètres!$A$1:$I$89,3,0)*0.475*44/12</f>
        <v>5.8441687674388716E-4</v>
      </c>
      <c r="AC56" s="22">
        <f t="shared" si="3"/>
        <v>10.395221908940378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10</v>
      </c>
      <c r="AI56" s="13">
        <f>IF('Données projet'!$A$62&gt;35,AI55+AH56-AQ55,IF(A56&lt;'Données projet'!$A$62,$AF$205^A56,IF(A56='Données projet'!$A$62,'Données projet'!$B$62,AI55+AH56-AQ55)))</f>
        <v>333.99999999999989</v>
      </c>
      <c r="AJ56" s="13">
        <f>AI56*VLOOKUP('Données projet'!$B$10,Paramètres!$A$1:$I$89,3,0)*VLOOKUP('Données projet'!$B$10,Paramètres!$A$1:$I$89,5,0)</f>
        <v>208.41599999999991</v>
      </c>
      <c r="AK56" s="13">
        <f t="shared" si="35"/>
        <v>51.589289462027516</v>
      </c>
      <c r="AL56" s="20">
        <f t="shared" si="4"/>
        <v>452.84254581303099</v>
      </c>
      <c r="AM56" s="59">
        <f t="shared" si="5"/>
        <v>746.17587914636431</v>
      </c>
      <c r="AN56" s="59">
        <f ca="1">AVERAGE(OFFSET($AM$3,0,0,'Données projet'!$E$10+1,1))-AVERAGE(OFFSET($H$3,0,0,'Données projet'!$E$10+1,1))</f>
        <v>255.41017495879987</v>
      </c>
      <c r="AO56" s="59">
        <f t="shared" si="36"/>
        <v>297.50513563712764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5.2911949953373982</v>
      </c>
      <c r="AV56" s="21">
        <f>EXP(-LN(2)/25)*AV55+(1-EXP(-LN(2)/25))/(LN(2)/25)*Calculateur!AQ56*Calculateur!AS56*VLOOKUP('Données projet'!$B$10,Paramètres!$A$1:$I$89,3,0)*0.475*44/12</f>
        <v>14.729476478690241</v>
      </c>
      <c r="AW56" s="21">
        <f>EXP(-LN(2)/2)*AW55+(1-EXP(-LN(2)/2))/(LN(2)/2)*AQ56*AT56*VLOOKUP('Données projet'!$B$10,Paramètres!$A$1:$I$89,3,0)*0.475*44/12</f>
        <v>8.4249256454782574E-3</v>
      </c>
      <c r="AX56" s="21">
        <f t="shared" si="6"/>
        <v>20.029096399673119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6.8</v>
      </c>
      <c r="BD56" s="12">
        <f>IF('Données projet'!$A$88&gt;35,BD55+BC56-BL55,IF(A56&lt;'Données projet'!$A$88,$BA$205^A56,IF(A56='Données projet'!$A$88,'Données projet'!$B$88,BD55+BC56-BL55)))</f>
        <v>262.39999999999986</v>
      </c>
      <c r="BE56" s="13">
        <f>BD56*VLOOKUP('Données projet'!$B$11,Paramètres!$A$1:$I$89,3,0)*VLOOKUP('Données projet'!$B$11,Paramètres!$A$1:$I$89,5,0)</f>
        <v>208.7654399999999</v>
      </c>
      <c r="BF56" s="13">
        <f t="shared" si="37"/>
        <v>51.665710768737398</v>
      </c>
      <c r="BG56" s="20">
        <f t="shared" si="7"/>
        <v>453.58425425555083</v>
      </c>
      <c r="BH56" s="59">
        <f t="shared" si="8"/>
        <v>746.91758758888409</v>
      </c>
      <c r="BI56" s="59">
        <f ca="1">AVERAGE(OFFSET($BH$3,0,0,'Données projet'!$E$11+1,1))-AVERAGE(OFFSET($H$3,0,0,'Données projet'!$E$11+1,1))</f>
        <v>260.20517190557814</v>
      </c>
      <c r="BJ56" s="59">
        <f t="shared" si="38"/>
        <v>307.22009971147133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2.0691695706592874</v>
      </c>
      <c r="BQ56" s="21">
        <f>EXP(-LN(2)/25)*BQ55+(1-EXP(-LN(2)/25))/(LN(2)/25)*Calculateur!BL56*Calculateur!BN56*VLOOKUP('Données projet'!$B$11,Paramètres!$A$1:$I$89,3,0)*0.475*44/12</f>
        <v>10.844795132631443</v>
      </c>
      <c r="BR56" s="21">
        <f>EXP(-LN(2)/2)*BR55+(1-EXP(-LN(2)/2))/(LN(2)/2)*BL56*BO56*VLOOKUP('Données projet'!$B$11,Paramètres!$A$1:$I$89,3,0)*0.475*44/12</f>
        <v>8.2998848307130699E-3</v>
      </c>
      <c r="BS56" s="22">
        <f t="shared" si="9"/>
        <v>12.922264588121443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6.6</v>
      </c>
      <c r="BY56" s="12">
        <f>IF('Données projet'!$A$114&gt;35,BY55+BX56-CG55,IF(A56&lt;'Données projet'!$A$114,$BV$205^A56,IF(A56='Données projet'!$A$114,'Données projet'!$B$114,BY55+BX56-CG55)))</f>
        <v>238.8</v>
      </c>
      <c r="BZ56" s="13">
        <f>BY56*VLOOKUP('Données projet'!$B$12,Paramètres!$A$1:$I$89,3,0)*VLOOKUP('Données projet'!$B$12,Paramètres!$A$1:$I$89,5,0)</f>
        <v>156.46176000000003</v>
      </c>
      <c r="CA56" s="13">
        <f t="shared" si="39"/>
        <v>40.043419814502997</v>
      </c>
      <c r="CB56" s="20">
        <f t="shared" si="10"/>
        <v>342.24652151025947</v>
      </c>
      <c r="CC56" s="59">
        <f t="shared" si="11"/>
        <v>635.57985484359278</v>
      </c>
      <c r="CD56" s="59">
        <f ca="1">AVERAGE(OFFSET($CC$3,0,0,'Données projet'!$E$12+1,1))-AVERAGE(OFFSET($H$3,0,0,'Données projet'!$E$12+1,1))</f>
        <v>185.21927898775016</v>
      </c>
      <c r="CE56" s="59">
        <f t="shared" si="40"/>
        <v>240.82467772396944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0.98750601041453179</v>
      </c>
      <c r="CL56" s="21">
        <f>EXP(-LN(2)/25)*CL55+(1-EXP(-LN(2)/25))/(LN(2)/25)*Calculateur!CG56*Calculateur!CI56*VLOOKUP('Données projet'!$B$12,Paramètres!$A$1:$I$89,3,0)*0.475*44/12</f>
        <v>4.2481709600762159</v>
      </c>
      <c r="CM56" s="21">
        <f>EXP(-LN(2)/2)*CM55+(1-EXP(-LN(2)/2))/(LN(2)/2)*CG56*CJ56*VLOOKUP('Données projet'!$B$12,Paramètres!$A$1:$I$89,3,0)*0.475*44/12</f>
        <v>4.8324975582522368E-3</v>
      </c>
      <c r="CN56" s="22">
        <f t="shared" si="12"/>
        <v>5.2405094680489999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48.016800000000032</v>
      </c>
      <c r="D57" s="11">
        <f t="shared" si="32"/>
        <v>14.100389472000563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479.50111171368889</v>
      </c>
      <c r="H57" s="67">
        <f t="shared" si="1"/>
        <v>401.52077166373437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>
        <f>VLOOKUP(A57,'Données projet'!$A$35:$I$55,2,0)</f>
        <v>566.79999999999995</v>
      </c>
      <c r="L57" s="12">
        <f>VLOOKUP(A57,'Données projet'!$A$35:$I$55,9,0)</f>
        <v>20.507692307692299</v>
      </c>
      <c r="M57" s="12">
        <f t="array" ref="M57">INDEX(L:L,MIN(IF(ISNUMBER(L57:L253),ROW(L57:L253),"")))</f>
        <v>20.507692307692299</v>
      </c>
      <c r="N57" s="13">
        <f>IF('Données projet'!$A$36&gt;35,N56+M57-V56,IF(A57&lt;'Données projet'!$A$36,$K$205^A57,IF(A57='Données projet'!$A$36,'Données projet'!$B$36,N56+M57-V56)))</f>
        <v>566.79999999999973</v>
      </c>
      <c r="O57" s="13">
        <f>N57*VLOOKUP('Données projet'!$B$9,Paramètres!$A$1:$I$89,3,0)*VLOOKUP('Données projet'!$B$9,Paramètres!$A$1:$I$89,5,0)</f>
        <v>316.84119999999984</v>
      </c>
      <c r="P57" s="13">
        <f t="shared" si="33"/>
        <v>74.695724902330795</v>
      </c>
      <c r="Q57" s="20">
        <f t="shared" si="53"/>
        <v>681.92681087155916</v>
      </c>
      <c r="R57" s="59">
        <f t="shared" si="0"/>
        <v>975.26014420489241</v>
      </c>
      <c r="S57" s="59">
        <f ca="1">AVERAGE(OFFSET($R$3,0,0,'Données projet'!$E$9+1,1))-AVERAGE(OFFSET($H$3,0,0,'Données projet'!$E$9+1,1))</f>
        <v>255.5374979188561</v>
      </c>
      <c r="T57" s="59">
        <f t="shared" si="34"/>
        <v>343.10418468620901</v>
      </c>
      <c r="U57" s="15">
        <f>IF(ISNA(VLOOKUP(A57,'Données projet'!$A$35:$I$55,3,0)),0,VLOOKUP(A57,'Données projet'!$A$35:$I$55,3,0))</f>
        <v>7</v>
      </c>
      <c r="V57" s="15">
        <f>IF(ISNA(VLOOKUP(A57,'Données projet'!$A$35:$I$55,4,0)),0,VLOOKUP(A57,'Données projet'!$A$35:$I$55,4,0))</f>
        <v>566.79999999999995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1.9210720430251711</v>
      </c>
      <c r="AA57" s="21">
        <f>EXP(-LN(2)/25)*AA56+(1-EXP(-LN(2)/25))/(LN(2)/25)*Calculateur!V57*Calculateur!X57*VLOOKUP('Données projet'!$B$9,Paramètres!$A$1:$I$89,3,0)*0.475*44/12</f>
        <v>8.2044815444211352</v>
      </c>
      <c r="AB57" s="21">
        <f>EXP(-LN(2)/2)*AB56+(1-EXP(-LN(2)/2))/(LN(2)/2)*V57*Y57*VLOOKUP('Données projet'!$B$9,Paramètres!$A$1:$I$89,3,0)*0.475*44/12</f>
        <v>4.1324513658546534E-4</v>
      </c>
      <c r="AC57" s="22">
        <f t="shared" si="3"/>
        <v>10.125966832582892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10</v>
      </c>
      <c r="AI57" s="13">
        <f>IF('Données projet'!$A$62&gt;35,AI56+AH57-AQ56,IF(A57&lt;'Données projet'!$A$62,$AF$205^A57,IF(A57='Données projet'!$A$62,'Données projet'!$B$62,AI56+AH57-AQ56)))</f>
        <v>343.99999999999989</v>
      </c>
      <c r="AJ57" s="13">
        <f>AI57*VLOOKUP('Données projet'!$B$10,Paramètres!$A$1:$I$89,3,0)*VLOOKUP('Données projet'!$B$10,Paramètres!$A$1:$I$89,5,0)</f>
        <v>214.65599999999995</v>
      </c>
      <c r="AK57" s="13">
        <f t="shared" si="35"/>
        <v>52.951736650296546</v>
      </c>
      <c r="AL57" s="20">
        <f t="shared" si="4"/>
        <v>466.08347466593301</v>
      </c>
      <c r="AM57" s="59">
        <f t="shared" si="5"/>
        <v>759.41680799926633</v>
      </c>
      <c r="AN57" s="59">
        <f ca="1">AVERAGE(OFFSET($AM$3,0,0,'Données projet'!$E$10+1,1))-AVERAGE(OFFSET($H$3,0,0,'Données projet'!$E$10+1,1))</f>
        <v>255.41017495879987</v>
      </c>
      <c r="AO57" s="59">
        <f t="shared" si="36"/>
        <v>297.50513563712764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5.1874378887891082</v>
      </c>
      <c r="AV57" s="21">
        <f>EXP(-LN(2)/25)*AV56+(1-EXP(-LN(2)/25))/(LN(2)/25)*Calculateur!AQ57*Calculateur!AS57*VLOOKUP('Données projet'!$B$10,Paramètres!$A$1:$I$89,3,0)*0.475*44/12</f>
        <v>14.326698169790953</v>
      </c>
      <c r="AW57" s="21">
        <f>EXP(-LN(2)/2)*AW56+(1-EXP(-LN(2)/2))/(LN(2)/2)*AQ57*AT57*VLOOKUP('Données projet'!$B$10,Paramètres!$A$1:$I$89,3,0)*0.475*44/12</f>
        <v>5.9573220549101269E-3</v>
      </c>
      <c r="AX57" s="21">
        <f t="shared" si="6"/>
        <v>19.520093380634972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6.8</v>
      </c>
      <c r="BD57" s="12">
        <f>IF('Données projet'!$A$88&gt;35,BD56+BC57-BL56,IF(A57&lt;'Données projet'!$A$88,$BA$205^A57,IF(A57='Données projet'!$A$88,'Données projet'!$B$88,BD56+BC57-BL56)))</f>
        <v>269.19999999999987</v>
      </c>
      <c r="BE57" s="13">
        <f>BD57*VLOOKUP('Données projet'!$B$11,Paramètres!$A$1:$I$89,3,0)*VLOOKUP('Données projet'!$B$11,Paramètres!$A$1:$I$89,5,0)</f>
        <v>214.17551999999992</v>
      </c>
      <c r="BF57" s="13">
        <f t="shared" si="37"/>
        <v>52.846993696165399</v>
      </c>
      <c r="BG57" s="20">
        <f t="shared" si="7"/>
        <v>465.06421135415462</v>
      </c>
      <c r="BH57" s="59">
        <f t="shared" si="8"/>
        <v>758.39754468748788</v>
      </c>
      <c r="BI57" s="59">
        <f ca="1">AVERAGE(OFFSET($BH$3,0,0,'Données projet'!$E$11+1,1))-AVERAGE(OFFSET($H$3,0,0,'Données projet'!$E$11+1,1))</f>
        <v>260.20517190557814</v>
      </c>
      <c r="BJ57" s="59">
        <f t="shared" si="38"/>
        <v>307.22009971147133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2.0285944174474779</v>
      </c>
      <c r="BQ57" s="21">
        <f>EXP(-LN(2)/25)*BQ56+(1-EXP(-LN(2)/25))/(LN(2)/25)*Calculateur!BL57*Calculateur!BN57*VLOOKUP('Données projet'!$B$11,Paramètres!$A$1:$I$89,3,0)*0.475*44/12</f>
        <v>10.548243639426646</v>
      </c>
      <c r="BR57" s="21">
        <f>EXP(-LN(2)/2)*BR56+(1-EXP(-LN(2)/2))/(LN(2)/2)*BL57*BO57*VLOOKUP('Données projet'!$B$11,Paramètres!$A$1:$I$89,3,0)*0.475*44/12</f>
        <v>5.8689048468645718E-3</v>
      </c>
      <c r="BS57" s="22">
        <f t="shared" si="9"/>
        <v>12.582706961720989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6.6</v>
      </c>
      <c r="BY57" s="12">
        <f>IF('Données projet'!$A$114&gt;35,BY56+BX57-CG56,IF(A57&lt;'Données projet'!$A$114,$BV$205^A57,IF(A57='Données projet'!$A$114,'Données projet'!$B$114,BY56+BX57-CG56)))</f>
        <v>245.4</v>
      </c>
      <c r="BZ57" s="13">
        <f>BY57*VLOOKUP('Données projet'!$B$12,Paramètres!$A$1:$I$89,3,0)*VLOOKUP('Données projet'!$B$12,Paramètres!$A$1:$I$89,5,0)</f>
        <v>160.78608</v>
      </c>
      <c r="CA57" s="13">
        <f t="shared" si="39"/>
        <v>41.019767340071489</v>
      </c>
      <c r="CB57" s="20">
        <f t="shared" si="10"/>
        <v>351.47851745062457</v>
      </c>
      <c r="CC57" s="59">
        <f t="shared" si="11"/>
        <v>644.81185078395788</v>
      </c>
      <c r="CD57" s="59">
        <f ca="1">AVERAGE(OFFSET($CC$3,0,0,'Données projet'!$E$12+1,1))-AVERAGE(OFFSET($H$3,0,0,'Données projet'!$E$12+1,1))</f>
        <v>185.21927898775016</v>
      </c>
      <c r="CE57" s="59">
        <f t="shared" si="40"/>
        <v>240.82467772396944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0.9681416198694951</v>
      </c>
      <c r="CL57" s="21">
        <f>EXP(-LN(2)/25)*CL56+(1-EXP(-LN(2)/25))/(LN(2)/25)*Calculateur!CG57*Calculateur!CI57*VLOOKUP('Données projet'!$B$12,Paramètres!$A$1:$I$89,3,0)*0.475*44/12</f>
        <v>4.1320045017713305</v>
      </c>
      <c r="CM57" s="21">
        <f>EXP(-LN(2)/2)*CM56+(1-EXP(-LN(2)/2))/(LN(2)/2)*CG57*CJ57*VLOOKUP('Données projet'!$B$12,Paramètres!$A$1:$I$89,3,0)*0.475*44/12</f>
        <v>3.4170917935075896E-3</v>
      </c>
      <c r="CN57" s="22">
        <f t="shared" si="12"/>
        <v>5.1035632134343336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48.906000000000034</v>
      </c>
      <c r="D58" s="11">
        <f t="shared" si="32"/>
        <v>14.330866650402033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488.14423379257738</v>
      </c>
      <c r="H58" s="67">
        <f t="shared" si="1"/>
        <v>403.47087608278355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0</v>
      </c>
      <c r="N58" s="13">
        <f>IF('Données projet'!$A$36&gt;35,N57+M58-V57,IF(A58&lt;'Données projet'!$A$36,$K$205^A58,IF(A58='Données projet'!$A$36,'Données projet'!$B$36,N57+M58-V57)))</f>
        <v>-2.2737367544323206E-13</v>
      </c>
      <c r="O58" s="13">
        <f>N58*VLOOKUP('Données projet'!$B$9,Paramètres!$A$1:$I$89,3,0)*VLOOKUP('Données projet'!$B$9,Paramètres!$A$1:$I$89,5,0)</f>
        <v>-1.2710188457276673E-13</v>
      </c>
      <c r="P58" s="13" t="e">
        <f t="shared" si="33"/>
        <v>#NUM!</v>
      </c>
      <c r="Q58" s="20" t="e">
        <f t="shared" si="53"/>
        <v>#NUM!</v>
      </c>
      <c r="R58" s="59" t="e">
        <f t="shared" si="0"/>
        <v>#NUM!</v>
      </c>
      <c r="S58" s="59">
        <f ca="1">AVERAGE(OFFSET($R$3,0,0,'Données projet'!$E$9+1,1))-AVERAGE(OFFSET($H$3,0,0,'Données projet'!$E$9+1,1))</f>
        <v>255.5374979188561</v>
      </c>
      <c r="T58" s="59">
        <f t="shared" si="34"/>
        <v>343.10418468620901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1.8834009919996941</v>
      </c>
      <c r="AA58" s="21">
        <f>EXP(-LN(2)/25)*AA57+(1-EXP(-LN(2)/25))/(LN(2)/25)*Calculateur!V58*Calculateur!X58*VLOOKUP('Données projet'!$B$9,Paramètres!$A$1:$I$89,3,0)*0.475*44/12</f>
        <v>7.9801295651340061</v>
      </c>
      <c r="AB58" s="21">
        <f>EXP(-LN(2)/2)*AB57+(1-EXP(-LN(2)/2))/(LN(2)/2)*V58*Y58*VLOOKUP('Données projet'!$B$9,Paramètres!$A$1:$I$89,3,0)*0.475*44/12</f>
        <v>2.9220843837194358E-4</v>
      </c>
      <c r="AC58" s="22">
        <f t="shared" si="3"/>
        <v>9.8638227655720723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10</v>
      </c>
      <c r="AI58" s="13">
        <f>IF('Données projet'!$A$62&gt;35,AI57+AH58-AQ57,IF(A58&lt;'Données projet'!$A$62,$AF$205^A58,IF(A58='Données projet'!$A$62,'Données projet'!$B$62,AI57+AH58-AQ57)))</f>
        <v>353.99999999999989</v>
      </c>
      <c r="AJ58" s="13">
        <f>AI58*VLOOKUP('Données projet'!$B$10,Paramètres!$A$1:$I$89,3,0)*VLOOKUP('Données projet'!$B$10,Paramètres!$A$1:$I$89,5,0)</f>
        <v>220.89599999999993</v>
      </c>
      <c r="AK58" s="13">
        <f t="shared" si="35"/>
        <v>54.309580803412238</v>
      </c>
      <c r="AL58" s="20">
        <f t="shared" si="4"/>
        <v>479.31638656594276</v>
      </c>
      <c r="AM58" s="59">
        <f t="shared" si="5"/>
        <v>772.64971989927608</v>
      </c>
      <c r="AN58" s="59">
        <f ca="1">AVERAGE(OFFSET($AM$3,0,0,'Données projet'!$E$10+1,1))-AVERAGE(OFFSET($H$3,0,0,'Données projet'!$E$10+1,1))</f>
        <v>255.41017495879987</v>
      </c>
      <c r="AO58" s="59">
        <f t="shared" si="36"/>
        <v>297.50513563712764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5.0857153958146446</v>
      </c>
      <c r="AV58" s="21">
        <f>EXP(-LN(2)/25)*AV57+(1-EXP(-LN(2)/25))/(LN(2)/25)*Calculateur!AQ58*Calculateur!AS58*VLOOKUP('Données projet'!$B$10,Paramètres!$A$1:$I$89,3,0)*0.475*44/12</f>
        <v>13.934933854929707</v>
      </c>
      <c r="AW58" s="21">
        <f>EXP(-LN(2)/2)*AW57+(1-EXP(-LN(2)/2))/(LN(2)/2)*AQ58*AT58*VLOOKUP('Données projet'!$B$10,Paramètres!$A$1:$I$89,3,0)*0.475*44/12</f>
        <v>4.2124628227391287E-3</v>
      </c>
      <c r="AX58" s="21">
        <f t="shared" si="6"/>
        <v>19.024861713567091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6.8</v>
      </c>
      <c r="BD58" s="12">
        <f>IF('Données projet'!$A$88&gt;35,BD57+BC58-BL57,IF(A58&lt;'Données projet'!$A$88,$BA$205^A58,IF(A58='Données projet'!$A$88,'Données projet'!$B$88,BD57+BC58-BL57)))</f>
        <v>275.99999999999989</v>
      </c>
      <c r="BE58" s="13">
        <f>BD58*VLOOKUP('Données projet'!$B$11,Paramètres!$A$1:$I$89,3,0)*VLOOKUP('Données projet'!$B$11,Paramètres!$A$1:$I$89,5,0)</f>
        <v>219.58559999999991</v>
      </c>
      <c r="BF58" s="13">
        <f t="shared" si="37"/>
        <v>54.024808047218549</v>
      </c>
      <c r="BG58" s="20">
        <f t="shared" si="7"/>
        <v>476.53812734890556</v>
      </c>
      <c r="BH58" s="59">
        <f t="shared" si="8"/>
        <v>769.87146068223888</v>
      </c>
      <c r="BI58" s="59">
        <f ca="1">AVERAGE(OFFSET($BH$3,0,0,'Données projet'!$E$11+1,1))-AVERAGE(OFFSET($H$3,0,0,'Données projet'!$E$11+1,1))</f>
        <v>260.20517190557814</v>
      </c>
      <c r="BJ58" s="59">
        <f t="shared" si="38"/>
        <v>307.22009971147133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1.9888149182417523</v>
      </c>
      <c r="BQ58" s="21">
        <f>EXP(-LN(2)/25)*BQ57+(1-EXP(-LN(2)/25))/(LN(2)/25)*Calculateur!BL58*Calculateur!BN58*VLOOKUP('Données projet'!$B$11,Paramètres!$A$1:$I$89,3,0)*0.475*44/12</f>
        <v>10.2598013623985</v>
      </c>
      <c r="BR58" s="21">
        <f>EXP(-LN(2)/2)*BR57+(1-EXP(-LN(2)/2))/(LN(2)/2)*BL58*BO58*VLOOKUP('Données projet'!$B$11,Paramètres!$A$1:$I$89,3,0)*0.475*44/12</f>
        <v>4.149942415356535E-3</v>
      </c>
      <c r="BS58" s="22">
        <f t="shared" si="9"/>
        <v>12.252766223055609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6.6</v>
      </c>
      <c r="BY58" s="12">
        <f>IF('Données projet'!$A$114&gt;35,BY57+BX58-CG57,IF(A58&lt;'Données projet'!$A$114,$BV$205^A58,IF(A58='Données projet'!$A$114,'Données projet'!$B$114,BY57+BX58-CG57)))</f>
        <v>252</v>
      </c>
      <c r="BZ58" s="13">
        <f>BY58*VLOOKUP('Données projet'!$B$12,Paramètres!$A$1:$I$89,3,0)*VLOOKUP('Données projet'!$B$12,Paramètres!$A$1:$I$89,5,0)</f>
        <v>165.1104</v>
      </c>
      <c r="CA58" s="13">
        <f t="shared" si="39"/>
        <v>41.993062739333446</v>
      </c>
      <c r="CB58" s="20">
        <f t="shared" si="10"/>
        <v>360.70519760433905</v>
      </c>
      <c r="CC58" s="59">
        <f t="shared" si="11"/>
        <v>654.03853093767236</v>
      </c>
      <c r="CD58" s="59">
        <f ca="1">AVERAGE(OFFSET($CC$3,0,0,'Données projet'!$E$12+1,1))-AVERAGE(OFFSET($H$3,0,0,'Données projet'!$E$12+1,1))</f>
        <v>185.21927898775016</v>
      </c>
      <c r="CE58" s="59">
        <f t="shared" si="40"/>
        <v>240.82467772396944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>
        <f>EXP(-LN(2)/35)*CK57+(1-EXP(-LN(2)/35))/(LN(2)/35)*CG58*CH58*VLOOKUP('Données projet'!$B$12,Paramètres!$A$1:$I$89,3,0)*0.475*44/12</f>
        <v>0.94915695321193461</v>
      </c>
      <c r="CL58" s="21">
        <f>EXP(-LN(2)/25)*CL57+(1-EXP(-LN(2)/25))/(LN(2)/25)*Calculateur!CG58*Calculateur!CI58*VLOOKUP('Données projet'!$B$12,Paramètres!$A$1:$I$89,3,0)*0.475*44/12</f>
        <v>4.0190146213777203</v>
      </c>
      <c r="CM58" s="21">
        <f>EXP(-LN(2)/2)*CM57+(1-EXP(-LN(2)/2))/(LN(2)/2)*CG58*CJ58*VLOOKUP('Données projet'!$B$12,Paramètres!$A$1:$I$89,3,0)*0.475*44/12</f>
        <v>2.4162487791261184E-3</v>
      </c>
      <c r="CN58" s="22">
        <f t="shared" si="12"/>
        <v>4.9705878233687812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49.795200000000037</v>
      </c>
      <c r="D59" s="11">
        <f t="shared" si="32"/>
        <v>14.560856542690786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496.78359436463097</v>
      </c>
      <c r="H59" s="67">
        <f t="shared" si="1"/>
        <v>405.42013181185314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0</v>
      </c>
      <c r="N59" s="13">
        <f>IF('Données projet'!$A$36&gt;35,N58+M59-V58,IF(A59&lt;'Données projet'!$A$36,$K$205^A59,IF(A59='Données projet'!$A$36,'Données projet'!$B$36,N58+M59-V58)))</f>
        <v>-2.2737367544323206E-13</v>
      </c>
      <c r="O59" s="13">
        <f>N59*VLOOKUP('Données projet'!$B$9,Paramètres!$A$1:$I$89,3,0)*VLOOKUP('Données projet'!$B$9,Paramètres!$A$1:$I$89,5,0)</f>
        <v>-1.2710188457276673E-13</v>
      </c>
      <c r="P59" s="13" t="e">
        <f t="shared" si="33"/>
        <v>#NUM!</v>
      </c>
      <c r="Q59" s="20" t="e">
        <f t="shared" si="53"/>
        <v>#NUM!</v>
      </c>
      <c r="R59" s="59" t="e">
        <f t="shared" si="0"/>
        <v>#NUM!</v>
      </c>
      <c r="S59" s="59">
        <f ca="1">AVERAGE(OFFSET($R$3,0,0,'Données projet'!$E$9+1,1))-AVERAGE(OFFSET($H$3,0,0,'Données projet'!$E$9+1,1))</f>
        <v>255.5374979188561</v>
      </c>
      <c r="T59" s="59">
        <f t="shared" si="34"/>
        <v>343.10418468620901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1.8464686473077545</v>
      </c>
      <c r="AA59" s="21">
        <f>EXP(-LN(2)/25)*AA58+(1-EXP(-LN(2)/25))/(LN(2)/25)*Calculateur!V59*Calculateur!X59*VLOOKUP('Données projet'!$B$9,Paramètres!$A$1:$I$89,3,0)*0.475*44/12</f>
        <v>7.7619125025186415</v>
      </c>
      <c r="AB59" s="21">
        <f>EXP(-LN(2)/2)*AB58+(1-EXP(-LN(2)/2))/(LN(2)/2)*V59*Y59*VLOOKUP('Données projet'!$B$9,Paramètres!$A$1:$I$89,3,0)*0.475*44/12</f>
        <v>2.0662256829273267E-4</v>
      </c>
      <c r="AC59" s="22">
        <f t="shared" si="3"/>
        <v>9.6085877723946886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10</v>
      </c>
      <c r="AI59" s="13">
        <f>IF('Données projet'!$A$62&gt;35,AI58+AH59-AQ58,IF(A59&lt;'Données projet'!$A$62,$AF$205^A59,IF(A59='Données projet'!$A$62,'Données projet'!$B$62,AI58+AH59-AQ58)))</f>
        <v>363.99999999999989</v>
      </c>
      <c r="AJ59" s="13">
        <f>AI59*VLOOKUP('Données projet'!$B$10,Paramètres!$A$1:$I$89,3,0)*VLOOKUP('Données projet'!$B$10,Paramètres!$A$1:$I$89,5,0)</f>
        <v>227.13599999999994</v>
      </c>
      <c r="AK59" s="13">
        <f t="shared" si="35"/>
        <v>55.662966886685133</v>
      </c>
      <c r="AL59" s="20">
        <f t="shared" si="4"/>
        <v>492.54153399430987</v>
      </c>
      <c r="AM59" s="59">
        <f t="shared" si="5"/>
        <v>785.87486732764319</v>
      </c>
      <c r="AN59" s="59">
        <f ca="1">AVERAGE(OFFSET($AM$3,0,0,'Données projet'!$E$10+1,1))-AVERAGE(OFFSET($H$3,0,0,'Données projet'!$E$10+1,1))</f>
        <v>255.41017495879987</v>
      </c>
      <c r="AO59" s="59">
        <f t="shared" si="36"/>
        <v>297.50513563712764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4.9859876188828158</v>
      </c>
      <c r="AV59" s="21">
        <f>EXP(-LN(2)/25)*AV58+(1-EXP(-LN(2)/25))/(LN(2)/25)*Calculateur!AQ59*Calculateur!AS59*VLOOKUP('Données projet'!$B$10,Paramètres!$A$1:$I$89,3,0)*0.475*44/12</f>
        <v>13.553882355860331</v>
      </c>
      <c r="AW59" s="21">
        <f>EXP(-LN(2)/2)*AW58+(1-EXP(-LN(2)/2))/(LN(2)/2)*AQ59*AT59*VLOOKUP('Données projet'!$B$10,Paramètres!$A$1:$I$89,3,0)*0.475*44/12</f>
        <v>2.9786610274550635E-3</v>
      </c>
      <c r="AX59" s="21">
        <f t="shared" si="6"/>
        <v>18.542848635770603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6.8</v>
      </c>
      <c r="BD59" s="12">
        <f>IF('Données projet'!$A$88&gt;35,BD58+BC59-BL58,IF(A59&lt;'Données projet'!$A$88,$BA$205^A59,IF(A59='Données projet'!$A$88,'Données projet'!$B$88,BD58+BC59-BL58)))</f>
        <v>282.7999999999999</v>
      </c>
      <c r="BE59" s="13">
        <f>BD59*VLOOKUP('Données projet'!$B$11,Paramètres!$A$1:$I$89,3,0)*VLOOKUP('Données projet'!$B$11,Paramètres!$A$1:$I$89,5,0)</f>
        <v>224.99567999999994</v>
      </c>
      <c r="BF59" s="13">
        <f t="shared" si="37"/>
        <v>55.199249109676629</v>
      </c>
      <c r="BG59" s="20">
        <f t="shared" si="7"/>
        <v>488.00616819935334</v>
      </c>
      <c r="BH59" s="59">
        <f t="shared" si="8"/>
        <v>781.33950153268665</v>
      </c>
      <c r="BI59" s="59">
        <f ca="1">AVERAGE(OFFSET($BH$3,0,0,'Données projet'!$E$11+1,1))-AVERAGE(OFFSET($H$3,0,0,'Données projet'!$E$11+1,1))</f>
        <v>260.20517190557814</v>
      </c>
      <c r="BJ59" s="59">
        <f t="shared" si="38"/>
        <v>307.22009971147133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1.9498154707523523</v>
      </c>
      <c r="BQ59" s="21">
        <f>EXP(-LN(2)/25)*BQ58+(1-EXP(-LN(2)/25))/(LN(2)/25)*Calculateur!BL59*Calculateur!BN59*VLOOKUP('Données projet'!$B$11,Paramètres!$A$1:$I$89,3,0)*0.475*44/12</f>
        <v>9.9792465546042077</v>
      </c>
      <c r="BR59" s="21">
        <f>EXP(-LN(2)/2)*BR58+(1-EXP(-LN(2)/2))/(LN(2)/2)*BL59*BO59*VLOOKUP('Données projet'!$B$11,Paramètres!$A$1:$I$89,3,0)*0.475*44/12</f>
        <v>2.9344524234322859E-3</v>
      </c>
      <c r="BS59" s="22">
        <f t="shared" si="9"/>
        <v>11.931996477779991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6.6</v>
      </c>
      <c r="BY59" s="12">
        <f>IF('Données projet'!$A$114&gt;35,BY58+BX59-CG58,IF(A59&lt;'Données projet'!$A$114,$BV$205^A59,IF(A59='Données projet'!$A$114,'Données projet'!$B$114,BY58+BX59-CG58)))</f>
        <v>258.60000000000002</v>
      </c>
      <c r="BZ59" s="13">
        <f>BY59*VLOOKUP('Données projet'!$B$12,Paramètres!$A$1:$I$89,3,0)*VLOOKUP('Données projet'!$B$12,Paramètres!$A$1:$I$89,5,0)</f>
        <v>169.43472000000003</v>
      </c>
      <c r="CA59" s="13">
        <f t="shared" si="39"/>
        <v>42.963395138288874</v>
      </c>
      <c r="CB59" s="20">
        <f t="shared" si="10"/>
        <v>369.9267171991865</v>
      </c>
      <c r="CC59" s="59">
        <f t="shared" si="11"/>
        <v>663.26005053251981</v>
      </c>
      <c r="CD59" s="59">
        <f ca="1">AVERAGE(OFFSET($CC$3,0,0,'Données projet'!$E$12+1,1))-AVERAGE(OFFSET($H$3,0,0,'Données projet'!$E$12+1,1))</f>
        <v>185.21927898775016</v>
      </c>
      <c r="CE59" s="59">
        <f t="shared" si="40"/>
        <v>240.82467772396944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0.93054456428802557</v>
      </c>
      <c r="CL59" s="21">
        <f>EXP(-LN(2)/25)*CL58+(1-EXP(-LN(2)/25))/(LN(2)/25)*Calculateur!CG59*Calculateur!CI59*VLOOKUP('Données projet'!$B$12,Paramètres!$A$1:$I$89,3,0)*0.475*44/12</f>
        <v>3.9091144552053532</v>
      </c>
      <c r="CM59" s="21">
        <f>EXP(-LN(2)/2)*CM58+(1-EXP(-LN(2)/2))/(LN(2)/2)*CG59*CJ59*VLOOKUP('Données projet'!$B$12,Paramètres!$A$1:$I$89,3,0)*0.475*44/12</f>
        <v>1.7085458967537948E-3</v>
      </c>
      <c r="CN59" s="22">
        <f t="shared" si="12"/>
        <v>4.841367565390132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50.684400000000039</v>
      </c>
      <c r="D60" s="11">
        <f t="shared" si="32"/>
        <v>14.790368854214481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505.41926834832265</v>
      </c>
      <c r="H60" s="67">
        <f t="shared" si="1"/>
        <v>407.3685557544236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0</v>
      </c>
      <c r="N60" s="13">
        <f>IF('Données projet'!$A$36&gt;35,N59+M60-V59,IF(A60&lt;'Données projet'!$A$36,$K$205^A60,IF(A60='Données projet'!$A$36,'Données projet'!$B$36,N59+M60-V59)))</f>
        <v>-2.2737367544323206E-13</v>
      </c>
      <c r="O60" s="13">
        <f>N60*VLOOKUP('Données projet'!$B$9,Paramètres!$A$1:$I$89,3,0)*VLOOKUP('Données projet'!$B$9,Paramètres!$A$1:$I$89,5,0)</f>
        <v>-1.2710188457276673E-13</v>
      </c>
      <c r="P60" s="13" t="e">
        <f t="shared" si="33"/>
        <v>#NUM!</v>
      </c>
      <c r="Q60" s="20" t="e">
        <f t="shared" si="53"/>
        <v>#NUM!</v>
      </c>
      <c r="R60" s="59" t="e">
        <f t="shared" si="0"/>
        <v>#NUM!</v>
      </c>
      <c r="S60" s="59">
        <f ca="1">AVERAGE(OFFSET($R$3,0,0,'Données projet'!$E$9+1,1))-AVERAGE(OFFSET($H$3,0,0,'Données projet'!$E$9+1,1))</f>
        <v>255.5374979188561</v>
      </c>
      <c r="T60" s="59">
        <f t="shared" si="34"/>
        <v>343.10418468620901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1.8102605233687179</v>
      </c>
      <c r="AA60" s="21">
        <f>EXP(-LN(2)/25)*AA59+(1-EXP(-LN(2)/25))/(LN(2)/25)*Calculateur!V60*Calculateur!X60*VLOOKUP('Données projet'!$B$9,Paramètres!$A$1:$I$89,3,0)*0.475*44/12</f>
        <v>7.5496625969560309</v>
      </c>
      <c r="AB60" s="21">
        <f>EXP(-LN(2)/2)*AB59+(1-EXP(-LN(2)/2))/(LN(2)/2)*V60*Y60*VLOOKUP('Données projet'!$B$9,Paramètres!$A$1:$I$89,3,0)*0.475*44/12</f>
        <v>1.4610421918597179E-4</v>
      </c>
      <c r="AC60" s="22">
        <f t="shared" si="3"/>
        <v>9.3600692245439348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10</v>
      </c>
      <c r="AI60" s="13">
        <f>IF('Données projet'!$A$62&gt;35,AI59+AH60-AQ59,IF(A60&lt;'Données projet'!$A$62,$AF$205^A60,IF(A60='Données projet'!$A$62,'Données projet'!$B$62,AI59+AH60-AQ59)))</f>
        <v>373.99999999999989</v>
      </c>
      <c r="AJ60" s="13">
        <f>AI60*VLOOKUP('Données projet'!$B$10,Paramètres!$A$1:$I$89,3,0)*VLOOKUP('Données projet'!$B$10,Paramètres!$A$1:$I$89,5,0)</f>
        <v>233.37599999999992</v>
      </c>
      <c r="AK60" s="13">
        <f t="shared" si="35"/>
        <v>57.012031446990107</v>
      </c>
      <c r="AL60" s="20">
        <f t="shared" si="4"/>
        <v>505.75915477017423</v>
      </c>
      <c r="AM60" s="59">
        <f t="shared" si="5"/>
        <v>799.09248810350755</v>
      </c>
      <c r="AN60" s="59">
        <f ca="1">AVERAGE(OFFSET($AM$3,0,0,'Données projet'!$E$10+1,1))-AVERAGE(OFFSET($H$3,0,0,'Données projet'!$E$10+1,1))</f>
        <v>255.41017495879987</v>
      </c>
      <c r="AO60" s="59">
        <f t="shared" si="36"/>
        <v>297.50513563712764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4.8882154428286828</v>
      </c>
      <c r="AV60" s="21">
        <f>EXP(-LN(2)/25)*AV59+(1-EXP(-LN(2)/25))/(LN(2)/25)*Calculateur!AQ60*Calculateur!AS60*VLOOKUP('Données projet'!$B$10,Paramètres!$A$1:$I$89,3,0)*0.475*44/12</f>
        <v>13.183250730071634</v>
      </c>
      <c r="AW60" s="21">
        <f>EXP(-LN(2)/2)*AW59+(1-EXP(-LN(2)/2))/(LN(2)/2)*AQ60*AT60*VLOOKUP('Données projet'!$B$10,Paramètres!$A$1:$I$89,3,0)*0.475*44/12</f>
        <v>2.1062314113695644E-3</v>
      </c>
      <c r="AX60" s="21">
        <f t="shared" si="6"/>
        <v>18.073572404311683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6.8</v>
      </c>
      <c r="BD60" s="12">
        <f>IF('Données projet'!$A$88&gt;35,BD59+BC60-BL59,IF(A60&lt;'Données projet'!$A$88,$BA$205^A60,IF(A60='Données projet'!$A$88,'Données projet'!$B$88,BD59+BC60-BL59)))</f>
        <v>289.59999999999991</v>
      </c>
      <c r="BE60" s="13">
        <f>BD60*VLOOKUP('Données projet'!$B$11,Paramètres!$A$1:$I$89,3,0)*VLOOKUP('Données projet'!$B$11,Paramètres!$A$1:$I$89,5,0)</f>
        <v>230.40575999999996</v>
      </c>
      <c r="BF60" s="13">
        <f t="shared" si="37"/>
        <v>56.370407327556237</v>
      </c>
      <c r="BG60" s="20">
        <f t="shared" si="7"/>
        <v>499.46849142882706</v>
      </c>
      <c r="BH60" s="59">
        <f t="shared" si="8"/>
        <v>792.80182476216032</v>
      </c>
      <c r="BI60" s="59">
        <f ca="1">AVERAGE(OFFSET($BH$3,0,0,'Données projet'!$E$11+1,1))-AVERAGE(OFFSET($H$3,0,0,'Données projet'!$E$11+1,1))</f>
        <v>260.20517190557814</v>
      </c>
      <c r="BJ60" s="59">
        <f t="shared" si="38"/>
        <v>307.22009971147133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1.9115807786409051</v>
      </c>
      <c r="BQ60" s="21">
        <f>EXP(-LN(2)/25)*BQ59+(1-EXP(-LN(2)/25))/(LN(2)/25)*Calculateur!BL60*Calculateur!BN60*VLOOKUP('Données projet'!$B$11,Paramètres!$A$1:$I$89,3,0)*0.475*44/12</f>
        <v>9.7063635327827864</v>
      </c>
      <c r="BR60" s="21">
        <f>EXP(-LN(2)/2)*BR59+(1-EXP(-LN(2)/2))/(LN(2)/2)*BL60*BO60*VLOOKUP('Données projet'!$B$11,Paramètres!$A$1:$I$89,3,0)*0.475*44/12</f>
        <v>2.0749712076782675E-3</v>
      </c>
      <c r="BS60" s="22">
        <f t="shared" si="9"/>
        <v>11.62001928263137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6.6</v>
      </c>
      <c r="BY60" s="12">
        <f>IF('Données projet'!$A$114&gt;35,BY59+BX60-CG59,IF(A60&lt;'Données projet'!$A$114,$BV$205^A60,IF(A60='Données projet'!$A$114,'Données projet'!$B$114,BY59+BX60-CG59)))</f>
        <v>265.20000000000005</v>
      </c>
      <c r="BZ60" s="13">
        <f>BY60*VLOOKUP('Données projet'!$B$12,Paramètres!$A$1:$I$89,3,0)*VLOOKUP('Données projet'!$B$12,Paramètres!$A$1:$I$89,5,0)</f>
        <v>173.75904000000003</v>
      </c>
      <c r="CA60" s="13">
        <f t="shared" si="39"/>
        <v>43.93084885437942</v>
      </c>
      <c r="CB60" s="20">
        <f t="shared" si="10"/>
        <v>379.14322308804412</v>
      </c>
      <c r="CC60" s="59">
        <f t="shared" si="11"/>
        <v>672.47655642137738</v>
      </c>
      <c r="CD60" s="59">
        <f ca="1">AVERAGE(OFFSET($CC$3,0,0,'Données projet'!$E$12+1,1))-AVERAGE(OFFSET($H$3,0,0,'Données projet'!$E$12+1,1))</f>
        <v>185.21927898775016</v>
      </c>
      <c r="CE60" s="59">
        <f t="shared" si="40"/>
        <v>240.82467772396944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0.91229715295847813</v>
      </c>
      <c r="CL60" s="21">
        <f>EXP(-LN(2)/25)*CL59+(1-EXP(-LN(2)/25))/(LN(2)/25)*Calculateur!CG60*Calculateur!CI60*VLOOKUP('Données projet'!$B$12,Paramètres!$A$1:$I$89,3,0)*0.475*44/12</f>
        <v>3.8022195148563678</v>
      </c>
      <c r="CM60" s="21">
        <f>EXP(-LN(2)/2)*CM59+(1-EXP(-LN(2)/2))/(LN(2)/2)*CG60*CJ60*VLOOKUP('Données projet'!$B$12,Paramètres!$A$1:$I$89,3,0)*0.475*44/12</f>
        <v>1.2081243895630592E-3</v>
      </c>
      <c r="CN60" s="22">
        <f t="shared" si="12"/>
        <v>4.7157247922044085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51.573600000000042</v>
      </c>
      <c r="D61" s="11">
        <f t="shared" si="32"/>
        <v>15.01941293027533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514.05132788282742</v>
      </c>
      <c r="H61" s="67">
        <f t="shared" si="1"/>
        <v>409.31616418689623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0</v>
      </c>
      <c r="N61" s="13">
        <f>IF('Données projet'!$A$36&gt;35,N60+M61-V60,IF(A61&lt;'Données projet'!$A$36,$K$205^A61,IF(A61='Données projet'!$A$36,'Données projet'!$B$36,N60+M61-V60)))</f>
        <v>-2.2737367544323206E-13</v>
      </c>
      <c r="O61" s="13">
        <f>N61*VLOOKUP('Données projet'!$B$9,Paramètres!$A$1:$I$89,3,0)*VLOOKUP('Données projet'!$B$9,Paramètres!$A$1:$I$89,5,0)</f>
        <v>-1.2710188457276673E-13</v>
      </c>
      <c r="P61" s="13" t="e">
        <f t="shared" si="33"/>
        <v>#NUM!</v>
      </c>
      <c r="Q61" s="20" t="e">
        <f t="shared" si="53"/>
        <v>#NUM!</v>
      </c>
      <c r="R61" s="59" t="e">
        <f t="shared" si="0"/>
        <v>#NUM!</v>
      </c>
      <c r="S61" s="59">
        <f ca="1">AVERAGE(OFFSET($R$3,0,0,'Données projet'!$E$9+1,1))-AVERAGE(OFFSET($H$3,0,0,'Données projet'!$E$9+1,1))</f>
        <v>255.5374979188561</v>
      </c>
      <c r="T61" s="59">
        <f t="shared" si="34"/>
        <v>343.10418468620901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1.7747624186553508</v>
      </c>
      <c r="AA61" s="21">
        <f>EXP(-LN(2)/25)*AA60+(1-EXP(-LN(2)/25))/(LN(2)/25)*Calculateur!V61*Calculateur!X61*VLOOKUP('Données projet'!$B$9,Paramètres!$A$1:$I$89,3,0)*0.475*44/12</f>
        <v>7.3432166762227675</v>
      </c>
      <c r="AB61" s="21">
        <f>EXP(-LN(2)/2)*AB60+(1-EXP(-LN(2)/2))/(LN(2)/2)*V61*Y61*VLOOKUP('Données projet'!$B$9,Paramètres!$A$1:$I$89,3,0)*0.475*44/12</f>
        <v>1.0331128414636634E-4</v>
      </c>
      <c r="AC61" s="22">
        <f t="shared" si="3"/>
        <v>9.1180824061622641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10</v>
      </c>
      <c r="AI61" s="13">
        <f>IF('Données projet'!$A$62&gt;35,AI60+AH61-AQ60,IF(A61&lt;'Données projet'!$A$62,$AF$205^A61,IF(A61='Données projet'!$A$62,'Données projet'!$B$62,AI60+AH61-AQ60)))</f>
        <v>383.99999999999989</v>
      </c>
      <c r="AJ61" s="13">
        <f>AI61*VLOOKUP('Données projet'!$B$10,Paramètres!$A$1:$I$89,3,0)*VLOOKUP('Données projet'!$B$10,Paramètres!$A$1:$I$89,5,0)</f>
        <v>239.61599999999993</v>
      </c>
      <c r="AK61" s="13">
        <f t="shared" si="35"/>
        <v>58.356903313490157</v>
      </c>
      <c r="AL61" s="20">
        <f t="shared" si="4"/>
        <v>518.96947327099519</v>
      </c>
      <c r="AM61" s="59">
        <f t="shared" si="5"/>
        <v>812.30280660432845</v>
      </c>
      <c r="AN61" s="59">
        <f ca="1">AVERAGE(OFFSET($AM$3,0,0,'Données projet'!$E$10+1,1))-AVERAGE(OFFSET($H$3,0,0,'Données projet'!$E$10+1,1))</f>
        <v>255.41017495879987</v>
      </c>
      <c r="AO61" s="59">
        <f t="shared" si="36"/>
        <v>297.50513563712764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4.7923605195118322</v>
      </c>
      <c r="AV61" s="21">
        <f>EXP(-LN(2)/25)*AV60+(1-EXP(-LN(2)/25))/(LN(2)/25)*Calculateur!AQ61*Calculateur!AS61*VLOOKUP('Données projet'!$B$10,Paramètres!$A$1:$I$89,3,0)*0.475*44/12</f>
        <v>12.822754045580801</v>
      </c>
      <c r="AW61" s="21">
        <f>EXP(-LN(2)/2)*AW60+(1-EXP(-LN(2)/2))/(LN(2)/2)*AQ61*AT61*VLOOKUP('Données projet'!$B$10,Paramètres!$A$1:$I$89,3,0)*0.475*44/12</f>
        <v>1.4893305137275317E-3</v>
      </c>
      <c r="AX61" s="21">
        <f t="shared" si="6"/>
        <v>17.61660389560636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6.8</v>
      </c>
      <c r="BD61" s="12">
        <f>IF('Données projet'!$A$88&gt;35,BD60+BC61-BL60,IF(A61&lt;'Données projet'!$A$88,$BA$205^A61,IF(A61='Données projet'!$A$88,'Données projet'!$B$88,BD60+BC61-BL60)))</f>
        <v>296.39999999999992</v>
      </c>
      <c r="BE61" s="13">
        <f>BD61*VLOOKUP('Données projet'!$B$11,Paramètres!$A$1:$I$89,3,0)*VLOOKUP('Données projet'!$B$11,Paramètres!$A$1:$I$89,5,0)</f>
        <v>235.81583999999995</v>
      </c>
      <c r="BF61" s="13">
        <f t="shared" si="37"/>
        <v>57.538368655200898</v>
      </c>
      <c r="BG61" s="20">
        <f t="shared" si="7"/>
        <v>510.92524674114156</v>
      </c>
      <c r="BH61" s="59">
        <f t="shared" si="8"/>
        <v>804.25858007447482</v>
      </c>
      <c r="BI61" s="59">
        <f ca="1">AVERAGE(OFFSET($BH$3,0,0,'Données projet'!$E$11+1,1))-AVERAGE(OFFSET($H$3,0,0,'Données projet'!$E$11+1,1))</f>
        <v>260.20517190557814</v>
      </c>
      <c r="BJ61" s="59">
        <f t="shared" si="38"/>
        <v>307.22009971147133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1.874095845520904</v>
      </c>
      <c r="BQ61" s="21">
        <f>EXP(-LN(2)/25)*BQ60+(1-EXP(-LN(2)/25))/(LN(2)/25)*Calculateur!BL61*Calculateur!BN61*VLOOKUP('Données projet'!$B$11,Paramètres!$A$1:$I$89,3,0)*0.475*44/12</f>
        <v>9.4409425115433674</v>
      </c>
      <c r="BR61" s="21">
        <f>EXP(-LN(2)/2)*BR60+(1-EXP(-LN(2)/2))/(LN(2)/2)*BL61*BO61*VLOOKUP('Données projet'!$B$11,Paramètres!$A$1:$I$89,3,0)*0.475*44/12</f>
        <v>1.467226211716143E-3</v>
      </c>
      <c r="BS61" s="22">
        <f t="shared" si="9"/>
        <v>11.316505583275987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6.6</v>
      </c>
      <c r="BY61" s="12">
        <f>IF('Données projet'!$A$114&gt;35,BY60+BX61-CG60,IF(A61&lt;'Données projet'!$A$114,$BV$205^A61,IF(A61='Données projet'!$A$114,'Données projet'!$B$114,BY60+BX61-CG60)))</f>
        <v>271.80000000000007</v>
      </c>
      <c r="BZ61" s="13">
        <f>BY61*VLOOKUP('Données projet'!$B$12,Paramètres!$A$1:$I$89,3,0)*VLOOKUP('Données projet'!$B$12,Paramètres!$A$1:$I$89,5,0)</f>
        <v>178.08336000000003</v>
      </c>
      <c r="CA61" s="13">
        <f t="shared" si="39"/>
        <v>44.895503769043486</v>
      </c>
      <c r="CB61" s="20">
        <f t="shared" si="10"/>
        <v>388.35485439775078</v>
      </c>
      <c r="CC61" s="59">
        <f t="shared" si="11"/>
        <v>681.6881877310841</v>
      </c>
      <c r="CD61" s="59">
        <f ca="1">AVERAGE(OFFSET($CC$3,0,0,'Données projet'!$E$12+1,1))-AVERAGE(OFFSET($H$3,0,0,'Données projet'!$E$12+1,1))</f>
        <v>185.21927898775016</v>
      </c>
      <c r="CE61" s="59">
        <f t="shared" si="40"/>
        <v>240.82467772396944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0.89440756223528117</v>
      </c>
      <c r="CL61" s="21">
        <f>EXP(-LN(2)/25)*CL60+(1-EXP(-LN(2)/25))/(LN(2)/25)*Calculateur!CG61*Calculateur!CI61*VLOOKUP('Données projet'!$B$12,Paramètres!$A$1:$I$89,3,0)*0.475*44/12</f>
        <v>3.6982476222725862</v>
      </c>
      <c r="CM61" s="21">
        <f>EXP(-LN(2)/2)*CM60+(1-EXP(-LN(2)/2))/(LN(2)/2)*CG61*CJ61*VLOOKUP('Données projet'!$B$12,Paramètres!$A$1:$I$89,3,0)*0.475*44/12</f>
        <v>8.5427294837689741E-4</v>
      </c>
      <c r="CN61" s="22">
        <f t="shared" si="12"/>
        <v>4.5935094574562445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52.462800000000044</v>
      </c>
      <c r="D62" s="11">
        <f t="shared" si="32"/>
        <v>15.247997775460181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522.67984247723678</v>
      </c>
      <c r="H62" s="67">
        <f t="shared" si="1"/>
        <v>411.26297279225986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0</v>
      </c>
      <c r="N62" s="13">
        <f>IF('Données projet'!$A$36&gt;35,N61+M62-V61,IF(A62&lt;'Données projet'!$A$36,$K$205^A62,IF(A62='Données projet'!$A$36,'Données projet'!$B$36,N61+M62-V61)))</f>
        <v>-2.2737367544323206E-13</v>
      </c>
      <c r="O62" s="13">
        <f>N62*VLOOKUP('Données projet'!$B$9,Paramètres!$A$1:$I$89,3,0)*VLOOKUP('Données projet'!$B$9,Paramètres!$A$1:$I$89,5,0)</f>
        <v>-1.2710188457276673E-13</v>
      </c>
      <c r="P62" s="13" t="e">
        <f t="shared" si="33"/>
        <v>#NUM!</v>
      </c>
      <c r="Q62" s="20" t="e">
        <f t="shared" si="53"/>
        <v>#NUM!</v>
      </c>
      <c r="R62" s="59" t="e">
        <f t="shared" si="0"/>
        <v>#NUM!</v>
      </c>
      <c r="S62" s="59">
        <f ca="1">AVERAGE(OFFSET($R$3,0,0,'Données projet'!$E$9+1,1))-AVERAGE(OFFSET($H$3,0,0,'Données projet'!$E$9+1,1))</f>
        <v>255.5374979188561</v>
      </c>
      <c r="T62" s="59">
        <f t="shared" si="34"/>
        <v>343.10418468620901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1.7399604101237069</v>
      </c>
      <c r="AA62" s="21">
        <f>EXP(-LN(2)/25)*AA61+(1-EXP(-LN(2)/25))/(LN(2)/25)*Calculateur!V62*Calculateur!X62*VLOOKUP('Données projet'!$B$9,Paramètres!$A$1:$I$89,3,0)*0.475*44/12</f>
        <v>7.1424160300484738</v>
      </c>
      <c r="AB62" s="21">
        <f>EXP(-LN(2)/2)*AB61+(1-EXP(-LN(2)/2))/(LN(2)/2)*V62*Y62*VLOOKUP('Données projet'!$B$9,Paramètres!$A$1:$I$89,3,0)*0.475*44/12</f>
        <v>7.3052109592985895E-5</v>
      </c>
      <c r="AC62" s="22">
        <f t="shared" si="3"/>
        <v>8.8824494922817738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10</v>
      </c>
      <c r="AI62" s="13">
        <f>IF('Données projet'!$A$62&gt;35,AI61+AH62-AQ61,IF(A62&lt;'Données projet'!$A$62,$AF$205^A62,IF(A62='Données projet'!$A$62,'Données projet'!$B$62,AI61+AH62-AQ61)))</f>
        <v>393.99999999999989</v>
      </c>
      <c r="AJ62" s="13">
        <f>AI62*VLOOKUP('Données projet'!$B$10,Paramètres!$A$1:$I$89,3,0)*VLOOKUP('Données projet'!$B$10,Paramètres!$A$1:$I$89,5,0)</f>
        <v>245.85599999999994</v>
      </c>
      <c r="AK62" s="13">
        <f t="shared" si="35"/>
        <v>59.697704223313963</v>
      </c>
      <c r="AL62" s="20">
        <f t="shared" si="4"/>
        <v>532.17270152227172</v>
      </c>
      <c r="AM62" s="59">
        <f t="shared" si="5"/>
        <v>825.50603485560509</v>
      </c>
      <c r="AN62" s="59">
        <f ca="1">AVERAGE(OFFSET($AM$3,0,0,'Données projet'!$E$10+1,1))-AVERAGE(OFFSET($H$3,0,0,'Données projet'!$E$10+1,1))</f>
        <v>255.41017495879987</v>
      </c>
      <c r="AO62" s="59">
        <f t="shared" si="36"/>
        <v>297.50513563712764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4.6983852527754948</v>
      </c>
      <c r="AV62" s="21">
        <f>EXP(-LN(2)/25)*AV61+(1-EXP(-LN(2)/25))/(LN(2)/25)*Calculateur!AQ62*Calculateur!AS62*VLOOKUP('Données projet'!$B$10,Paramètres!$A$1:$I$89,3,0)*0.475*44/12</f>
        <v>12.472115161885066</v>
      </c>
      <c r="AW62" s="21">
        <f>EXP(-LN(2)/2)*AW61+(1-EXP(-LN(2)/2))/(LN(2)/2)*AQ62*AT62*VLOOKUP('Données projet'!$B$10,Paramètres!$A$1:$I$89,3,0)*0.475*44/12</f>
        <v>1.0531157056847822E-3</v>
      </c>
      <c r="AX62" s="21">
        <f t="shared" si="6"/>
        <v>17.171553530366243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6.8</v>
      </c>
      <c r="BD62" s="12">
        <f>IF('Données projet'!$A$88&gt;35,BD61+BC62-BL61,IF(A62&lt;'Données projet'!$A$88,$BA$205^A62,IF(A62='Données projet'!$A$88,'Données projet'!$B$88,BD61+BC62-BL61)))</f>
        <v>303.19999999999993</v>
      </c>
      <c r="BE62" s="13">
        <f>BD62*VLOOKUP('Données projet'!$B$11,Paramètres!$A$1:$I$89,3,0)*VLOOKUP('Données projet'!$B$11,Paramètres!$A$1:$I$89,5,0)</f>
        <v>241.22591999999997</v>
      </c>
      <c r="BF62" s="13">
        <f t="shared" si="37"/>
        <v>58.703214877960853</v>
      </c>
      <c r="BG62" s="20">
        <f t="shared" si="7"/>
        <v>522.37657657911507</v>
      </c>
      <c r="BH62" s="59">
        <f t="shared" si="8"/>
        <v>815.70990991244844</v>
      </c>
      <c r="BI62" s="59">
        <f ca="1">AVERAGE(OFFSET($BH$3,0,0,'Données projet'!$E$11+1,1))-AVERAGE(OFFSET($H$3,0,0,'Données projet'!$E$11+1,1))</f>
        <v>260.20517190557814</v>
      </c>
      <c r="BJ62" s="59">
        <f t="shared" si="38"/>
        <v>307.22009971147133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1.8373459690758345</v>
      </c>
      <c r="BQ62" s="21">
        <f>EXP(-LN(2)/25)*BQ61+(1-EXP(-LN(2)/25))/(LN(2)/25)*Calculateur!BL62*Calculateur!BN62*VLOOKUP('Données projet'!$B$11,Paramètres!$A$1:$I$89,3,0)*0.475*44/12</f>
        <v>9.1827794420876252</v>
      </c>
      <c r="BR62" s="21">
        <f>EXP(-LN(2)/2)*BR61+(1-EXP(-LN(2)/2))/(LN(2)/2)*BL62*BO62*VLOOKUP('Données projet'!$B$11,Paramètres!$A$1:$I$89,3,0)*0.475*44/12</f>
        <v>1.0374856038391337E-3</v>
      </c>
      <c r="BS62" s="22">
        <f t="shared" si="9"/>
        <v>11.021162896767299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6.6</v>
      </c>
      <c r="BY62" s="12">
        <f>IF('Données projet'!$A$114&gt;35,BY61+BX62-CG61,IF(A62&lt;'Données projet'!$A$114,$BV$205^A62,IF(A62='Données projet'!$A$114,'Données projet'!$B$114,BY61+BX62-CG61)))</f>
        <v>278.40000000000009</v>
      </c>
      <c r="BZ62" s="13">
        <f>BY62*VLOOKUP('Données projet'!$B$12,Paramètres!$A$1:$I$89,3,0)*VLOOKUP('Données projet'!$B$12,Paramètres!$A$1:$I$89,5,0)</f>
        <v>182.40768000000006</v>
      </c>
      <c r="CA62" s="13">
        <f t="shared" si="39"/>
        <v>45.857435663065921</v>
      </c>
      <c r="CB62" s="20">
        <f t="shared" si="10"/>
        <v>397.56174311317324</v>
      </c>
      <c r="CC62" s="59">
        <f t="shared" si="11"/>
        <v>690.89507644650655</v>
      </c>
      <c r="CD62" s="59">
        <f ca="1">AVERAGE(OFFSET($CC$3,0,0,'Données projet'!$E$12+1,1))-AVERAGE(OFFSET($H$3,0,0,'Données projet'!$E$12+1,1))</f>
        <v>185.21927898775016</v>
      </c>
      <c r="CE62" s="59">
        <f t="shared" si="40"/>
        <v>240.82467772396944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0.87686877547459319</v>
      </c>
      <c r="CL62" s="21">
        <f>EXP(-LN(2)/25)*CL61+(1-EXP(-LN(2)/25))/(LN(2)/25)*Calculateur!CG62*Calculateur!CI62*VLOOKUP('Données projet'!$B$12,Paramètres!$A$1:$I$89,3,0)*0.475*44/12</f>
        <v>3.5971188465591521</v>
      </c>
      <c r="CM62" s="21">
        <f>EXP(-LN(2)/2)*CM61+(1-EXP(-LN(2)/2))/(LN(2)/2)*CG62*CJ62*VLOOKUP('Données projet'!$B$12,Paramètres!$A$1:$I$89,3,0)*0.475*44/12</f>
        <v>6.040621947815296E-4</v>
      </c>
      <c r="CN62" s="22">
        <f t="shared" si="12"/>
        <v>4.4745916842285274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53.352000000000046</v>
      </c>
      <c r="D63" s="11">
        <f t="shared" si="32"/>
        <v>15.476132071622855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531.30487914936975</v>
      </c>
      <c r="H63" s="67">
        <f t="shared" si="1"/>
        <v>413.20899669140988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0</v>
      </c>
      <c r="N63" s="13">
        <f>IF('Données projet'!$A$36&gt;35,N62+M63-V62,IF(A63&lt;'Données projet'!$A$36,$K$205^A63,IF(A63='Données projet'!$A$36,'Données projet'!$B$36,N62+M63-V62)))</f>
        <v>-2.2737367544323206E-13</v>
      </c>
      <c r="O63" s="13">
        <f>N63*VLOOKUP('Données projet'!$B$9,Paramètres!$A$1:$I$89,3,0)*VLOOKUP('Données projet'!$B$9,Paramètres!$A$1:$I$89,5,0)</f>
        <v>-1.2710188457276673E-13</v>
      </c>
      <c r="P63" s="13" t="e">
        <f t="shared" si="33"/>
        <v>#NUM!</v>
      </c>
      <c r="Q63" s="20" t="e">
        <f t="shared" si="53"/>
        <v>#NUM!</v>
      </c>
      <c r="R63" s="59" t="e">
        <f t="shared" si="0"/>
        <v>#NUM!</v>
      </c>
      <c r="S63" s="59">
        <f ca="1">AVERAGE(OFFSET($R$3,0,0,'Données projet'!$E$9+1,1))-AVERAGE(OFFSET($H$3,0,0,'Données projet'!$E$9+1,1))</f>
        <v>255.5374979188561</v>
      </c>
      <c r="T63" s="59">
        <f t="shared" si="34"/>
        <v>343.10418468620901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1.7058408477522393</v>
      </c>
      <c r="AA63" s="21">
        <f>EXP(-LN(2)/25)*AA62+(1-EXP(-LN(2)/25))/(LN(2)/25)*Calculateur!V63*Calculateur!X63*VLOOKUP('Données projet'!$B$9,Paramètres!$A$1:$I$89,3,0)*0.475*44/12</f>
        <v>6.9471062881034635</v>
      </c>
      <c r="AB63" s="21">
        <f>EXP(-LN(2)/2)*AB62+(1-EXP(-LN(2)/2))/(LN(2)/2)*V63*Y63*VLOOKUP('Données projet'!$B$9,Paramètres!$A$1:$I$89,3,0)*0.475*44/12</f>
        <v>5.1655642073183168E-5</v>
      </c>
      <c r="AC63" s="22">
        <f t="shared" si="3"/>
        <v>8.652998791497776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projet'!$A$61:$I$81,2,0)</f>
        <v>404</v>
      </c>
      <c r="AG63" s="12">
        <f>VLOOKUP(A63,'Données projet'!$A$61:$I$81,9,0)</f>
        <v>10</v>
      </c>
      <c r="AH63" s="12">
        <f t="array" ref="AH63">INDEX(AG:AG,MIN(IF(ISNUMBER(AG63:AG259),ROW(AG63:AG259),"")))</f>
        <v>10</v>
      </c>
      <c r="AI63" s="13">
        <f>IF('Données projet'!$A$62&gt;35,AI62+AH63-AQ62,IF(A63&lt;'Données projet'!$A$62,$AF$205^A63,IF(A63='Données projet'!$A$62,'Données projet'!$B$62,AI62+AH63-AQ62)))</f>
        <v>403.99999999999989</v>
      </c>
      <c r="AJ63" s="13">
        <f>AI63*VLOOKUP('Données projet'!$B$10,Paramètres!$A$1:$I$89,3,0)*VLOOKUP('Données projet'!$B$10,Paramètres!$A$1:$I$89,5,0)</f>
        <v>252.09599999999992</v>
      </c>
      <c r="AK63" s="13">
        <f t="shared" si="35"/>
        <v>61.034549381925906</v>
      </c>
      <c r="AL63" s="20">
        <f t="shared" si="4"/>
        <v>545.36904017352083</v>
      </c>
      <c r="AM63" s="59">
        <f t="shared" si="5"/>
        <v>838.7023735068542</v>
      </c>
      <c r="AN63" s="59">
        <f ca="1">AVERAGE(OFFSET($AM$3,0,0,'Données projet'!$E$10+1,1))-AVERAGE(OFFSET($H$3,0,0,'Données projet'!$E$10+1,1))</f>
        <v>255.41017495879987</v>
      </c>
      <c r="AO63" s="59">
        <f t="shared" si="36"/>
        <v>297.50513563712764</v>
      </c>
      <c r="AP63" s="15">
        <f>IF(ISNA(VLOOKUP(A63,'Données projet'!$A$61:$I$81,3,0)),0,VLOOKUP(A63,'Données projet'!$A$61:$I$81,3,0))</f>
        <v>5</v>
      </c>
      <c r="AQ63" s="15">
        <f>IF(ISNA(VLOOKUP(A63,'Données projet'!$A$61:$I$81,4,0)),0,VLOOKUP(A63,'Données projet'!$A$61:$I$81,4,0))</f>
        <v>55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4.6062527837006044</v>
      </c>
      <c r="AV63" s="21">
        <f>EXP(-LN(2)/25)*AV62+(1-EXP(-LN(2)/25))/(LN(2)/25)*Calculateur!AQ63*Calculateur!AS63*VLOOKUP('Données projet'!$B$10,Paramètres!$A$1:$I$89,3,0)*0.475*44/12</f>
        <v>12.131064516903288</v>
      </c>
      <c r="AW63" s="21">
        <f>EXP(-LN(2)/2)*AW62+(1-EXP(-LN(2)/2))/(LN(2)/2)*AQ63*AT63*VLOOKUP('Données projet'!$B$10,Paramètres!$A$1:$I$89,3,0)*0.475*44/12</f>
        <v>7.4466525686376587E-4</v>
      </c>
      <c r="AX63" s="21">
        <f t="shared" si="6"/>
        <v>16.738061965860755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>
        <f>VLOOKUP(A63,'Données projet'!$A$87:$I$107,2,0)</f>
        <v>310</v>
      </c>
      <c r="BB63" s="12">
        <f>VLOOKUP(A63,'Données projet'!$A$87:$I$107,9,0)</f>
        <v>6.8</v>
      </c>
      <c r="BC63" s="12">
        <f t="array" ref="BC63">INDEX(BB:BB,MIN(IF(ISNUMBER(BB63:BB259),ROW(BB63:BB259),"")))</f>
        <v>6.8</v>
      </c>
      <c r="BD63" s="12">
        <f>IF('Données projet'!$A$88&gt;35,BD62+BC63-BL62,IF(A63&lt;'Données projet'!$A$88,$BA$205^A63,IF(A63='Données projet'!$A$88,'Données projet'!$B$88,BD62+BC63-BL62)))</f>
        <v>309.99999999999994</v>
      </c>
      <c r="BE63" s="13">
        <f>BD63*VLOOKUP('Données projet'!$B$11,Paramètres!$A$1:$I$89,3,0)*VLOOKUP('Données projet'!$B$11,Paramètres!$A$1:$I$89,5,0)</f>
        <v>246.63599999999997</v>
      </c>
      <c r="BF63" s="13">
        <f t="shared" si="37"/>
        <v>59.865023903294535</v>
      </c>
      <c r="BG63" s="20">
        <f t="shared" si="7"/>
        <v>533.82261663157112</v>
      </c>
      <c r="BH63" s="59">
        <f t="shared" si="8"/>
        <v>827.15594996490449</v>
      </c>
      <c r="BI63" s="59">
        <f ca="1">AVERAGE(OFFSET($BH$3,0,0,'Données projet'!$E$11+1,1))-AVERAGE(OFFSET($H$3,0,0,'Données projet'!$E$11+1,1))</f>
        <v>260.20517190557814</v>
      </c>
      <c r="BJ63" s="59">
        <f t="shared" si="38"/>
        <v>307.22009971147133</v>
      </c>
      <c r="BK63" s="15">
        <f>IF(ISNA(VLOOKUP(A63,'Données projet'!$A$87:$I$107,3,0)),0,VLOOKUP(A63,'Données projet'!$A$87:$I$107,3,0))</f>
        <v>5</v>
      </c>
      <c r="BL63" s="15">
        <f>IF(ISNA(VLOOKUP(A63,'Données projet'!$A$87:$I$107,4,0)),0,VLOOKUP(A63,'Données projet'!$A$87:$I$107,4,0))</f>
        <v>30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1.8013167352926416</v>
      </c>
      <c r="BQ63" s="21">
        <f>EXP(-LN(2)/25)*BQ62+(1-EXP(-LN(2)/25))/(LN(2)/25)*Calculateur!BL63*Calculateur!BN63*VLOOKUP('Données projet'!$B$11,Paramètres!$A$1:$I$89,3,0)*0.475*44/12</f>
        <v>8.9316758553423554</v>
      </c>
      <c r="BR63" s="21">
        <f>EXP(-LN(2)/2)*BR62+(1-EXP(-LN(2)/2))/(LN(2)/2)*BL63*BO63*VLOOKUP('Données projet'!$B$11,Paramètres!$A$1:$I$89,3,0)*0.475*44/12</f>
        <v>7.3361310585807148E-4</v>
      </c>
      <c r="BS63" s="22">
        <f t="shared" si="9"/>
        <v>10.733726203740854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>
        <f>VLOOKUP(A63,'Données projet'!$A$113:$I$133,2,0)</f>
        <v>285</v>
      </c>
      <c r="BW63" s="12">
        <f>VLOOKUP(A63,'Données projet'!$A$113:$I$133,9,0)</f>
        <v>6.6</v>
      </c>
      <c r="BX63" s="12">
        <f t="array" ref="BX63">INDEX(BW:BW,MIN(IF(ISNUMBER(BW63:BW259),ROW(BW63:BW259),"")))</f>
        <v>6.6</v>
      </c>
      <c r="BY63" s="12">
        <f>IF('Données projet'!$A$114&gt;35,BY62+BX63-CG62,IF(A63&lt;'Données projet'!$A$114,$BV$205^A63,IF(A63='Données projet'!$A$114,'Données projet'!$B$114,BY62+BX63-CG62)))</f>
        <v>285.00000000000011</v>
      </c>
      <c r="BZ63" s="13">
        <f>BY63*VLOOKUP('Données projet'!$B$12,Paramètres!$A$1:$I$89,3,0)*VLOOKUP('Données projet'!$B$12,Paramètres!$A$1:$I$89,5,0)</f>
        <v>186.73200000000008</v>
      </c>
      <c r="CA63" s="13">
        <f t="shared" si="39"/>
        <v>46.816716519231463</v>
      </c>
      <c r="CB63" s="20">
        <f t="shared" si="10"/>
        <v>406.76401460432822</v>
      </c>
      <c r="CC63" s="59">
        <f t="shared" si="11"/>
        <v>700.09734793766154</v>
      </c>
      <c r="CD63" s="59">
        <f ca="1">AVERAGE(OFFSET($CC$3,0,0,'Données projet'!$E$12+1,1))-AVERAGE(OFFSET($H$3,0,0,'Données projet'!$E$12+1,1))</f>
        <v>185.21927898775016</v>
      </c>
      <c r="CE63" s="59">
        <f t="shared" si="40"/>
        <v>240.82467772396944</v>
      </c>
      <c r="CF63" s="15">
        <f>IF(ISNA(VLOOKUP(A63,'Données projet'!$A$113:$I$133,3,0)),0,VLOOKUP(A63,'Données projet'!$A$113:$I$133,3,0))</f>
        <v>5</v>
      </c>
      <c r="CG63" s="15">
        <f>IF(ISNA(VLOOKUP(A63,'Données projet'!$A$113:$I$133,4,0)),0,VLOOKUP(A63,'Données projet'!$A$113:$I$133,4,0))</f>
        <v>49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>
        <f>EXP(-LN(2)/35)*CK62+(1-EXP(-LN(2)/35))/(LN(2)/35)*CG63*CH63*VLOOKUP('Données projet'!$B$12,Paramètres!$A$1:$I$89,3,0)*0.475*44/12</f>
        <v>0.85967391362467871</v>
      </c>
      <c r="CL63" s="21">
        <f>EXP(-LN(2)/25)*CL62+(1-EXP(-LN(2)/25))/(LN(2)/25)*Calculateur!CG63*Calculateur!CI63*VLOOKUP('Données projet'!$B$12,Paramètres!$A$1:$I$89,3,0)*0.475*44/12</f>
        <v>3.4987554425357335</v>
      </c>
      <c r="CM63" s="21">
        <f>EXP(-LN(2)/2)*CM62+(1-EXP(-LN(2)/2))/(LN(2)/2)*CG63*CJ63*VLOOKUP('Données projet'!$B$12,Paramètres!$A$1:$I$89,3,0)*0.475*44/12</f>
        <v>4.271364741884487E-4</v>
      </c>
      <c r="CN63" s="22">
        <f t="shared" si="12"/>
        <v>4.358856492634601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54.241200000000049</v>
      </c>
      <c r="D64" s="11">
        <f t="shared" si="32"/>
        <v>15.703824194633762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539.92650255506805</v>
      </c>
      <c r="H64" s="67">
        <f t="shared" si="1"/>
        <v>415.15425047232054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0</v>
      </c>
      <c r="N64" s="13">
        <f>IF('Données projet'!$A$36&gt;35,N63+M64-V63,IF(A64&lt;'Données projet'!$A$36,$K$205^A64,IF(A64='Données projet'!$A$36,'Données projet'!$B$36,N63+M64-V63)))</f>
        <v>-2.2737367544323206E-13</v>
      </c>
      <c r="O64" s="13">
        <f>N64*VLOOKUP('Données projet'!$B$9,Paramètres!$A$1:$I$89,3,0)*VLOOKUP('Données projet'!$B$9,Paramètres!$A$1:$I$89,5,0)</f>
        <v>-1.2710188457276673E-13</v>
      </c>
      <c r="P64" s="13" t="e">
        <f t="shared" si="33"/>
        <v>#NUM!</v>
      </c>
      <c r="Q64" s="20" t="e">
        <f t="shared" si="53"/>
        <v>#NUM!</v>
      </c>
      <c r="R64" s="59" t="e">
        <f t="shared" si="0"/>
        <v>#NUM!</v>
      </c>
      <c r="S64" s="59">
        <f ca="1">AVERAGE(OFFSET($R$3,0,0,'Données projet'!$E$9+1,1))-AVERAGE(OFFSET($H$3,0,0,'Données projet'!$E$9+1,1))</f>
        <v>255.5374979188561</v>
      </c>
      <c r="T64" s="59">
        <f t="shared" si="34"/>
        <v>343.10418468620901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1.6723903491879981</v>
      </c>
      <c r="AA64" s="21">
        <f>EXP(-LN(2)/25)*AA63+(1-EXP(-LN(2)/25))/(LN(2)/25)*Calculateur!V64*Calculateur!X64*VLOOKUP('Données projet'!$B$9,Paramètres!$A$1:$I$89,3,0)*0.475*44/12</f>
        <v>6.7571373013228326</v>
      </c>
      <c r="AB64" s="21">
        <f>EXP(-LN(2)/2)*AB63+(1-EXP(-LN(2)/2))/(LN(2)/2)*V64*Y64*VLOOKUP('Données projet'!$B$9,Paramètres!$A$1:$I$89,3,0)*0.475*44/12</f>
        <v>3.6526054796492948E-5</v>
      </c>
      <c r="AC64" s="22">
        <f t="shared" si="3"/>
        <v>8.4295641765656271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7.8</v>
      </c>
      <c r="AI64" s="13">
        <f>IF('Données projet'!$A$62&gt;35,AI63+AH64-AQ63,IF(A64&lt;'Données projet'!$A$62,$AF$205^A64,IF(A64='Données projet'!$A$62,'Données projet'!$B$62,AI63+AH64-AQ63)))</f>
        <v>356.7999999999999</v>
      </c>
      <c r="AJ64" s="13">
        <f>AI64*VLOOKUP('Données projet'!$B$10,Paramètres!$A$1:$I$89,3,0)*VLOOKUP('Données projet'!$B$10,Paramètres!$A$1:$I$89,5,0)</f>
        <v>222.64319999999995</v>
      </c>
      <c r="AK64" s="13">
        <f t="shared" si="35"/>
        <v>54.688972258092875</v>
      </c>
      <c r="AL64" s="20">
        <f t="shared" si="4"/>
        <v>483.02020001617831</v>
      </c>
      <c r="AM64" s="59">
        <f t="shared" si="5"/>
        <v>776.35353334951162</v>
      </c>
      <c r="AN64" s="59">
        <f ca="1">AVERAGE(OFFSET($AM$3,0,0,'Données projet'!$E$10+1,1))-AVERAGE(OFFSET($H$3,0,0,'Données projet'!$E$10+1,1))</f>
        <v>255.41017495879987</v>
      </c>
      <c r="AO64" s="59">
        <f t="shared" si="36"/>
        <v>297.50513563712764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4.5159269761490153</v>
      </c>
      <c r="AV64" s="21">
        <f>EXP(-LN(2)/25)*AV63+(1-EXP(-LN(2)/25))/(LN(2)/25)*Calculateur!AQ64*Calculateur!AS64*VLOOKUP('Données projet'!$B$10,Paramètres!$A$1:$I$89,3,0)*0.475*44/12</f>
        <v>11.799339919743611</v>
      </c>
      <c r="AW64" s="21">
        <f>EXP(-LN(2)/2)*AW63+(1-EXP(-LN(2)/2))/(LN(2)/2)*AQ64*AT64*VLOOKUP('Données projet'!$B$10,Paramètres!$A$1:$I$89,3,0)*0.475*44/12</f>
        <v>5.2655785284239109E-4</v>
      </c>
      <c r="AX64" s="21">
        <f t="shared" si="6"/>
        <v>16.315793453745471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4.9000000000000004</v>
      </c>
      <c r="BD64" s="12">
        <f>IF('Données projet'!$A$88&gt;35,BD63+BC64-BL63,IF(A64&lt;'Données projet'!$A$88,$BA$205^A64,IF(A64='Données projet'!$A$88,'Données projet'!$B$88,BD63+BC64-BL63)))</f>
        <v>284.89999999999992</v>
      </c>
      <c r="BE64" s="13">
        <f>BD64*VLOOKUP('Données projet'!$B$11,Paramètres!$A$1:$I$89,3,0)*VLOOKUP('Données projet'!$B$11,Paramètres!$A$1:$I$89,5,0)</f>
        <v>226.66643999999994</v>
      </c>
      <c r="BF64" s="13">
        <f t="shared" si="37"/>
        <v>55.561276600641385</v>
      </c>
      <c r="BG64" s="20">
        <f t="shared" si="7"/>
        <v>491.5466064127836</v>
      </c>
      <c r="BH64" s="59">
        <f t="shared" si="8"/>
        <v>784.87993974611686</v>
      </c>
      <c r="BI64" s="59">
        <f ca="1">AVERAGE(OFFSET($BH$3,0,0,'Données projet'!$E$11+1,1))-AVERAGE(OFFSET($H$3,0,0,'Données projet'!$E$11+1,1))</f>
        <v>260.20517190557814</v>
      </c>
      <c r="BJ64" s="59">
        <f t="shared" si="38"/>
        <v>307.22009971147133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1.7659940128082743</v>
      </c>
      <c r="BQ64" s="21">
        <f>EXP(-LN(2)/25)*BQ63+(1-EXP(-LN(2)/25))/(LN(2)/25)*Calculateur!BL64*Calculateur!BN64*VLOOKUP('Données projet'!$B$11,Paramètres!$A$1:$I$89,3,0)*0.475*44/12</f>
        <v>8.687438709381599</v>
      </c>
      <c r="BR64" s="21">
        <f>EXP(-LN(2)/2)*BR63+(1-EXP(-LN(2)/2))/(LN(2)/2)*BL64*BO64*VLOOKUP('Données projet'!$B$11,Paramètres!$A$1:$I$89,3,0)*0.475*44/12</f>
        <v>5.1874280191956687E-4</v>
      </c>
      <c r="BS64" s="22">
        <f t="shared" si="9"/>
        <v>10.453951464991793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5.6</v>
      </c>
      <c r="BY64" s="12">
        <f>IF('Données projet'!$A$114&gt;35,BY63+BX64-CG63,IF(A64&lt;'Données projet'!$A$114,$BV$205^A64,IF(A64='Données projet'!$A$114,'Données projet'!$B$114,BY63+BX64-CG63)))</f>
        <v>241.60000000000014</v>
      </c>
      <c r="BZ64" s="13">
        <f>BY64*VLOOKUP('Données projet'!$B$12,Paramètres!$A$1:$I$89,3,0)*VLOOKUP('Données projet'!$B$12,Paramètres!$A$1:$I$89,5,0)</f>
        <v>158.29632000000009</v>
      </c>
      <c r="CA64" s="13">
        <f t="shared" si="39"/>
        <v>40.458006540983739</v>
      </c>
      <c r="CB64" s="20">
        <f t="shared" si="10"/>
        <v>346.16378539221347</v>
      </c>
      <c r="CC64" s="59">
        <f t="shared" si="11"/>
        <v>639.49711872554678</v>
      </c>
      <c r="CD64" s="59">
        <f ca="1">AVERAGE(OFFSET($CC$3,0,0,'Données projet'!$E$12+1,1))-AVERAGE(OFFSET($H$3,0,0,'Données projet'!$E$12+1,1))</f>
        <v>185.21927898775016</v>
      </c>
      <c r="CE64" s="59">
        <f t="shared" si="40"/>
        <v>240.82467772396944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0.8428162325278109</v>
      </c>
      <c r="CL64" s="21">
        <f>EXP(-LN(2)/25)*CL63+(1-EXP(-LN(2)/25))/(LN(2)/25)*Calculateur!CG64*Calculateur!CI64*VLOOKUP('Données projet'!$B$12,Paramètres!$A$1:$I$89,3,0)*0.475*44/12</f>
        <v>3.4030817909680415</v>
      </c>
      <c r="CM64" s="21">
        <f>EXP(-LN(2)/2)*CM63+(1-EXP(-LN(2)/2))/(LN(2)/2)*CG64*CJ64*VLOOKUP('Données projet'!$B$12,Paramètres!$A$1:$I$89,3,0)*0.475*44/12</f>
        <v>3.020310973907648E-4</v>
      </c>
      <c r="CN64" s="22">
        <f t="shared" si="12"/>
        <v>4.2462000545932437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55.130400000000051</v>
      </c>
      <c r="D65" s="11">
        <f t="shared" si="32"/>
        <v>15.931082230000042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548.54477510877268</v>
      </c>
      <c r="H65" s="67">
        <f t="shared" si="1"/>
        <v>417.09874821725015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0</v>
      </c>
      <c r="N65" s="13">
        <f>IF('Données projet'!$A$36&gt;35,N64+M65-V64,IF(A65&lt;'Données projet'!$A$36,$K$205^A65,IF(A65='Données projet'!$A$36,'Données projet'!$B$36,N64+M65-V64)))</f>
        <v>-2.2737367544323206E-13</v>
      </c>
      <c r="O65" s="13">
        <f>N65*VLOOKUP('Données projet'!$B$9,Paramètres!$A$1:$I$89,3,0)*VLOOKUP('Données projet'!$B$9,Paramètres!$A$1:$I$89,5,0)</f>
        <v>-1.2710188457276673E-13</v>
      </c>
      <c r="P65" s="13" t="e">
        <f t="shared" si="33"/>
        <v>#NUM!</v>
      </c>
      <c r="Q65" s="20" t="e">
        <f t="shared" si="53"/>
        <v>#NUM!</v>
      </c>
      <c r="R65" s="59" t="e">
        <f t="shared" si="0"/>
        <v>#NUM!</v>
      </c>
      <c r="S65" s="59">
        <f ca="1">AVERAGE(OFFSET($R$3,0,0,'Données projet'!$E$9+1,1))-AVERAGE(OFFSET($H$3,0,0,'Données projet'!$E$9+1,1))</f>
        <v>255.5374979188561</v>
      </c>
      <c r="T65" s="59">
        <f t="shared" si="34"/>
        <v>343.10418468620901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1.6395957944978121</v>
      </c>
      <c r="AA65" s="21">
        <f>EXP(-LN(2)/25)*AA64+(1-EXP(-LN(2)/25))/(LN(2)/25)*Calculateur!V65*Calculateur!X65*VLOOKUP('Données projet'!$B$9,Paramètres!$A$1:$I$89,3,0)*0.475*44/12</f>
        <v>6.5723630264757524</v>
      </c>
      <c r="AB65" s="21">
        <f>EXP(-LN(2)/2)*AB64+(1-EXP(-LN(2)/2))/(LN(2)/2)*V65*Y65*VLOOKUP('Données projet'!$B$9,Paramètres!$A$1:$I$89,3,0)*0.475*44/12</f>
        <v>2.5827821036591584E-5</v>
      </c>
      <c r="AC65" s="22">
        <f t="shared" si="3"/>
        <v>8.2119846487946013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7.8</v>
      </c>
      <c r="AI65" s="13">
        <f>IF('Données projet'!$A$62&gt;35,AI64+AH65-AQ64,IF(A65&lt;'Données projet'!$A$62,$AF$205^A65,IF(A65='Données projet'!$A$62,'Données projet'!$B$62,AI64+AH65-AQ64)))</f>
        <v>364.59999999999991</v>
      </c>
      <c r="AJ65" s="13">
        <f>AI65*VLOOKUP('Données projet'!$B$10,Paramètres!$A$1:$I$89,3,0)*VLOOKUP('Données projet'!$B$10,Paramètres!$A$1:$I$89,5,0)</f>
        <v>227.51039999999995</v>
      </c>
      <c r="AK65" s="13">
        <f t="shared" si="35"/>
        <v>55.7440313076156</v>
      </c>
      <c r="AL65" s="20">
        <f t="shared" si="4"/>
        <v>493.33480119409711</v>
      </c>
      <c r="AM65" s="59">
        <f t="shared" si="5"/>
        <v>786.66813452743042</v>
      </c>
      <c r="AN65" s="59">
        <f ca="1">AVERAGE(OFFSET($AM$3,0,0,'Données projet'!$E$10+1,1))-AVERAGE(OFFSET($H$3,0,0,'Données projet'!$E$10+1,1))</f>
        <v>255.41017495879987</v>
      </c>
      <c r="AO65" s="59">
        <f t="shared" si="36"/>
        <v>297.50513563712764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4.4273724025902101</v>
      </c>
      <c r="AV65" s="21">
        <f>EXP(-LN(2)/25)*AV64+(1-EXP(-LN(2)/25))/(LN(2)/25)*Calculateur!AQ65*Calculateur!AS65*VLOOKUP('Données projet'!$B$10,Paramètres!$A$1:$I$89,3,0)*0.475*44/12</f>
        <v>11.476686349137903</v>
      </c>
      <c r="AW65" s="21">
        <f>EXP(-LN(2)/2)*AW64+(1-EXP(-LN(2)/2))/(LN(2)/2)*AQ65*AT65*VLOOKUP('Données projet'!$B$10,Paramètres!$A$1:$I$89,3,0)*0.475*44/12</f>
        <v>3.7233262843188293E-4</v>
      </c>
      <c r="AX65" s="21">
        <f t="shared" si="6"/>
        <v>15.904431084356546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4.9000000000000004</v>
      </c>
      <c r="BD65" s="12">
        <f>IF('Données projet'!$A$88&gt;35,BD64+BC65-BL64,IF(A65&lt;'Données projet'!$A$88,$BA$205^A65,IF(A65='Données projet'!$A$88,'Données projet'!$B$88,BD64+BC65-BL64)))</f>
        <v>289.7999999999999</v>
      </c>
      <c r="BE65" s="13">
        <f>BD65*VLOOKUP('Données projet'!$B$11,Paramètres!$A$1:$I$89,3,0)*VLOOKUP('Données projet'!$B$11,Paramètres!$A$1:$I$89,5,0)</f>
        <v>230.56487999999993</v>
      </c>
      <c r="BF65" s="13">
        <f t="shared" si="37"/>
        <v>56.404804351341944</v>
      </c>
      <c r="BG65" s="20">
        <f t="shared" si="7"/>
        <v>499.80553357858707</v>
      </c>
      <c r="BH65" s="59">
        <f t="shared" si="8"/>
        <v>793.13886691192033</v>
      </c>
      <c r="BI65" s="59">
        <f ca="1">AVERAGE(OFFSET($BH$3,0,0,'Données projet'!$E$11+1,1))-AVERAGE(OFFSET($H$3,0,0,'Données projet'!$E$11+1,1))</f>
        <v>260.20517190557814</v>
      </c>
      <c r="BJ65" s="59">
        <f t="shared" si="38"/>
        <v>307.22009971147133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1.7313639473670921</v>
      </c>
      <c r="BQ65" s="21">
        <f>EXP(-LN(2)/25)*BQ64+(1-EXP(-LN(2)/25))/(LN(2)/25)*Calculateur!BL65*Calculateur!BN65*VLOOKUP('Données projet'!$B$11,Paramètres!$A$1:$I$89,3,0)*0.475*44/12</f>
        <v>8.4498802410210132</v>
      </c>
      <c r="BR65" s="21">
        <f>EXP(-LN(2)/2)*BR64+(1-EXP(-LN(2)/2))/(LN(2)/2)*BL65*BO65*VLOOKUP('Données projet'!$B$11,Paramètres!$A$1:$I$89,3,0)*0.475*44/12</f>
        <v>3.6680655292903574E-4</v>
      </c>
      <c r="BS65" s="22">
        <f t="shared" si="9"/>
        <v>10.181610994941034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5.6</v>
      </c>
      <c r="BY65" s="12">
        <f>IF('Données projet'!$A$114&gt;35,BY64+BX65-CG64,IF(A65&lt;'Données projet'!$A$114,$BV$205^A65,IF(A65='Données projet'!$A$114,'Données projet'!$B$114,BY64+BX65-CG64)))</f>
        <v>247.20000000000013</v>
      </c>
      <c r="BZ65" s="13">
        <f>BY65*VLOOKUP('Données projet'!$B$12,Paramètres!$A$1:$I$89,3,0)*VLOOKUP('Données projet'!$B$12,Paramètres!$A$1:$I$89,5,0)</f>
        <v>161.96544000000009</v>
      </c>
      <c r="CA65" s="13">
        <f t="shared" si="39"/>
        <v>41.285510388923619</v>
      </c>
      <c r="CB65" s="20">
        <f t="shared" si="10"/>
        <v>353.99540526070876</v>
      </c>
      <c r="CC65" s="59">
        <f t="shared" si="11"/>
        <v>647.32873859404208</v>
      </c>
      <c r="CD65" s="59">
        <f ca="1">AVERAGE(OFFSET($CC$3,0,0,'Données projet'!$E$12+1,1))-AVERAGE(OFFSET($H$3,0,0,'Données projet'!$E$12+1,1))</f>
        <v>185.21927898775016</v>
      </c>
      <c r="CE65" s="59">
        <f t="shared" si="40"/>
        <v>240.82467772396944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0.8262891202750825</v>
      </c>
      <c r="CL65" s="21">
        <f>EXP(-LN(2)/25)*CL64+(1-EXP(-LN(2)/25))/(LN(2)/25)*Calculateur!CG65*Calculateur!CI65*VLOOKUP('Données projet'!$B$12,Paramètres!$A$1:$I$89,3,0)*0.475*44/12</f>
        <v>3.3100243404337268</v>
      </c>
      <c r="CM65" s="21">
        <f>EXP(-LN(2)/2)*CM64+(1-EXP(-LN(2)/2))/(LN(2)/2)*CG65*CJ65*VLOOKUP('Données projet'!$B$12,Paramètres!$A$1:$I$89,3,0)*0.475*44/12</f>
        <v>2.1356823709422435E-4</v>
      </c>
      <c r="CN65" s="22">
        <f t="shared" si="12"/>
        <v>4.1365270289459035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56.019600000000054</v>
      </c>
      <c r="D66" s="11">
        <f t="shared" si="32"/>
        <v>16.157913987449295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557.15975709610018</v>
      </c>
      <c r="H66" s="67">
        <f t="shared" si="1"/>
        <v>419.04250352814091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-2.2737367544323206E-13</v>
      </c>
      <c r="O66" s="13">
        <f>N66*VLOOKUP('Données projet'!$B$9,Paramètres!$A$1:$I$89,3,0)*VLOOKUP('Données projet'!$B$9,Paramètres!$A$1:$I$89,5,0)</f>
        <v>-1.2710188457276673E-13</v>
      </c>
      <c r="P66" s="13" t="e">
        <f t="shared" si="33"/>
        <v>#NUM!</v>
      </c>
      <c r="Q66" s="20" t="e">
        <f t="shared" si="53"/>
        <v>#NUM!</v>
      </c>
      <c r="R66" s="59" t="e">
        <f t="shared" si="0"/>
        <v>#NUM!</v>
      </c>
      <c r="S66" s="59">
        <f ca="1">AVERAGE(OFFSET($R$3,0,0,'Données projet'!$E$9+1,1))-AVERAGE(OFFSET($H$3,0,0,'Données projet'!$E$9+1,1))</f>
        <v>255.5374979188561</v>
      </c>
      <c r="T66" s="59">
        <f t="shared" si="34"/>
        <v>343.10418468620901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1.6074443210223974</v>
      </c>
      <c r="AA66" s="21">
        <f>EXP(-LN(2)/25)*AA65+(1-EXP(-LN(2)/25))/(LN(2)/25)*Calculateur!V66*Calculateur!X66*VLOOKUP('Données projet'!$B$9,Paramètres!$A$1:$I$89,3,0)*0.475*44/12</f>
        <v>6.3926414138912229</v>
      </c>
      <c r="AB66" s="21">
        <f>EXP(-LN(2)/2)*AB65+(1-EXP(-LN(2)/2))/(LN(2)/2)*V66*Y66*VLOOKUP('Données projet'!$B$9,Paramètres!$A$1:$I$89,3,0)*0.475*44/12</f>
        <v>1.8263027398246474E-5</v>
      </c>
      <c r="AC66" s="22">
        <f t="shared" si="3"/>
        <v>8.000103997941018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7.8</v>
      </c>
      <c r="AI66" s="13">
        <f>IF('Données projet'!$A$62&gt;35,AI65+AH66-AQ65,IF(A66&lt;'Données projet'!$A$62,$AF$205^A66,IF(A66='Données projet'!$A$62,'Données projet'!$B$62,AI65+AH66-AQ65)))</f>
        <v>372.39999999999992</v>
      </c>
      <c r="AJ66" s="13">
        <f>AI66*VLOOKUP('Données projet'!$B$10,Paramètres!$A$1:$I$89,3,0)*VLOOKUP('Données projet'!$B$10,Paramètres!$A$1:$I$89,5,0)</f>
        <v>232.37759999999994</v>
      </c>
      <c r="AK66" s="13">
        <f t="shared" si="35"/>
        <v>56.79646612603225</v>
      </c>
      <c r="AL66" s="20">
        <f t="shared" si="4"/>
        <v>503.64483183617267</v>
      </c>
      <c r="AM66" s="59">
        <f t="shared" si="5"/>
        <v>796.97816516950593</v>
      </c>
      <c r="AN66" s="59">
        <f ca="1">AVERAGE(OFFSET($AM$3,0,0,'Données projet'!$E$10+1,1))-AVERAGE(OFFSET($H$3,0,0,'Données projet'!$E$10+1,1))</f>
        <v>255.41017495879987</v>
      </c>
      <c r="AO66" s="59">
        <f t="shared" si="36"/>
        <v>297.50513563712764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4.3405543302059364</v>
      </c>
      <c r="AV66" s="21">
        <f>EXP(-LN(2)/25)*AV65+(1-EXP(-LN(2)/25))/(LN(2)/25)*Calculateur!AQ66*Calculateur!AS66*VLOOKUP('Données projet'!$B$10,Paramètres!$A$1:$I$89,3,0)*0.475*44/12</f>
        <v>11.162855757388023</v>
      </c>
      <c r="AW66" s="21">
        <f>EXP(-LN(2)/2)*AW65+(1-EXP(-LN(2)/2))/(LN(2)/2)*AQ66*AT66*VLOOKUP('Données projet'!$B$10,Paramètres!$A$1:$I$89,3,0)*0.475*44/12</f>
        <v>2.6327892642119554E-4</v>
      </c>
      <c r="AX66" s="21">
        <f t="shared" si="6"/>
        <v>15.503673366520381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4.9000000000000004</v>
      </c>
      <c r="BD66" s="12">
        <f>IF('Données projet'!$A$88&gt;35,BD65+BC66-BL65,IF(A66&lt;'Données projet'!$A$88,$BA$205^A66,IF(A66='Données projet'!$A$88,'Données projet'!$B$88,BD65+BC66-BL65)))</f>
        <v>294.69999999999987</v>
      </c>
      <c r="BE66" s="13">
        <f>BD66*VLOOKUP('Données projet'!$B$11,Paramètres!$A$1:$I$89,3,0)*VLOOKUP('Données projet'!$B$11,Paramètres!$A$1:$I$89,5,0)</f>
        <v>234.46331999999992</v>
      </c>
      <c r="BF66" s="13">
        <f t="shared" si="37"/>
        <v>57.24667349069928</v>
      </c>
      <c r="BG66" s="20">
        <f t="shared" si="7"/>
        <v>508.06157199630115</v>
      </c>
      <c r="BH66" s="59">
        <f t="shared" si="8"/>
        <v>801.39490532963441</v>
      </c>
      <c r="BI66" s="59">
        <f ca="1">AVERAGE(OFFSET($BH$3,0,0,'Données projet'!$E$11+1,1))-AVERAGE(OFFSET($H$3,0,0,'Données projet'!$E$11+1,1))</f>
        <v>260.20517190557814</v>
      </c>
      <c r="BJ66" s="59">
        <f t="shared" si="38"/>
        <v>307.22009971147133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1.6974129563869573</v>
      </c>
      <c r="BQ66" s="21">
        <f>EXP(-LN(2)/25)*BQ65+(1-EXP(-LN(2)/25))/(LN(2)/25)*Calculateur!BL66*Calculateur!BN66*VLOOKUP('Données projet'!$B$11,Paramètres!$A$1:$I$89,3,0)*0.475*44/12</f>
        <v>8.2188178214704042</v>
      </c>
      <c r="BR66" s="21">
        <f>EXP(-LN(2)/2)*BR65+(1-EXP(-LN(2)/2))/(LN(2)/2)*BL66*BO66*VLOOKUP('Données projet'!$B$11,Paramètres!$A$1:$I$89,3,0)*0.475*44/12</f>
        <v>2.5937140095978344E-4</v>
      </c>
      <c r="BS66" s="22">
        <f t="shared" si="9"/>
        <v>9.9164901492583208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5.6</v>
      </c>
      <c r="BY66" s="12">
        <f>IF('Données projet'!$A$114&gt;35,BY65+BX66-CG65,IF(A66&lt;'Données projet'!$A$114,$BV$205^A66,IF(A66='Données projet'!$A$114,'Données projet'!$B$114,BY65+BX66-CG65)))</f>
        <v>252.80000000000013</v>
      </c>
      <c r="BZ66" s="13">
        <f>BY66*VLOOKUP('Données projet'!$B$12,Paramètres!$A$1:$I$89,3,0)*VLOOKUP('Données projet'!$B$12,Paramètres!$A$1:$I$89,5,0)</f>
        <v>165.63456000000008</v>
      </c>
      <c r="CA66" s="13">
        <f t="shared" si="39"/>
        <v>42.110834874947706</v>
      </c>
      <c r="CB66" s="20">
        <f t="shared" si="10"/>
        <v>361.8232294072007</v>
      </c>
      <c r="CC66" s="59">
        <f t="shared" si="11"/>
        <v>655.15656274053401</v>
      </c>
      <c r="CD66" s="59">
        <f ca="1">AVERAGE(OFFSET($CC$3,0,0,'Données projet'!$E$12+1,1))-AVERAGE(OFFSET($H$3,0,0,'Données projet'!$E$12+1,1))</f>
        <v>185.21927898775016</v>
      </c>
      <c r="CE66" s="59">
        <f t="shared" si="40"/>
        <v>240.82467772396944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0.810086094613087</v>
      </c>
      <c r="CL66" s="21">
        <f>EXP(-LN(2)/25)*CL65+(1-EXP(-LN(2)/25))/(LN(2)/25)*Calculateur!CG66*Calculateur!CI66*VLOOKUP('Données projet'!$B$12,Paramètres!$A$1:$I$89,3,0)*0.475*44/12</f>
        <v>3.2195115507779515</v>
      </c>
      <c r="CM66" s="21">
        <f>EXP(-LN(2)/2)*CM65+(1-EXP(-LN(2)/2))/(LN(2)/2)*CG66*CJ66*VLOOKUP('Données projet'!$B$12,Paramètres!$A$1:$I$89,3,0)*0.475*44/12</f>
        <v>1.510155486953824E-4</v>
      </c>
      <c r="CN66" s="22">
        <f t="shared" si="12"/>
        <v>4.0297486609397337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56.908800000000056</v>
      </c>
      <c r="D67" s="11">
        <f t="shared" si="32"/>
        <v>16.384327014561212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565.77150677906945</v>
      </c>
      <c r="H67" s="67">
        <f t="shared" si="1"/>
        <v>420.98552955036087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-2.2737367544323206E-13</v>
      </c>
      <c r="O67" s="13">
        <f>N67*VLOOKUP('Données projet'!$B$9,Paramètres!$A$1:$I$89,3,0)*VLOOKUP('Données projet'!$B$9,Paramètres!$A$1:$I$89,5,0)</f>
        <v>-1.2710188457276673E-13</v>
      </c>
      <c r="P67" s="13" t="e">
        <f t="shared" si="33"/>
        <v>#NUM!</v>
      </c>
      <c r="Q67" s="20" t="e">
        <f t="shared" ref="Q67:Q98" si="54">(O67+P67)*0.475*44/12</f>
        <v>#NUM!</v>
      </c>
      <c r="R67" s="59" t="e">
        <f t="shared" ref="R67:R130" si="55">Q67+(I67+J67)*44/12</f>
        <v>#NUM!</v>
      </c>
      <c r="S67" s="59">
        <f ca="1">AVERAGE(OFFSET($R$3,0,0,'Données projet'!$E$9+1,1))-AVERAGE(OFFSET($H$3,0,0,'Données projet'!$E$9+1,1))</f>
        <v>255.5374979188561</v>
      </c>
      <c r="T67" s="59">
        <f t="shared" si="34"/>
        <v>343.10418468620901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1.5759233183313732</v>
      </c>
      <c r="AA67" s="21">
        <f>EXP(-LN(2)/25)*AA66+(1-EXP(-LN(2)/25))/(LN(2)/25)*Calculateur!V67*Calculateur!X67*VLOOKUP('Données projet'!$B$9,Paramètres!$A$1:$I$89,3,0)*0.475*44/12</f>
        <v>6.2178342982539663</v>
      </c>
      <c r="AB67" s="21">
        <f>EXP(-LN(2)/2)*AB66+(1-EXP(-LN(2)/2))/(LN(2)/2)*V67*Y67*VLOOKUP('Données projet'!$B$9,Paramètres!$A$1:$I$89,3,0)*0.475*44/12</f>
        <v>1.2913910518295792E-5</v>
      </c>
      <c r="AC67" s="22">
        <f t="shared" si="3"/>
        <v>7.7937705304958582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7.8</v>
      </c>
      <c r="AI67" s="13">
        <f>IF('Données projet'!$A$62&gt;35,AI66+AH67-AQ66,IF(A67&lt;'Données projet'!$A$62,$AF$205^A67,IF(A67='Données projet'!$A$62,'Données projet'!$B$62,AI66+AH67-AQ66)))</f>
        <v>380.19999999999993</v>
      </c>
      <c r="AJ67" s="13">
        <f>AI67*VLOOKUP('Données projet'!$B$10,Paramètres!$A$1:$I$89,3,0)*VLOOKUP('Données projet'!$B$10,Paramètres!$A$1:$I$89,5,0)</f>
        <v>237.24479999999994</v>
      </c>
      <c r="AK67" s="13">
        <f t="shared" si="35"/>
        <v>57.846338010686594</v>
      </c>
      <c r="AL67" s="20">
        <f t="shared" si="4"/>
        <v>513.9503987019458</v>
      </c>
      <c r="AM67" s="59">
        <f t="shared" si="5"/>
        <v>807.28373203527917</v>
      </c>
      <c r="AN67" s="59">
        <f ca="1">AVERAGE(OFFSET($AM$3,0,0,'Données projet'!$E$10+1,1))-AVERAGE(OFFSET($H$3,0,0,'Données projet'!$E$10+1,1))</f>
        <v>255.41017495879987</v>
      </c>
      <c r="AO67" s="59">
        <f t="shared" si="36"/>
        <v>297.50513563712764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4.2554387072673228</v>
      </c>
      <c r="AV67" s="21">
        <f>EXP(-LN(2)/25)*AV66+(1-EXP(-LN(2)/25))/(LN(2)/25)*Calculateur!AQ67*Calculateur!AS67*VLOOKUP('Données projet'!$B$10,Paramètres!$A$1:$I$89,3,0)*0.475*44/12</f>
        <v>10.857606879673176</v>
      </c>
      <c r="AW67" s="21">
        <f>EXP(-LN(2)/2)*AW66+(1-EXP(-LN(2)/2))/(LN(2)/2)*AQ67*AT67*VLOOKUP('Données projet'!$B$10,Paramètres!$A$1:$I$89,3,0)*0.475*44/12</f>
        <v>1.8616631421594147E-4</v>
      </c>
      <c r="AX67" s="21">
        <f t="shared" si="6"/>
        <v>15.113231753254713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4.9000000000000004</v>
      </c>
      <c r="BD67" s="12">
        <f>IF('Données projet'!$A$88&gt;35,BD66+BC67-BL66,IF(A67&lt;'Données projet'!$A$88,$BA$205^A67,IF(A67='Données projet'!$A$88,'Données projet'!$B$88,BD66+BC67-BL66)))</f>
        <v>299.59999999999985</v>
      </c>
      <c r="BE67" s="13">
        <f>BD67*VLOOKUP('Données projet'!$B$11,Paramètres!$A$1:$I$89,3,0)*VLOOKUP('Données projet'!$B$11,Paramètres!$A$1:$I$89,5,0)</f>
        <v>238.36175999999992</v>
      </c>
      <c r="BF67" s="13">
        <f t="shared" si="37"/>
        <v>58.086914779719031</v>
      </c>
      <c r="BG67" s="20">
        <f t="shared" si="7"/>
        <v>516.3147752413438</v>
      </c>
      <c r="BH67" s="59">
        <f t="shared" si="8"/>
        <v>809.64810857467705</v>
      </c>
      <c r="BI67" s="59">
        <f ca="1">AVERAGE(OFFSET($BH$3,0,0,'Données projet'!$E$11+1,1))-AVERAGE(OFFSET($H$3,0,0,'Données projet'!$E$11+1,1))</f>
        <v>260.20517190557814</v>
      </c>
      <c r="BJ67" s="59">
        <f t="shared" si="38"/>
        <v>307.22009971147133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1.6641277236318832</v>
      </c>
      <c r="BQ67" s="21">
        <f>EXP(-LN(2)/25)*BQ66+(1-EXP(-LN(2)/25))/(LN(2)/25)*Calculateur!BL67*Calculateur!BN67*VLOOKUP('Données projet'!$B$11,Paramètres!$A$1:$I$89,3,0)*0.475*44/12</f>
        <v>7.9940738159334508</v>
      </c>
      <c r="BR67" s="21">
        <f>EXP(-LN(2)/2)*BR66+(1-EXP(-LN(2)/2))/(LN(2)/2)*BL67*BO67*VLOOKUP('Données projet'!$B$11,Paramètres!$A$1:$I$89,3,0)*0.475*44/12</f>
        <v>1.8340327646451787E-4</v>
      </c>
      <c r="BS67" s="22">
        <f t="shared" si="9"/>
        <v>9.6583849428417992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5.6</v>
      </c>
      <c r="BY67" s="12">
        <f>IF('Données projet'!$A$114&gt;35,BY66+BX67-CG66,IF(A67&lt;'Données projet'!$A$114,$BV$205^A67,IF(A67='Données projet'!$A$114,'Données projet'!$B$114,BY66+BX67-CG66)))</f>
        <v>258.40000000000015</v>
      </c>
      <c r="BZ67" s="13">
        <f>BY67*VLOOKUP('Données projet'!$B$12,Paramètres!$A$1:$I$89,3,0)*VLOOKUP('Données projet'!$B$12,Paramètres!$A$1:$I$89,5,0)</f>
        <v>169.3036800000001</v>
      </c>
      <c r="CA67" s="13">
        <f t="shared" si="39"/>
        <v>42.934033834973256</v>
      </c>
      <c r="CB67" s="20">
        <f t="shared" si="10"/>
        <v>369.64735159591191</v>
      </c>
      <c r="CC67" s="59">
        <f t="shared" si="11"/>
        <v>662.98068492924517</v>
      </c>
      <c r="CD67" s="59">
        <f ca="1">AVERAGE(OFFSET($CC$3,0,0,'Données projet'!$E$12+1,1))-AVERAGE(OFFSET($H$3,0,0,'Données projet'!$E$12+1,1))</f>
        <v>185.21927898775016</v>
      </c>
      <c r="CE67" s="59">
        <f t="shared" si="40"/>
        <v>240.82467772396944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0.79420080040145336</v>
      </c>
      <c r="CL67" s="21">
        <f>EXP(-LN(2)/25)*CL66+(1-EXP(-LN(2)/25))/(LN(2)/25)*Calculateur!CG67*Calculateur!CI67*VLOOKUP('Données projet'!$B$12,Paramètres!$A$1:$I$89,3,0)*0.475*44/12</f>
        <v>3.1314738381151743</v>
      </c>
      <c r="CM67" s="21">
        <f>EXP(-LN(2)/2)*CM66+(1-EXP(-LN(2)/2))/(LN(2)/2)*CG67*CJ67*VLOOKUP('Données projet'!$B$12,Paramètres!$A$1:$I$89,3,0)*0.475*44/12</f>
        <v>1.0678411854711218E-4</v>
      </c>
      <c r="CN67" s="22">
        <f t="shared" si="12"/>
        <v>3.925781422635175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57.798000000000059</v>
      </c>
      <c r="D68" s="11">
        <f t="shared" si="32"/>
        <v>16.610328609523005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574.38008049456403</v>
      </c>
      <c r="H68" s="67">
        <f t="shared" ref="H68:H131" si="56">(B68+E68+F68)*44/12+(C68+D68)*0.475*44/12</f>
        <v>422.92783899491928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-2.2737367544323206E-13</v>
      </c>
      <c r="O68" s="13">
        <f>N68*VLOOKUP('Données projet'!$B$9,Paramètres!$A$1:$I$89,3,0)*VLOOKUP('Données projet'!$B$9,Paramètres!$A$1:$I$89,5,0)</f>
        <v>-1.2710188457276673E-13</v>
      </c>
      <c r="P68" s="13" t="e">
        <f t="shared" si="33"/>
        <v>#NUM!</v>
      </c>
      <c r="Q68" s="20" t="e">
        <f t="shared" si="54"/>
        <v>#NUM!</v>
      </c>
      <c r="R68" s="59" t="e">
        <f t="shared" si="55"/>
        <v>#NUM!</v>
      </c>
      <c r="S68" s="59">
        <f ca="1">AVERAGE(OFFSET($R$3,0,0,'Données projet'!$E$9+1,1))-AVERAGE(OFFSET($H$3,0,0,'Données projet'!$E$9+1,1))</f>
        <v>255.5374979188561</v>
      </c>
      <c r="T68" s="59">
        <f t="shared" si="34"/>
        <v>343.10418468620901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1.5450204232772067</v>
      </c>
      <c r="AA68" s="21">
        <f>EXP(-LN(2)/25)*AA67+(1-EXP(-LN(2)/25))/(LN(2)/25)*Calculateur!V68*Calculateur!X68*VLOOKUP('Données projet'!$B$9,Paramètres!$A$1:$I$89,3,0)*0.475*44/12</f>
        <v>6.0478072923865165</v>
      </c>
      <c r="AB68" s="21">
        <f>EXP(-LN(2)/2)*AB67+(1-EXP(-LN(2)/2))/(LN(2)/2)*V68*Y68*VLOOKUP('Données projet'!$B$9,Paramètres!$A$1:$I$89,3,0)*0.475*44/12</f>
        <v>9.1315136991232369E-6</v>
      </c>
      <c r="AC68" s="22">
        <f t="shared" ref="AC68:AC131" si="57">SUM(Z68:AB68)</f>
        <v>7.5928368471774226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7.8</v>
      </c>
      <c r="AI68" s="13">
        <f>IF('Données projet'!$A$62&gt;35,AI67+AH68-AQ67,IF(A68&lt;'Données projet'!$A$62,$AF$205^A68,IF(A68='Données projet'!$A$62,'Données projet'!$B$62,AI67+AH68-AQ67)))</f>
        <v>387.99999999999994</v>
      </c>
      <c r="AJ68" s="13">
        <f>AI68*VLOOKUP('Données projet'!$B$10,Paramètres!$A$1:$I$89,3,0)*VLOOKUP('Données projet'!$B$10,Paramètres!$A$1:$I$89,5,0)</f>
        <v>242.11199999999994</v>
      </c>
      <c r="AK68" s="13">
        <f t="shared" si="35"/>
        <v>58.893705600066006</v>
      </c>
      <c r="AL68" s="20">
        <f t="shared" ref="AL68:AL131" si="58">(AJ68+AK68)*0.475*44/12</f>
        <v>524.2516039201148</v>
      </c>
      <c r="AM68" s="59">
        <f t="shared" ref="AM68:AM131" si="59">AL68+(AD68+AE68)*44/12</f>
        <v>817.58493725344806</v>
      </c>
      <c r="AN68" s="59">
        <f ca="1">AVERAGE(OFFSET($AM$3,0,0,'Données projet'!$E$10+1,1))-AVERAGE(OFFSET($H$3,0,0,'Données projet'!$E$10+1,1))</f>
        <v>255.41017495879987</v>
      </c>
      <c r="AO68" s="59">
        <f t="shared" si="36"/>
        <v>297.50513563712764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4.1719921497791317</v>
      </c>
      <c r="AV68" s="21">
        <f>EXP(-LN(2)/25)*AV67+(1-EXP(-LN(2)/25))/(LN(2)/25)*Calculateur!AQ68*Calculateur!AS68*VLOOKUP('Données projet'!$B$10,Paramètres!$A$1:$I$89,3,0)*0.475*44/12</f>
        <v>10.560705048571782</v>
      </c>
      <c r="AW68" s="21">
        <f>EXP(-LN(2)/2)*AW67+(1-EXP(-LN(2)/2))/(LN(2)/2)*AQ68*AT68*VLOOKUP('Données projet'!$B$10,Paramètres!$A$1:$I$89,3,0)*0.475*44/12</f>
        <v>1.3163946321059777E-4</v>
      </c>
      <c r="AX68" s="21">
        <f t="shared" ref="AX68:AX131" si="60">SUM(AU68:AW68)</f>
        <v>14.732828837814123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4.9000000000000004</v>
      </c>
      <c r="BD68" s="12">
        <f>IF('Données projet'!$A$88&gt;35,BD67+BC68-BL67,IF(A68&lt;'Données projet'!$A$88,$BA$205^A68,IF(A68='Données projet'!$A$88,'Données projet'!$B$88,BD67+BC68-BL67)))</f>
        <v>304.49999999999983</v>
      </c>
      <c r="BE68" s="13">
        <f>BD68*VLOOKUP('Données projet'!$B$11,Paramètres!$A$1:$I$89,3,0)*VLOOKUP('Données projet'!$B$11,Paramètres!$A$1:$I$89,5,0)</f>
        <v>242.26019999999986</v>
      </c>
      <c r="BF68" s="13">
        <f t="shared" si="37"/>
        <v>58.925557915516166</v>
      </c>
      <c r="BG68" s="20">
        <f t="shared" ref="BG68:BG131" si="61">(BE68+BF68)*0.475*44/12</f>
        <v>524.5651950361904</v>
      </c>
      <c r="BH68" s="59">
        <f t="shared" ref="BH68:BH131" si="62">BG68+(AY68+AZ68)*44/12</f>
        <v>817.89852836952377</v>
      </c>
      <c r="BI68" s="59">
        <f ca="1">AVERAGE(OFFSET($BH$3,0,0,'Données projet'!$E$11+1,1))-AVERAGE(OFFSET($H$3,0,0,'Données projet'!$E$11+1,1))</f>
        <v>260.20517190557814</v>
      </c>
      <c r="BJ68" s="59">
        <f t="shared" si="38"/>
        <v>307.22009971147133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1.6314951939891487</v>
      </c>
      <c r="BQ68" s="21">
        <f>EXP(-LN(2)/25)*BQ67+(1-EXP(-LN(2)/25))/(LN(2)/25)*Calculateur!BL68*Calculateur!BN68*VLOOKUP('Données projet'!$B$11,Paramètres!$A$1:$I$89,3,0)*0.475*44/12</f>
        <v>7.7754754470466789</v>
      </c>
      <c r="BR68" s="21">
        <f>EXP(-LN(2)/2)*BR67+(1-EXP(-LN(2)/2))/(LN(2)/2)*BL68*BO68*VLOOKUP('Données projet'!$B$11,Paramètres!$A$1:$I$89,3,0)*0.475*44/12</f>
        <v>1.2968570047989172E-4</v>
      </c>
      <c r="BS68" s="22">
        <f t="shared" ref="BS68:BS131" si="63">SUM(BP68:BR68)</f>
        <v>9.4071003267363089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5.6</v>
      </c>
      <c r="BY68" s="12">
        <f>IF('Données projet'!$A$114&gt;35,BY67+BX68-CG67,IF(A68&lt;'Données projet'!$A$114,$BV$205^A68,IF(A68='Données projet'!$A$114,'Données projet'!$B$114,BY67+BX68-CG67)))</f>
        <v>264.00000000000017</v>
      </c>
      <c r="BZ68" s="13">
        <f>BY68*VLOOKUP('Données projet'!$B$12,Paramètres!$A$1:$I$89,3,0)*VLOOKUP('Données projet'!$B$12,Paramètres!$A$1:$I$89,5,0)</f>
        <v>172.97280000000012</v>
      </c>
      <c r="CA68" s="13">
        <f t="shared" si="39"/>
        <v>43.75515863819728</v>
      </c>
      <c r="CB68" s="20">
        <f t="shared" ref="CB68:CB131" si="64">(BZ68+CA68)*0.475*44/12</f>
        <v>377.46786129486048</v>
      </c>
      <c r="CC68" s="59">
        <f t="shared" ref="CC68:CC131" si="65">CB68+(BT68+BU68)*44/12</f>
        <v>670.8011946281938</v>
      </c>
      <c r="CD68" s="59">
        <f ca="1">AVERAGE(OFFSET($CC$3,0,0,'Données projet'!$E$12+1,1))-AVERAGE(OFFSET($H$3,0,0,'Données projet'!$E$12+1,1))</f>
        <v>185.21927898775016</v>
      </c>
      <c r="CE68" s="59">
        <f t="shared" si="40"/>
        <v>240.82467772396944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>
        <f>EXP(-LN(2)/35)*CK67+(1-EXP(-LN(2)/35))/(LN(2)/35)*CG68*CH68*VLOOKUP('Données projet'!$B$12,Paramètres!$A$1:$I$89,3,0)*0.475*44/12</f>
        <v>0.77862700712023714</v>
      </c>
      <c r="CL68" s="21">
        <f>EXP(-LN(2)/25)*CL67+(1-EXP(-LN(2)/25))/(LN(2)/25)*Calculateur!CG68*Calculateur!CI68*VLOOKUP('Données projet'!$B$12,Paramètres!$A$1:$I$89,3,0)*0.475*44/12</f>
        <v>3.0458435213348629</v>
      </c>
      <c r="CM68" s="21">
        <f>EXP(-LN(2)/2)*CM67+(1-EXP(-LN(2)/2))/(LN(2)/2)*CG68*CJ68*VLOOKUP('Données projet'!$B$12,Paramètres!$A$1:$I$89,3,0)*0.475*44/12</f>
        <v>7.55077743476912E-5</v>
      </c>
      <c r="CN68" s="22">
        <f t="shared" ref="CN68:CN131" si="66">SUM(CK68:CM68)</f>
        <v>3.8245460362294477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58.687200000000061</v>
      </c>
      <c r="D69" s="11">
        <f t="shared" ref="D69:D132" si="86">IFERROR(EXP(-1.0587+0.8836*LN(C69)+0.284),0)</f>
        <v>16.835925833077553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582.98553274656399</v>
      </c>
      <c r="H69" s="67">
        <f t="shared" si="56"/>
        <v>424.86944415927678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-2.2737367544323206E-13</v>
      </c>
      <c r="O69" s="13">
        <f>N69*VLOOKUP('Données projet'!$B$9,Paramètres!$A$1:$I$89,3,0)*VLOOKUP('Données projet'!$B$9,Paramètres!$A$1:$I$89,5,0)</f>
        <v>-1.2710188457276673E-13</v>
      </c>
      <c r="P69" s="13" t="e">
        <f t="shared" ref="P69:P132" si="87">EXP(-1.0587+0.8836*LN(O69)+0.284)</f>
        <v>#NUM!</v>
      </c>
      <c r="Q69" s="20" t="e">
        <f t="shared" si="54"/>
        <v>#NUM!</v>
      </c>
      <c r="R69" s="59" t="e">
        <f t="shared" si="55"/>
        <v>#NUM!</v>
      </c>
      <c r="S69" s="59">
        <f ca="1">AVERAGE(OFFSET($R$3,0,0,'Données projet'!$E$9+1,1))-AVERAGE(OFFSET($H$3,0,0,'Données projet'!$E$9+1,1))</f>
        <v>255.5374979188561</v>
      </c>
      <c r="T69" s="59">
        <f t="shared" ref="T69:T132" si="88">$T$3</f>
        <v>343.10418468620901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1.5147235151461476</v>
      </c>
      <c r="AA69" s="21">
        <f>EXP(-LN(2)/25)*AA68+(1-EXP(-LN(2)/25))/(LN(2)/25)*Calculateur!V69*Calculateur!X69*VLOOKUP('Données projet'!$B$9,Paramètres!$A$1:$I$89,3,0)*0.475*44/12</f>
        <v>5.8824296839358441</v>
      </c>
      <c r="AB69" s="21">
        <f>EXP(-LN(2)/2)*AB68+(1-EXP(-LN(2)/2))/(LN(2)/2)*V69*Y69*VLOOKUP('Données projet'!$B$9,Paramètres!$A$1:$I$89,3,0)*0.475*44/12</f>
        <v>6.456955259147896E-6</v>
      </c>
      <c r="AC69" s="22">
        <f t="shared" si="57"/>
        <v>7.3971596560372506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7.8</v>
      </c>
      <c r="AI69" s="13">
        <f>IF('Données projet'!$A$62&gt;35,AI68+AH69-AQ68,IF(A69&lt;'Données projet'!$A$62,$AF$205^A69,IF(A69='Données projet'!$A$62,'Données projet'!$B$62,AI68+AH69-AQ68)))</f>
        <v>395.79999999999995</v>
      </c>
      <c r="AJ69" s="13">
        <f>AI69*VLOOKUP('Données projet'!$B$10,Paramètres!$A$1:$I$89,3,0)*VLOOKUP('Données projet'!$B$10,Paramètres!$A$1:$I$89,5,0)</f>
        <v>246.97919999999999</v>
      </c>
      <c r="AK69" s="13">
        <f t="shared" ref="AK69:AK132" si="89">EXP(-1.0587+0.8836*LN(AJ69)+0.284)</f>
        <v>59.938625040227144</v>
      </c>
      <c r="AL69" s="20">
        <f t="shared" si="58"/>
        <v>534.54854527839552</v>
      </c>
      <c r="AM69" s="59">
        <f t="shared" si="59"/>
        <v>827.88187861172878</v>
      </c>
      <c r="AN69" s="59">
        <f ca="1">AVERAGE(OFFSET($AM$3,0,0,'Données projet'!$E$10+1,1))-AVERAGE(OFFSET($H$3,0,0,'Données projet'!$E$10+1,1))</f>
        <v>255.41017495879987</v>
      </c>
      <c r="AO69" s="59">
        <f t="shared" ref="AO69:AO132" si="90">$AO$3</f>
        <v>297.50513563712764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4.0901819283859098</v>
      </c>
      <c r="AV69" s="21">
        <f>EXP(-LN(2)/25)*AV68+(1-EXP(-LN(2)/25))/(LN(2)/25)*Calculateur!AQ69*Calculateur!AS69*VLOOKUP('Données projet'!$B$10,Paramètres!$A$1:$I$89,3,0)*0.475*44/12</f>
        <v>10.271922013655244</v>
      </c>
      <c r="AW69" s="21">
        <f>EXP(-LN(2)/2)*AW68+(1-EXP(-LN(2)/2))/(LN(2)/2)*AQ69*AT69*VLOOKUP('Données projet'!$B$10,Paramètres!$A$1:$I$89,3,0)*0.475*44/12</f>
        <v>9.3083157107970733E-5</v>
      </c>
      <c r="AX69" s="21">
        <f t="shared" si="60"/>
        <v>14.362197025198261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4.9000000000000004</v>
      </c>
      <c r="BD69" s="12">
        <f>IF('Données projet'!$A$88&gt;35,BD68+BC69-BL68,IF(A69&lt;'Données projet'!$A$88,$BA$205^A69,IF(A69='Données projet'!$A$88,'Données projet'!$B$88,BD68+BC69-BL68)))</f>
        <v>309.39999999999981</v>
      </c>
      <c r="BE69" s="13">
        <f>BD69*VLOOKUP('Données projet'!$B$11,Paramètres!$A$1:$I$89,3,0)*VLOOKUP('Données projet'!$B$11,Paramètres!$A$1:$I$89,5,0)</f>
        <v>246.15863999999985</v>
      </c>
      <c r="BF69" s="13">
        <f t="shared" ref="BF69:BF132" si="91">EXP(-1.0587+0.8836*LN(BE69)+0.284)</f>
        <v>59.762631584626781</v>
      </c>
      <c r="BG69" s="20">
        <f t="shared" si="61"/>
        <v>532.8128813432246</v>
      </c>
      <c r="BH69" s="59">
        <f t="shared" si="62"/>
        <v>826.14621467655797</v>
      </c>
      <c r="BI69" s="59">
        <f ca="1">AVERAGE(OFFSET($BH$3,0,0,'Données projet'!$E$11+1,1))-AVERAGE(OFFSET($H$3,0,0,'Données projet'!$E$11+1,1))</f>
        <v>260.20517190557814</v>
      </c>
      <c r="BJ69" s="59">
        <f t="shared" ref="BJ69:BJ132" si="92">$BJ$3</f>
        <v>307.22009971147133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1.5995025683488304</v>
      </c>
      <c r="BQ69" s="21">
        <f>EXP(-LN(2)/25)*BQ68+(1-EXP(-LN(2)/25))/(LN(2)/25)*Calculateur!BL69*Calculateur!BN69*VLOOKUP('Données projet'!$B$11,Paramètres!$A$1:$I$89,3,0)*0.475*44/12</f>
        <v>7.5628546620527048</v>
      </c>
      <c r="BR69" s="21">
        <f>EXP(-LN(2)/2)*BR68+(1-EXP(-LN(2)/2))/(LN(2)/2)*BL69*BO69*VLOOKUP('Données projet'!$B$11,Paramètres!$A$1:$I$89,3,0)*0.475*44/12</f>
        <v>9.1701638232258935E-5</v>
      </c>
      <c r="BS69" s="22">
        <f t="shared" si="63"/>
        <v>9.1624489320397693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5.6</v>
      </c>
      <c r="BY69" s="12">
        <f>IF('Données projet'!$A$114&gt;35,BY68+BX69-CG68,IF(A69&lt;'Données projet'!$A$114,$BV$205^A69,IF(A69='Données projet'!$A$114,'Données projet'!$B$114,BY68+BX69-CG68)))</f>
        <v>269.60000000000019</v>
      </c>
      <c r="BZ69" s="13">
        <f>BY69*VLOOKUP('Données projet'!$B$12,Paramètres!$A$1:$I$89,3,0)*VLOOKUP('Données projet'!$B$12,Paramètres!$A$1:$I$89,5,0)</f>
        <v>176.64192000000011</v>
      </c>
      <c r="CA69" s="13">
        <f t="shared" ref="CA69:CA132" si="93">EXP(-1.0587+0.8836*LN(BZ69)+0.284)</f>
        <v>44.574258350008236</v>
      </c>
      <c r="CB69" s="20">
        <f t="shared" si="64"/>
        <v>385.28484395959794</v>
      </c>
      <c r="CC69" s="59">
        <f t="shared" si="65"/>
        <v>678.61817729293125</v>
      </c>
      <c r="CD69" s="59">
        <f ca="1">AVERAGE(OFFSET($CC$3,0,0,'Données projet'!$E$12+1,1))-AVERAGE(OFFSET($H$3,0,0,'Données projet'!$E$12+1,1))</f>
        <v>185.21927898775016</v>
      </c>
      <c r="CE69" s="59">
        <f t="shared" ref="CE69:CE132" si="94">$CE$3</f>
        <v>240.82467772396944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0.76335860642618958</v>
      </c>
      <c r="CL69" s="21">
        <f>EXP(-LN(2)/25)*CL68+(1-EXP(-LN(2)/25))/(LN(2)/25)*Calculateur!CG69*Calculateur!CI69*VLOOKUP('Données projet'!$B$12,Paramètres!$A$1:$I$89,3,0)*0.475*44/12</f>
        <v>2.9625547700700117</v>
      </c>
      <c r="CM69" s="21">
        <f>EXP(-LN(2)/2)*CM68+(1-EXP(-LN(2)/2))/(LN(2)/2)*CG69*CJ69*VLOOKUP('Données projet'!$B$12,Paramètres!$A$1:$I$89,3,0)*0.475*44/12</f>
        <v>5.3392059273556088E-5</v>
      </c>
      <c r="CN69" s="22">
        <f t="shared" si="66"/>
        <v>3.7259667685554745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59.576400000000064</v>
      </c>
      <c r="D70" s="11">
        <f t="shared" si="86"/>
        <v>17.061125519726964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591.58791629262976</v>
      </c>
      <c r="H70" s="67">
        <f t="shared" si="56"/>
        <v>426.81035694685789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-2.2737367544323206E-13</v>
      </c>
      <c r="O70" s="13">
        <f>N70*VLOOKUP('Données projet'!$B$9,Paramètres!$A$1:$I$89,3,0)*VLOOKUP('Données projet'!$B$9,Paramètres!$A$1:$I$89,5,0)</f>
        <v>-1.2710188457276673E-13</v>
      </c>
      <c r="P70" s="13" t="e">
        <f t="shared" si="87"/>
        <v>#NUM!</v>
      </c>
      <c r="Q70" s="20" t="e">
        <f t="shared" si="54"/>
        <v>#NUM!</v>
      </c>
      <c r="R70" s="59" t="e">
        <f t="shared" si="55"/>
        <v>#NUM!</v>
      </c>
      <c r="S70" s="59">
        <f ca="1">AVERAGE(OFFSET($R$3,0,0,'Données projet'!$E$9+1,1))-AVERAGE(OFFSET($H$3,0,0,'Données projet'!$E$9+1,1))</f>
        <v>255.5374979188561</v>
      </c>
      <c r="T70" s="59">
        <f t="shared" si="88"/>
        <v>343.10418468620901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1.4850207109042493</v>
      </c>
      <c r="AA70" s="21">
        <f>EXP(-LN(2)/25)*AA69+(1-EXP(-LN(2)/25))/(LN(2)/25)*Calculateur!V70*Calculateur!X70*VLOOKUP('Données projet'!$B$9,Paramètres!$A$1:$I$89,3,0)*0.475*44/12</f>
        <v>5.7215743348850863</v>
      </c>
      <c r="AB70" s="21">
        <f>EXP(-LN(2)/2)*AB69+(1-EXP(-LN(2)/2))/(LN(2)/2)*V70*Y70*VLOOKUP('Données projet'!$B$9,Paramètres!$A$1:$I$89,3,0)*0.475*44/12</f>
        <v>4.5657568495616185E-6</v>
      </c>
      <c r="AC70" s="22">
        <f t="shared" si="57"/>
        <v>7.206599611546185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7.8</v>
      </c>
      <c r="AI70" s="13">
        <f>IF('Données projet'!$A$62&gt;35,AI69+AH70-AQ69,IF(A70&lt;'Données projet'!$A$62,$AF$205^A70,IF(A70='Données projet'!$A$62,'Données projet'!$B$62,AI69+AH70-AQ69)))</f>
        <v>403.59999999999997</v>
      </c>
      <c r="AJ70" s="13">
        <f>AI70*VLOOKUP('Données projet'!$B$10,Paramètres!$A$1:$I$89,3,0)*VLOOKUP('Données projet'!$B$10,Paramètres!$A$1:$I$89,5,0)</f>
        <v>251.84639999999999</v>
      </c>
      <c r="AK70" s="13">
        <f t="shared" si="89"/>
        <v>60.981150137731454</v>
      </c>
      <c r="AL70" s="20">
        <f t="shared" si="58"/>
        <v>544.84131648988216</v>
      </c>
      <c r="AM70" s="59">
        <f t="shared" si="59"/>
        <v>838.17464982321553</v>
      </c>
      <c r="AN70" s="59">
        <f ca="1">AVERAGE(OFFSET($AM$3,0,0,'Données projet'!$E$10+1,1))-AVERAGE(OFFSET($H$3,0,0,'Données projet'!$E$10+1,1))</f>
        <v>255.41017495879987</v>
      </c>
      <c r="AO70" s="59">
        <f t="shared" si="90"/>
        <v>297.50513563712764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4.0099759555349008</v>
      </c>
      <c r="AV70" s="21">
        <f>EXP(-LN(2)/25)*AV69+(1-EXP(-LN(2)/25))/(LN(2)/25)*Calculateur!AQ70*Calculateur!AS70*VLOOKUP('Données projet'!$B$10,Paramètres!$A$1:$I$89,3,0)*0.475*44/12</f>
        <v>9.9910357660149387</v>
      </c>
      <c r="AW70" s="21">
        <f>EXP(-LN(2)/2)*AW69+(1-EXP(-LN(2)/2))/(LN(2)/2)*AQ70*AT70*VLOOKUP('Données projet'!$B$10,Paramètres!$A$1:$I$89,3,0)*0.475*44/12</f>
        <v>6.5819731605298886E-5</v>
      </c>
      <c r="AX70" s="21">
        <f t="shared" si="60"/>
        <v>14.001077541281445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4.9000000000000004</v>
      </c>
      <c r="BD70" s="12">
        <f>IF('Données projet'!$A$88&gt;35,BD69+BC70-BL69,IF(A70&lt;'Données projet'!$A$88,$BA$205^A70,IF(A70='Données projet'!$A$88,'Données projet'!$B$88,BD69+BC70-BL69)))</f>
        <v>314.29999999999978</v>
      </c>
      <c r="BE70" s="13">
        <f>BD70*VLOOKUP('Données projet'!$B$11,Paramètres!$A$1:$I$89,3,0)*VLOOKUP('Données projet'!$B$11,Paramètres!$A$1:$I$89,5,0)</f>
        <v>250.05707999999984</v>
      </c>
      <c r="BF70" s="13">
        <f t="shared" si="91"/>
        <v>60.598163512847748</v>
      </c>
      <c r="BG70" s="20">
        <f t="shared" si="61"/>
        <v>541.05788245154292</v>
      </c>
      <c r="BH70" s="59">
        <f t="shared" si="62"/>
        <v>834.39121578487629</v>
      </c>
      <c r="BI70" s="59">
        <f ca="1">AVERAGE(OFFSET($BH$3,0,0,'Données projet'!$E$11+1,1))-AVERAGE(OFFSET($H$3,0,0,'Données projet'!$E$11+1,1))</f>
        <v>260.20517190557814</v>
      </c>
      <c r="BJ70" s="59">
        <f t="shared" si="92"/>
        <v>307.22009971147133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1.5681372985837441</v>
      </c>
      <c r="BQ70" s="21">
        <f>EXP(-LN(2)/25)*BQ69+(1-EXP(-LN(2)/25))/(LN(2)/25)*Calculateur!BL70*Calculateur!BN70*VLOOKUP('Données projet'!$B$11,Paramètres!$A$1:$I$89,3,0)*0.475*44/12</f>
        <v>7.3560480036056317</v>
      </c>
      <c r="BR70" s="21">
        <f>EXP(-LN(2)/2)*BR69+(1-EXP(-LN(2)/2))/(LN(2)/2)*BL70*BO70*VLOOKUP('Données projet'!$B$11,Paramètres!$A$1:$I$89,3,0)*0.475*44/12</f>
        <v>6.4842850239945859E-5</v>
      </c>
      <c r="BS70" s="22">
        <f t="shared" si="63"/>
        <v>8.9242501450396148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5.6</v>
      </c>
      <c r="BY70" s="12">
        <f>IF('Données projet'!$A$114&gt;35,BY69+BX70-CG69,IF(A70&lt;'Données projet'!$A$114,$BV$205^A70,IF(A70='Données projet'!$A$114,'Données projet'!$B$114,BY69+BX70-CG69)))</f>
        <v>275.20000000000022</v>
      </c>
      <c r="BZ70" s="13">
        <f>BY70*VLOOKUP('Données projet'!$B$12,Paramètres!$A$1:$I$89,3,0)*VLOOKUP('Données projet'!$B$12,Paramètres!$A$1:$I$89,5,0)</f>
        <v>180.31104000000013</v>
      </c>
      <c r="CA70" s="13">
        <f t="shared" si="93"/>
        <v>45.391379880979613</v>
      </c>
      <c r="CB70" s="20">
        <f t="shared" si="64"/>
        <v>393.09838129270634</v>
      </c>
      <c r="CC70" s="59">
        <f t="shared" si="65"/>
        <v>686.43171462603959</v>
      </c>
      <c r="CD70" s="59">
        <f ca="1">AVERAGE(OFFSET($CC$3,0,0,'Données projet'!$E$12+1,1))-AVERAGE(OFFSET($H$3,0,0,'Données projet'!$E$12+1,1))</f>
        <v>185.21927898775016</v>
      </c>
      <c r="CE70" s="59">
        <f t="shared" si="94"/>
        <v>240.82467772396944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0.74838960975694746</v>
      </c>
      <c r="CL70" s="21">
        <f>EXP(-LN(2)/25)*CL69+(1-EXP(-LN(2)/25))/(LN(2)/25)*Calculateur!CG70*Calculateur!CI70*VLOOKUP('Données projet'!$B$12,Paramètres!$A$1:$I$89,3,0)*0.475*44/12</f>
        <v>2.8815435540884629</v>
      </c>
      <c r="CM70" s="21">
        <f>EXP(-LN(2)/2)*CM69+(1-EXP(-LN(2)/2))/(LN(2)/2)*CG70*CJ70*VLOOKUP('Données projet'!$B$12,Paramètres!$A$1:$I$89,3,0)*0.475*44/12</f>
        <v>3.77538871738456E-5</v>
      </c>
      <c r="CN70" s="22">
        <f t="shared" si="66"/>
        <v>3.6299709177325843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60.465600000000066</v>
      </c>
      <c r="D71" s="11">
        <f t="shared" si="86"/>
        <v>17.285934288248221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600.18728222507445</v>
      </c>
      <c r="H71" s="67">
        <f t="shared" si="56"/>
        <v>428.75058888536569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-2.2737367544323206E-13</v>
      </c>
      <c r="O71" s="13">
        <f>N71*VLOOKUP('Données projet'!$B$9,Paramètres!$A$1:$I$89,3,0)*VLOOKUP('Données projet'!$B$9,Paramètres!$A$1:$I$89,5,0)</f>
        <v>-1.2710188457276673E-13</v>
      </c>
      <c r="P71" s="13" t="e">
        <f t="shared" si="87"/>
        <v>#NUM!</v>
      </c>
      <c r="Q71" s="20" t="e">
        <f t="shared" si="54"/>
        <v>#NUM!</v>
      </c>
      <c r="R71" s="59" t="e">
        <f t="shared" si="55"/>
        <v>#NUM!</v>
      </c>
      <c r="S71" s="59">
        <f ca="1">AVERAGE(OFFSET($R$3,0,0,'Données projet'!$E$9+1,1))-AVERAGE(OFFSET($H$3,0,0,'Données projet'!$E$9+1,1))</f>
        <v>255.5374979188561</v>
      </c>
      <c r="T71" s="59">
        <f t="shared" si="88"/>
        <v>343.10418468620901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1.455900360536613</v>
      </c>
      <c r="AA71" s="21">
        <f>EXP(-LN(2)/25)*AA70+(1-EXP(-LN(2)/25))/(LN(2)/25)*Calculateur!V71*Calculateur!X71*VLOOKUP('Données projet'!$B$9,Paramètres!$A$1:$I$89,3,0)*0.475*44/12</f>
        <v>5.5651175838131364</v>
      </c>
      <c r="AB71" s="21">
        <f>EXP(-LN(2)/2)*AB70+(1-EXP(-LN(2)/2))/(LN(2)/2)*V71*Y71*VLOOKUP('Données projet'!$B$9,Paramètres!$A$1:$I$89,3,0)*0.475*44/12</f>
        <v>3.228477629573948E-6</v>
      </c>
      <c r="AC71" s="22">
        <f t="shared" si="57"/>
        <v>7.0210211728273784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7.8</v>
      </c>
      <c r="AI71" s="13">
        <f>IF('Données projet'!$A$62&gt;35,AI70+AH71-AQ70,IF(A71&lt;'Données projet'!$A$62,$AF$205^A71,IF(A71='Données projet'!$A$62,'Données projet'!$B$62,AI70+AH71-AQ70)))</f>
        <v>411.4</v>
      </c>
      <c r="AJ71" s="13">
        <f>AI71*VLOOKUP('Données projet'!$B$10,Paramètres!$A$1:$I$89,3,0)*VLOOKUP('Données projet'!$B$10,Paramètres!$A$1:$I$89,5,0)</f>
        <v>256.71359999999999</v>
      </c>
      <c r="AK71" s="13">
        <f t="shared" si="89"/>
        <v>62.021332500424947</v>
      </c>
      <c r="AL71" s="20">
        <f t="shared" si="58"/>
        <v>555.13000743824</v>
      </c>
      <c r="AM71" s="59">
        <f t="shared" si="59"/>
        <v>848.46334077157326</v>
      </c>
      <c r="AN71" s="59">
        <f ca="1">AVERAGE(OFFSET($AM$3,0,0,'Données projet'!$E$10+1,1))-AVERAGE(OFFSET($H$3,0,0,'Données projet'!$E$10+1,1))</f>
        <v>255.41017495879987</v>
      </c>
      <c r="AO71" s="59">
        <f t="shared" si="90"/>
        <v>297.50513563712764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3.9313427728906873</v>
      </c>
      <c r="AV71" s="21">
        <f>EXP(-LN(2)/25)*AV70+(1-EXP(-LN(2)/25))/(LN(2)/25)*Calculateur!AQ71*Calculateur!AS71*VLOOKUP('Données projet'!$B$10,Paramètres!$A$1:$I$89,3,0)*0.475*44/12</f>
        <v>9.7178303675875242</v>
      </c>
      <c r="AW71" s="21">
        <f>EXP(-LN(2)/2)*AW70+(1-EXP(-LN(2)/2))/(LN(2)/2)*AQ71*AT71*VLOOKUP('Données projet'!$B$10,Paramètres!$A$1:$I$89,3,0)*0.475*44/12</f>
        <v>4.6541578553985367E-5</v>
      </c>
      <c r="AX71" s="21">
        <f t="shared" si="60"/>
        <v>13.649219682056765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4.9000000000000004</v>
      </c>
      <c r="BD71" s="12">
        <f>IF('Données projet'!$A$88&gt;35,BD70+BC71-BL70,IF(A71&lt;'Données projet'!$A$88,$BA$205^A71,IF(A71='Données projet'!$A$88,'Données projet'!$B$88,BD70+BC71-BL70)))</f>
        <v>319.19999999999976</v>
      </c>
      <c r="BE71" s="13">
        <f>BD71*VLOOKUP('Données projet'!$B$11,Paramètres!$A$1:$I$89,3,0)*VLOOKUP('Données projet'!$B$11,Paramètres!$A$1:$I$89,5,0)</f>
        <v>253.95551999999984</v>
      </c>
      <c r="BF71" s="13">
        <f t="shared" si="91"/>
        <v>61.432180511879196</v>
      </c>
      <c r="BG71" s="20">
        <f t="shared" si="61"/>
        <v>549.30024505818926</v>
      </c>
      <c r="BH71" s="59">
        <f t="shared" si="62"/>
        <v>842.63357839152263</v>
      </c>
      <c r="BI71" s="59">
        <f ca="1">AVERAGE(OFFSET($BH$3,0,0,'Données projet'!$E$11+1,1))-AVERAGE(OFFSET($H$3,0,0,'Données projet'!$E$11+1,1))</f>
        <v>260.20517190557814</v>
      </c>
      <c r="BJ71" s="59">
        <f t="shared" si="92"/>
        <v>307.22009971147133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1.5373870826278255</v>
      </c>
      <c r="BQ71" s="21">
        <f>EXP(-LN(2)/25)*BQ70+(1-EXP(-LN(2)/25))/(LN(2)/25)*Calculateur!BL71*Calculateur!BN71*VLOOKUP('Données projet'!$B$11,Paramètres!$A$1:$I$89,3,0)*0.475*44/12</f>
        <v>7.1548964841092833</v>
      </c>
      <c r="BR71" s="21">
        <f>EXP(-LN(2)/2)*BR70+(1-EXP(-LN(2)/2))/(LN(2)/2)*BL71*BO71*VLOOKUP('Données projet'!$B$11,Paramètres!$A$1:$I$89,3,0)*0.475*44/12</f>
        <v>4.5850819116129467E-5</v>
      </c>
      <c r="BS71" s="22">
        <f t="shared" si="63"/>
        <v>8.6923294175562251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5.6</v>
      </c>
      <c r="BY71" s="12">
        <f>IF('Données projet'!$A$114&gt;35,BY70+BX71-CG70,IF(A71&lt;'Données projet'!$A$114,$BV$205^A71,IF(A71='Données projet'!$A$114,'Données projet'!$B$114,BY70+BX71-CG70)))</f>
        <v>280.80000000000024</v>
      </c>
      <c r="BZ71" s="13">
        <f>BY71*VLOOKUP('Données projet'!$B$12,Paramètres!$A$1:$I$89,3,0)*VLOOKUP('Données projet'!$B$12,Paramètres!$A$1:$I$89,5,0)</f>
        <v>183.98016000000015</v>
      </c>
      <c r="CA71" s="13">
        <f t="shared" si="93"/>
        <v>46.206568123393801</v>
      </c>
      <c r="CB71" s="20">
        <f t="shared" si="64"/>
        <v>400.90855148157783</v>
      </c>
      <c r="CC71" s="59">
        <f t="shared" si="65"/>
        <v>694.24188481491115</v>
      </c>
      <c r="CD71" s="59">
        <f ca="1">AVERAGE(OFFSET($CC$3,0,0,'Données projet'!$E$12+1,1))-AVERAGE(OFFSET($H$3,0,0,'Données projet'!$E$12+1,1))</f>
        <v>185.21927898775016</v>
      </c>
      <c r="CE71" s="59">
        <f t="shared" si="94"/>
        <v>240.82467772396944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0.73371414598220275</v>
      </c>
      <c r="CL71" s="21">
        <f>EXP(-LN(2)/25)*CL70+(1-EXP(-LN(2)/25))/(LN(2)/25)*Calculateur!CG71*Calculateur!CI71*VLOOKUP('Données projet'!$B$12,Paramètres!$A$1:$I$89,3,0)*0.475*44/12</f>
        <v>2.8027475940681241</v>
      </c>
      <c r="CM71" s="21">
        <f>EXP(-LN(2)/2)*CM70+(1-EXP(-LN(2)/2))/(LN(2)/2)*CG71*CJ71*VLOOKUP('Données projet'!$B$12,Paramètres!$A$1:$I$89,3,0)*0.475*44/12</f>
        <v>2.6696029636778044E-5</v>
      </c>
      <c r="CN71" s="22">
        <f t="shared" si="66"/>
        <v>3.5364884360799635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61.354800000000068</v>
      </c>
      <c r="D72" s="11">
        <f t="shared" si="86"/>
        <v>17.510358551572637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608.7836800472279</v>
      </c>
      <c r="H72" s="67">
        <f t="shared" si="56"/>
        <v>430.69015114398906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-2.2737367544323206E-13</v>
      </c>
      <c r="O72" s="13">
        <f>N72*VLOOKUP('Données projet'!$B$9,Paramètres!$A$1:$I$89,3,0)*VLOOKUP('Données projet'!$B$9,Paramètres!$A$1:$I$89,5,0)</f>
        <v>-1.2710188457276673E-13</v>
      </c>
      <c r="P72" s="13" t="e">
        <f t="shared" si="87"/>
        <v>#NUM!</v>
      </c>
      <c r="Q72" s="20" t="e">
        <f t="shared" si="54"/>
        <v>#NUM!</v>
      </c>
      <c r="R72" s="59" t="e">
        <f t="shared" si="55"/>
        <v>#NUM!</v>
      </c>
      <c r="S72" s="59">
        <f ca="1">AVERAGE(OFFSET($R$3,0,0,'Données projet'!$E$9+1,1))-AVERAGE(OFFSET($H$3,0,0,'Données projet'!$E$9+1,1))</f>
        <v>255.5374979188561</v>
      </c>
      <c r="T72" s="59">
        <f t="shared" si="88"/>
        <v>343.10418468620901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1.427351042478026</v>
      </c>
      <c r="AA72" s="21">
        <f>EXP(-LN(2)/25)*AA71+(1-EXP(-LN(2)/25))/(LN(2)/25)*Calculateur!V72*Calculateur!X72*VLOOKUP('Données projet'!$B$9,Paramètres!$A$1:$I$89,3,0)*0.475*44/12</f>
        <v>5.4129391508269515</v>
      </c>
      <c r="AB72" s="21">
        <f>EXP(-LN(2)/2)*AB71+(1-EXP(-LN(2)/2))/(LN(2)/2)*V72*Y72*VLOOKUP('Données projet'!$B$9,Paramètres!$A$1:$I$89,3,0)*0.475*44/12</f>
        <v>2.2828784247808092E-6</v>
      </c>
      <c r="AC72" s="22">
        <f t="shared" si="57"/>
        <v>6.8402924761834027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7.8</v>
      </c>
      <c r="AI72" s="13">
        <f>IF('Données projet'!$A$62&gt;35,AI71+AH72-AQ71,IF(A72&lt;'Données projet'!$A$62,$AF$205^A72,IF(A72='Données projet'!$A$62,'Données projet'!$B$62,AI71+AH72-AQ71)))</f>
        <v>419.2</v>
      </c>
      <c r="AJ72" s="13">
        <f>AI72*VLOOKUP('Données projet'!$B$10,Paramètres!$A$1:$I$89,3,0)*VLOOKUP('Données projet'!$B$10,Paramètres!$A$1:$I$89,5,0)</f>
        <v>261.58080000000001</v>
      </c>
      <c r="AK72" s="13">
        <f t="shared" si="89"/>
        <v>63.05922166723839</v>
      </c>
      <c r="AL72" s="20">
        <f t="shared" si="58"/>
        <v>565.4147044037735</v>
      </c>
      <c r="AM72" s="59">
        <f t="shared" si="59"/>
        <v>858.74803773710687</v>
      </c>
      <c r="AN72" s="59">
        <f ca="1">AVERAGE(OFFSET($AM$3,0,0,'Données projet'!$E$10+1,1))-AVERAGE(OFFSET($H$3,0,0,'Données projet'!$E$10+1,1))</f>
        <v>255.41017495879987</v>
      </c>
      <c r="AO72" s="59">
        <f t="shared" si="90"/>
        <v>297.50513563712764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3.8542515389966212</v>
      </c>
      <c r="AV72" s="21">
        <f>EXP(-LN(2)/25)*AV71+(1-EXP(-LN(2)/25))/(LN(2)/25)*Calculateur!AQ72*Calculateur!AS72*VLOOKUP('Données projet'!$B$10,Paramètres!$A$1:$I$89,3,0)*0.475*44/12</f>
        <v>9.452095785147355</v>
      </c>
      <c r="AW72" s="21">
        <f>EXP(-LN(2)/2)*AW71+(1-EXP(-LN(2)/2))/(LN(2)/2)*AQ72*AT72*VLOOKUP('Données projet'!$B$10,Paramètres!$A$1:$I$89,3,0)*0.475*44/12</f>
        <v>3.2909865802649443E-5</v>
      </c>
      <c r="AX72" s="21">
        <f t="shared" si="60"/>
        <v>13.306380234009779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4.9000000000000004</v>
      </c>
      <c r="BD72" s="12">
        <f>IF('Données projet'!$A$88&gt;35,BD71+BC72-BL71,IF(A72&lt;'Données projet'!$A$88,$BA$205^A72,IF(A72='Données projet'!$A$88,'Données projet'!$B$88,BD71+BC72-BL71)))</f>
        <v>324.09999999999974</v>
      </c>
      <c r="BE72" s="13">
        <f>BD72*VLOOKUP('Données projet'!$B$11,Paramètres!$A$1:$I$89,3,0)*VLOOKUP('Données projet'!$B$11,Paramètres!$A$1:$I$89,5,0)</f>
        <v>257.8539599999998</v>
      </c>
      <c r="BF72" s="13">
        <f t="shared" si="91"/>
        <v>62.26470852302274</v>
      </c>
      <c r="BG72" s="20">
        <f t="shared" si="61"/>
        <v>557.54001434426425</v>
      </c>
      <c r="BH72" s="59">
        <f t="shared" si="62"/>
        <v>850.87334767759762</v>
      </c>
      <c r="BI72" s="59">
        <f ca="1">AVERAGE(OFFSET($BH$3,0,0,'Données projet'!$E$11+1,1))-AVERAGE(OFFSET($H$3,0,0,'Données projet'!$E$11+1,1))</f>
        <v>260.20517190557814</v>
      </c>
      <c r="BJ72" s="59">
        <f t="shared" si="92"/>
        <v>307.22009971147133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1.5072398596510228</v>
      </c>
      <c r="BQ72" s="21">
        <f>EXP(-LN(2)/25)*BQ71+(1-EXP(-LN(2)/25))/(LN(2)/25)*Calculateur!BL72*Calculateur!BN72*VLOOKUP('Données projet'!$B$11,Paramètres!$A$1:$I$89,3,0)*0.475*44/12</f>
        <v>6.9592454634916612</v>
      </c>
      <c r="BR72" s="21">
        <f>EXP(-LN(2)/2)*BR71+(1-EXP(-LN(2)/2))/(LN(2)/2)*BL72*BO72*VLOOKUP('Données projet'!$B$11,Paramètres!$A$1:$I$89,3,0)*0.475*44/12</f>
        <v>3.2421425119972929E-5</v>
      </c>
      <c r="BS72" s="22">
        <f t="shared" si="63"/>
        <v>8.4665177445678044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5.6</v>
      </c>
      <c r="BY72" s="12">
        <f>IF('Données projet'!$A$114&gt;35,BY71+BX72-CG71,IF(A72&lt;'Données projet'!$A$114,$BV$205^A72,IF(A72='Données projet'!$A$114,'Données projet'!$B$114,BY71+BX72-CG71)))</f>
        <v>286.40000000000026</v>
      </c>
      <c r="BZ72" s="13">
        <f>BY72*VLOOKUP('Données projet'!$B$12,Paramètres!$A$1:$I$89,3,0)*VLOOKUP('Données projet'!$B$12,Paramètres!$A$1:$I$89,5,0)</f>
        <v>187.64928000000018</v>
      </c>
      <c r="CA72" s="13">
        <f t="shared" si="93"/>
        <v>47.019866076567546</v>
      </c>
      <c r="CB72" s="20">
        <f t="shared" si="64"/>
        <v>408.71542941668878</v>
      </c>
      <c r="CC72" s="59">
        <f t="shared" si="65"/>
        <v>702.04876275002209</v>
      </c>
      <c r="CD72" s="59">
        <f ca="1">AVERAGE(OFFSET($CC$3,0,0,'Données projet'!$E$12+1,1))-AVERAGE(OFFSET($H$3,0,0,'Données projet'!$E$12+1,1))</f>
        <v>185.21927898775016</v>
      </c>
      <c r="CE72" s="59">
        <f t="shared" si="94"/>
        <v>240.82467772396944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0.71932645910093174</v>
      </c>
      <c r="CL72" s="21">
        <f>EXP(-LN(2)/25)*CL71+(1-EXP(-LN(2)/25))/(LN(2)/25)*Calculateur!CG72*Calculateur!CI72*VLOOKUP('Données projet'!$B$12,Paramètres!$A$1:$I$89,3,0)*0.475*44/12</f>
        <v>2.7261063137182409</v>
      </c>
      <c r="CM72" s="21">
        <f>EXP(-LN(2)/2)*CM71+(1-EXP(-LN(2)/2))/(LN(2)/2)*CG72*CJ72*VLOOKUP('Données projet'!$B$12,Paramètres!$A$1:$I$89,3,0)*0.475*44/12</f>
        <v>1.88769435869228E-5</v>
      </c>
      <c r="CN72" s="22">
        <f t="shared" si="66"/>
        <v>3.4454516497627594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62.244000000000071</v>
      </c>
      <c r="D73" s="11">
        <f t="shared" si="86"/>
        <v>17.734404526076464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617.3771577451522</v>
      </c>
      <c r="H73" s="67">
        <f t="shared" si="56"/>
        <v>432.62905454958332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-2.2737367544323206E-13</v>
      </c>
      <c r="O73" s="13">
        <f>N73*VLOOKUP('Données projet'!$B$9,Paramètres!$A$1:$I$89,3,0)*VLOOKUP('Données projet'!$B$9,Paramètres!$A$1:$I$89,5,0)</f>
        <v>-1.2710188457276673E-13</v>
      </c>
      <c r="P73" s="13" t="e">
        <f t="shared" si="87"/>
        <v>#NUM!</v>
      </c>
      <c r="Q73" s="20" t="e">
        <f t="shared" si="54"/>
        <v>#NUM!</v>
      </c>
      <c r="R73" s="59" t="e">
        <f t="shared" si="55"/>
        <v>#NUM!</v>
      </c>
      <c r="S73" s="59">
        <f ca="1">AVERAGE(OFFSET($R$3,0,0,'Données projet'!$E$9+1,1))-AVERAGE(OFFSET($H$3,0,0,'Données projet'!$E$9+1,1))</f>
        <v>255.5374979188561</v>
      </c>
      <c r="T73" s="59">
        <f t="shared" si="88"/>
        <v>343.10418468620901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1.3993615591332034</v>
      </c>
      <c r="AA73" s="21">
        <f>EXP(-LN(2)/25)*AA72+(1-EXP(-LN(2)/25))/(LN(2)/25)*Calculateur!V73*Calculateur!X73*VLOOKUP('Données projet'!$B$9,Paramètres!$A$1:$I$89,3,0)*0.475*44/12</f>
        <v>5.2649220450934902</v>
      </c>
      <c r="AB73" s="21">
        <f>EXP(-LN(2)/2)*AB72+(1-EXP(-LN(2)/2))/(LN(2)/2)*V73*Y73*VLOOKUP('Données projet'!$B$9,Paramètres!$A$1:$I$89,3,0)*0.475*44/12</f>
        <v>1.614238814786974E-6</v>
      </c>
      <c r="AC73" s="22">
        <f t="shared" si="57"/>
        <v>6.6642852184655084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>
        <f>VLOOKUP(A73,'Données projet'!$A$61:$I$81,2,0)</f>
        <v>427</v>
      </c>
      <c r="AG73" s="12">
        <f>VLOOKUP(A73,'Données projet'!$A$61:$I$81,9,0)</f>
        <v>7.8</v>
      </c>
      <c r="AH73" s="12">
        <f t="array" ref="AH73">INDEX(AG:AG,MIN(IF(ISNUMBER(AG73:AG269),ROW(AG73:AG269),"")))</f>
        <v>7.8</v>
      </c>
      <c r="AI73" s="13">
        <f>IF('Données projet'!$A$62&gt;35,AI72+AH73-AQ72,IF(A73&lt;'Données projet'!$A$62,$AF$205^A73,IF(A73='Données projet'!$A$62,'Données projet'!$B$62,AI72+AH73-AQ72)))</f>
        <v>427</v>
      </c>
      <c r="AJ73" s="13">
        <f>AI73*VLOOKUP('Données projet'!$B$10,Paramètres!$A$1:$I$89,3,0)*VLOOKUP('Données projet'!$B$10,Paramètres!$A$1:$I$89,5,0)</f>
        <v>266.44799999999998</v>
      </c>
      <c r="AK73" s="13">
        <f t="shared" si="89"/>
        <v>64.094865228054687</v>
      </c>
      <c r="AL73" s="20">
        <f t="shared" si="58"/>
        <v>575.69549027219523</v>
      </c>
      <c r="AM73" s="59">
        <f t="shared" si="59"/>
        <v>869.02882360552849</v>
      </c>
      <c r="AN73" s="59">
        <f ca="1">AVERAGE(OFFSET($AM$3,0,0,'Données projet'!$E$10+1,1))-AVERAGE(OFFSET($H$3,0,0,'Données projet'!$E$10+1,1))</f>
        <v>255.41017495879987</v>
      </c>
      <c r="AO73" s="59">
        <f t="shared" si="90"/>
        <v>297.50513563712764</v>
      </c>
      <c r="AP73" s="15">
        <f>IF(ISNA(VLOOKUP(A73,'Données projet'!$A$61:$I$81,3,0)),0,VLOOKUP(A73,'Données projet'!$A$61:$I$81,3,0))</f>
        <v>6</v>
      </c>
      <c r="AQ73" s="15">
        <f>IF(ISNA(VLOOKUP(A73,'Données projet'!$A$61:$I$81,4,0)),0,VLOOKUP(A73,'Données projet'!$A$61:$I$81,4,0))</f>
        <v>45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3.778672017178208</v>
      </c>
      <c r="AV73" s="21">
        <f>EXP(-LN(2)/25)*AV72+(1-EXP(-LN(2)/25))/(LN(2)/25)*Calculateur!AQ73*Calculateur!AS73*VLOOKUP('Données projet'!$B$10,Paramètres!$A$1:$I$89,3,0)*0.475*44/12</f>
        <v>9.1936277288383863</v>
      </c>
      <c r="AW73" s="21">
        <f>EXP(-LN(2)/2)*AW72+(1-EXP(-LN(2)/2))/(LN(2)/2)*AQ73*AT73*VLOOKUP('Données projet'!$B$10,Paramètres!$A$1:$I$89,3,0)*0.475*44/12</f>
        <v>2.3270789276992683E-5</v>
      </c>
      <c r="AX73" s="21">
        <f t="shared" si="60"/>
        <v>12.972323016805872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>
        <f>VLOOKUP(A73,'Données projet'!$A$87:$I$107,2,0)</f>
        <v>329</v>
      </c>
      <c r="BB73" s="12">
        <f>VLOOKUP(A73,'Données projet'!$A$87:$I$107,9,0)</f>
        <v>4.9000000000000004</v>
      </c>
      <c r="BC73" s="12">
        <f t="array" ref="BC73">INDEX(BB:BB,MIN(IF(ISNUMBER(BB73:BB269),ROW(BB73:BB269),"")))</f>
        <v>4.9000000000000004</v>
      </c>
      <c r="BD73" s="12">
        <f>IF('Données projet'!$A$88&gt;35,BD72+BC73-BL72,IF(A73&lt;'Données projet'!$A$88,$BA$205^A73,IF(A73='Données projet'!$A$88,'Données projet'!$B$88,BD72+BC73-BL72)))</f>
        <v>328.99999999999972</v>
      </c>
      <c r="BE73" s="13">
        <f>BD73*VLOOKUP('Données projet'!$B$11,Paramètres!$A$1:$I$89,3,0)*VLOOKUP('Données projet'!$B$11,Paramètres!$A$1:$I$89,5,0)</f>
        <v>261.7523999999998</v>
      </c>
      <c r="BF73" s="13">
        <f t="shared" si="91"/>
        <v>63.095772658160975</v>
      </c>
      <c r="BG73" s="20">
        <f t="shared" si="61"/>
        <v>565.7772340462966</v>
      </c>
      <c r="BH73" s="59">
        <f t="shared" si="62"/>
        <v>859.11056737962986</v>
      </c>
      <c r="BI73" s="59">
        <f ca="1">AVERAGE(OFFSET($BH$3,0,0,'Données projet'!$E$11+1,1))-AVERAGE(OFFSET($H$3,0,0,'Données projet'!$E$11+1,1))</f>
        <v>260.20517190557814</v>
      </c>
      <c r="BJ73" s="59">
        <f t="shared" si="92"/>
        <v>307.22009971147133</v>
      </c>
      <c r="BK73" s="15">
        <f>IF(ISNA(VLOOKUP(A73,'Données projet'!$A$87:$I$107,3,0)),0,VLOOKUP(A73,'Données projet'!$A$87:$I$107,3,0))</f>
        <v>6</v>
      </c>
      <c r="BL73" s="15">
        <f>IF(ISNA(VLOOKUP(A73,'Données projet'!$A$87:$I$107,4,0)),0,VLOOKUP(A73,'Données projet'!$A$87:$I$107,4,0))</f>
        <v>26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1.4776838053288048</v>
      </c>
      <c r="BQ73" s="21">
        <f>EXP(-LN(2)/25)*BQ72+(1-EXP(-LN(2)/25))/(LN(2)/25)*Calculateur!BL73*Calculateur!BN73*VLOOKUP('Données projet'!$B$11,Paramètres!$A$1:$I$89,3,0)*0.475*44/12</f>
        <v>6.7689445303216687</v>
      </c>
      <c r="BR73" s="21">
        <f>EXP(-LN(2)/2)*BR72+(1-EXP(-LN(2)/2))/(LN(2)/2)*BL73*BO73*VLOOKUP('Données projet'!$B$11,Paramètres!$A$1:$I$89,3,0)*0.475*44/12</f>
        <v>2.2925409558064734E-5</v>
      </c>
      <c r="BS73" s="22">
        <f t="shared" si="63"/>
        <v>8.2466512610600322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>
        <f>VLOOKUP(A73,'Données projet'!$A$113:$I$133,2,0)</f>
        <v>292</v>
      </c>
      <c r="BW73" s="12">
        <f>VLOOKUP(A73,'Données projet'!$A$113:$I$133,9,0)</f>
        <v>5.6</v>
      </c>
      <c r="BX73" s="12">
        <f t="array" ref="BX73">INDEX(BW:BW,MIN(IF(ISNUMBER(BW73:BW269),ROW(BW73:BW269),"")))</f>
        <v>5.6</v>
      </c>
      <c r="BY73" s="12">
        <f>IF('Données projet'!$A$114&gt;35,BY72+BX73-CG72,IF(A73&lt;'Données projet'!$A$114,$BV$205^A73,IF(A73='Données projet'!$A$114,'Données projet'!$B$114,BY72+BX73-CG72)))</f>
        <v>292.00000000000028</v>
      </c>
      <c r="BZ73" s="13">
        <f>BY73*VLOOKUP('Données projet'!$B$12,Paramètres!$A$1:$I$89,3,0)*VLOOKUP('Données projet'!$B$12,Paramètres!$A$1:$I$89,5,0)</f>
        <v>191.3184000000002</v>
      </c>
      <c r="CA73" s="13">
        <f t="shared" si="93"/>
        <v>47.831314962098396</v>
      </c>
      <c r="CB73" s="20">
        <f t="shared" si="64"/>
        <v>416.5190868923217</v>
      </c>
      <c r="CC73" s="59">
        <f t="shared" si="65"/>
        <v>709.85242022565501</v>
      </c>
      <c r="CD73" s="59">
        <f ca="1">AVERAGE(OFFSET($CC$3,0,0,'Données projet'!$E$12+1,1))-AVERAGE(OFFSET($H$3,0,0,'Données projet'!$E$12+1,1))</f>
        <v>185.21927898775016</v>
      </c>
      <c r="CE73" s="59">
        <f t="shared" si="94"/>
        <v>240.82467772396944</v>
      </c>
      <c r="CF73" s="15">
        <f>IF(ISNA(VLOOKUP(A73,'Données projet'!$A$113:$I$133,3,0)),0,VLOOKUP(A73,'Données projet'!$A$113:$I$133,3,0))</f>
        <v>6</v>
      </c>
      <c r="CG73" s="15">
        <f>IF(ISNA(VLOOKUP(A73,'Données projet'!$A$113:$I$133,4,0)),0,VLOOKUP(A73,'Données projet'!$A$113:$I$133,4,0))</f>
        <v>43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>
        <f>EXP(-LN(2)/35)*CK72+(1-EXP(-LN(2)/35))/(LN(2)/35)*CG73*CH73*VLOOKUP('Données projet'!$B$12,Paramètres!$A$1:$I$89,3,0)*0.475*44/12</f>
        <v>0.70522090598377996</v>
      </c>
      <c r="CL73" s="21">
        <f>EXP(-LN(2)/25)*CL72+(1-EXP(-LN(2)/25))/(LN(2)/25)*Calculateur!CG73*Calculateur!CI73*VLOOKUP('Données projet'!$B$12,Paramètres!$A$1:$I$89,3,0)*0.475*44/12</f>
        <v>2.651560793209915</v>
      </c>
      <c r="CM73" s="21">
        <f>EXP(-LN(2)/2)*CM72+(1-EXP(-LN(2)/2))/(LN(2)/2)*CG73*CJ73*VLOOKUP('Données projet'!$B$12,Paramètres!$A$1:$I$89,3,0)*0.475*44/12</f>
        <v>1.3348014818389022E-5</v>
      </c>
      <c r="CN73" s="22">
        <f t="shared" si="66"/>
        <v>3.3567950472085131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63.133200000000073</v>
      </c>
      <c r="D74" s="11">
        <f t="shared" si="86"/>
        <v>17.958078240325332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625.96776185514352</v>
      </c>
      <c r="H74" s="67">
        <f t="shared" si="56"/>
        <v>434.56730960190009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-2.2737367544323206E-13</v>
      </c>
      <c r="O74" s="13">
        <f>N74*VLOOKUP('Données projet'!$B$9,Paramètres!$A$1:$I$89,3,0)*VLOOKUP('Données projet'!$B$9,Paramètres!$A$1:$I$89,5,0)</f>
        <v>-1.2710188457276673E-13</v>
      </c>
      <c r="P74" s="13" t="e">
        <f t="shared" si="87"/>
        <v>#NUM!</v>
      </c>
      <c r="Q74" s="20" t="e">
        <f t="shared" si="54"/>
        <v>#NUM!</v>
      </c>
      <c r="R74" s="59" t="e">
        <f t="shared" si="55"/>
        <v>#NUM!</v>
      </c>
      <c r="S74" s="59">
        <f ca="1">AVERAGE(OFFSET($R$3,0,0,'Données projet'!$E$9+1,1))-AVERAGE(OFFSET($H$3,0,0,'Données projet'!$E$9+1,1))</f>
        <v>255.5374979188561</v>
      </c>
      <c r="T74" s="59">
        <f t="shared" si="88"/>
        <v>343.10418468620901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1.3719209324848736</v>
      </c>
      <c r="AA74" s="21">
        <f>EXP(-LN(2)/25)*AA73+(1-EXP(-LN(2)/25))/(LN(2)/25)*Calculateur!V74*Calculateur!X74*VLOOKUP('Données projet'!$B$9,Paramètres!$A$1:$I$89,3,0)*0.475*44/12</f>
        <v>5.1209524749001911</v>
      </c>
      <c r="AB74" s="21">
        <f>EXP(-LN(2)/2)*AB73+(1-EXP(-LN(2)/2))/(LN(2)/2)*V74*Y74*VLOOKUP('Données projet'!$B$9,Paramètres!$A$1:$I$89,3,0)*0.475*44/12</f>
        <v>1.1414392123904046E-6</v>
      </c>
      <c r="AC74" s="22">
        <f t="shared" si="57"/>
        <v>6.4928745488242772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6</v>
      </c>
      <c r="AI74" s="13">
        <f>IF('Données projet'!$A$62&gt;35,AI73+AH74-AQ73,IF(A74&lt;'Données projet'!$A$62,$AF$205^A74,IF(A74='Données projet'!$A$62,'Données projet'!$B$62,AI73+AH74-AQ73)))</f>
        <v>388</v>
      </c>
      <c r="AJ74" s="13">
        <f>AI74*VLOOKUP('Données projet'!$B$10,Paramètres!$A$1:$I$89,3,0)*VLOOKUP('Données projet'!$B$10,Paramètres!$A$1:$I$89,5,0)</f>
        <v>242.11199999999999</v>
      </c>
      <c r="AK74" s="13">
        <f t="shared" si="89"/>
        <v>58.893705600066006</v>
      </c>
      <c r="AL74" s="20">
        <f t="shared" si="58"/>
        <v>524.25160392011492</v>
      </c>
      <c r="AM74" s="59">
        <f t="shared" si="59"/>
        <v>817.58493725344829</v>
      </c>
      <c r="AN74" s="59">
        <f ca="1">AVERAGE(OFFSET($AM$3,0,0,'Données projet'!$E$10+1,1))-AVERAGE(OFFSET($H$3,0,0,'Données projet'!$E$10+1,1))</f>
        <v>255.41017495879987</v>
      </c>
      <c r="AO74" s="59">
        <f t="shared" si="90"/>
        <v>297.50513563712764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3.7045745636836975</v>
      </c>
      <c r="AV74" s="21">
        <f>EXP(-LN(2)/25)*AV73+(1-EXP(-LN(2)/25))/(LN(2)/25)*Calculateur!AQ74*Calculateur!AS74*VLOOKUP('Données projet'!$B$10,Paramètres!$A$1:$I$89,3,0)*0.475*44/12</f>
        <v>8.9422274951214309</v>
      </c>
      <c r="AW74" s="21">
        <f>EXP(-LN(2)/2)*AW73+(1-EXP(-LN(2)/2))/(LN(2)/2)*AQ74*AT74*VLOOKUP('Données projet'!$B$10,Paramètres!$A$1:$I$89,3,0)*0.475*44/12</f>
        <v>1.6454932901324722E-5</v>
      </c>
      <c r="AX74" s="21">
        <f t="shared" si="60"/>
        <v>12.64681851373803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3.9</v>
      </c>
      <c r="BD74" s="12">
        <f>IF('Données projet'!$A$88&gt;35,BD73+BC74-BL73,IF(A74&lt;'Données projet'!$A$88,$BA$205^A74,IF(A74='Données projet'!$A$88,'Données projet'!$B$88,BD73+BC74-BL73)))</f>
        <v>306.89999999999969</v>
      </c>
      <c r="BE74" s="13">
        <f>BD74*VLOOKUP('Données projet'!$B$11,Paramètres!$A$1:$I$89,3,0)*VLOOKUP('Données projet'!$B$11,Paramètres!$A$1:$I$89,5,0)</f>
        <v>244.16963999999976</v>
      </c>
      <c r="BF74" s="13">
        <f t="shared" si="91"/>
        <v>59.335747541340979</v>
      </c>
      <c r="BG74" s="20">
        <f t="shared" si="61"/>
        <v>528.60521663450174</v>
      </c>
      <c r="BH74" s="59">
        <f t="shared" si="62"/>
        <v>821.93854996783512</v>
      </c>
      <c r="BI74" s="59">
        <f ca="1">AVERAGE(OFFSET($BH$3,0,0,'Données projet'!$E$11+1,1))-AVERAGE(OFFSET($H$3,0,0,'Données projet'!$E$11+1,1))</f>
        <v>260.20517190557814</v>
      </c>
      <c r="BJ74" s="59">
        <f t="shared" si="92"/>
        <v>307.22009971147133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1.4487073272044324</v>
      </c>
      <c r="BQ74" s="21">
        <f>EXP(-LN(2)/25)*BQ73+(1-EXP(-LN(2)/25))/(LN(2)/25)*Calculateur!BL74*Calculateur!BN74*VLOOKUP('Données projet'!$B$11,Paramètres!$A$1:$I$89,3,0)*0.475*44/12</f>
        <v>6.5838473861767008</v>
      </c>
      <c r="BR74" s="21">
        <f>EXP(-LN(2)/2)*BR73+(1-EXP(-LN(2)/2))/(LN(2)/2)*BL74*BO74*VLOOKUP('Données projet'!$B$11,Paramètres!$A$1:$I$89,3,0)*0.475*44/12</f>
        <v>1.6210712559986465E-5</v>
      </c>
      <c r="BS74" s="22">
        <f t="shared" si="63"/>
        <v>8.0325709240936938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4.7</v>
      </c>
      <c r="BY74" s="12">
        <f>IF('Données projet'!$A$114&gt;35,BY73+BX74-CG73,IF(A74&lt;'Données projet'!$A$114,$BV$205^A74,IF(A74='Données projet'!$A$114,'Données projet'!$B$114,BY73+BX74-CG73)))</f>
        <v>253.70000000000027</v>
      </c>
      <c r="BZ74" s="13">
        <f>BY74*VLOOKUP('Données projet'!$B$12,Paramètres!$A$1:$I$89,3,0)*VLOOKUP('Données projet'!$B$12,Paramètres!$A$1:$I$89,5,0)</f>
        <v>166.22424000000018</v>
      </c>
      <c r="CA74" s="13">
        <f t="shared" si="93"/>
        <v>42.243276689676172</v>
      </c>
      <c r="CB74" s="20">
        <f t="shared" si="64"/>
        <v>363.08092490118628</v>
      </c>
      <c r="CC74" s="59">
        <f t="shared" si="65"/>
        <v>656.41425823451959</v>
      </c>
      <c r="CD74" s="59">
        <f ca="1">AVERAGE(OFFSET($CC$3,0,0,'Données projet'!$E$12+1,1))-AVERAGE(OFFSET($H$3,0,0,'Données projet'!$E$12+1,1))</f>
        <v>185.21927898775016</v>
      </c>
      <c r="CE74" s="59">
        <f t="shared" si="94"/>
        <v>240.82467772396944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0.69139195415971766</v>
      </c>
      <c r="CL74" s="21">
        <f>EXP(-LN(2)/25)*CL73+(1-EXP(-LN(2)/25))/(LN(2)/25)*Calculateur!CG74*Calculateur!CI74*VLOOKUP('Données projet'!$B$12,Paramètres!$A$1:$I$89,3,0)*0.475*44/12</f>
        <v>2.5790537238800679</v>
      </c>
      <c r="CM74" s="21">
        <f>EXP(-LN(2)/2)*CM73+(1-EXP(-LN(2)/2))/(LN(2)/2)*CG74*CJ74*VLOOKUP('Données projet'!$B$12,Paramètres!$A$1:$I$89,3,0)*0.475*44/12</f>
        <v>9.4384717934614E-6</v>
      </c>
      <c r="CN74" s="22">
        <f t="shared" si="66"/>
        <v>3.2704551165115792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64.022400000000076</v>
      </c>
      <c r="D75" s="11">
        <f t="shared" si="86"/>
        <v>18.181385543312256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634.55553752732339</v>
      </c>
      <c r="H75" s="67">
        <f t="shared" si="56"/>
        <v>436.50492648793568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-2.2737367544323206E-13</v>
      </c>
      <c r="O75" s="13">
        <f>N75*VLOOKUP('Données projet'!$B$9,Paramètres!$A$1:$I$89,3,0)*VLOOKUP('Données projet'!$B$9,Paramètres!$A$1:$I$89,5,0)</f>
        <v>-1.2710188457276673E-13</v>
      </c>
      <c r="P75" s="13" t="e">
        <f t="shared" si="87"/>
        <v>#NUM!</v>
      </c>
      <c r="Q75" s="20" t="e">
        <f t="shared" si="54"/>
        <v>#NUM!</v>
      </c>
      <c r="R75" s="59" t="e">
        <f t="shared" si="55"/>
        <v>#NUM!</v>
      </c>
      <c r="S75" s="59">
        <f ca="1">AVERAGE(OFFSET($R$3,0,0,'Données projet'!$E$9+1,1))-AVERAGE(OFFSET($H$3,0,0,'Données projet'!$E$9+1,1))</f>
        <v>255.5374979188561</v>
      </c>
      <c r="T75" s="59">
        <f t="shared" si="88"/>
        <v>343.10418468620901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1.3450183997879879</v>
      </c>
      <c r="AA75" s="21">
        <f>EXP(-LN(2)/25)*AA74+(1-EXP(-LN(2)/25))/(LN(2)/25)*Calculateur!V75*Calculateur!X75*VLOOKUP('Données projet'!$B$9,Paramètres!$A$1:$I$89,3,0)*0.475*44/12</f>
        <v>4.9809197601748592</v>
      </c>
      <c r="AB75" s="21">
        <f>EXP(-LN(2)/2)*AB74+(1-EXP(-LN(2)/2))/(LN(2)/2)*V75*Y75*VLOOKUP('Données projet'!$B$9,Paramètres!$A$1:$I$89,3,0)*0.475*44/12</f>
        <v>8.07119407393487E-7</v>
      </c>
      <c r="AC75" s="22">
        <f t="shared" si="57"/>
        <v>6.325938967082255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6</v>
      </c>
      <c r="AI75" s="13">
        <f>IF('Données projet'!$A$62&gt;35,AI74+AH75-AQ74,IF(A75&lt;'Données projet'!$A$62,$AF$205^A75,IF(A75='Données projet'!$A$62,'Données projet'!$B$62,AI74+AH75-AQ74)))</f>
        <v>394</v>
      </c>
      <c r="AJ75" s="13">
        <f>AI75*VLOOKUP('Données projet'!$B$10,Paramètres!$A$1:$I$89,3,0)*VLOOKUP('Données projet'!$B$10,Paramètres!$A$1:$I$89,5,0)</f>
        <v>245.85600000000002</v>
      </c>
      <c r="AK75" s="13">
        <f t="shared" si="89"/>
        <v>59.697704223314012</v>
      </c>
      <c r="AL75" s="20">
        <f t="shared" si="58"/>
        <v>532.17270152227195</v>
      </c>
      <c r="AM75" s="59">
        <f t="shared" si="59"/>
        <v>825.50603485560532</v>
      </c>
      <c r="AN75" s="59">
        <f ca="1">AVERAGE(OFFSET($AM$3,0,0,'Données projet'!$E$10+1,1))-AVERAGE(OFFSET($H$3,0,0,'Données projet'!$E$10+1,1))</f>
        <v>255.41017495879987</v>
      </c>
      <c r="AO75" s="59">
        <f t="shared" si="90"/>
        <v>297.50513563712764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3.6319301160572302</v>
      </c>
      <c r="AV75" s="21">
        <f>EXP(-LN(2)/25)*AV74+(1-EXP(-LN(2)/25))/(LN(2)/25)*Calculateur!AQ75*Calculateur!AS75*VLOOKUP('Données projet'!$B$10,Paramètres!$A$1:$I$89,3,0)*0.475*44/12</f>
        <v>8.6977018140160283</v>
      </c>
      <c r="AW75" s="21">
        <f>EXP(-LN(2)/2)*AW74+(1-EXP(-LN(2)/2))/(LN(2)/2)*AQ75*AT75*VLOOKUP('Données projet'!$B$10,Paramètres!$A$1:$I$89,3,0)*0.475*44/12</f>
        <v>1.1635394638496342E-5</v>
      </c>
      <c r="AX75" s="21">
        <f t="shared" si="60"/>
        <v>12.329643565467897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3.9</v>
      </c>
      <c r="BD75" s="12">
        <f>IF('Données projet'!$A$88&gt;35,BD74+BC75-BL74,IF(A75&lt;'Données projet'!$A$88,$BA$205^A75,IF(A75='Données projet'!$A$88,'Données projet'!$B$88,BD74+BC75-BL74)))</f>
        <v>310.79999999999967</v>
      </c>
      <c r="BE75" s="13">
        <f>BD75*VLOOKUP('Données projet'!$B$11,Paramètres!$A$1:$I$89,3,0)*VLOOKUP('Données projet'!$B$11,Paramètres!$A$1:$I$89,5,0)</f>
        <v>247.27247999999975</v>
      </c>
      <c r="BF75" s="13">
        <f t="shared" si="91"/>
        <v>60.001511123918704</v>
      </c>
      <c r="BG75" s="20">
        <f t="shared" si="61"/>
        <v>535.16886787415797</v>
      </c>
      <c r="BH75" s="59">
        <f t="shared" si="62"/>
        <v>828.50220120749123</v>
      </c>
      <c r="BI75" s="59">
        <f ca="1">AVERAGE(OFFSET($BH$3,0,0,'Données projet'!$E$11+1,1))-AVERAGE(OFFSET($H$3,0,0,'Données projet'!$E$11+1,1))</f>
        <v>260.20517190557814</v>
      </c>
      <c r="BJ75" s="59">
        <f t="shared" si="92"/>
        <v>307.22009971147133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1.4202990601421723</v>
      </c>
      <c r="BQ75" s="21">
        <f>EXP(-LN(2)/25)*BQ74+(1-EXP(-LN(2)/25))/(LN(2)/25)*Calculateur!BL75*Calculateur!BN75*VLOOKUP('Données projet'!$B$11,Paramètres!$A$1:$I$89,3,0)*0.475*44/12</f>
        <v>6.4038117331722129</v>
      </c>
      <c r="BR75" s="21">
        <f>EXP(-LN(2)/2)*BR74+(1-EXP(-LN(2)/2))/(LN(2)/2)*BL75*BO75*VLOOKUP('Données projet'!$B$11,Paramètres!$A$1:$I$89,3,0)*0.475*44/12</f>
        <v>1.1462704779032367E-5</v>
      </c>
      <c r="BS75" s="22">
        <f t="shared" si="63"/>
        <v>7.8241222560191641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4.7</v>
      </c>
      <c r="BY75" s="12">
        <f>IF('Données projet'!$A$114&gt;35,BY74+BX75-CG74,IF(A75&lt;'Données projet'!$A$114,$BV$205^A75,IF(A75='Données projet'!$A$114,'Données projet'!$B$114,BY74+BX75-CG74)))</f>
        <v>258.40000000000026</v>
      </c>
      <c r="BZ75" s="13">
        <f>BY75*VLOOKUP('Données projet'!$B$12,Paramètres!$A$1:$I$89,3,0)*VLOOKUP('Données projet'!$B$12,Paramètres!$A$1:$I$89,5,0)</f>
        <v>169.30368000000016</v>
      </c>
      <c r="CA75" s="13">
        <f t="shared" si="93"/>
        <v>42.934033834973256</v>
      </c>
      <c r="CB75" s="20">
        <f t="shared" si="64"/>
        <v>369.64735159591197</v>
      </c>
      <c r="CC75" s="59">
        <f t="shared" si="65"/>
        <v>662.98068492924529</v>
      </c>
      <c r="CD75" s="59">
        <f ca="1">AVERAGE(OFFSET($CC$3,0,0,'Données projet'!$E$12+1,1))-AVERAGE(OFFSET($H$3,0,0,'Données projet'!$E$12+1,1))</f>
        <v>185.21927898775016</v>
      </c>
      <c r="CE75" s="59">
        <f t="shared" si="94"/>
        <v>240.82467772396944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0.67783417964609749</v>
      </c>
      <c r="CL75" s="21">
        <f>EXP(-LN(2)/25)*CL74+(1-EXP(-LN(2)/25))/(LN(2)/25)*Calculateur!CG75*Calculateur!CI75*VLOOKUP('Données projet'!$B$12,Paramètres!$A$1:$I$89,3,0)*0.475*44/12</f>
        <v>2.5085293641740267</v>
      </c>
      <c r="CM75" s="21">
        <f>EXP(-LN(2)/2)*CM74+(1-EXP(-LN(2)/2))/(LN(2)/2)*CG75*CJ75*VLOOKUP('Données projet'!$B$12,Paramètres!$A$1:$I$89,3,0)*0.475*44/12</f>
        <v>6.674007409194511E-6</v>
      </c>
      <c r="CN75" s="22">
        <f t="shared" si="66"/>
        <v>3.1863702178275335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64.911600000000078</v>
      </c>
      <c r="D76" s="11">
        <f t="shared" si="86"/>
        <v>18.404332112224722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643.14052858559501</v>
      </c>
      <c r="H76" s="67">
        <f t="shared" si="56"/>
        <v>438.44191509545817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-2.2737367544323206E-13</v>
      </c>
      <c r="O76" s="13">
        <f>N76*VLOOKUP('Données projet'!$B$9,Paramètres!$A$1:$I$89,3,0)*VLOOKUP('Données projet'!$B$9,Paramètres!$A$1:$I$89,5,0)</f>
        <v>-1.2710188457276673E-13</v>
      </c>
      <c r="P76" s="13" t="e">
        <f t="shared" si="87"/>
        <v>#NUM!</v>
      </c>
      <c r="Q76" s="20" t="e">
        <f t="shared" si="54"/>
        <v>#NUM!</v>
      </c>
      <c r="R76" s="59" t="e">
        <f t="shared" si="55"/>
        <v>#NUM!</v>
      </c>
      <c r="S76" s="59">
        <f ca="1">AVERAGE(OFFSET($R$3,0,0,'Données projet'!$E$9+1,1))-AVERAGE(OFFSET($H$3,0,0,'Données projet'!$E$9+1,1))</f>
        <v>255.5374979188561</v>
      </c>
      <c r="T76" s="59">
        <f t="shared" si="88"/>
        <v>343.10418468620901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1.3186434093483634</v>
      </c>
      <c r="AA76" s="21">
        <f>EXP(-LN(2)/25)*AA75+(1-EXP(-LN(2)/25))/(LN(2)/25)*Calculateur!V76*Calculateur!X76*VLOOKUP('Données projet'!$B$9,Paramètres!$A$1:$I$89,3,0)*0.475*44/12</f>
        <v>4.8447162473976917</v>
      </c>
      <c r="AB76" s="21">
        <f>EXP(-LN(2)/2)*AB75+(1-EXP(-LN(2)/2))/(LN(2)/2)*V76*Y76*VLOOKUP('Données projet'!$B$9,Paramètres!$A$1:$I$89,3,0)*0.475*44/12</f>
        <v>5.7071960619520231E-7</v>
      </c>
      <c r="AC76" s="22">
        <f t="shared" si="57"/>
        <v>6.1633602274656605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6</v>
      </c>
      <c r="AI76" s="13">
        <f>IF('Données projet'!$A$62&gt;35,AI75+AH76-AQ75,IF(A76&lt;'Données projet'!$A$62,$AF$205^A76,IF(A76='Données projet'!$A$62,'Données projet'!$B$62,AI75+AH76-AQ75)))</f>
        <v>400</v>
      </c>
      <c r="AJ76" s="13">
        <f>AI76*VLOOKUP('Données projet'!$B$10,Paramètres!$A$1:$I$89,3,0)*VLOOKUP('Données projet'!$B$10,Paramètres!$A$1:$I$89,5,0)</f>
        <v>249.60000000000002</v>
      </c>
      <c r="AK76" s="13">
        <f t="shared" si="89"/>
        <v>60.500278891753695</v>
      </c>
      <c r="AL76" s="20">
        <f t="shared" si="58"/>
        <v>540.0913190698044</v>
      </c>
      <c r="AM76" s="59">
        <f t="shared" si="59"/>
        <v>833.42465240313777</v>
      </c>
      <c r="AN76" s="59">
        <f ca="1">AVERAGE(OFFSET($AM$3,0,0,'Données projet'!$E$10+1,1))-AVERAGE(OFFSET($H$3,0,0,'Données projet'!$E$10+1,1))</f>
        <v>255.41017495879987</v>
      </c>
      <c r="AO76" s="59">
        <f t="shared" si="90"/>
        <v>297.50513563712764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3.5607101817399802</v>
      </c>
      <c r="AV76" s="21">
        <f>EXP(-LN(2)/25)*AV75+(1-EXP(-LN(2)/25))/(LN(2)/25)*Calculateur!AQ76*Calculateur!AS76*VLOOKUP('Données projet'!$B$10,Paramètres!$A$1:$I$89,3,0)*0.475*44/12</f>
        <v>8.4598627005195013</v>
      </c>
      <c r="AW76" s="21">
        <f>EXP(-LN(2)/2)*AW75+(1-EXP(-LN(2)/2))/(LN(2)/2)*AQ76*AT76*VLOOKUP('Données projet'!$B$10,Paramètres!$A$1:$I$89,3,0)*0.475*44/12</f>
        <v>8.2274664506623608E-6</v>
      </c>
      <c r="AX76" s="21">
        <f t="shared" si="60"/>
        <v>12.020581109725931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3.9</v>
      </c>
      <c r="BD76" s="12">
        <f>IF('Données projet'!$A$88&gt;35,BD75+BC76-BL75,IF(A76&lt;'Données projet'!$A$88,$BA$205^A76,IF(A76='Données projet'!$A$88,'Données projet'!$B$88,BD75+BC76-BL75)))</f>
        <v>314.69999999999965</v>
      </c>
      <c r="BE76" s="13">
        <f>BD76*VLOOKUP('Données projet'!$B$11,Paramètres!$A$1:$I$89,3,0)*VLOOKUP('Données projet'!$B$11,Paramètres!$A$1:$I$89,5,0)</f>
        <v>250.37531999999973</v>
      </c>
      <c r="BF76" s="13">
        <f t="shared" si="91"/>
        <v>60.666302963242082</v>
      </c>
      <c r="BG76" s="20">
        <f t="shared" si="61"/>
        <v>541.73082666097946</v>
      </c>
      <c r="BH76" s="59">
        <f t="shared" si="62"/>
        <v>835.06415999431283</v>
      </c>
      <c r="BI76" s="59">
        <f ca="1">AVERAGE(OFFSET($BH$3,0,0,'Données projet'!$E$11+1,1))-AVERAGE(OFFSET($H$3,0,0,'Données projet'!$E$11+1,1))</f>
        <v>260.20517190557814</v>
      </c>
      <c r="BJ76" s="59">
        <f t="shared" si="92"/>
        <v>307.22009971147133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1.3924478618696714</v>
      </c>
      <c r="BQ76" s="21">
        <f>EXP(-LN(2)/25)*BQ75+(1-EXP(-LN(2)/25))/(LN(2)/25)*Calculateur!BL76*Calculateur!BN76*VLOOKUP('Données projet'!$B$11,Paramètres!$A$1:$I$89,3,0)*0.475*44/12</f>
        <v>6.2286991645667955</v>
      </c>
      <c r="BR76" s="21">
        <f>EXP(-LN(2)/2)*BR75+(1-EXP(-LN(2)/2))/(LN(2)/2)*BL76*BO76*VLOOKUP('Données projet'!$B$11,Paramètres!$A$1:$I$89,3,0)*0.475*44/12</f>
        <v>8.1053562799932324E-6</v>
      </c>
      <c r="BS76" s="22">
        <f t="shared" si="63"/>
        <v>7.6211551317927473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4.7</v>
      </c>
      <c r="BY76" s="12">
        <f>IF('Données projet'!$A$114&gt;35,BY75+BX76-CG75,IF(A76&lt;'Données projet'!$A$114,$BV$205^A76,IF(A76='Données projet'!$A$114,'Données projet'!$B$114,BY75+BX76-CG75)))</f>
        <v>263.10000000000025</v>
      </c>
      <c r="BZ76" s="13">
        <f>BY76*VLOOKUP('Données projet'!$B$12,Paramètres!$A$1:$I$89,3,0)*VLOOKUP('Données projet'!$B$12,Paramètres!$A$1:$I$89,5,0)</f>
        <v>172.38312000000016</v>
      </c>
      <c r="CA76" s="13">
        <f t="shared" si="93"/>
        <v>43.623329983109656</v>
      </c>
      <c r="CB76" s="20">
        <f t="shared" si="64"/>
        <v>376.21123372058287</v>
      </c>
      <c r="CC76" s="59">
        <f t="shared" si="65"/>
        <v>669.54456705391613</v>
      </c>
      <c r="CD76" s="59">
        <f ca="1">AVERAGE(OFFSET($CC$3,0,0,'Données projet'!$E$12+1,1))-AVERAGE(OFFSET($H$3,0,0,'Données projet'!$E$12+1,1))</f>
        <v>185.21927898775016</v>
      </c>
      <c r="CE76" s="59">
        <f t="shared" si="94"/>
        <v>240.82467772396944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0.66454226482126344</v>
      </c>
      <c r="CL76" s="21">
        <f>EXP(-LN(2)/25)*CL75+(1-EXP(-LN(2)/25))/(LN(2)/25)*Calculateur!CG76*Calculateur!CI76*VLOOKUP('Données projet'!$B$12,Paramètres!$A$1:$I$89,3,0)*0.475*44/12</f>
        <v>2.4399334967928619</v>
      </c>
      <c r="CM76" s="21">
        <f>EXP(-LN(2)/2)*CM75+(1-EXP(-LN(2)/2))/(LN(2)/2)*CG76*CJ76*VLOOKUP('Données projet'!$B$12,Paramètres!$A$1:$I$89,3,0)*0.475*44/12</f>
        <v>4.7192358967307E-6</v>
      </c>
      <c r="CN76" s="22">
        <f t="shared" si="66"/>
        <v>3.1044804808500222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65.800800000000081</v>
      </c>
      <c r="D77" s="11">
        <f t="shared" si="86"/>
        <v>18.626923459774314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651.72277758422342</v>
      </c>
      <c r="H77" s="67">
        <f t="shared" si="56"/>
        <v>440.37828502577372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-2.2737367544323206E-13</v>
      </c>
      <c r="O77" s="13">
        <f>N77*VLOOKUP('Données projet'!$B$9,Paramètres!$A$1:$I$89,3,0)*VLOOKUP('Données projet'!$B$9,Paramètres!$A$1:$I$89,5,0)</f>
        <v>-1.2710188457276673E-13</v>
      </c>
      <c r="P77" s="13" t="e">
        <f t="shared" si="87"/>
        <v>#NUM!</v>
      </c>
      <c r="Q77" s="20" t="e">
        <f t="shared" si="54"/>
        <v>#NUM!</v>
      </c>
      <c r="R77" s="59" t="e">
        <f t="shared" si="55"/>
        <v>#NUM!</v>
      </c>
      <c r="S77" s="59">
        <f ca="1">AVERAGE(OFFSET($R$3,0,0,'Données projet'!$E$9+1,1))-AVERAGE(OFFSET($H$3,0,0,'Données projet'!$E$9+1,1))</f>
        <v>255.5374979188561</v>
      </c>
      <c r="T77" s="59">
        <f t="shared" si="88"/>
        <v>343.10418468620901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1.2927856163841045</v>
      </c>
      <c r="AA77" s="21">
        <f>EXP(-LN(2)/25)*AA76+(1-EXP(-LN(2)/25))/(LN(2)/25)*Calculateur!V77*Calculateur!X77*VLOOKUP('Données projet'!$B$9,Paramètres!$A$1:$I$89,3,0)*0.475*44/12</f>
        <v>4.7122372268400472</v>
      </c>
      <c r="AB77" s="21">
        <f>EXP(-LN(2)/2)*AB76+(1-EXP(-LN(2)/2))/(LN(2)/2)*V77*Y77*VLOOKUP('Données projet'!$B$9,Paramètres!$A$1:$I$89,3,0)*0.475*44/12</f>
        <v>4.035597036967435E-7</v>
      </c>
      <c r="AC77" s="22">
        <f t="shared" si="57"/>
        <v>6.005023246783856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6</v>
      </c>
      <c r="AI77" s="13">
        <f>IF('Données projet'!$A$62&gt;35,AI76+AH77-AQ76,IF(A77&lt;'Données projet'!$A$62,$AF$205^A77,IF(A77='Données projet'!$A$62,'Données projet'!$B$62,AI76+AH77-AQ76)))</f>
        <v>406</v>
      </c>
      <c r="AJ77" s="13">
        <f>AI77*VLOOKUP('Données projet'!$B$10,Paramètres!$A$1:$I$89,3,0)*VLOOKUP('Données projet'!$B$10,Paramètres!$A$1:$I$89,5,0)</f>
        <v>253.34399999999999</v>
      </c>
      <c r="AK77" s="13">
        <f t="shared" si="89"/>
        <v>61.301453431926305</v>
      </c>
      <c r="AL77" s="20">
        <f t="shared" si="58"/>
        <v>548.00749806060492</v>
      </c>
      <c r="AM77" s="59">
        <f t="shared" si="59"/>
        <v>841.34083139393829</v>
      </c>
      <c r="AN77" s="59">
        <f ca="1">AVERAGE(OFFSET($AM$3,0,0,'Données projet'!$E$10+1,1))-AVERAGE(OFFSET($H$3,0,0,'Données projet'!$E$10+1,1))</f>
        <v>255.41017495879987</v>
      </c>
      <c r="AO77" s="59">
        <f t="shared" si="90"/>
        <v>297.50513563712764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3.4908868268948208</v>
      </c>
      <c r="AV77" s="21">
        <f>EXP(-LN(2)/25)*AV76+(1-EXP(-LN(2)/25))/(LN(2)/25)*Calculateur!AQ77*Calculateur!AS77*VLOOKUP('Données projet'!$B$10,Paramètres!$A$1:$I$89,3,0)*0.475*44/12</f>
        <v>8.2285273100889516</v>
      </c>
      <c r="AW77" s="21">
        <f>EXP(-LN(2)/2)*AW76+(1-EXP(-LN(2)/2))/(LN(2)/2)*AQ77*AT77*VLOOKUP('Données projet'!$B$10,Paramètres!$A$1:$I$89,3,0)*0.475*44/12</f>
        <v>5.8176973192481708E-6</v>
      </c>
      <c r="AX77" s="21">
        <f t="shared" si="60"/>
        <v>11.719419954681092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3.9</v>
      </c>
      <c r="BD77" s="12">
        <f>IF('Données projet'!$A$88&gt;35,BD76+BC77-BL76,IF(A77&lt;'Données projet'!$A$88,$BA$205^A77,IF(A77='Données projet'!$A$88,'Données projet'!$B$88,BD76+BC77-BL76)))</f>
        <v>318.59999999999962</v>
      </c>
      <c r="BE77" s="13">
        <f>BD77*VLOOKUP('Données projet'!$B$11,Paramètres!$A$1:$I$89,3,0)*VLOOKUP('Données projet'!$B$11,Paramètres!$A$1:$I$89,5,0)</f>
        <v>253.47815999999972</v>
      </c>
      <c r="BF77" s="13">
        <f t="shared" si="91"/>
        <v>61.330136494642396</v>
      </c>
      <c r="BG77" s="20">
        <f t="shared" si="61"/>
        <v>548.29111639483494</v>
      </c>
      <c r="BH77" s="59">
        <f t="shared" si="62"/>
        <v>841.6244497281682</v>
      </c>
      <c r="BI77" s="59">
        <f ca="1">AVERAGE(OFFSET($BH$3,0,0,'Données projet'!$E$11+1,1))-AVERAGE(OFFSET($H$3,0,0,'Données projet'!$E$11+1,1))</f>
        <v>260.20517190557814</v>
      </c>
      <c r="BJ77" s="59">
        <f t="shared" si="92"/>
        <v>307.22009971147133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1.3651428086077406</v>
      </c>
      <c r="BQ77" s="21">
        <f>EXP(-LN(2)/25)*BQ76+(1-EXP(-LN(2)/25))/(LN(2)/25)*Calculateur!BL77*Calculateur!BN77*VLOOKUP('Données projet'!$B$11,Paramètres!$A$1:$I$89,3,0)*0.475*44/12</f>
        <v>6.0583750583586635</v>
      </c>
      <c r="BR77" s="21">
        <f>EXP(-LN(2)/2)*BR76+(1-EXP(-LN(2)/2))/(LN(2)/2)*BL77*BO77*VLOOKUP('Données projet'!$B$11,Paramètres!$A$1:$I$89,3,0)*0.475*44/12</f>
        <v>5.7313523895161834E-6</v>
      </c>
      <c r="BS77" s="22">
        <f t="shared" si="63"/>
        <v>7.423523598318793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4.7</v>
      </c>
      <c r="BY77" s="12">
        <f>IF('Données projet'!$A$114&gt;35,BY76+BX77-CG76,IF(A77&lt;'Données projet'!$A$114,$BV$205^A77,IF(A77='Données projet'!$A$114,'Données projet'!$B$114,BY76+BX77-CG76)))</f>
        <v>267.80000000000024</v>
      </c>
      <c r="BZ77" s="13">
        <f>BY77*VLOOKUP('Données projet'!$B$12,Paramètres!$A$1:$I$89,3,0)*VLOOKUP('Données projet'!$B$12,Paramètres!$A$1:$I$89,5,0)</f>
        <v>175.46256000000017</v>
      </c>
      <c r="CA77" s="13">
        <f t="shared" si="93"/>
        <v>44.311194244027092</v>
      </c>
      <c r="CB77" s="20">
        <f t="shared" si="64"/>
        <v>382.77262197501415</v>
      </c>
      <c r="CC77" s="59">
        <f t="shared" si="65"/>
        <v>676.10595530834746</v>
      </c>
      <c r="CD77" s="59">
        <f ca="1">AVERAGE(OFFSET($CC$3,0,0,'Données projet'!$E$12+1,1))-AVERAGE(OFFSET($H$3,0,0,'Données projet'!$E$12+1,1))</f>
        <v>185.21927898775016</v>
      </c>
      <c r="CE77" s="59">
        <f t="shared" si="94"/>
        <v>240.82467772396944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0.65151099633887688</v>
      </c>
      <c r="CL77" s="21">
        <f>EXP(-LN(2)/25)*CL76+(1-EXP(-LN(2)/25))/(LN(2)/25)*Calculateur!CG77*Calculateur!CI77*VLOOKUP('Données projet'!$B$12,Paramètres!$A$1:$I$89,3,0)*0.475*44/12</f>
        <v>2.3732133870125351</v>
      </c>
      <c r="CM77" s="21">
        <f>EXP(-LN(2)/2)*CM76+(1-EXP(-LN(2)/2))/(LN(2)/2)*CG77*CJ77*VLOOKUP('Données projet'!$B$12,Paramètres!$A$1:$I$89,3,0)*0.475*44/12</f>
        <v>3.3370037045972555E-6</v>
      </c>
      <c r="CN77" s="22">
        <f t="shared" si="66"/>
        <v>3.0247277203551164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66.690000000000083</v>
      </c>
      <c r="D78" s="11">
        <f t="shared" si="86"/>
        <v>18.849164941118655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660.30232586126749</v>
      </c>
      <c r="H78" s="67">
        <f t="shared" si="56"/>
        <v>442.31404560578176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-2.2737367544323206E-13</v>
      </c>
      <c r="O78" s="13">
        <f>N78*VLOOKUP('Données projet'!$B$9,Paramètres!$A$1:$I$89,3,0)*VLOOKUP('Données projet'!$B$9,Paramètres!$A$1:$I$89,5,0)</f>
        <v>-1.2710188457276673E-13</v>
      </c>
      <c r="P78" s="13" t="e">
        <f t="shared" si="87"/>
        <v>#NUM!</v>
      </c>
      <c r="Q78" s="20" t="e">
        <f t="shared" si="54"/>
        <v>#NUM!</v>
      </c>
      <c r="R78" s="59" t="e">
        <f t="shared" si="55"/>
        <v>#NUM!</v>
      </c>
      <c r="S78" s="59">
        <f ca="1">AVERAGE(OFFSET($R$3,0,0,'Données projet'!$E$9+1,1))-AVERAGE(OFFSET($H$3,0,0,'Données projet'!$E$9+1,1))</f>
        <v>255.5374979188561</v>
      </c>
      <c r="T78" s="59">
        <f t="shared" si="88"/>
        <v>343.10418468620901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1.2674348789681782</v>
      </c>
      <c r="AA78" s="21">
        <f>EXP(-LN(2)/25)*AA77+(1-EXP(-LN(2)/25))/(LN(2)/25)*Calculateur!V78*Calculateur!X78*VLOOKUP('Données projet'!$B$9,Paramètres!$A$1:$I$89,3,0)*0.475*44/12</f>
        <v>4.5833808520663206</v>
      </c>
      <c r="AB78" s="21">
        <f>EXP(-LN(2)/2)*AB77+(1-EXP(-LN(2)/2))/(LN(2)/2)*V78*Y78*VLOOKUP('Données projet'!$B$9,Paramètres!$A$1:$I$89,3,0)*0.475*44/12</f>
        <v>2.8535980309760115E-7</v>
      </c>
      <c r="AC78" s="22">
        <f t="shared" si="57"/>
        <v>5.8508160163943019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6</v>
      </c>
      <c r="AI78" s="13">
        <f>IF('Données projet'!$A$62&gt;35,AI77+AH78-AQ77,IF(A78&lt;'Données projet'!$A$62,$AF$205^A78,IF(A78='Données projet'!$A$62,'Données projet'!$B$62,AI77+AH78-AQ77)))</f>
        <v>412</v>
      </c>
      <c r="AJ78" s="13">
        <f>AI78*VLOOKUP('Données projet'!$B$10,Paramètres!$A$1:$I$89,3,0)*VLOOKUP('Données projet'!$B$10,Paramètres!$A$1:$I$89,5,0)</f>
        <v>257.08800000000002</v>
      </c>
      <c r="AK78" s="13">
        <f t="shared" si="89"/>
        <v>62.101250925713771</v>
      </c>
      <c r="AL78" s="20">
        <f t="shared" si="58"/>
        <v>555.92127869561818</v>
      </c>
      <c r="AM78" s="59">
        <f t="shared" si="59"/>
        <v>849.25461202895144</v>
      </c>
      <c r="AN78" s="59">
        <f ca="1">AVERAGE(OFFSET($AM$3,0,0,'Données projet'!$E$10+1,1))-AVERAGE(OFFSET($H$3,0,0,'Données projet'!$E$10+1,1))</f>
        <v>255.41017495879987</v>
      </c>
      <c r="AO78" s="59">
        <f t="shared" si="90"/>
        <v>297.50513563712764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3.4224326654501338</v>
      </c>
      <c r="AV78" s="21">
        <f>EXP(-LN(2)/25)*AV77+(1-EXP(-LN(2)/25))/(LN(2)/25)*Calculateur!AQ78*Calculateur!AS78*VLOOKUP('Données projet'!$B$10,Paramètres!$A$1:$I$89,3,0)*0.475*44/12</f>
        <v>8.0035177980751246</v>
      </c>
      <c r="AW78" s="21">
        <f>EXP(-LN(2)/2)*AW77+(1-EXP(-LN(2)/2))/(LN(2)/2)*AQ78*AT78*VLOOKUP('Données projet'!$B$10,Paramètres!$A$1:$I$89,3,0)*0.475*44/12</f>
        <v>4.1137332253311804E-6</v>
      </c>
      <c r="AX78" s="21">
        <f t="shared" si="60"/>
        <v>11.425954577258484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3.9</v>
      </c>
      <c r="BD78" s="12">
        <f>IF('Données projet'!$A$88&gt;35,BD77+BC78-BL77,IF(A78&lt;'Données projet'!$A$88,$BA$205^A78,IF(A78='Données projet'!$A$88,'Données projet'!$B$88,BD77+BC78-BL77)))</f>
        <v>322.4999999999996</v>
      </c>
      <c r="BE78" s="13">
        <f>BD78*VLOOKUP('Données projet'!$B$11,Paramètres!$A$1:$I$89,3,0)*VLOOKUP('Données projet'!$B$11,Paramètres!$A$1:$I$89,5,0)</f>
        <v>256.58099999999968</v>
      </c>
      <c r="BF78" s="13">
        <f t="shared" si="91"/>
        <v>61.993024805604399</v>
      </c>
      <c r="BG78" s="20">
        <f t="shared" si="61"/>
        <v>554.84975986976053</v>
      </c>
      <c r="BH78" s="59">
        <f t="shared" si="62"/>
        <v>848.1830932030939</v>
      </c>
      <c r="BI78" s="59">
        <f ca="1">AVERAGE(OFFSET($BH$3,0,0,'Données projet'!$E$11+1,1))-AVERAGE(OFFSET($H$3,0,0,'Données projet'!$E$11+1,1))</f>
        <v>260.20517190557814</v>
      </c>
      <c r="BJ78" s="59">
        <f t="shared" si="92"/>
        <v>307.22009971147133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1.3383731907858383</v>
      </c>
      <c r="BQ78" s="21">
        <f>EXP(-LN(2)/25)*BQ77+(1-EXP(-LN(2)/25))/(LN(2)/25)*Calculateur!BL78*Calculateur!BN78*VLOOKUP('Données projet'!$B$11,Paramètres!$A$1:$I$89,3,0)*0.475*44/12</f>
        <v>5.8927084737917479</v>
      </c>
      <c r="BR78" s="21">
        <f>EXP(-LN(2)/2)*BR77+(1-EXP(-LN(2)/2))/(LN(2)/2)*BL78*BO78*VLOOKUP('Données projet'!$B$11,Paramètres!$A$1:$I$89,3,0)*0.475*44/12</f>
        <v>4.0526781399966162E-6</v>
      </c>
      <c r="BS78" s="22">
        <f t="shared" si="63"/>
        <v>7.2310857172557261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4.7</v>
      </c>
      <c r="BY78" s="12">
        <f>IF('Données projet'!$A$114&gt;35,BY77+BX78-CG77,IF(A78&lt;'Données projet'!$A$114,$BV$205^A78,IF(A78='Données projet'!$A$114,'Données projet'!$B$114,BY77+BX78-CG77)))</f>
        <v>272.50000000000023</v>
      </c>
      <c r="BZ78" s="13">
        <f>BY78*VLOOKUP('Données projet'!$B$12,Paramètres!$A$1:$I$89,3,0)*VLOOKUP('Données projet'!$B$12,Paramètres!$A$1:$I$89,5,0)</f>
        <v>178.54200000000014</v>
      </c>
      <c r="CA78" s="13">
        <f t="shared" si="93"/>
        <v>44.997654647354175</v>
      </c>
      <c r="CB78" s="20">
        <f t="shared" si="64"/>
        <v>389.3315651774754</v>
      </c>
      <c r="CC78" s="59">
        <f t="shared" si="65"/>
        <v>682.66489851080871</v>
      </c>
      <c r="CD78" s="59">
        <f ca="1">AVERAGE(OFFSET($CC$3,0,0,'Données projet'!$E$12+1,1))-AVERAGE(OFFSET($H$3,0,0,'Données projet'!$E$12+1,1))</f>
        <v>185.21927898775016</v>
      </c>
      <c r="CE78" s="59">
        <f t="shared" si="94"/>
        <v>240.82467772396944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>
        <f>EXP(-LN(2)/35)*CK77+(1-EXP(-LN(2)/35))/(LN(2)/35)*CG78*CH78*VLOOKUP('Données projet'!$B$12,Paramètres!$A$1:$I$89,3,0)*0.475*44/12</f>
        <v>0.63873526308314099</v>
      </c>
      <c r="CL78" s="21">
        <f>EXP(-LN(2)/25)*CL77+(1-EXP(-LN(2)/25))/(LN(2)/25)*Calculateur!CG78*Calculateur!CI78*VLOOKUP('Données projet'!$B$12,Paramètres!$A$1:$I$89,3,0)*0.475*44/12</f>
        <v>2.3083177421428096</v>
      </c>
      <c r="CM78" s="21">
        <f>EXP(-LN(2)/2)*CM77+(1-EXP(-LN(2)/2))/(LN(2)/2)*CG78*CJ78*VLOOKUP('Données projet'!$B$12,Paramètres!$A$1:$I$89,3,0)*0.475*44/12</f>
        <v>2.35961794836535E-6</v>
      </c>
      <c r="CN78" s="22">
        <f t="shared" si="66"/>
        <v>2.9470553648438989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67.579200000000085</v>
      </c>
      <c r="D79" s="11">
        <f t="shared" si="86"/>
        <v>19.071061760403854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668.87921358908307</v>
      </c>
      <c r="H79" s="67">
        <f t="shared" si="56"/>
        <v>444.24920589937017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-2.2737367544323206E-13</v>
      </c>
      <c r="O79" s="13">
        <f>N79*VLOOKUP('Données projet'!$B$9,Paramètres!$A$1:$I$89,3,0)*VLOOKUP('Données projet'!$B$9,Paramètres!$A$1:$I$89,5,0)</f>
        <v>-1.2710188457276673E-13</v>
      </c>
      <c r="P79" s="13" t="e">
        <f t="shared" si="87"/>
        <v>#NUM!</v>
      </c>
      <c r="Q79" s="20" t="e">
        <f t="shared" si="54"/>
        <v>#NUM!</v>
      </c>
      <c r="R79" s="59" t="e">
        <f t="shared" si="55"/>
        <v>#NUM!</v>
      </c>
      <c r="S79" s="59">
        <f ca="1">AVERAGE(OFFSET($R$3,0,0,'Données projet'!$E$9+1,1))-AVERAGE(OFFSET($H$3,0,0,'Données projet'!$E$9+1,1))</f>
        <v>255.5374979188561</v>
      </c>
      <c r="T79" s="59">
        <f t="shared" si="88"/>
        <v>343.10418468620901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1.2425812540505552</v>
      </c>
      <c r="AA79" s="21">
        <f>EXP(-LN(2)/25)*AA78+(1-EXP(-LN(2)/25))/(LN(2)/25)*Calculateur!V79*Calculateur!X79*VLOOKUP('Données projet'!$B$9,Paramètres!$A$1:$I$89,3,0)*0.475*44/12</f>
        <v>4.4580480616370437</v>
      </c>
      <c r="AB79" s="21">
        <f>EXP(-LN(2)/2)*AB78+(1-EXP(-LN(2)/2))/(LN(2)/2)*V79*Y79*VLOOKUP('Données projet'!$B$9,Paramètres!$A$1:$I$89,3,0)*0.475*44/12</f>
        <v>2.0177985184837175E-7</v>
      </c>
      <c r="AC79" s="22">
        <f t="shared" si="57"/>
        <v>5.7006295174674504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6</v>
      </c>
      <c r="AI79" s="13">
        <f>IF('Données projet'!$A$62&gt;35,AI78+AH79-AQ78,IF(A79&lt;'Données projet'!$A$62,$AF$205^A79,IF(A79='Données projet'!$A$62,'Données projet'!$B$62,AI78+AH79-AQ78)))</f>
        <v>418</v>
      </c>
      <c r="AJ79" s="13">
        <f>AI79*VLOOKUP('Données projet'!$B$10,Paramètres!$A$1:$I$89,3,0)*VLOOKUP('Données projet'!$B$10,Paramètres!$A$1:$I$89,5,0)</f>
        <v>260.83199999999999</v>
      </c>
      <c r="AK79" s="13">
        <f t="shared" si="89"/>
        <v>62.899693744110721</v>
      </c>
      <c r="AL79" s="20">
        <f t="shared" si="58"/>
        <v>563.83269993765953</v>
      </c>
      <c r="AM79" s="59">
        <f t="shared" si="59"/>
        <v>857.16603327099278</v>
      </c>
      <c r="AN79" s="59">
        <f ca="1">AVERAGE(OFFSET($AM$3,0,0,'Données projet'!$E$10+1,1))-AVERAGE(OFFSET($H$3,0,0,'Données projet'!$E$10+1,1))</f>
        <v>255.41017495879987</v>
      </c>
      <c r="AO79" s="59">
        <f t="shared" si="90"/>
        <v>297.50513563712764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3.3553208483584611</v>
      </c>
      <c r="AV79" s="21">
        <f>EXP(-LN(2)/25)*AV78+(1-EXP(-LN(2)/25))/(LN(2)/25)*Calculateur!AQ79*Calculateur!AS79*VLOOKUP('Données projet'!$B$10,Paramètres!$A$1:$I$89,3,0)*0.475*44/12</f>
        <v>7.7846611830000514</v>
      </c>
      <c r="AW79" s="21">
        <f>EXP(-LN(2)/2)*AW78+(1-EXP(-LN(2)/2))/(LN(2)/2)*AQ79*AT79*VLOOKUP('Données projet'!$B$10,Paramètres!$A$1:$I$89,3,0)*0.475*44/12</f>
        <v>2.9088486596240854E-6</v>
      </c>
      <c r="AX79" s="21">
        <f t="shared" si="60"/>
        <v>11.139984940207171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3.9</v>
      </c>
      <c r="BD79" s="12">
        <f>IF('Données projet'!$A$88&gt;35,BD78+BC79-BL78,IF(A79&lt;'Données projet'!$A$88,$BA$205^A79,IF(A79='Données projet'!$A$88,'Données projet'!$B$88,BD78+BC79-BL78)))</f>
        <v>326.39999999999958</v>
      </c>
      <c r="BE79" s="13">
        <f>BD79*VLOOKUP('Données projet'!$B$11,Paramètres!$A$1:$I$89,3,0)*VLOOKUP('Données projet'!$B$11,Paramètres!$A$1:$I$89,5,0)</f>
        <v>259.68383999999969</v>
      </c>
      <c r="BF79" s="13">
        <f t="shared" si="91"/>
        <v>62.654980648867301</v>
      </c>
      <c r="BG79" s="20">
        <f t="shared" si="61"/>
        <v>561.40677929677668</v>
      </c>
      <c r="BH79" s="59">
        <f t="shared" si="62"/>
        <v>854.74011263010993</v>
      </c>
      <c r="BI79" s="59">
        <f ca="1">AVERAGE(OFFSET($BH$3,0,0,'Données projet'!$E$11+1,1))-AVERAGE(OFFSET($H$3,0,0,'Données projet'!$E$11+1,1))</f>
        <v>260.20517190557814</v>
      </c>
      <c r="BJ79" s="59">
        <f t="shared" si="92"/>
        <v>307.22009971147133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1.3121285088415688</v>
      </c>
      <c r="BQ79" s="21">
        <f>EXP(-LN(2)/25)*BQ78+(1-EXP(-LN(2)/25))/(LN(2)/25)*Calculateur!BL79*Calculateur!BN79*VLOOKUP('Données projet'!$B$11,Paramètres!$A$1:$I$89,3,0)*0.475*44/12</f>
        <v>5.7315720506918417</v>
      </c>
      <c r="BR79" s="21">
        <f>EXP(-LN(2)/2)*BR78+(1-EXP(-LN(2)/2))/(LN(2)/2)*BL79*BO79*VLOOKUP('Données projet'!$B$11,Paramètres!$A$1:$I$89,3,0)*0.475*44/12</f>
        <v>2.8656761947580917E-6</v>
      </c>
      <c r="BS79" s="22">
        <f t="shared" si="63"/>
        <v>7.043703425209606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4.7</v>
      </c>
      <c r="BY79" s="12">
        <f>IF('Données projet'!$A$114&gt;35,BY78+BX79-CG78,IF(A79&lt;'Données projet'!$A$114,$BV$205^A79,IF(A79='Données projet'!$A$114,'Données projet'!$B$114,BY78+BX79-CG78)))</f>
        <v>277.20000000000022</v>
      </c>
      <c r="BZ79" s="13">
        <f>BY79*VLOOKUP('Données projet'!$B$12,Paramètres!$A$1:$I$89,3,0)*VLOOKUP('Données projet'!$B$12,Paramètres!$A$1:$I$89,5,0)</f>
        <v>181.62144000000015</v>
      </c>
      <c r="CA79" s="13">
        <f t="shared" si="93"/>
        <v>45.682738200427785</v>
      </c>
      <c r="CB79" s="20">
        <f t="shared" si="64"/>
        <v>395.88811036574526</v>
      </c>
      <c r="CC79" s="59">
        <f t="shared" si="65"/>
        <v>689.22144369907858</v>
      </c>
      <c r="CD79" s="59">
        <f ca="1">AVERAGE(OFFSET($CC$3,0,0,'Données projet'!$E$12+1,1))-AVERAGE(OFFSET($H$3,0,0,'Données projet'!$E$12+1,1))</f>
        <v>185.21927898775016</v>
      </c>
      <c r="CE79" s="59">
        <f t="shared" si="94"/>
        <v>240.82467772396944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0.62621005416412223</v>
      </c>
      <c r="CL79" s="21">
        <f>EXP(-LN(2)/25)*CL78+(1-EXP(-LN(2)/25))/(LN(2)/25)*Calculateur!CG79*Calculateur!CI79*VLOOKUP('Données projet'!$B$12,Paramètres!$A$1:$I$89,3,0)*0.475*44/12</f>
        <v>2.2451966720947603</v>
      </c>
      <c r="CM79" s="21">
        <f>EXP(-LN(2)/2)*CM78+(1-EXP(-LN(2)/2))/(LN(2)/2)*CG79*CJ79*VLOOKUP('Données projet'!$B$12,Paramètres!$A$1:$I$89,3,0)*0.475*44/12</f>
        <v>1.6685018522986278E-6</v>
      </c>
      <c r="CN79" s="22">
        <f t="shared" si="66"/>
        <v>2.871408394760735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68.468400000000088</v>
      </c>
      <c r="D80" s="11">
        <f t="shared" si="86"/>
        <v>19.292618976952753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677.45347982209216</v>
      </c>
      <c r="H80" s="67">
        <f t="shared" si="56"/>
        <v>446.18377471819281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-2.2737367544323206E-13</v>
      </c>
      <c r="O80" s="13">
        <f>N80*VLOOKUP('Données projet'!$B$9,Paramètres!$A$1:$I$89,3,0)*VLOOKUP('Données projet'!$B$9,Paramètres!$A$1:$I$89,5,0)</f>
        <v>-1.2710188457276673E-13</v>
      </c>
      <c r="P80" s="13" t="e">
        <f t="shared" si="87"/>
        <v>#NUM!</v>
      </c>
      <c r="Q80" s="20" t="e">
        <f t="shared" si="54"/>
        <v>#NUM!</v>
      </c>
      <c r="R80" s="59" t="e">
        <f t="shared" si="55"/>
        <v>#NUM!</v>
      </c>
      <c r="S80" s="59">
        <f ca="1">AVERAGE(OFFSET($R$3,0,0,'Données projet'!$E$9+1,1))-AVERAGE(OFFSET($H$3,0,0,'Données projet'!$E$9+1,1))</f>
        <v>255.5374979188561</v>
      </c>
      <c r="T80" s="59">
        <f t="shared" si="88"/>
        <v>343.10418468620901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1.2182149935583524</v>
      </c>
      <c r="AA80" s="21">
        <f>EXP(-LN(2)/25)*AA79+(1-EXP(-LN(2)/25))/(LN(2)/25)*Calculateur!V80*Calculateur!X80*VLOOKUP('Données projet'!$B$9,Paramètres!$A$1:$I$89,3,0)*0.475*44/12</f>
        <v>4.3361425029530203</v>
      </c>
      <c r="AB80" s="21">
        <f>EXP(-LN(2)/2)*AB79+(1-EXP(-LN(2)/2))/(LN(2)/2)*V80*Y80*VLOOKUP('Données projet'!$B$9,Paramètres!$A$1:$I$89,3,0)*0.475*44/12</f>
        <v>1.4267990154880058E-7</v>
      </c>
      <c r="AC80" s="22">
        <f t="shared" si="57"/>
        <v>5.5543576391912746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6</v>
      </c>
      <c r="AI80" s="13">
        <f>IF('Données projet'!$A$62&gt;35,AI79+AH80-AQ79,IF(A80&lt;'Données projet'!$A$62,$AF$205^A80,IF(A80='Données projet'!$A$62,'Données projet'!$B$62,AI79+AH80-AQ79)))</f>
        <v>424</v>
      </c>
      <c r="AJ80" s="13">
        <f>AI80*VLOOKUP('Données projet'!$B$10,Paramètres!$A$1:$I$89,3,0)*VLOOKUP('Données projet'!$B$10,Paramètres!$A$1:$I$89,5,0)</f>
        <v>264.57599999999996</v>
      </c>
      <c r="AK80" s="13">
        <f t="shared" si="89"/>
        <v>63.696803579002321</v>
      </c>
      <c r="AL80" s="20">
        <f t="shared" si="58"/>
        <v>571.74179956676232</v>
      </c>
      <c r="AM80" s="59">
        <f t="shared" si="59"/>
        <v>865.0751329000957</v>
      </c>
      <c r="AN80" s="59">
        <f ca="1">AVERAGE(OFFSET($AM$3,0,0,'Données projet'!$E$10+1,1))-AVERAGE(OFFSET($H$3,0,0,'Données projet'!$E$10+1,1))</f>
        <v>255.41017495879987</v>
      </c>
      <c r="AO80" s="59">
        <f t="shared" si="90"/>
        <v>297.50513563712764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3.2895250530657898</v>
      </c>
      <c r="AV80" s="21">
        <f>EXP(-LN(2)/25)*AV79+(1-EXP(-LN(2)/25))/(LN(2)/25)*Calculateur!AQ80*Calculateur!AS80*VLOOKUP('Données projet'!$B$10,Paramètres!$A$1:$I$89,3,0)*0.475*44/12</f>
        <v>7.5717892135733758</v>
      </c>
      <c r="AW80" s="21">
        <f>EXP(-LN(2)/2)*AW79+(1-EXP(-LN(2)/2))/(LN(2)/2)*AQ80*AT80*VLOOKUP('Données projet'!$B$10,Paramètres!$A$1:$I$89,3,0)*0.475*44/12</f>
        <v>2.0568666126655902E-6</v>
      </c>
      <c r="AX80" s="21">
        <f t="shared" si="60"/>
        <v>10.861316323505779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3.9</v>
      </c>
      <c r="BD80" s="12">
        <f>IF('Données projet'!$A$88&gt;35,BD79+BC80-BL79,IF(A80&lt;'Données projet'!$A$88,$BA$205^A80,IF(A80='Données projet'!$A$88,'Données projet'!$B$88,BD79+BC80-BL79)))</f>
        <v>330.29999999999956</v>
      </c>
      <c r="BE80" s="13">
        <f>BD80*VLOOKUP('Données projet'!$B$11,Paramètres!$A$1:$I$89,3,0)*VLOOKUP('Données projet'!$B$11,Paramètres!$A$1:$I$89,5,0)</f>
        <v>262.78667999999965</v>
      </c>
      <c r="BF80" s="13">
        <f t="shared" si="91"/>
        <v>63.316016454882053</v>
      </c>
      <c r="BG80" s="20">
        <f t="shared" si="61"/>
        <v>567.96219632558564</v>
      </c>
      <c r="BH80" s="59">
        <f t="shared" si="62"/>
        <v>861.29552965891889</v>
      </c>
      <c r="BI80" s="59">
        <f ca="1">AVERAGE(OFFSET($BH$3,0,0,'Données projet'!$E$11+1,1))-AVERAGE(OFFSET($H$3,0,0,'Données projet'!$E$11+1,1))</f>
        <v>260.20517190557814</v>
      </c>
      <c r="BJ80" s="59">
        <f t="shared" si="92"/>
        <v>307.22009971147133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1.2863984691025512</v>
      </c>
      <c r="BQ80" s="21">
        <f>EXP(-LN(2)/25)*BQ79+(1-EXP(-LN(2)/25))/(LN(2)/25)*Calculateur!BL80*Calculateur!BN80*VLOOKUP('Données projet'!$B$11,Paramètres!$A$1:$I$89,3,0)*0.475*44/12</f>
        <v>5.5748419115553984</v>
      </c>
      <c r="BR80" s="21">
        <f>EXP(-LN(2)/2)*BR79+(1-EXP(-LN(2)/2))/(LN(2)/2)*BL80*BO80*VLOOKUP('Données projet'!$B$11,Paramètres!$A$1:$I$89,3,0)*0.475*44/12</f>
        <v>2.0263390699983081E-6</v>
      </c>
      <c r="BS80" s="22">
        <f t="shared" si="63"/>
        <v>6.8612424069970199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4.7</v>
      </c>
      <c r="BY80" s="12">
        <f>IF('Données projet'!$A$114&gt;35,BY79+BX80-CG79,IF(A80&lt;'Données projet'!$A$114,$BV$205^A80,IF(A80='Données projet'!$A$114,'Données projet'!$B$114,BY79+BX80-CG79)))</f>
        <v>281.9000000000002</v>
      </c>
      <c r="BZ80" s="13">
        <f>BY80*VLOOKUP('Données projet'!$B$12,Paramètres!$A$1:$I$89,3,0)*VLOOKUP('Données projet'!$B$12,Paramètres!$A$1:$I$89,5,0)</f>
        <v>184.70088000000013</v>
      </c>
      <c r="CA80" s="13">
        <f t="shared" si="93"/>
        <v>46.366470942266808</v>
      </c>
      <c r="CB80" s="20">
        <f t="shared" si="64"/>
        <v>402.44230289111488</v>
      </c>
      <c r="CC80" s="59">
        <f t="shared" si="65"/>
        <v>695.77563622444814</v>
      </c>
      <c r="CD80" s="59">
        <f ca="1">AVERAGE(OFFSET($CC$3,0,0,'Données projet'!$E$12+1,1))-AVERAGE(OFFSET($H$3,0,0,'Données projet'!$E$12+1,1))</f>
        <v>185.21927898775016</v>
      </c>
      <c r="CE80" s="59">
        <f t="shared" si="94"/>
        <v>240.82467772396944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0.61393045695238235</v>
      </c>
      <c r="CL80" s="21">
        <f>EXP(-LN(2)/25)*CL79+(1-EXP(-LN(2)/25))/(LN(2)/25)*Calculateur!CG80*Calculateur!CI80*VLOOKUP('Données projet'!$B$12,Paramètres!$A$1:$I$89,3,0)*0.475*44/12</f>
        <v>2.1838016510265676</v>
      </c>
      <c r="CM80" s="21">
        <f>EXP(-LN(2)/2)*CM79+(1-EXP(-LN(2)/2))/(LN(2)/2)*CG80*CJ80*VLOOKUP('Données projet'!$B$12,Paramètres!$A$1:$I$89,3,0)*0.475*44/12</f>
        <v>1.179808974182675E-6</v>
      </c>
      <c r="CN80" s="22">
        <f t="shared" si="66"/>
        <v>2.7977332877879242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69.35760000000009</v>
      </c>
      <c r="D81" s="11">
        <f t="shared" si="86"/>
        <v>19.51384151112245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686.02516254199861</v>
      </c>
      <c r="H81" s="67">
        <f t="shared" si="56"/>
        <v>448.11776063187176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-2.2737367544323206E-13</v>
      </c>
      <c r="O81" s="13">
        <f>N81*VLOOKUP('Données projet'!$B$9,Paramètres!$A$1:$I$89,3,0)*VLOOKUP('Données projet'!$B$9,Paramètres!$A$1:$I$89,5,0)</f>
        <v>-1.2710188457276673E-13</v>
      </c>
      <c r="P81" s="13" t="e">
        <f t="shared" si="87"/>
        <v>#NUM!</v>
      </c>
      <c r="Q81" s="20" t="e">
        <f t="shared" si="54"/>
        <v>#NUM!</v>
      </c>
      <c r="R81" s="59" t="e">
        <f t="shared" si="55"/>
        <v>#NUM!</v>
      </c>
      <c r="S81" s="59">
        <f ca="1">AVERAGE(OFFSET($R$3,0,0,'Données projet'!$E$9+1,1))-AVERAGE(OFFSET($H$3,0,0,'Données projet'!$E$9+1,1))</f>
        <v>255.5374979188561</v>
      </c>
      <c r="T81" s="59">
        <f t="shared" si="88"/>
        <v>343.10418468620901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1.1943265405724504</v>
      </c>
      <c r="AA81" s="21">
        <f>EXP(-LN(2)/25)*AA80+(1-EXP(-LN(2)/25))/(LN(2)/25)*Calculateur!V81*Calculateur!X81*VLOOKUP('Données projet'!$B$9,Paramètres!$A$1:$I$89,3,0)*0.475*44/12</f>
        <v>4.217570458181946</v>
      </c>
      <c r="AB81" s="21">
        <f>EXP(-LN(2)/2)*AB80+(1-EXP(-LN(2)/2))/(LN(2)/2)*V81*Y81*VLOOKUP('Données projet'!$B$9,Paramètres!$A$1:$I$89,3,0)*0.475*44/12</f>
        <v>1.0088992592418587E-7</v>
      </c>
      <c r="AC81" s="22">
        <f t="shared" si="57"/>
        <v>5.4118970996443219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6</v>
      </c>
      <c r="AI81" s="13">
        <f>IF('Données projet'!$A$62&gt;35,AI80+AH81-AQ80,IF(A81&lt;'Données projet'!$A$62,$AF$205^A81,IF(A81='Données projet'!$A$62,'Données projet'!$B$62,AI80+AH81-AQ80)))</f>
        <v>430</v>
      </c>
      <c r="AJ81" s="13">
        <f>AI81*VLOOKUP('Données projet'!$B$10,Paramètres!$A$1:$I$89,3,0)*VLOOKUP('Données projet'!$B$10,Paramètres!$A$1:$I$89,5,0)</f>
        <v>268.32</v>
      </c>
      <c r="AK81" s="13">
        <f t="shared" si="89"/>
        <v>64.492601473092478</v>
      </c>
      <c r="AL81" s="20">
        <f t="shared" si="58"/>
        <v>579.64861423230275</v>
      </c>
      <c r="AM81" s="59">
        <f t="shared" si="59"/>
        <v>872.98194756563612</v>
      </c>
      <c r="AN81" s="59">
        <f ca="1">AVERAGE(OFFSET($AM$3,0,0,'Données projet'!$E$10+1,1))-AVERAGE(OFFSET($H$3,0,0,'Données projet'!$E$10+1,1))</f>
        <v>255.41017495879987</v>
      </c>
      <c r="AO81" s="59">
        <f t="shared" si="90"/>
        <v>297.50513563712764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3.2250194731873352</v>
      </c>
      <c r="AV81" s="21">
        <f>EXP(-LN(2)/25)*AV80+(1-EXP(-LN(2)/25))/(LN(2)/25)*Calculateur!AQ81*Calculateur!AS81*VLOOKUP('Données projet'!$B$10,Paramètres!$A$1:$I$89,3,0)*0.475*44/12</f>
        <v>7.3647382393451224</v>
      </c>
      <c r="AW81" s="21">
        <f>EXP(-LN(2)/2)*AW80+(1-EXP(-LN(2)/2))/(LN(2)/2)*AQ81*AT81*VLOOKUP('Données projet'!$B$10,Paramètres!$A$1:$I$89,3,0)*0.475*44/12</f>
        <v>1.4544243298120427E-6</v>
      </c>
      <c r="AX81" s="21">
        <f t="shared" si="60"/>
        <v>10.589759166956787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3.9</v>
      </c>
      <c r="BD81" s="12">
        <f>IF('Données projet'!$A$88&gt;35,BD80+BC81-BL80,IF(A81&lt;'Données projet'!$A$88,$BA$205^A81,IF(A81='Données projet'!$A$88,'Données projet'!$B$88,BD80+BC81-BL80)))</f>
        <v>334.19999999999953</v>
      </c>
      <c r="BE81" s="13">
        <f>BD81*VLOOKUP('Données projet'!$B$11,Paramètres!$A$1:$I$89,3,0)*VLOOKUP('Données projet'!$B$11,Paramètres!$A$1:$I$89,5,0)</f>
        <v>265.88951999999961</v>
      </c>
      <c r="BF81" s="13">
        <f t="shared" si="91"/>
        <v>63.97614434366357</v>
      </c>
      <c r="BG81" s="20">
        <f t="shared" si="61"/>
        <v>574.51603206521338</v>
      </c>
      <c r="BH81" s="59">
        <f t="shared" si="62"/>
        <v>867.84936539854675</v>
      </c>
      <c r="BI81" s="59">
        <f ca="1">AVERAGE(OFFSET($BH$3,0,0,'Données projet'!$E$11+1,1))-AVERAGE(OFFSET($H$3,0,0,'Données projet'!$E$11+1,1))</f>
        <v>260.20517190557814</v>
      </c>
      <c r="BJ81" s="59">
        <f t="shared" si="92"/>
        <v>307.22009971147133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1.261172979749041</v>
      </c>
      <c r="BQ81" s="21">
        <f>EXP(-LN(2)/25)*BQ80+(1-EXP(-LN(2)/25))/(LN(2)/25)*Calculateur!BL81*Calculateur!BN81*VLOOKUP('Données projet'!$B$11,Paramètres!$A$1:$I$89,3,0)*0.475*44/12</f>
        <v>5.4223975663157216</v>
      </c>
      <c r="BR81" s="21">
        <f>EXP(-LN(2)/2)*BR80+(1-EXP(-LN(2)/2))/(LN(2)/2)*BL81*BO81*VLOOKUP('Données projet'!$B$11,Paramètres!$A$1:$I$89,3,0)*0.475*44/12</f>
        <v>1.4328380973790459E-6</v>
      </c>
      <c r="BS81" s="22">
        <f t="shared" si="63"/>
        <v>6.6835719789028598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4.7</v>
      </c>
      <c r="BY81" s="12">
        <f>IF('Données projet'!$A$114&gt;35,BY80+BX81-CG80,IF(A81&lt;'Données projet'!$A$114,$BV$205^A81,IF(A81='Données projet'!$A$114,'Données projet'!$B$114,BY80+BX81-CG80)))</f>
        <v>286.60000000000019</v>
      </c>
      <c r="BZ81" s="13">
        <f>BY81*VLOOKUP('Données projet'!$B$12,Paramètres!$A$1:$I$89,3,0)*VLOOKUP('Données projet'!$B$12,Paramètres!$A$1:$I$89,5,0)</f>
        <v>187.78032000000013</v>
      </c>
      <c r="CA81" s="13">
        <f t="shared" si="93"/>
        <v>47.048877993845274</v>
      </c>
      <c r="CB81" s="20">
        <f t="shared" si="64"/>
        <v>408.99418650594743</v>
      </c>
      <c r="CC81" s="59">
        <f t="shared" si="65"/>
        <v>702.32751983928074</v>
      </c>
      <c r="CD81" s="59">
        <f ca="1">AVERAGE(OFFSET($CC$3,0,0,'Données projet'!$E$12+1,1))-AVERAGE(OFFSET($H$3,0,0,'Données projet'!$E$12+1,1))</f>
        <v>185.21927898775016</v>
      </c>
      <c r="CE81" s="59">
        <f t="shared" si="94"/>
        <v>240.82467772396944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0.60189165515214993</v>
      </c>
      <c r="CL81" s="21">
        <f>EXP(-LN(2)/25)*CL80+(1-EXP(-LN(2)/25))/(LN(2)/25)*Calculateur!CG81*Calculateur!CI81*VLOOKUP('Données projet'!$B$12,Paramètres!$A$1:$I$89,3,0)*0.475*44/12</f>
        <v>2.1240854800381084</v>
      </c>
      <c r="CM81" s="21">
        <f>EXP(-LN(2)/2)*CM80+(1-EXP(-LN(2)/2))/(LN(2)/2)*CG81*CJ81*VLOOKUP('Données projet'!$B$12,Paramètres!$A$1:$I$89,3,0)*0.475*44/12</f>
        <v>8.3425092614931388E-7</v>
      </c>
      <c r="CN81" s="22">
        <f t="shared" si="66"/>
        <v>2.7259779694411845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70.246800000000093</v>
      </c>
      <c r="D82" s="11">
        <f t="shared" si="86"/>
        <v>19.734734149853086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694.59429870062104</v>
      </c>
      <c r="H82" s="67">
        <f t="shared" si="56"/>
        <v>450.05117197766094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-2.2737367544323206E-13</v>
      </c>
      <c r="O82" s="13">
        <f>N82*VLOOKUP('Données projet'!$B$9,Paramètres!$A$1:$I$89,3,0)*VLOOKUP('Données projet'!$B$9,Paramètres!$A$1:$I$89,5,0)</f>
        <v>-1.2710188457276673E-13</v>
      </c>
      <c r="P82" s="13" t="e">
        <f t="shared" si="87"/>
        <v>#NUM!</v>
      </c>
      <c r="Q82" s="20" t="e">
        <f t="shared" si="54"/>
        <v>#NUM!</v>
      </c>
      <c r="R82" s="59" t="e">
        <f t="shared" si="55"/>
        <v>#NUM!</v>
      </c>
      <c r="S82" s="59">
        <f ca="1">AVERAGE(OFFSET($R$3,0,0,'Données projet'!$E$9+1,1))-AVERAGE(OFFSET($H$3,0,0,'Données projet'!$E$9+1,1))</f>
        <v>255.5374979188561</v>
      </c>
      <c r="T82" s="59">
        <f t="shared" si="88"/>
        <v>343.10418468620901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1.1709065255790843</v>
      </c>
      <c r="AA82" s="21">
        <f>EXP(-LN(2)/25)*AA81+(1-EXP(-LN(2)/25))/(LN(2)/25)*Calculateur!V82*Calculateur!X82*VLOOKUP('Données projet'!$B$9,Paramètres!$A$1:$I$89,3,0)*0.475*44/12</f>
        <v>4.1022407722105694</v>
      </c>
      <c r="AB82" s="21">
        <f>EXP(-LN(2)/2)*AB81+(1-EXP(-LN(2)/2))/(LN(2)/2)*V82*Y82*VLOOKUP('Données projet'!$B$9,Paramètres!$A$1:$I$89,3,0)*0.475*44/12</f>
        <v>7.1339950774400288E-8</v>
      </c>
      <c r="AC82" s="22">
        <f t="shared" si="57"/>
        <v>5.2731473691296049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6</v>
      </c>
      <c r="AI82" s="13">
        <f>IF('Données projet'!$A$62&gt;35,AI81+AH82-AQ81,IF(A82&lt;'Données projet'!$A$62,$AF$205^A82,IF(A82='Données projet'!$A$62,'Données projet'!$B$62,AI81+AH82-AQ81)))</f>
        <v>436</v>
      </c>
      <c r="AJ82" s="13">
        <f>AI82*VLOOKUP('Données projet'!$B$10,Paramètres!$A$1:$I$89,3,0)*VLOOKUP('Données projet'!$B$10,Paramètres!$A$1:$I$89,5,0)</f>
        <v>272.06400000000002</v>
      </c>
      <c r="AK82" s="13">
        <f t="shared" si="89"/>
        <v>65.28710784811372</v>
      </c>
      <c r="AL82" s="20">
        <f t="shared" si="58"/>
        <v>587.55317950213146</v>
      </c>
      <c r="AM82" s="59">
        <f t="shared" si="59"/>
        <v>880.88651283546483</v>
      </c>
      <c r="AN82" s="59">
        <f ca="1">AVERAGE(OFFSET($AM$3,0,0,'Données projet'!$E$10+1,1))-AVERAGE(OFFSET($H$3,0,0,'Données projet'!$E$10+1,1))</f>
        <v>255.41017495879987</v>
      </c>
      <c r="AO82" s="59">
        <f t="shared" si="90"/>
        <v>297.50513563712764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3.1617788083857783</v>
      </c>
      <c r="AV82" s="21">
        <f>EXP(-LN(2)/25)*AV81+(1-EXP(-LN(2)/25))/(LN(2)/25)*Calculateur!AQ82*Calculateur!AS82*VLOOKUP('Données projet'!$B$10,Paramètres!$A$1:$I$89,3,0)*0.475*44/12</f>
        <v>7.1633490848954784</v>
      </c>
      <c r="AW82" s="21">
        <f>EXP(-LN(2)/2)*AW81+(1-EXP(-LN(2)/2))/(LN(2)/2)*AQ82*AT82*VLOOKUP('Données projet'!$B$10,Paramètres!$A$1:$I$89,3,0)*0.475*44/12</f>
        <v>1.0284333063327951E-6</v>
      </c>
      <c r="AX82" s="21">
        <f t="shared" si="60"/>
        <v>10.325128921714564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3.9</v>
      </c>
      <c r="BD82" s="12">
        <f>IF('Données projet'!$A$88&gt;35,BD81+BC82-BL81,IF(A82&lt;'Données projet'!$A$88,$BA$205^A82,IF(A82='Données projet'!$A$88,'Données projet'!$B$88,BD81+BC82-BL81)))</f>
        <v>338.09999999999951</v>
      </c>
      <c r="BE82" s="13">
        <f>BD82*VLOOKUP('Données projet'!$B$11,Paramètres!$A$1:$I$89,3,0)*VLOOKUP('Données projet'!$B$11,Paramètres!$A$1:$I$89,5,0)</f>
        <v>268.99235999999962</v>
      </c>
      <c r="BF82" s="13">
        <f t="shared" si="91"/>
        <v>64.63537613607356</v>
      </c>
      <c r="BG82" s="20">
        <f t="shared" si="61"/>
        <v>581.06830710366069</v>
      </c>
      <c r="BH82" s="59">
        <f t="shared" si="62"/>
        <v>874.40164043699406</v>
      </c>
      <c r="BI82" s="59">
        <f ca="1">AVERAGE(OFFSET($BH$3,0,0,'Données projet'!$E$11+1,1))-AVERAGE(OFFSET($H$3,0,0,'Données projet'!$E$11+1,1))</f>
        <v>260.20517190557814</v>
      </c>
      <c r="BJ82" s="59">
        <f t="shared" si="92"/>
        <v>307.22009971147133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1.2364421468557238</v>
      </c>
      <c r="BQ82" s="21">
        <f>EXP(-LN(2)/25)*BQ81+(1-EXP(-LN(2)/25))/(LN(2)/25)*Calculateur!BL82*Calculateur!BN82*VLOOKUP('Données projet'!$B$11,Paramètres!$A$1:$I$89,3,0)*0.475*44/12</f>
        <v>5.2741218197133231</v>
      </c>
      <c r="BR82" s="21">
        <f>EXP(-LN(2)/2)*BR81+(1-EXP(-LN(2)/2))/(LN(2)/2)*BL82*BO82*VLOOKUP('Données projet'!$B$11,Paramètres!$A$1:$I$89,3,0)*0.475*44/12</f>
        <v>1.013169534999154E-6</v>
      </c>
      <c r="BS82" s="22">
        <f t="shared" si="63"/>
        <v>6.5105649797385814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4.7</v>
      </c>
      <c r="BY82" s="12">
        <f>IF('Données projet'!$A$114&gt;35,BY81+BX82-CG81,IF(A82&lt;'Données projet'!$A$114,$BV$205^A82,IF(A82='Données projet'!$A$114,'Données projet'!$B$114,BY81+BX82-CG81)))</f>
        <v>291.30000000000018</v>
      </c>
      <c r="BZ82" s="13">
        <f>BY82*VLOOKUP('Données projet'!$B$12,Paramètres!$A$1:$I$89,3,0)*VLOOKUP('Données projet'!$B$12,Paramètres!$A$1:$I$89,5,0)</f>
        <v>190.85976000000014</v>
      </c>
      <c r="CA82" s="13">
        <f t="shared" si="93"/>
        <v>47.729983604973754</v>
      </c>
      <c r="CB82" s="20">
        <f t="shared" si="64"/>
        <v>415.5438034453295</v>
      </c>
      <c r="CC82" s="59">
        <f t="shared" si="65"/>
        <v>708.87713677866282</v>
      </c>
      <c r="CD82" s="59">
        <f ca="1">AVERAGE(OFFSET($CC$3,0,0,'Données projet'!$E$12+1,1))-AVERAGE(OFFSET($H$3,0,0,'Données projet'!$E$12+1,1))</f>
        <v>185.21927898775016</v>
      </c>
      <c r="CE82" s="59">
        <f t="shared" si="94"/>
        <v>240.82467772396944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0.5900889269122761</v>
      </c>
      <c r="CL82" s="21">
        <f>EXP(-LN(2)/25)*CL81+(1-EXP(-LN(2)/25))/(LN(2)/25)*Calculateur!CG82*Calculateur!CI82*VLOOKUP('Données projet'!$B$12,Paramètres!$A$1:$I$89,3,0)*0.475*44/12</f>
        <v>2.0660022508856657</v>
      </c>
      <c r="CM82" s="21">
        <f>EXP(-LN(2)/2)*CM81+(1-EXP(-LN(2)/2))/(LN(2)/2)*CG82*CJ82*VLOOKUP('Données projet'!$B$12,Paramètres!$A$1:$I$89,3,0)*0.475*44/12</f>
        <v>5.899044870913375E-7</v>
      </c>
      <c r="CN82" s="22">
        <f t="shared" si="66"/>
        <v>2.6560917677024287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71.136000000000095</v>
      </c>
      <c r="D83" s="11">
        <f t="shared" si="86"/>
        <v>19.955301551927505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703.16092426049374</v>
      </c>
      <c r="H83" s="67">
        <f t="shared" si="56"/>
        <v>451.98401686960722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-2.2737367544323206E-13</v>
      </c>
      <c r="O83" s="13">
        <f>N83*VLOOKUP('Données projet'!$B$9,Paramètres!$A$1:$I$89,3,0)*VLOOKUP('Données projet'!$B$9,Paramètres!$A$1:$I$89,5,0)</f>
        <v>-1.2710188457276673E-13</v>
      </c>
      <c r="P83" s="13" t="e">
        <f t="shared" si="87"/>
        <v>#NUM!</v>
      </c>
      <c r="Q83" s="20" t="e">
        <f t="shared" si="54"/>
        <v>#NUM!</v>
      </c>
      <c r="R83" s="59" t="e">
        <f t="shared" si="55"/>
        <v>#NUM!</v>
      </c>
      <c r="S83" s="59">
        <f ca="1">AVERAGE(OFFSET($R$3,0,0,'Données projet'!$E$9+1,1))-AVERAGE(OFFSET($H$3,0,0,'Données projet'!$E$9+1,1))</f>
        <v>255.5374979188561</v>
      </c>
      <c r="T83" s="59">
        <f t="shared" si="88"/>
        <v>343.10418468620901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1.1479457627949394</v>
      </c>
      <c r="AA83" s="21">
        <f>EXP(-LN(2)/25)*AA82+(1-EXP(-LN(2)/25))/(LN(2)/25)*Calculateur!V83*Calculateur!X83*VLOOKUP('Données projet'!$B$9,Paramètres!$A$1:$I$89,3,0)*0.475*44/12</f>
        <v>3.9900647825670048</v>
      </c>
      <c r="AB83" s="21">
        <f>EXP(-LN(2)/2)*AB82+(1-EXP(-LN(2)/2))/(LN(2)/2)*V83*Y83*VLOOKUP('Données projet'!$B$9,Paramètres!$A$1:$I$89,3,0)*0.475*44/12</f>
        <v>5.0444962962092937E-8</v>
      </c>
      <c r="AC83" s="22">
        <f t="shared" si="57"/>
        <v>5.1380105958069073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>
        <f>VLOOKUP(A83,'Données projet'!$A$61:$I$81,2,0)</f>
        <v>442</v>
      </c>
      <c r="AG83" s="12">
        <f>VLOOKUP(A83,'Données projet'!$A$61:$I$81,9,0)</f>
        <v>6</v>
      </c>
      <c r="AH83" s="12">
        <f t="array" ref="AH83">INDEX(AG:AG,MIN(IF(ISNUMBER(AG83:AG279),ROW(AG83:AG279),"")))</f>
        <v>6</v>
      </c>
      <c r="AI83" s="13">
        <f>IF('Données projet'!$A$62&gt;35,AI82+AH83-AQ82,IF(A83&lt;'Données projet'!$A$62,$AF$205^A83,IF(A83='Données projet'!$A$62,'Données projet'!$B$62,AI82+AH83-AQ82)))</f>
        <v>442</v>
      </c>
      <c r="AJ83" s="13">
        <f>AI83*VLOOKUP('Données projet'!$B$10,Paramètres!$A$1:$I$89,3,0)*VLOOKUP('Données projet'!$B$10,Paramètres!$A$1:$I$89,5,0)</f>
        <v>275.80799999999999</v>
      </c>
      <c r="AK83" s="13">
        <f t="shared" si="89"/>
        <v>66.08034253144065</v>
      </c>
      <c r="AL83" s="20">
        <f t="shared" si="58"/>
        <v>595.45552990892566</v>
      </c>
      <c r="AM83" s="59">
        <f t="shared" si="59"/>
        <v>888.78886324225891</v>
      </c>
      <c r="AN83" s="59">
        <f ca="1">AVERAGE(OFFSET($AM$3,0,0,'Données projet'!$E$10+1,1))-AVERAGE(OFFSET($H$3,0,0,'Données projet'!$E$10+1,1))</f>
        <v>255.41017495879987</v>
      </c>
      <c r="AO83" s="59">
        <f t="shared" si="90"/>
        <v>297.50513563712764</v>
      </c>
      <c r="AP83" s="15">
        <f>IF(ISNA(VLOOKUP(A83,'Données projet'!$A$61:$I$81,3,0)),0,VLOOKUP(A83,'Données projet'!$A$61:$I$81,3,0))</f>
        <v>7</v>
      </c>
      <c r="AQ83" s="15">
        <f>IF(ISNA(VLOOKUP(A83,'Données projet'!$A$61:$I$81,4,0)),0,VLOOKUP(A83,'Données projet'!$A$61:$I$81,4,0))</f>
        <v>442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3.0997782544479833</v>
      </c>
      <c r="AV83" s="21">
        <f>EXP(-LN(2)/25)*AV82+(1-EXP(-LN(2)/25))/(LN(2)/25)*Calculateur!AQ83*Calculateur!AS83*VLOOKUP('Données projet'!$B$10,Paramètres!$A$1:$I$89,3,0)*0.475*44/12</f>
        <v>6.9674669274648551</v>
      </c>
      <c r="AW83" s="21">
        <f>EXP(-LN(2)/2)*AW82+(1-EXP(-LN(2)/2))/(LN(2)/2)*AQ83*AT83*VLOOKUP('Données projet'!$B$10,Paramètres!$A$1:$I$89,3,0)*0.475*44/12</f>
        <v>7.2721216490602135E-7</v>
      </c>
      <c r="AX83" s="21">
        <f t="shared" si="60"/>
        <v>10.067245909125003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>
        <f>VLOOKUP(A83,'Données projet'!$A$87:$I$107,2,0)</f>
        <v>342</v>
      </c>
      <c r="BB83" s="12">
        <f>VLOOKUP(A83,'Données projet'!$A$87:$I$107,9,0)</f>
        <v>3.9</v>
      </c>
      <c r="BC83" s="12">
        <f t="array" ref="BC83">INDEX(BB:BB,MIN(IF(ISNUMBER(BB83:BB279),ROW(BB83:BB279),"")))</f>
        <v>3.9</v>
      </c>
      <c r="BD83" s="12">
        <f>IF('Données projet'!$A$88&gt;35,BD82+BC83-BL82,IF(A83&lt;'Données projet'!$A$88,$BA$205^A83,IF(A83='Données projet'!$A$88,'Données projet'!$B$88,BD82+BC83-BL82)))</f>
        <v>341.99999999999949</v>
      </c>
      <c r="BE83" s="13">
        <f>BD83*VLOOKUP('Données projet'!$B$11,Paramètres!$A$1:$I$89,3,0)*VLOOKUP('Données projet'!$B$11,Paramètres!$A$1:$I$89,5,0)</f>
        <v>272.09519999999958</v>
      </c>
      <c r="BF83" s="13">
        <f t="shared" si="91"/>
        <v>65.293723364568322</v>
      </c>
      <c r="BG83" s="20">
        <f t="shared" si="61"/>
        <v>587.61904152662237</v>
      </c>
      <c r="BH83" s="59">
        <f t="shared" si="62"/>
        <v>880.95237485995563</v>
      </c>
      <c r="BI83" s="59">
        <f ca="1">AVERAGE(OFFSET($BH$3,0,0,'Données projet'!$E$11+1,1))-AVERAGE(OFFSET($H$3,0,0,'Données projet'!$E$11+1,1))</f>
        <v>260.20517190557814</v>
      </c>
      <c r="BJ83" s="59">
        <f t="shared" si="92"/>
        <v>307.22009971147133</v>
      </c>
      <c r="BK83" s="15">
        <f>IF(ISNA(VLOOKUP(A83,'Données projet'!$A$87:$I$107,3,0)),0,VLOOKUP(A83,'Données projet'!$A$87:$I$107,3,0))</f>
        <v>7</v>
      </c>
      <c r="BL83" s="21">
        <f>IF(ISNA(VLOOKUP(A83,'Données projet'!$A$87:$I$107,4,0)),0,VLOOKUP(A83,'Données projet'!$A$87:$I$107,4,0))</f>
        <v>342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1.212196270511126</v>
      </c>
      <c r="BQ83" s="21">
        <f>EXP(-LN(2)/25)*BQ82+(1-EXP(-LN(2)/25))/(LN(2)/25)*Calculateur!BL83*Calculateur!BN83*VLOOKUP('Données projet'!$B$11,Paramètres!$A$1:$I$89,3,0)*0.475*44/12</f>
        <v>5.12990068119925</v>
      </c>
      <c r="BR83" s="21">
        <f>EXP(-LN(2)/2)*BR82+(1-EXP(-LN(2)/2))/(LN(2)/2)*BL83*BO83*VLOOKUP('Données projet'!$B$11,Paramètres!$A$1:$I$89,3,0)*0.475*44/12</f>
        <v>7.1641904868952293E-7</v>
      </c>
      <c r="BS83" s="22">
        <f t="shared" si="63"/>
        <v>6.3420976681294245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>
        <f>VLOOKUP(A83,'Données projet'!$A$113:$I$133,2,0)</f>
        <v>296</v>
      </c>
      <c r="BW83" s="12">
        <f>VLOOKUP(A83,'Données projet'!$A$113:$I$133,9,0)</f>
        <v>4.7</v>
      </c>
      <c r="BX83" s="12">
        <f t="array" ref="BX83">INDEX(BW:BW,MIN(IF(ISNUMBER(BW83:BW279),ROW(BW83:BW279),"")))</f>
        <v>4.7</v>
      </c>
      <c r="BY83" s="12">
        <f>IF('Données projet'!$A$114&gt;35,BY82+BX83-CG82,IF(A83&lt;'Données projet'!$A$114,$BV$205^A83,IF(A83='Données projet'!$A$114,'Données projet'!$B$114,BY82+BX83-CG82)))</f>
        <v>296.00000000000017</v>
      </c>
      <c r="BZ83" s="13">
        <f>BY83*VLOOKUP('Données projet'!$B$12,Paramètres!$A$1:$I$89,3,0)*VLOOKUP('Données projet'!$B$12,Paramètres!$A$1:$I$89,5,0)</f>
        <v>193.93920000000011</v>
      </c>
      <c r="CA83" s="13">
        <f t="shared" si="93"/>
        <v>48.409811198069384</v>
      </c>
      <c r="CB83" s="20">
        <f t="shared" si="64"/>
        <v>422.09119450330428</v>
      </c>
      <c r="CC83" s="59">
        <f t="shared" si="65"/>
        <v>715.42452783663759</v>
      </c>
      <c r="CD83" s="59">
        <f ca="1">AVERAGE(OFFSET($CC$3,0,0,'Données projet'!$E$12+1,1))-AVERAGE(OFFSET($H$3,0,0,'Données projet'!$E$12+1,1))</f>
        <v>185.21927898775016</v>
      </c>
      <c r="CE83" s="59">
        <f t="shared" si="94"/>
        <v>240.82467772396944</v>
      </c>
      <c r="CF83" s="15">
        <f>IF(ISNA(VLOOKUP(A83,'Données projet'!$A$113:$I$133,3,0)),0,VLOOKUP(A83,'Données projet'!$A$113:$I$133,3,0))</f>
        <v>7</v>
      </c>
      <c r="CG83" s="15">
        <f>IF(ISNA(VLOOKUP(A83,'Données projet'!$A$113:$I$133,4,0)),0,VLOOKUP(A83,'Données projet'!$A$113:$I$133,4,0))</f>
        <v>37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>
        <f>EXP(-LN(2)/35)*CK82+(1-EXP(-LN(2)/35))/(LN(2)/35)*CG83*CH83*VLOOKUP('Données projet'!$B$12,Paramètres!$A$1:$I$89,3,0)*0.475*44/12</f>
        <v>0.5785176429742328</v>
      </c>
      <c r="CL83" s="21">
        <f>EXP(-LN(2)/25)*CL82+(1-EXP(-LN(2)/25))/(LN(2)/25)*Calculateur!CG83*Calculateur!CI83*VLOOKUP('Données projet'!$B$12,Paramètres!$A$1:$I$89,3,0)*0.475*44/12</f>
        <v>2.0095073106888606</v>
      </c>
      <c r="CM83" s="21">
        <f>EXP(-LN(2)/2)*CM82+(1-EXP(-LN(2)/2))/(LN(2)/2)*CG83*CJ83*VLOOKUP('Données projet'!$B$12,Paramètres!$A$1:$I$89,3,0)*0.475*44/12</f>
        <v>4.1712546307465694E-7</v>
      </c>
      <c r="CN83" s="22">
        <f t="shared" si="66"/>
        <v>2.5880253707885563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72.025200000000098</v>
      </c>
      <c r="D84" s="11">
        <f t="shared" si="86"/>
        <v>20.175548252960489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711.72507423337993</v>
      </c>
      <c r="H84" s="67">
        <f t="shared" si="56"/>
        <v>453.91630320723971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-2.2737367544323206E-13</v>
      </c>
      <c r="O84" s="13">
        <f>N84*VLOOKUP('Données projet'!$B$9,Paramètres!$A$1:$I$89,3,0)*VLOOKUP('Données projet'!$B$9,Paramètres!$A$1:$I$89,5,0)</f>
        <v>-1.2710188457276673E-13</v>
      </c>
      <c r="P84" s="13" t="e">
        <f t="shared" si="87"/>
        <v>#NUM!</v>
      </c>
      <c r="Q84" s="20" t="e">
        <f t="shared" si="54"/>
        <v>#NUM!</v>
      </c>
      <c r="R84" s="59" t="e">
        <f t="shared" si="55"/>
        <v>#NUM!</v>
      </c>
      <c r="S84" s="59">
        <f ca="1">AVERAGE(OFFSET($R$3,0,0,'Données projet'!$E$9+1,1))-AVERAGE(OFFSET($H$3,0,0,'Données projet'!$E$9+1,1))</f>
        <v>255.5374979188561</v>
      </c>
      <c r="T84" s="59">
        <f t="shared" si="88"/>
        <v>343.10418468620901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1.1254352465643092</v>
      </c>
      <c r="AA84" s="21">
        <f>EXP(-LN(2)/25)*AA83+(1-EXP(-LN(2)/25))/(LN(2)/25)*Calculateur!V84*Calculateur!X84*VLOOKUP('Données projet'!$B$9,Paramètres!$A$1:$I$89,3,0)*0.475*44/12</f>
        <v>3.8809562512593225</v>
      </c>
      <c r="AB84" s="21">
        <f>EXP(-LN(2)/2)*AB83+(1-EXP(-LN(2)/2))/(LN(2)/2)*V84*Y84*VLOOKUP('Données projet'!$B$9,Paramètres!$A$1:$I$89,3,0)*0.475*44/12</f>
        <v>3.5669975387200144E-8</v>
      </c>
      <c r="AC84" s="22">
        <f t="shared" si="57"/>
        <v>5.0063915334936073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0</v>
      </c>
      <c r="AJ84" s="13">
        <f>AI84*VLOOKUP('Données projet'!$B$10,Paramètres!$A$1:$I$89,3,0)*VLOOKUP('Données projet'!$B$10,Paramètres!$A$1:$I$89,5,0)</f>
        <v>0</v>
      </c>
      <c r="AK84" s="13" t="e">
        <f t="shared" si="89"/>
        <v>#NUM!</v>
      </c>
      <c r="AL84" s="20" t="e">
        <f t="shared" si="58"/>
        <v>#NUM!</v>
      </c>
      <c r="AM84" s="59" t="e">
        <f t="shared" si="59"/>
        <v>#NUM!</v>
      </c>
      <c r="AN84" s="59">
        <f ca="1">AVERAGE(OFFSET($AM$3,0,0,'Données projet'!$E$10+1,1))-AVERAGE(OFFSET($H$3,0,0,'Données projet'!$E$10+1,1))</f>
        <v>255.41017495879987</v>
      </c>
      <c r="AO84" s="59">
        <f t="shared" si="90"/>
        <v>297.50513563712764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3.0389934935563048</v>
      </c>
      <c r="AV84" s="21">
        <f>EXP(-LN(2)/25)*AV83+(1-EXP(-LN(2)/25))/(LN(2)/25)*Calculateur!AQ84*Calculateur!AS84*VLOOKUP('Données projet'!$B$10,Paramètres!$A$1:$I$89,3,0)*0.475*44/12</f>
        <v>6.7769411779301674</v>
      </c>
      <c r="AW84" s="21">
        <f>EXP(-LN(2)/2)*AW83+(1-EXP(-LN(2)/2))/(LN(2)/2)*AQ84*AT84*VLOOKUP('Données projet'!$B$10,Paramètres!$A$1:$I$89,3,0)*0.475*44/12</f>
        <v>5.1421665316639755E-7</v>
      </c>
      <c r="AX84" s="21">
        <f t="shared" si="60"/>
        <v>9.8159351857031254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-5.1159076974727213E-13</v>
      </c>
      <c r="BE84" s="13">
        <f>BD84*VLOOKUP('Données projet'!$B$11,Paramètres!$A$1:$I$89,3,0)*VLOOKUP('Données projet'!$B$11,Paramètres!$A$1:$I$89,5,0)</f>
        <v>-4.0702161641092972E-13</v>
      </c>
      <c r="BF84" s="13" t="e">
        <f t="shared" si="91"/>
        <v>#NUM!</v>
      </c>
      <c r="BG84" s="20" t="e">
        <f t="shared" si="61"/>
        <v>#NUM!</v>
      </c>
      <c r="BH84" s="59" t="e">
        <f t="shared" si="62"/>
        <v>#NUM!</v>
      </c>
      <c r="BI84" s="59">
        <f ca="1">AVERAGE(OFFSET($BH$3,0,0,'Données projet'!$E$11+1,1))-AVERAGE(OFFSET($H$3,0,0,'Données projet'!$E$11+1,1))</f>
        <v>260.20517190557814</v>
      </c>
      <c r="BJ84" s="59">
        <f t="shared" si="92"/>
        <v>307.22009971147133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1.1884258410131214</v>
      </c>
      <c r="BQ84" s="21">
        <f>EXP(-LN(2)/25)*BQ83+(1-EXP(-LN(2)/25))/(LN(2)/25)*Calculateur!BL84*Calculateur!BN84*VLOOKUP('Données projet'!$B$11,Paramètres!$A$1:$I$89,3,0)*0.475*44/12</f>
        <v>4.9896232773021039</v>
      </c>
      <c r="BR84" s="21">
        <f>EXP(-LN(2)/2)*BR83+(1-EXP(-LN(2)/2))/(LN(2)/2)*BL84*BO84*VLOOKUP('Données projet'!$B$11,Paramètres!$A$1:$I$89,3,0)*0.475*44/12</f>
        <v>5.0658476749957702E-7</v>
      </c>
      <c r="BS84" s="22">
        <f t="shared" si="63"/>
        <v>6.1780496248999937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4</v>
      </c>
      <c r="BY84" s="12">
        <f>IF('Données projet'!$A$114&gt;35,BY83+BX84-CG83,IF(A84&lt;'Données projet'!$A$114,$BV$205^A84,IF(A84='Données projet'!$A$114,'Données projet'!$B$114,BY83+BX84-CG83)))</f>
        <v>263.00000000000017</v>
      </c>
      <c r="BZ84" s="13">
        <f>BY84*VLOOKUP('Données projet'!$B$12,Paramètres!$A$1:$I$89,3,0)*VLOOKUP('Données projet'!$B$12,Paramètres!$A$1:$I$89,5,0)</f>
        <v>172.31760000000011</v>
      </c>
      <c r="CA84" s="13">
        <f t="shared" si="93"/>
        <v>43.608679117600296</v>
      </c>
      <c r="CB84" s="20">
        <f t="shared" si="64"/>
        <v>376.07160279648741</v>
      </c>
      <c r="CC84" s="59">
        <f t="shared" si="65"/>
        <v>669.40493612982073</v>
      </c>
      <c r="CD84" s="59">
        <f ca="1">AVERAGE(OFFSET($CC$3,0,0,'Données projet'!$E$12+1,1))-AVERAGE(OFFSET($H$3,0,0,'Données projet'!$E$12+1,1))</f>
        <v>185.21927898775016</v>
      </c>
      <c r="CE84" s="59">
        <f t="shared" si="94"/>
        <v>240.82467772396944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0.56717326485642816</v>
      </c>
      <c r="CL84" s="21">
        <f>EXP(-LN(2)/25)*CL83+(1-EXP(-LN(2)/25))/(LN(2)/25)*Calculateur!CG84*Calculateur!CI84*VLOOKUP('Données projet'!$B$12,Paramètres!$A$1:$I$89,3,0)*0.475*44/12</f>
        <v>1.954557227602677</v>
      </c>
      <c r="CM84" s="21">
        <f>EXP(-LN(2)/2)*CM83+(1-EXP(-LN(2)/2))/(LN(2)/2)*CG84*CJ84*VLOOKUP('Données projet'!$B$12,Paramètres!$A$1:$I$89,3,0)*0.475*44/12</f>
        <v>2.9495224354566875E-7</v>
      </c>
      <c r="CN84" s="22">
        <f t="shared" si="66"/>
        <v>2.5217307874113488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72.9144000000001</v>
      </c>
      <c r="D85" s="11">
        <f t="shared" si="86"/>
        <v>20.395478670134686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720.28678271683009</v>
      </c>
      <c r="H85" s="67">
        <f t="shared" si="56"/>
        <v>455.84803868381812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-2.2737367544323206E-13</v>
      </c>
      <c r="O85" s="13">
        <f>N85*VLOOKUP('Données projet'!$B$9,Paramètres!$A$1:$I$89,3,0)*VLOOKUP('Données projet'!$B$9,Paramètres!$A$1:$I$89,5,0)</f>
        <v>-1.2710188457276673E-13</v>
      </c>
      <c r="P85" s="13" t="e">
        <f t="shared" si="87"/>
        <v>#NUM!</v>
      </c>
      <c r="Q85" s="20" t="e">
        <f t="shared" si="54"/>
        <v>#NUM!</v>
      </c>
      <c r="R85" s="59" t="e">
        <f t="shared" si="55"/>
        <v>#NUM!</v>
      </c>
      <c r="S85" s="59">
        <f ca="1">AVERAGE(OFFSET($R$3,0,0,'Données projet'!$E$9+1,1))-AVERAGE(OFFSET($H$3,0,0,'Données projet'!$E$9+1,1))</f>
        <v>255.5374979188561</v>
      </c>
      <c r="T85" s="59">
        <f t="shared" si="88"/>
        <v>343.10418468620901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1.1033661478269023</v>
      </c>
      <c r="AA85" s="21">
        <f>EXP(-LN(2)/25)*AA84+(1-EXP(-LN(2)/25))/(LN(2)/25)*Calculateur!V85*Calculateur!X85*VLOOKUP('Données projet'!$B$9,Paramètres!$A$1:$I$89,3,0)*0.475*44/12</f>
        <v>3.7748312984780172</v>
      </c>
      <c r="AB85" s="21">
        <f>EXP(-LN(2)/2)*AB84+(1-EXP(-LN(2)/2))/(LN(2)/2)*V85*Y85*VLOOKUP('Données projet'!$B$9,Paramètres!$A$1:$I$89,3,0)*0.475*44/12</f>
        <v>2.5222481481046469E-8</v>
      </c>
      <c r="AC85" s="22">
        <f t="shared" si="57"/>
        <v>4.8781974715274012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0</v>
      </c>
      <c r="AJ85" s="13">
        <f>AI85*VLOOKUP('Données projet'!$B$10,Paramètres!$A$1:$I$89,3,0)*VLOOKUP('Données projet'!$B$10,Paramètres!$A$1:$I$89,5,0)</f>
        <v>0</v>
      </c>
      <c r="AK85" s="13" t="e">
        <f t="shared" si="89"/>
        <v>#NUM!</v>
      </c>
      <c r="AL85" s="20" t="e">
        <f t="shared" si="58"/>
        <v>#NUM!</v>
      </c>
      <c r="AM85" s="59" t="e">
        <f t="shared" si="59"/>
        <v>#NUM!</v>
      </c>
      <c r="AN85" s="59">
        <f ca="1">AVERAGE(OFFSET($AM$3,0,0,'Données projet'!$E$10+1,1))-AVERAGE(OFFSET($H$3,0,0,'Données projet'!$E$10+1,1))</f>
        <v>255.41017495879987</v>
      </c>
      <c r="AO85" s="59">
        <f t="shared" si="90"/>
        <v>297.50513563712764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2.9794006847506687</v>
      </c>
      <c r="AV85" s="21">
        <f>EXP(-LN(2)/25)*AV84+(1-EXP(-LN(2)/25))/(LN(2)/25)*Calculateur!AQ85*Calculateur!AS85*VLOOKUP('Données projet'!$B$10,Paramètres!$A$1:$I$89,3,0)*0.475*44/12</f>
        <v>6.591625365035819</v>
      </c>
      <c r="AW85" s="21">
        <f>EXP(-LN(2)/2)*AW84+(1-EXP(-LN(2)/2))/(LN(2)/2)*AQ85*AT85*VLOOKUP('Données projet'!$B$10,Paramètres!$A$1:$I$89,3,0)*0.475*44/12</f>
        <v>3.6360608245301068E-7</v>
      </c>
      <c r="AX85" s="21">
        <f t="shared" si="60"/>
        <v>9.5710264133925698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-5.1159076974727213E-13</v>
      </c>
      <c r="BE85" s="13">
        <f>BD85*VLOOKUP('Données projet'!$B$11,Paramètres!$A$1:$I$89,3,0)*VLOOKUP('Données projet'!$B$11,Paramètres!$A$1:$I$89,5,0)</f>
        <v>-4.0702161641092972E-13</v>
      </c>
      <c r="BF85" s="13" t="e">
        <f t="shared" si="91"/>
        <v>#NUM!</v>
      </c>
      <c r="BG85" s="20" t="e">
        <f t="shared" si="61"/>
        <v>#NUM!</v>
      </c>
      <c r="BH85" s="59" t="e">
        <f t="shared" si="62"/>
        <v>#NUM!</v>
      </c>
      <c r="BI85" s="59">
        <f ca="1">AVERAGE(OFFSET($BH$3,0,0,'Données projet'!$E$11+1,1))-AVERAGE(OFFSET($H$3,0,0,'Données projet'!$E$11+1,1))</f>
        <v>260.20517190557814</v>
      </c>
      <c r="BJ85" s="59">
        <f t="shared" si="92"/>
        <v>307.22009971147133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1.1651215351390423</v>
      </c>
      <c r="BQ85" s="21">
        <f>EXP(-LN(2)/25)*BQ84+(1-EXP(-LN(2)/25))/(LN(2)/25)*Calculateur!BL85*Calculateur!BN85*VLOOKUP('Données projet'!$B$11,Paramètres!$A$1:$I$89,3,0)*0.475*44/12</f>
        <v>4.8531817663913932</v>
      </c>
      <c r="BR85" s="21">
        <f>EXP(-LN(2)/2)*BR84+(1-EXP(-LN(2)/2))/(LN(2)/2)*BL85*BO85*VLOOKUP('Données projet'!$B$11,Paramètres!$A$1:$I$89,3,0)*0.475*44/12</f>
        <v>3.5820952434476146E-7</v>
      </c>
      <c r="BS85" s="22">
        <f t="shared" si="63"/>
        <v>6.01830365973996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4</v>
      </c>
      <c r="BY85" s="12">
        <f>IF('Données projet'!$A$114&gt;35,BY84+BX85-CG84,IF(A85&lt;'Données projet'!$A$114,$BV$205^A85,IF(A85='Données projet'!$A$114,'Données projet'!$B$114,BY84+BX85-CG84)))</f>
        <v>267.00000000000017</v>
      </c>
      <c r="BZ85" s="13">
        <f>BY85*VLOOKUP('Données projet'!$B$12,Paramètres!$A$1:$I$89,3,0)*VLOOKUP('Données projet'!$B$12,Paramètres!$A$1:$I$89,5,0)</f>
        <v>174.93840000000012</v>
      </c>
      <c r="CA85" s="13">
        <f t="shared" si="93"/>
        <v>44.194210865203253</v>
      </c>
      <c r="CB85" s="20">
        <f t="shared" si="64"/>
        <v>381.65596392356247</v>
      </c>
      <c r="CC85" s="59">
        <f t="shared" si="65"/>
        <v>674.98929725689572</v>
      </c>
      <c r="CD85" s="59">
        <f ca="1">AVERAGE(OFFSET($CC$3,0,0,'Données projet'!$E$12+1,1))-AVERAGE(OFFSET($H$3,0,0,'Données projet'!$E$12+1,1))</f>
        <v>185.21927898775016</v>
      </c>
      <c r="CE85" s="59">
        <f t="shared" si="94"/>
        <v>240.82467772396944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0.55605134307412629</v>
      </c>
      <c r="CL85" s="21">
        <f>EXP(-LN(2)/25)*CL84+(1-EXP(-LN(2)/25))/(LN(2)/25)*Calculateur!CG85*Calculateur!CI85*VLOOKUP('Données projet'!$B$12,Paramètres!$A$1:$I$89,3,0)*0.475*44/12</f>
        <v>1.9011097574281843</v>
      </c>
      <c r="CM85" s="21">
        <f>EXP(-LN(2)/2)*CM84+(1-EXP(-LN(2)/2))/(LN(2)/2)*CG85*CJ85*VLOOKUP('Données projet'!$B$12,Paramètres!$A$1:$I$89,3,0)*0.475*44/12</f>
        <v>2.0856273153732847E-7</v>
      </c>
      <c r="CN85" s="22">
        <f t="shared" si="66"/>
        <v>2.4571613090650422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73.803600000000102</v>
      </c>
      <c r="D86" s="11">
        <f t="shared" si="86"/>
        <v>20.615097106698798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728.8460829289038</v>
      </c>
      <c r="H86" s="67">
        <f t="shared" si="56"/>
        <v>457.77923079416723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-2.2737367544323206E-13</v>
      </c>
      <c r="O86" s="13">
        <f>N86*VLOOKUP('Données projet'!$B$9,Paramètres!$A$1:$I$89,3,0)*VLOOKUP('Données projet'!$B$9,Paramètres!$A$1:$I$89,5,0)</f>
        <v>-1.2710188457276673E-13</v>
      </c>
      <c r="P86" s="13" t="e">
        <f t="shared" si="87"/>
        <v>#NUM!</v>
      </c>
      <c r="Q86" s="20" t="e">
        <f t="shared" si="54"/>
        <v>#NUM!</v>
      </c>
      <c r="R86" s="59" t="e">
        <f t="shared" si="55"/>
        <v>#NUM!</v>
      </c>
      <c r="S86" s="59">
        <f ca="1">AVERAGE(OFFSET($R$3,0,0,'Données projet'!$E$9+1,1))-AVERAGE(OFFSET($H$3,0,0,'Données projet'!$E$9+1,1))</f>
        <v>255.5374979188561</v>
      </c>
      <c r="T86" s="59">
        <f t="shared" si="88"/>
        <v>343.10418468620901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1.0817298106549151</v>
      </c>
      <c r="AA86" s="21">
        <f>EXP(-LN(2)/25)*AA85+(1-EXP(-LN(2)/25))/(LN(2)/25)*Calculateur!V86*Calculateur!X86*VLOOKUP('Données projet'!$B$9,Paramètres!$A$1:$I$89,3,0)*0.475*44/12</f>
        <v>3.6716083381113855</v>
      </c>
      <c r="AB86" s="21">
        <f>EXP(-LN(2)/2)*AB85+(1-EXP(-LN(2)/2))/(LN(2)/2)*V86*Y86*VLOOKUP('Données projet'!$B$9,Paramètres!$A$1:$I$89,3,0)*0.475*44/12</f>
        <v>1.7834987693600072E-8</v>
      </c>
      <c r="AC86" s="22">
        <f t="shared" si="57"/>
        <v>4.7533381666012886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0</v>
      </c>
      <c r="AJ86" s="13">
        <f>AI86*VLOOKUP('Données projet'!$B$10,Paramètres!$A$1:$I$89,3,0)*VLOOKUP('Données projet'!$B$10,Paramètres!$A$1:$I$89,5,0)</f>
        <v>0</v>
      </c>
      <c r="AK86" s="13" t="e">
        <f t="shared" si="89"/>
        <v>#NUM!</v>
      </c>
      <c r="AL86" s="20" t="e">
        <f t="shared" si="58"/>
        <v>#NUM!</v>
      </c>
      <c r="AM86" s="59" t="e">
        <f t="shared" si="59"/>
        <v>#NUM!</v>
      </c>
      <c r="AN86" s="59">
        <f ca="1">AVERAGE(OFFSET($AM$3,0,0,'Données projet'!$E$10+1,1))-AVERAGE(OFFSET($H$3,0,0,'Données projet'!$E$10+1,1))</f>
        <v>255.41017495879987</v>
      </c>
      <c r="AO86" s="59">
        <f t="shared" si="90"/>
        <v>297.50513563712764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2.9209764545776866</v>
      </c>
      <c r="AV86" s="21">
        <f>EXP(-LN(2)/25)*AV85+(1-EXP(-LN(2)/25))/(LN(2)/25)*Calculateur!AQ86*Calculateur!AS86*VLOOKUP('Données projet'!$B$10,Paramètres!$A$1:$I$89,3,0)*0.475*44/12</f>
        <v>6.4113770227904023</v>
      </c>
      <c r="AW86" s="21">
        <f>EXP(-LN(2)/2)*AW85+(1-EXP(-LN(2)/2))/(LN(2)/2)*AQ86*AT86*VLOOKUP('Données projet'!$B$10,Paramètres!$A$1:$I$89,3,0)*0.475*44/12</f>
        <v>2.5710832658319877E-7</v>
      </c>
      <c r="AX86" s="21">
        <f t="shared" si="60"/>
        <v>9.3323537344764151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-5.1159076974727213E-13</v>
      </c>
      <c r="BE86" s="13">
        <f>BD86*VLOOKUP('Données projet'!$B$11,Paramètres!$A$1:$I$89,3,0)*VLOOKUP('Données projet'!$B$11,Paramètres!$A$1:$I$89,5,0)</f>
        <v>-4.0702161641092972E-13</v>
      </c>
      <c r="BF86" s="13" t="e">
        <f t="shared" si="91"/>
        <v>#NUM!</v>
      </c>
      <c r="BG86" s="20" t="e">
        <f t="shared" si="61"/>
        <v>#NUM!</v>
      </c>
      <c r="BH86" s="59" t="e">
        <f t="shared" si="62"/>
        <v>#NUM!</v>
      </c>
      <c r="BI86" s="59">
        <f ca="1">AVERAGE(OFFSET($BH$3,0,0,'Données projet'!$E$11+1,1))-AVERAGE(OFFSET($H$3,0,0,'Données projet'!$E$11+1,1))</f>
        <v>260.20517190557814</v>
      </c>
      <c r="BJ86" s="59">
        <f t="shared" si="92"/>
        <v>307.22009971147133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1.1422742124889309</v>
      </c>
      <c r="BQ86" s="21">
        <f>EXP(-LN(2)/25)*BQ85+(1-EXP(-LN(2)/25))/(LN(2)/25)*Calculateur!BL86*Calculateur!BN86*VLOOKUP('Données projet'!$B$11,Paramètres!$A$1:$I$89,3,0)*0.475*44/12</f>
        <v>4.7204712557716837</v>
      </c>
      <c r="BR86" s="21">
        <f>EXP(-LN(2)/2)*BR85+(1-EXP(-LN(2)/2))/(LN(2)/2)*BL86*BO86*VLOOKUP('Données projet'!$B$11,Paramètres!$A$1:$I$89,3,0)*0.475*44/12</f>
        <v>2.5329238374978851E-7</v>
      </c>
      <c r="BS86" s="22">
        <f t="shared" si="63"/>
        <v>5.8627457215529981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4</v>
      </c>
      <c r="BY86" s="12">
        <f>IF('Données projet'!$A$114&gt;35,BY85+BX86-CG85,IF(A86&lt;'Données projet'!$A$114,$BV$205^A86,IF(A86='Données projet'!$A$114,'Données projet'!$B$114,BY85+BX86-CG85)))</f>
        <v>271.00000000000017</v>
      </c>
      <c r="BZ86" s="13">
        <f>BY86*VLOOKUP('Données projet'!$B$12,Paramètres!$A$1:$I$89,3,0)*VLOOKUP('Données projet'!$B$12,Paramètres!$A$1:$I$89,5,0)</f>
        <v>177.55920000000012</v>
      </c>
      <c r="CA86" s="13">
        <f t="shared" si="93"/>
        <v>44.778722400109068</v>
      </c>
      <c r="CB86" s="20">
        <f t="shared" si="64"/>
        <v>387.23854818019021</v>
      </c>
      <c r="CC86" s="59">
        <f t="shared" si="65"/>
        <v>680.57188151352352</v>
      </c>
      <c r="CD86" s="59">
        <f ca="1">AVERAGE(OFFSET($CC$3,0,0,'Données projet'!$E$12+1,1))-AVERAGE(OFFSET($H$3,0,0,'Données projet'!$E$12+1,1))</f>
        <v>185.21927898775016</v>
      </c>
      <c r="CE86" s="59">
        <f t="shared" si="94"/>
        <v>240.82467772396944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0.54514751539427286</v>
      </c>
      <c r="CL86" s="21">
        <f>EXP(-LN(2)/25)*CL85+(1-EXP(-LN(2)/25))/(LN(2)/25)*Calculateur!CG86*Calculateur!CI86*VLOOKUP('Données projet'!$B$12,Paramètres!$A$1:$I$89,3,0)*0.475*44/12</f>
        <v>1.8491238111362935</v>
      </c>
      <c r="CM86" s="21">
        <f>EXP(-LN(2)/2)*CM85+(1-EXP(-LN(2)/2))/(LN(2)/2)*CG86*CJ86*VLOOKUP('Données projet'!$B$12,Paramètres!$A$1:$I$89,3,0)*0.475*44/12</f>
        <v>1.4747612177283438E-7</v>
      </c>
      <c r="CN86" s="22">
        <f t="shared" si="66"/>
        <v>2.3942714740066884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74.692800000000105</v>
      </c>
      <c r="D87" s="11">
        <f t="shared" si="86"/>
        <v>20.834407756242857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737.40300724117378</v>
      </c>
      <c r="H87" s="67">
        <f t="shared" si="56"/>
        <v>459.70988684212313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-2.2737367544323206E-13</v>
      </c>
      <c r="O87" s="13">
        <f>N87*VLOOKUP('Données projet'!$B$9,Paramètres!$A$1:$I$89,3,0)*VLOOKUP('Données projet'!$B$9,Paramètres!$A$1:$I$89,5,0)</f>
        <v>-1.2710188457276673E-13</v>
      </c>
      <c r="P87" s="13" t="e">
        <f t="shared" si="87"/>
        <v>#NUM!</v>
      </c>
      <c r="Q87" s="20" t="e">
        <f t="shared" si="54"/>
        <v>#NUM!</v>
      </c>
      <c r="R87" s="59" t="e">
        <f t="shared" si="55"/>
        <v>#NUM!</v>
      </c>
      <c r="S87" s="59">
        <f ca="1">AVERAGE(OFFSET($R$3,0,0,'Données projet'!$E$9+1,1))-AVERAGE(OFFSET($H$3,0,0,'Données projet'!$E$9+1,1))</f>
        <v>255.5374979188561</v>
      </c>
      <c r="T87" s="59">
        <f t="shared" si="88"/>
        <v>343.10418468620901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1.060517748858008</v>
      </c>
      <c r="AA87" s="21">
        <f>EXP(-LN(2)/25)*AA86+(1-EXP(-LN(2)/25))/(LN(2)/25)*Calculateur!V87*Calculateur!X87*VLOOKUP('Données projet'!$B$9,Paramètres!$A$1:$I$89,3,0)*0.475*44/12</f>
        <v>3.5712080150242387</v>
      </c>
      <c r="AB87" s="21">
        <f>EXP(-LN(2)/2)*AB86+(1-EXP(-LN(2)/2))/(LN(2)/2)*V87*Y87*VLOOKUP('Données projet'!$B$9,Paramètres!$A$1:$I$89,3,0)*0.475*44/12</f>
        <v>1.2611240740523234E-8</v>
      </c>
      <c r="AC87" s="22">
        <f t="shared" si="57"/>
        <v>4.6317257764934876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0</v>
      </c>
      <c r="AJ87" s="13">
        <f>AI87*VLOOKUP('Données projet'!$B$10,Paramètres!$A$1:$I$89,3,0)*VLOOKUP('Données projet'!$B$10,Paramètres!$A$1:$I$89,5,0)</f>
        <v>0</v>
      </c>
      <c r="AK87" s="13" t="e">
        <f t="shared" si="89"/>
        <v>#NUM!</v>
      </c>
      <c r="AL87" s="20" t="e">
        <f t="shared" si="58"/>
        <v>#NUM!</v>
      </c>
      <c r="AM87" s="59" t="e">
        <f t="shared" si="59"/>
        <v>#NUM!</v>
      </c>
      <c r="AN87" s="59">
        <f ca="1">AVERAGE(OFFSET($AM$3,0,0,'Données projet'!$E$10+1,1))-AVERAGE(OFFSET($H$3,0,0,'Données projet'!$E$10+1,1))</f>
        <v>255.41017495879987</v>
      </c>
      <c r="AO87" s="59">
        <f t="shared" si="90"/>
        <v>297.50513563712764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2.8636978879231352</v>
      </c>
      <c r="AV87" s="21">
        <f>EXP(-LN(2)/25)*AV86+(1-EXP(-LN(2)/25))/(LN(2)/25)*Calculateur!AQ87*Calculateur!AS87*VLOOKUP('Données projet'!$B$10,Paramètres!$A$1:$I$89,3,0)*0.475*44/12</f>
        <v>6.2360575809425347</v>
      </c>
      <c r="AW87" s="21">
        <f>EXP(-LN(2)/2)*AW86+(1-EXP(-LN(2)/2))/(LN(2)/2)*AQ87*AT87*VLOOKUP('Données projet'!$B$10,Paramètres!$A$1:$I$89,3,0)*0.475*44/12</f>
        <v>1.8180304122650534E-7</v>
      </c>
      <c r="AX87" s="21">
        <f t="shared" si="60"/>
        <v>9.0997556506687118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-5.1159076974727213E-13</v>
      </c>
      <c r="BE87" s="13">
        <f>BD87*VLOOKUP('Données projet'!$B$11,Paramètres!$A$1:$I$89,3,0)*VLOOKUP('Données projet'!$B$11,Paramètres!$A$1:$I$89,5,0)</f>
        <v>-4.0702161641092972E-13</v>
      </c>
      <c r="BF87" s="13" t="e">
        <f t="shared" si="91"/>
        <v>#NUM!</v>
      </c>
      <c r="BG87" s="20" t="e">
        <f t="shared" si="61"/>
        <v>#NUM!</v>
      </c>
      <c r="BH87" s="59" t="e">
        <f t="shared" si="62"/>
        <v>#NUM!</v>
      </c>
      <c r="BI87" s="59">
        <f ca="1">AVERAGE(OFFSET($BH$3,0,0,'Données projet'!$E$11+1,1))-AVERAGE(OFFSET($H$3,0,0,'Données projet'!$E$11+1,1))</f>
        <v>260.20517190557814</v>
      </c>
      <c r="BJ87" s="59">
        <f t="shared" si="92"/>
        <v>307.22009971147133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1.1198749119004974</v>
      </c>
      <c r="BQ87" s="21">
        <f>EXP(-LN(2)/25)*BQ86+(1-EXP(-LN(2)/25))/(LN(2)/25)*Calculateur!BL87*Calculateur!BN87*VLOOKUP('Données projet'!$B$11,Paramètres!$A$1:$I$89,3,0)*0.475*44/12</f>
        <v>4.5913897210438126</v>
      </c>
      <c r="BR87" s="21">
        <f>EXP(-LN(2)/2)*BR86+(1-EXP(-LN(2)/2))/(LN(2)/2)*BL87*BO87*VLOOKUP('Données projet'!$B$11,Paramètres!$A$1:$I$89,3,0)*0.475*44/12</f>
        <v>1.7910476217238073E-7</v>
      </c>
      <c r="BS87" s="22">
        <f t="shared" si="63"/>
        <v>5.7112648120490723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4</v>
      </c>
      <c r="BY87" s="12">
        <f>IF('Données projet'!$A$114&gt;35,BY86+BX87-CG86,IF(A87&lt;'Données projet'!$A$114,$BV$205^A87,IF(A87='Données projet'!$A$114,'Données projet'!$B$114,BY86+BX87-CG86)))</f>
        <v>275.00000000000017</v>
      </c>
      <c r="BZ87" s="13">
        <f>BY87*VLOOKUP('Données projet'!$B$12,Paramètres!$A$1:$I$89,3,0)*VLOOKUP('Données projet'!$B$12,Paramètres!$A$1:$I$89,5,0)</f>
        <v>180.18000000000012</v>
      </c>
      <c r="CA87" s="13">
        <f t="shared" si="93"/>
        <v>45.362230520410726</v>
      </c>
      <c r="CB87" s="20">
        <f t="shared" si="64"/>
        <v>392.81938482304889</v>
      </c>
      <c r="CC87" s="59">
        <f t="shared" si="65"/>
        <v>686.15271815638221</v>
      </c>
      <c r="CD87" s="59">
        <f ca="1">AVERAGE(OFFSET($CC$3,0,0,'Données projet'!$E$12+1,1))-AVERAGE(OFFSET($H$3,0,0,'Données projet'!$E$12+1,1))</f>
        <v>185.21927898775016</v>
      </c>
      <c r="CE87" s="59">
        <f t="shared" si="94"/>
        <v>240.82467772396944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0.53445750512454326</v>
      </c>
      <c r="CL87" s="21">
        <f>EXP(-LN(2)/25)*CL86+(1-EXP(-LN(2)/25))/(LN(2)/25)*Calculateur!CG87*Calculateur!CI87*VLOOKUP('Données projet'!$B$12,Paramètres!$A$1:$I$89,3,0)*0.475*44/12</f>
        <v>1.7985594232795765</v>
      </c>
      <c r="CM87" s="21">
        <f>EXP(-LN(2)/2)*CM86+(1-EXP(-LN(2)/2))/(LN(2)/2)*CG87*CJ87*VLOOKUP('Données projet'!$B$12,Paramètres!$A$1:$I$89,3,0)*0.475*44/12</f>
        <v>1.0428136576866423E-7</v>
      </c>
      <c r="CN87" s="22">
        <f t="shared" si="66"/>
        <v>2.3330170326854853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75.582000000000107</v>
      </c>
      <c r="D88" s="11">
        <f t="shared" si="86"/>
        <v>21.053414706764155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745.95758721011009</v>
      </c>
      <c r="H88" s="67">
        <f t="shared" si="56"/>
        <v>461.64001394761442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-2.2737367544323206E-13</v>
      </c>
      <c r="O88" s="13">
        <f>N88*VLOOKUP('Données projet'!$B$9,Paramètres!$A$1:$I$89,3,0)*VLOOKUP('Données projet'!$B$9,Paramètres!$A$1:$I$89,5,0)</f>
        <v>-1.2710188457276673E-13</v>
      </c>
      <c r="P88" s="13" t="e">
        <f t="shared" si="87"/>
        <v>#NUM!</v>
      </c>
      <c r="Q88" s="20" t="e">
        <f t="shared" si="54"/>
        <v>#NUM!</v>
      </c>
      <c r="R88" s="59" t="e">
        <f t="shared" si="55"/>
        <v>#NUM!</v>
      </c>
      <c r="S88" s="59">
        <f ca="1">AVERAGE(OFFSET($R$3,0,0,'Données projet'!$E$9+1,1))-AVERAGE(OFFSET($H$3,0,0,'Données projet'!$E$9+1,1))</f>
        <v>255.5374979188561</v>
      </c>
      <c r="T88" s="59">
        <f t="shared" si="88"/>
        <v>343.10418468620901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1.0397216426548579</v>
      </c>
      <c r="AA88" s="21">
        <f>EXP(-LN(2)/25)*AA87+(1-EXP(-LN(2)/25))/(LN(2)/25)*Calculateur!V88*Calculateur!X88*VLOOKUP('Données projet'!$B$9,Paramètres!$A$1:$I$89,3,0)*0.475*44/12</f>
        <v>3.4735531440517335</v>
      </c>
      <c r="AB88" s="21">
        <f>EXP(-LN(2)/2)*AB87+(1-EXP(-LN(2)/2))/(LN(2)/2)*V88*Y88*VLOOKUP('Données projet'!$B$9,Paramètres!$A$1:$I$89,3,0)*0.475*44/12</f>
        <v>8.9174938468000361E-9</v>
      </c>
      <c r="AC88" s="22">
        <f t="shared" si="57"/>
        <v>4.5132747956240848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0</v>
      </c>
      <c r="AJ88" s="13">
        <f>AI88*VLOOKUP('Données projet'!$B$10,Paramètres!$A$1:$I$89,3,0)*VLOOKUP('Données projet'!$B$10,Paramètres!$A$1:$I$89,5,0)</f>
        <v>0</v>
      </c>
      <c r="AK88" s="13" t="e">
        <f t="shared" si="89"/>
        <v>#NUM!</v>
      </c>
      <c r="AL88" s="20" t="e">
        <f t="shared" si="58"/>
        <v>#NUM!</v>
      </c>
      <c r="AM88" s="59" t="e">
        <f t="shared" si="59"/>
        <v>#NUM!</v>
      </c>
      <c r="AN88" s="59">
        <f ca="1">AVERAGE(OFFSET($AM$3,0,0,'Données projet'!$E$10+1,1))-AVERAGE(OFFSET($H$3,0,0,'Données projet'!$E$10+1,1))</f>
        <v>255.41017495879987</v>
      </c>
      <c r="AO88" s="59">
        <f t="shared" si="90"/>
        <v>297.50513563712764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2.8075425190242034</v>
      </c>
      <c r="AV88" s="21">
        <f>EXP(-LN(2)/25)*AV87+(1-EXP(-LN(2)/25))/(LN(2)/25)*Calculateur!AQ88*Calculateur!AS88*VLOOKUP('Données projet'!$B$10,Paramètres!$A$1:$I$89,3,0)*0.475*44/12</f>
        <v>6.065532258451646</v>
      </c>
      <c r="AW88" s="21">
        <f>EXP(-LN(2)/2)*AW87+(1-EXP(-LN(2)/2))/(LN(2)/2)*AQ88*AT88*VLOOKUP('Données projet'!$B$10,Paramètres!$A$1:$I$89,3,0)*0.475*44/12</f>
        <v>1.2855416329159939E-7</v>
      </c>
      <c r="AX88" s="21">
        <f t="shared" si="60"/>
        <v>8.8730749060300127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-5.1159076974727213E-13</v>
      </c>
      <c r="BE88" s="13">
        <f>BD88*VLOOKUP('Données projet'!$B$11,Paramètres!$A$1:$I$89,3,0)*VLOOKUP('Données projet'!$B$11,Paramètres!$A$1:$I$89,5,0)</f>
        <v>-4.0702161641092972E-13</v>
      </c>
      <c r="BF88" s="13" t="e">
        <f t="shared" si="91"/>
        <v>#NUM!</v>
      </c>
      <c r="BG88" s="20" t="e">
        <f t="shared" si="61"/>
        <v>#NUM!</v>
      </c>
      <c r="BH88" s="59" t="e">
        <f t="shared" si="62"/>
        <v>#NUM!</v>
      </c>
      <c r="BI88" s="59">
        <f ca="1">AVERAGE(OFFSET($BH$3,0,0,'Données projet'!$E$11+1,1))-AVERAGE(OFFSET($H$3,0,0,'Données projet'!$E$11+1,1))</f>
        <v>260.20517190557814</v>
      </c>
      <c r="BJ88" s="59">
        <f t="shared" si="92"/>
        <v>307.22009971147133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1.0979148479343788</v>
      </c>
      <c r="BQ88" s="21">
        <f>EXP(-LN(2)/25)*BQ87+(1-EXP(-LN(2)/25))/(LN(2)/25)*Calculateur!BL88*Calculateur!BN88*VLOOKUP('Données projet'!$B$11,Paramètres!$A$1:$I$89,3,0)*0.475*44/12</f>
        <v>4.4658379276711777</v>
      </c>
      <c r="BR88" s="21">
        <f>EXP(-LN(2)/2)*BR87+(1-EXP(-LN(2)/2))/(LN(2)/2)*BL88*BO88*VLOOKUP('Données projet'!$B$11,Paramètres!$A$1:$I$89,3,0)*0.475*44/12</f>
        <v>1.2664619187489426E-7</v>
      </c>
      <c r="BS88" s="22">
        <f t="shared" si="63"/>
        <v>5.5637529022517489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4</v>
      </c>
      <c r="BY88" s="12">
        <f>IF('Données projet'!$A$114&gt;35,BY87+BX88-CG87,IF(A88&lt;'Données projet'!$A$114,$BV$205^A88,IF(A88='Données projet'!$A$114,'Données projet'!$B$114,BY87+BX88-CG87)))</f>
        <v>279.00000000000017</v>
      </c>
      <c r="BZ88" s="13">
        <f>BY88*VLOOKUP('Données projet'!$B$12,Paramètres!$A$1:$I$89,3,0)*VLOOKUP('Données projet'!$B$12,Paramètres!$A$1:$I$89,5,0)</f>
        <v>182.80080000000009</v>
      </c>
      <c r="CA88" s="13">
        <f t="shared" si="93"/>
        <v>45.9447515074717</v>
      </c>
      <c r="CB88" s="20">
        <f t="shared" si="64"/>
        <v>398.39850220884665</v>
      </c>
      <c r="CC88" s="59">
        <f t="shared" si="65"/>
        <v>691.73183554217997</v>
      </c>
      <c r="CD88" s="59">
        <f ca="1">AVERAGE(OFFSET($CC$3,0,0,'Données projet'!$E$12+1,1))-AVERAGE(OFFSET($H$3,0,0,'Données projet'!$E$12+1,1))</f>
        <v>185.21927898775016</v>
      </c>
      <c r="CE88" s="59">
        <f t="shared" si="94"/>
        <v>240.82467772396944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0.52397711943594061</v>
      </c>
      <c r="CL88" s="21">
        <f>EXP(-LN(2)/25)*CL87+(1-EXP(-LN(2)/25))/(LN(2)/25)*Calculateur!CG88*Calculateur!CI88*VLOOKUP('Données projet'!$B$12,Paramètres!$A$1:$I$89,3,0)*0.475*44/12</f>
        <v>1.7493777212678672</v>
      </c>
      <c r="CM88" s="21">
        <f>EXP(-LN(2)/2)*CM87+(1-EXP(-LN(2)/2))/(LN(2)/2)*CG88*CJ88*VLOOKUP('Données projet'!$B$12,Paramètres!$A$1:$I$89,3,0)*0.475*44/12</f>
        <v>7.3738060886417188E-8</v>
      </c>
      <c r="CN88" s="22">
        <f t="shared" si="66"/>
        <v>2.2733549144418688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76.47120000000011</v>
      </c>
      <c r="D89" s="11">
        <f t="shared" si="86"/>
        <v>21.272121944536373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754.50985360694824</v>
      </c>
      <c r="H89" s="67">
        <f t="shared" si="56"/>
        <v>463.56961905340103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-2.2737367544323206E-13</v>
      </c>
      <c r="O89" s="13">
        <f>N89*VLOOKUP('Données projet'!$B$9,Paramètres!$A$1:$I$89,3,0)*VLOOKUP('Données projet'!$B$9,Paramètres!$A$1:$I$89,5,0)</f>
        <v>-1.2710188457276673E-13</v>
      </c>
      <c r="P89" s="13" t="e">
        <f t="shared" si="87"/>
        <v>#NUM!</v>
      </c>
      <c r="Q89" s="20" t="e">
        <f t="shared" si="54"/>
        <v>#NUM!</v>
      </c>
      <c r="R89" s="59" t="e">
        <f t="shared" si="55"/>
        <v>#NUM!</v>
      </c>
      <c r="S89" s="59">
        <f ca="1">AVERAGE(OFFSET($R$3,0,0,'Données projet'!$E$9+1,1))-AVERAGE(OFFSET($H$3,0,0,'Données projet'!$E$9+1,1))</f>
        <v>255.5374979188561</v>
      </c>
      <c r="T89" s="59">
        <f t="shared" si="88"/>
        <v>343.10418468620901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1.0193333354099794</v>
      </c>
      <c r="AA89" s="21">
        <f>EXP(-LN(2)/25)*AA88+(1-EXP(-LN(2)/25))/(LN(2)/25)*Calculateur!V89*Calculateur!X89*VLOOKUP('Données projet'!$B$9,Paramètres!$A$1:$I$89,3,0)*0.475*44/12</f>
        <v>3.3785686506614181</v>
      </c>
      <c r="AB89" s="21">
        <f>EXP(-LN(2)/2)*AB88+(1-EXP(-LN(2)/2))/(LN(2)/2)*V89*Y89*VLOOKUP('Données projet'!$B$9,Paramètres!$A$1:$I$89,3,0)*0.475*44/12</f>
        <v>6.3056203702616171E-9</v>
      </c>
      <c r="AC89" s="22">
        <f t="shared" si="57"/>
        <v>4.397901992377018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0</v>
      </c>
      <c r="AJ89" s="13">
        <f>AI89*VLOOKUP('Données projet'!$B$10,Paramètres!$A$1:$I$89,3,0)*VLOOKUP('Données projet'!$B$10,Paramètres!$A$1:$I$89,5,0)</f>
        <v>0</v>
      </c>
      <c r="AK89" s="13" t="e">
        <f t="shared" si="89"/>
        <v>#NUM!</v>
      </c>
      <c r="AL89" s="20" t="e">
        <f t="shared" si="58"/>
        <v>#NUM!</v>
      </c>
      <c r="AM89" s="59" t="e">
        <f t="shared" si="59"/>
        <v>#NUM!</v>
      </c>
      <c r="AN89" s="59">
        <f ca="1">AVERAGE(OFFSET($AM$3,0,0,'Données projet'!$E$10+1,1))-AVERAGE(OFFSET($H$3,0,0,'Données projet'!$E$10+1,1))</f>
        <v>255.41017495879987</v>
      </c>
      <c r="AO89" s="59">
        <f t="shared" si="90"/>
        <v>297.50513563712764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2.7524883226579866</v>
      </c>
      <c r="AV89" s="21">
        <f>EXP(-LN(2)/25)*AV88+(1-EXP(-LN(2)/25))/(LN(2)/25)*Calculateur!AQ89*Calculateur!AS89*VLOOKUP('Données projet'!$B$10,Paramètres!$A$1:$I$89,3,0)*0.475*44/12</f>
        <v>5.8996699598718072</v>
      </c>
      <c r="AW89" s="21">
        <f>EXP(-LN(2)/2)*AW88+(1-EXP(-LN(2)/2))/(LN(2)/2)*AQ89*AT89*VLOOKUP('Données projet'!$B$10,Paramètres!$A$1:$I$89,3,0)*0.475*44/12</f>
        <v>9.0901520613252669E-8</v>
      </c>
      <c r="AX89" s="21">
        <f t="shared" si="60"/>
        <v>8.6521583734313143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-5.1159076974727213E-13</v>
      </c>
      <c r="BE89" s="13">
        <f>BD89*VLOOKUP('Données projet'!$B$11,Paramètres!$A$1:$I$89,3,0)*VLOOKUP('Données projet'!$B$11,Paramètres!$A$1:$I$89,5,0)</f>
        <v>-4.0702161641092972E-13</v>
      </c>
      <c r="BF89" s="13" t="e">
        <f t="shared" si="91"/>
        <v>#NUM!</v>
      </c>
      <c r="BG89" s="20" t="e">
        <f t="shared" si="61"/>
        <v>#NUM!</v>
      </c>
      <c r="BH89" s="59" t="e">
        <f t="shared" si="62"/>
        <v>#NUM!</v>
      </c>
      <c r="BI89" s="59">
        <f ca="1">AVERAGE(OFFSET($BH$3,0,0,'Données projet'!$E$11+1,1))-AVERAGE(OFFSET($H$3,0,0,'Données projet'!$E$11+1,1))</f>
        <v>260.20517190557814</v>
      </c>
      <c r="BJ89" s="59">
        <f t="shared" si="92"/>
        <v>307.22009971147133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1.0763854074283192</v>
      </c>
      <c r="BQ89" s="21">
        <f>EXP(-LN(2)/25)*BQ88+(1-EXP(-LN(2)/25))/(LN(2)/25)*Calculateur!BL89*Calculateur!BN89*VLOOKUP('Données projet'!$B$11,Paramètres!$A$1:$I$89,3,0)*0.475*44/12</f>
        <v>4.3437193546907995</v>
      </c>
      <c r="BR89" s="21">
        <f>EXP(-LN(2)/2)*BR88+(1-EXP(-LN(2)/2))/(LN(2)/2)*BL89*BO89*VLOOKUP('Données projet'!$B$11,Paramètres!$A$1:$I$89,3,0)*0.475*44/12</f>
        <v>8.9552381086190366E-8</v>
      </c>
      <c r="BS89" s="22">
        <f t="shared" si="63"/>
        <v>5.4201048516714998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4</v>
      </c>
      <c r="BY89" s="12">
        <f>IF('Données projet'!$A$114&gt;35,BY88+BX89-CG88,IF(A89&lt;'Données projet'!$A$114,$BV$205^A89,IF(A89='Données projet'!$A$114,'Données projet'!$B$114,BY88+BX89-CG88)))</f>
        <v>283.00000000000017</v>
      </c>
      <c r="BZ89" s="13">
        <f>BY89*VLOOKUP('Données projet'!$B$12,Paramètres!$A$1:$I$89,3,0)*VLOOKUP('Données projet'!$B$12,Paramètres!$A$1:$I$89,5,0)</f>
        <v>185.42160000000013</v>
      </c>
      <c r="CA89" s="13">
        <f t="shared" si="93"/>
        <v>46.526301148997497</v>
      </c>
      <c r="CB89" s="20">
        <f t="shared" si="64"/>
        <v>403.97592783450415</v>
      </c>
      <c r="CC89" s="59">
        <f t="shared" si="65"/>
        <v>697.30926116783746</v>
      </c>
      <c r="CD89" s="59">
        <f ca="1">AVERAGE(OFFSET($CC$3,0,0,'Données projet'!$E$12+1,1))-AVERAGE(OFFSET($H$3,0,0,'Données projet'!$E$12+1,1))</f>
        <v>185.21927898775016</v>
      </c>
      <c r="CE89" s="59">
        <f t="shared" si="94"/>
        <v>240.82467772396944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0.51370224771828732</v>
      </c>
      <c r="CL89" s="21">
        <f>EXP(-LN(2)/25)*CL88+(1-EXP(-LN(2)/25))/(LN(2)/25)*Calculateur!CG89*Calculateur!CI89*VLOOKUP('Données projet'!$B$12,Paramètres!$A$1:$I$89,3,0)*0.475*44/12</f>
        <v>1.7015408954840212</v>
      </c>
      <c r="CM89" s="21">
        <f>EXP(-LN(2)/2)*CM88+(1-EXP(-LN(2)/2))/(LN(2)/2)*CG89*CJ89*VLOOKUP('Données projet'!$B$12,Paramètres!$A$1:$I$89,3,0)*0.475*44/12</f>
        <v>5.2140682884332117E-8</v>
      </c>
      <c r="CN89" s="22">
        <f t="shared" si="66"/>
        <v>2.2152431953429916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77.360400000000112</v>
      </c>
      <c r="D90" s="11">
        <f t="shared" si="86"/>
        <v>21.490533357793517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763.05983644612627</v>
      </c>
      <c r="H90" s="67">
        <f t="shared" si="56"/>
        <v>465.49870893149051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-2.2737367544323206E-13</v>
      </c>
      <c r="O90" s="13">
        <f>N90*VLOOKUP('Données projet'!$B$9,Paramètres!$A$1:$I$89,3,0)*VLOOKUP('Données projet'!$B$9,Paramètres!$A$1:$I$89,5,0)</f>
        <v>-1.2710188457276673E-13</v>
      </c>
      <c r="P90" s="13" t="e">
        <f t="shared" si="87"/>
        <v>#NUM!</v>
      </c>
      <c r="Q90" s="20" t="e">
        <f t="shared" si="54"/>
        <v>#NUM!</v>
      </c>
      <c r="R90" s="59" t="e">
        <f t="shared" si="55"/>
        <v>#NUM!</v>
      </c>
      <c r="S90" s="59">
        <f ca="1">AVERAGE(OFFSET($R$3,0,0,'Données projet'!$E$9+1,1))-AVERAGE(OFFSET($H$3,0,0,'Données projet'!$E$9+1,1))</f>
        <v>255.5374979188561</v>
      </c>
      <c r="T90" s="59">
        <f t="shared" si="88"/>
        <v>343.10418468620901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0.99934483043453337</v>
      </c>
      <c r="AA90" s="21">
        <f>EXP(-LN(2)/25)*AA89+(1-EXP(-LN(2)/25))/(LN(2)/25)*Calculateur!V90*Calculateur!X90*VLOOKUP('Données projet'!$B$9,Paramètres!$A$1:$I$89,3,0)*0.475*44/12</f>
        <v>3.286181513237878</v>
      </c>
      <c r="AB90" s="21">
        <f>EXP(-LN(2)/2)*AB89+(1-EXP(-LN(2)/2))/(LN(2)/2)*V90*Y90*VLOOKUP('Données projet'!$B$9,Paramètres!$A$1:$I$89,3,0)*0.475*44/12</f>
        <v>4.458746923400018E-9</v>
      </c>
      <c r="AC90" s="22">
        <f t="shared" si="57"/>
        <v>4.2855263481311585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0</v>
      </c>
      <c r="AJ90" s="13">
        <f>AI90*VLOOKUP('Données projet'!$B$10,Paramètres!$A$1:$I$89,3,0)*VLOOKUP('Données projet'!$B$10,Paramètres!$A$1:$I$89,5,0)</f>
        <v>0</v>
      </c>
      <c r="AK90" s="13" t="e">
        <f t="shared" si="89"/>
        <v>#NUM!</v>
      </c>
      <c r="AL90" s="20" t="e">
        <f t="shared" si="58"/>
        <v>#NUM!</v>
      </c>
      <c r="AM90" s="59" t="e">
        <f t="shared" si="59"/>
        <v>#NUM!</v>
      </c>
      <c r="AN90" s="59">
        <f ca="1">AVERAGE(OFFSET($AM$3,0,0,'Données projet'!$E$10+1,1))-AVERAGE(OFFSET($H$3,0,0,'Données projet'!$E$10+1,1))</f>
        <v>255.41017495879987</v>
      </c>
      <c r="AO90" s="59">
        <f t="shared" si="90"/>
        <v>297.50513563712764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2.6985137055027675</v>
      </c>
      <c r="AV90" s="21">
        <f>EXP(-LN(2)/25)*AV89+(1-EXP(-LN(2)/25))/(LN(2)/25)*Calculateur!AQ90*Calculateur!AS90*VLOOKUP('Données projet'!$B$10,Paramètres!$A$1:$I$89,3,0)*0.475*44/12</f>
        <v>5.7383431745689535</v>
      </c>
      <c r="AW90" s="21">
        <f>EXP(-LN(2)/2)*AW89+(1-EXP(-LN(2)/2))/(LN(2)/2)*AQ90*AT90*VLOOKUP('Données projet'!$B$10,Paramètres!$A$1:$I$89,3,0)*0.475*44/12</f>
        <v>6.4277081645799693E-8</v>
      </c>
      <c r="AX90" s="21">
        <f t="shared" si="60"/>
        <v>8.4368569443488024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-5.1159076974727213E-13</v>
      </c>
      <c r="BE90" s="13">
        <f>BD90*VLOOKUP('Données projet'!$B$11,Paramètres!$A$1:$I$89,3,0)*VLOOKUP('Données projet'!$B$11,Paramètres!$A$1:$I$89,5,0)</f>
        <v>-4.0702161641092972E-13</v>
      </c>
      <c r="BF90" s="13" t="e">
        <f t="shared" si="91"/>
        <v>#NUM!</v>
      </c>
      <c r="BG90" s="20" t="e">
        <f t="shared" si="61"/>
        <v>#NUM!</v>
      </c>
      <c r="BH90" s="59" t="e">
        <f t="shared" si="62"/>
        <v>#NUM!</v>
      </c>
      <c r="BI90" s="59">
        <f ca="1">AVERAGE(OFFSET($BH$3,0,0,'Données projet'!$E$11+1,1))-AVERAGE(OFFSET($H$3,0,0,'Données projet'!$E$11+1,1))</f>
        <v>260.20517190557814</v>
      </c>
      <c r="BJ90" s="59">
        <f t="shared" si="92"/>
        <v>307.22009971147133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1.0552781461189213</v>
      </c>
      <c r="BQ90" s="21">
        <f>EXP(-LN(2)/25)*BQ89+(1-EXP(-LN(2)/25))/(LN(2)/25)*Calculateur!BL90*Calculateur!BN90*VLOOKUP('Données projet'!$B$11,Paramètres!$A$1:$I$89,3,0)*0.475*44/12</f>
        <v>4.2249401205105066</v>
      </c>
      <c r="BR90" s="21">
        <f>EXP(-LN(2)/2)*BR89+(1-EXP(-LN(2)/2))/(LN(2)/2)*BL90*BO90*VLOOKUP('Données projet'!$B$11,Paramètres!$A$1:$I$89,3,0)*0.475*44/12</f>
        <v>6.3323095937447128E-8</v>
      </c>
      <c r="BS90" s="22">
        <f t="shared" si="63"/>
        <v>5.2802183299525236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4</v>
      </c>
      <c r="BY90" s="12">
        <f>IF('Données projet'!$A$114&gt;35,BY89+BX90-CG89,IF(A90&lt;'Données projet'!$A$114,$BV$205^A90,IF(A90='Données projet'!$A$114,'Données projet'!$B$114,BY89+BX90-CG89)))</f>
        <v>287.00000000000017</v>
      </c>
      <c r="BZ90" s="13">
        <f>BY90*VLOOKUP('Données projet'!$B$12,Paramètres!$A$1:$I$89,3,0)*VLOOKUP('Données projet'!$B$12,Paramètres!$A$1:$I$89,5,0)</f>
        <v>188.0424000000001</v>
      </c>
      <c r="CA90" s="13">
        <f t="shared" si="93"/>
        <v>47.106894760764931</v>
      </c>
      <c r="CB90" s="20">
        <f t="shared" si="64"/>
        <v>409.55168837499906</v>
      </c>
      <c r="CC90" s="59">
        <f t="shared" si="65"/>
        <v>702.88502170833237</v>
      </c>
      <c r="CD90" s="59">
        <f ca="1">AVERAGE(OFFSET($CC$3,0,0,'Données projet'!$E$12+1,1))-AVERAGE(OFFSET($H$3,0,0,'Données projet'!$E$12+1,1))</f>
        <v>185.21927898775016</v>
      </c>
      <c r="CE90" s="59">
        <f t="shared" si="94"/>
        <v>240.82467772396944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0.50362885996796425</v>
      </c>
      <c r="CL90" s="21">
        <f>EXP(-LN(2)/25)*CL89+(1-EXP(-LN(2)/25))/(LN(2)/25)*Calculateur!CG90*Calculateur!CI90*VLOOKUP('Données projet'!$B$12,Paramètres!$A$1:$I$89,3,0)*0.475*44/12</f>
        <v>1.6550121702168639</v>
      </c>
      <c r="CM90" s="21">
        <f>EXP(-LN(2)/2)*CM89+(1-EXP(-LN(2)/2))/(LN(2)/2)*CG90*CJ90*VLOOKUP('Données projet'!$B$12,Paramètres!$A$1:$I$89,3,0)*0.475*44/12</f>
        <v>3.6869030443208594E-8</v>
      </c>
      <c r="CN90" s="22">
        <f t="shared" si="66"/>
        <v>2.1586410670538587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78.249600000000115</v>
      </c>
      <c r="D91" s="11">
        <f t="shared" si="86"/>
        <v>21.70865274023982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771.60756501237847</v>
      </c>
      <c r="H91" s="67">
        <f t="shared" si="56"/>
        <v>467.42729018925121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-2.2737367544323206E-13</v>
      </c>
      <c r="O91" s="13">
        <f>N91*VLOOKUP('Données projet'!$B$9,Paramètres!$A$1:$I$89,3,0)*VLOOKUP('Données projet'!$B$9,Paramètres!$A$1:$I$89,5,0)</f>
        <v>-1.2710188457276673E-13</v>
      </c>
      <c r="P91" s="13" t="e">
        <f t="shared" si="87"/>
        <v>#NUM!</v>
      </c>
      <c r="Q91" s="20" t="e">
        <f t="shared" si="54"/>
        <v>#NUM!</v>
      </c>
      <c r="R91" s="59" t="e">
        <f t="shared" si="55"/>
        <v>#NUM!</v>
      </c>
      <c r="S91" s="59">
        <f ca="1">AVERAGE(OFFSET($R$3,0,0,'Données projet'!$E$9+1,1))-AVERAGE(OFFSET($H$3,0,0,'Données projet'!$E$9+1,1))</f>
        <v>255.5374979188561</v>
      </c>
      <c r="T91" s="59">
        <f t="shared" si="88"/>
        <v>343.10418468620901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0.97974828784987167</v>
      </c>
      <c r="AA91" s="21">
        <f>EXP(-LN(2)/25)*AA90+(1-EXP(-LN(2)/25))/(LN(2)/25)*Calculateur!V91*Calculateur!X91*VLOOKUP('Données projet'!$B$9,Paramètres!$A$1:$I$89,3,0)*0.475*44/12</f>
        <v>3.1963207069456132</v>
      </c>
      <c r="AB91" s="21">
        <f>EXP(-LN(2)/2)*AB90+(1-EXP(-LN(2)/2))/(LN(2)/2)*V91*Y91*VLOOKUP('Données projet'!$B$9,Paramètres!$A$1:$I$89,3,0)*0.475*44/12</f>
        <v>3.1528101851308086E-9</v>
      </c>
      <c r="AC91" s="22">
        <f t="shared" si="57"/>
        <v>4.1760689979482954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0</v>
      </c>
      <c r="AJ91" s="13">
        <f>AI91*VLOOKUP('Données projet'!$B$10,Paramètres!$A$1:$I$89,3,0)*VLOOKUP('Données projet'!$B$10,Paramètres!$A$1:$I$89,5,0)</f>
        <v>0</v>
      </c>
      <c r="AK91" s="13" t="e">
        <f t="shared" si="89"/>
        <v>#NUM!</v>
      </c>
      <c r="AL91" s="20" t="e">
        <f t="shared" si="58"/>
        <v>#NUM!</v>
      </c>
      <c r="AM91" s="59" t="e">
        <f t="shared" si="59"/>
        <v>#NUM!</v>
      </c>
      <c r="AN91" s="59">
        <f ca="1">AVERAGE(OFFSET($AM$3,0,0,'Données projet'!$E$10+1,1))-AVERAGE(OFFSET($H$3,0,0,'Données projet'!$E$10+1,1))</f>
        <v>255.41017495879987</v>
      </c>
      <c r="AO91" s="59">
        <f t="shared" si="90"/>
        <v>297.50513563712764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2.6455974976686965</v>
      </c>
      <c r="AV91" s="21">
        <f>EXP(-LN(2)/25)*AV90+(1-EXP(-LN(2)/25))/(LN(2)/25)*Calculateur!AQ91*Calculateur!AS91*VLOOKUP('Données projet'!$B$10,Paramètres!$A$1:$I$89,3,0)*0.475*44/12</f>
        <v>5.5814278786940132</v>
      </c>
      <c r="AW91" s="21">
        <f>EXP(-LN(2)/2)*AW90+(1-EXP(-LN(2)/2))/(LN(2)/2)*AQ91*AT91*VLOOKUP('Données projet'!$B$10,Paramètres!$A$1:$I$89,3,0)*0.475*44/12</f>
        <v>4.5450760306626335E-8</v>
      </c>
      <c r="AX91" s="21">
        <f t="shared" si="60"/>
        <v>8.2270254218134689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-5.1159076974727213E-13</v>
      </c>
      <c r="BE91" s="13">
        <f>BD91*VLOOKUP('Données projet'!$B$11,Paramètres!$A$1:$I$89,3,0)*VLOOKUP('Données projet'!$B$11,Paramètres!$A$1:$I$89,5,0)</f>
        <v>-4.0702161641092972E-13</v>
      </c>
      <c r="BF91" s="13" t="e">
        <f t="shared" si="91"/>
        <v>#NUM!</v>
      </c>
      <c r="BG91" s="20" t="e">
        <f t="shared" si="61"/>
        <v>#NUM!</v>
      </c>
      <c r="BH91" s="59" t="e">
        <f t="shared" si="62"/>
        <v>#NUM!</v>
      </c>
      <c r="BI91" s="59">
        <f ca="1">AVERAGE(OFFSET($BH$3,0,0,'Données projet'!$E$11+1,1))-AVERAGE(OFFSET($H$3,0,0,'Données projet'!$E$11+1,1))</f>
        <v>260.20517190557814</v>
      </c>
      <c r="BJ91" s="59">
        <f t="shared" si="92"/>
        <v>307.22009971147133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1.0345847853296426</v>
      </c>
      <c r="BQ91" s="21">
        <f>EXP(-LN(2)/25)*BQ90+(1-EXP(-LN(2)/25))/(LN(2)/25)*Calculateur!BL91*Calculateur!BN91*VLOOKUP('Données projet'!$B$11,Paramètres!$A$1:$I$89,3,0)*0.475*44/12</f>
        <v>4.1094089107352021</v>
      </c>
      <c r="BR91" s="21">
        <f>EXP(-LN(2)/2)*BR90+(1-EXP(-LN(2)/2))/(LN(2)/2)*BL91*BO91*VLOOKUP('Données projet'!$B$11,Paramètres!$A$1:$I$89,3,0)*0.475*44/12</f>
        <v>4.4776190543095183E-8</v>
      </c>
      <c r="BS91" s="22">
        <f t="shared" si="63"/>
        <v>5.1439937408410357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4</v>
      </c>
      <c r="BY91" s="12">
        <f>IF('Données projet'!$A$114&gt;35,BY90+BX91-CG90,IF(A91&lt;'Données projet'!$A$114,$BV$205^A91,IF(A91='Données projet'!$A$114,'Données projet'!$B$114,BY90+BX91-CG90)))</f>
        <v>291.00000000000017</v>
      </c>
      <c r="BZ91" s="13">
        <f>BY91*VLOOKUP('Données projet'!$B$12,Paramètres!$A$1:$I$89,3,0)*VLOOKUP('Données projet'!$B$12,Paramètres!$A$1:$I$89,5,0)</f>
        <v>190.6632000000001</v>
      </c>
      <c r="CA91" s="13">
        <f t="shared" si="93"/>
        <v>47.686547207106145</v>
      </c>
      <c r="CB91" s="20">
        <f t="shared" si="64"/>
        <v>415.12580971904339</v>
      </c>
      <c r="CC91" s="59">
        <f t="shared" si="65"/>
        <v>708.4591430523767</v>
      </c>
      <c r="CD91" s="59">
        <f ca="1">AVERAGE(OFFSET($CC$3,0,0,'Données projet'!$E$12+1,1))-AVERAGE(OFFSET($H$3,0,0,'Données projet'!$E$12+1,1))</f>
        <v>185.21927898775016</v>
      </c>
      <c r="CE91" s="59">
        <f t="shared" si="94"/>
        <v>240.82467772396944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0.49375300520726523</v>
      </c>
      <c r="CL91" s="21">
        <f>EXP(-LN(2)/25)*CL90+(1-EXP(-LN(2)/25))/(LN(2)/25)*Calculateur!CG91*Calculateur!CI91*VLOOKUP('Données projet'!$B$12,Paramètres!$A$1:$I$89,3,0)*0.475*44/12</f>
        <v>1.6097557753889762</v>
      </c>
      <c r="CM91" s="21">
        <f>EXP(-LN(2)/2)*CM90+(1-EXP(-LN(2)/2))/(LN(2)/2)*CG91*CJ91*VLOOKUP('Données projet'!$B$12,Paramètres!$A$1:$I$89,3,0)*0.475*44/12</f>
        <v>2.6070341442166059E-8</v>
      </c>
      <c r="CN91" s="22">
        <f t="shared" si="66"/>
        <v>2.103508806666583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79.138800000000117</v>
      </c>
      <c r="D92" s="11">
        <f t="shared" si="86"/>
        <v>21.926483794395363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780.15306788656164</v>
      </c>
      <c r="H92" s="67">
        <f t="shared" si="56"/>
        <v>469.35536927523879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-2.2737367544323206E-13</v>
      </c>
      <c r="O92" s="13">
        <f>N92*VLOOKUP('Données projet'!$B$9,Paramètres!$A$1:$I$89,3,0)*VLOOKUP('Données projet'!$B$9,Paramètres!$A$1:$I$89,5,0)</f>
        <v>-1.2710188457276673E-13</v>
      </c>
      <c r="P92" s="13" t="e">
        <f t="shared" si="87"/>
        <v>#NUM!</v>
      </c>
      <c r="Q92" s="20" t="e">
        <f t="shared" si="54"/>
        <v>#NUM!</v>
      </c>
      <c r="R92" s="59" t="e">
        <f t="shared" si="55"/>
        <v>#NUM!</v>
      </c>
      <c r="S92" s="59">
        <f ca="1">AVERAGE(OFFSET($R$3,0,0,'Données projet'!$E$9+1,1))-AVERAGE(OFFSET($H$3,0,0,'Données projet'!$E$9+1,1))</f>
        <v>255.5374979188561</v>
      </c>
      <c r="T92" s="59">
        <f t="shared" si="88"/>
        <v>343.10418468620901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0.96053602151258444</v>
      </c>
      <c r="AA92" s="21">
        <f>EXP(-LN(2)/25)*AA91+(1-EXP(-LN(2)/25))/(LN(2)/25)*Calculateur!V92*Calculateur!X92*VLOOKUP('Données projet'!$B$9,Paramètres!$A$1:$I$89,3,0)*0.475*44/12</f>
        <v>3.1089171491269849</v>
      </c>
      <c r="AB92" s="21">
        <f>EXP(-LN(2)/2)*AB91+(1-EXP(-LN(2)/2))/(LN(2)/2)*V92*Y92*VLOOKUP('Données projet'!$B$9,Paramètres!$A$1:$I$89,3,0)*0.475*44/12</f>
        <v>2.229373461700009E-9</v>
      </c>
      <c r="AC92" s="22">
        <f t="shared" si="57"/>
        <v>4.0694531728689425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0</v>
      </c>
      <c r="AJ92" s="13">
        <f>AI92*VLOOKUP('Données projet'!$B$10,Paramètres!$A$1:$I$89,3,0)*VLOOKUP('Données projet'!$B$10,Paramètres!$A$1:$I$89,5,0)</f>
        <v>0</v>
      </c>
      <c r="AK92" s="13" t="e">
        <f t="shared" si="89"/>
        <v>#NUM!</v>
      </c>
      <c r="AL92" s="20" t="e">
        <f t="shared" si="58"/>
        <v>#NUM!</v>
      </c>
      <c r="AM92" s="59" t="e">
        <f t="shared" si="59"/>
        <v>#NUM!</v>
      </c>
      <c r="AN92" s="59">
        <f ca="1">AVERAGE(OFFSET($AM$3,0,0,'Données projet'!$E$10+1,1))-AVERAGE(OFFSET($H$3,0,0,'Données projet'!$E$10+1,1))</f>
        <v>255.41017495879987</v>
      </c>
      <c r="AO92" s="59">
        <f t="shared" si="90"/>
        <v>297.50513563712764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2.5937189443945519</v>
      </c>
      <c r="AV92" s="21">
        <f>EXP(-LN(2)/25)*AV91+(1-EXP(-LN(2)/25))/(LN(2)/25)*Calculateur!AQ92*Calculateur!AS92*VLOOKUP('Données projet'!$B$10,Paramètres!$A$1:$I$89,3,0)*0.475*44/12</f>
        <v>5.4288034398365896</v>
      </c>
      <c r="AW92" s="21">
        <f>EXP(-LN(2)/2)*AW91+(1-EXP(-LN(2)/2))/(LN(2)/2)*AQ92*AT92*VLOOKUP('Données projet'!$B$10,Paramètres!$A$1:$I$89,3,0)*0.475*44/12</f>
        <v>3.2138540822899847E-8</v>
      </c>
      <c r="AX92" s="21">
        <f t="shared" si="60"/>
        <v>8.0225224163696822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-5.1159076974727213E-13</v>
      </c>
      <c r="BE92" s="13">
        <f>BD92*VLOOKUP('Données projet'!$B$11,Paramètres!$A$1:$I$89,3,0)*VLOOKUP('Données projet'!$B$11,Paramètres!$A$1:$I$89,5,0)</f>
        <v>-4.0702161641092972E-13</v>
      </c>
      <c r="BF92" s="13" t="e">
        <f t="shared" si="91"/>
        <v>#NUM!</v>
      </c>
      <c r="BG92" s="20" t="e">
        <f t="shared" si="61"/>
        <v>#NUM!</v>
      </c>
      <c r="BH92" s="59" t="e">
        <f t="shared" si="62"/>
        <v>#NUM!</v>
      </c>
      <c r="BI92" s="59">
        <f ca="1">AVERAGE(OFFSET($BH$3,0,0,'Données projet'!$E$11+1,1))-AVERAGE(OFFSET($H$3,0,0,'Données projet'!$E$11+1,1))</f>
        <v>260.20517190557814</v>
      </c>
      <c r="BJ92" s="59">
        <f t="shared" si="92"/>
        <v>307.22009971147133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1.0142972087237379</v>
      </c>
      <c r="BQ92" s="21">
        <f>EXP(-LN(2)/25)*BQ91+(1-EXP(-LN(2)/25))/(LN(2)/25)*Calculateur!BL92*Calculateur!BN92*VLOOKUP('Données projet'!$B$11,Paramètres!$A$1:$I$89,3,0)*0.475*44/12</f>
        <v>3.9970369079667254</v>
      </c>
      <c r="BR92" s="21">
        <f>EXP(-LN(2)/2)*BR91+(1-EXP(-LN(2)/2))/(LN(2)/2)*BL92*BO92*VLOOKUP('Données projet'!$B$11,Paramètres!$A$1:$I$89,3,0)*0.475*44/12</f>
        <v>3.1661547968723564E-8</v>
      </c>
      <c r="BS92" s="22">
        <f t="shared" si="63"/>
        <v>5.0113341483520113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4</v>
      </c>
      <c r="BY92" s="12">
        <f>IF('Données projet'!$A$114&gt;35,BY91+BX92-CG91,IF(A92&lt;'Données projet'!$A$114,$BV$205^A92,IF(A92='Données projet'!$A$114,'Données projet'!$B$114,BY91+BX92-CG91)))</f>
        <v>295.00000000000017</v>
      </c>
      <c r="BZ92" s="13">
        <f>BY92*VLOOKUP('Données projet'!$B$12,Paramètres!$A$1:$I$89,3,0)*VLOOKUP('Données projet'!$B$12,Paramètres!$A$1:$I$89,5,0)</f>
        <v>193.28400000000011</v>
      </c>
      <c r="CA92" s="13">
        <f t="shared" si="93"/>
        <v>48.265272920234025</v>
      </c>
      <c r="CB92" s="20">
        <f t="shared" si="64"/>
        <v>420.69831700274108</v>
      </c>
      <c r="CC92" s="59">
        <f t="shared" si="65"/>
        <v>714.03165033607434</v>
      </c>
      <c r="CD92" s="59">
        <f ca="1">AVERAGE(OFFSET($CC$3,0,0,'Données projet'!$E$12+1,1))-AVERAGE(OFFSET($H$3,0,0,'Données projet'!$E$12+1,1))</f>
        <v>185.21927898775016</v>
      </c>
      <c r="CE92" s="59">
        <f t="shared" si="94"/>
        <v>240.82467772396944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0.48407080993474688</v>
      </c>
      <c r="CL92" s="21">
        <f>EXP(-LN(2)/25)*CL91+(1-EXP(-LN(2)/25))/(LN(2)/25)*Calculateur!CG92*Calculateur!CI92*VLOOKUP('Données projet'!$B$12,Paramètres!$A$1:$I$89,3,0)*0.475*44/12</f>
        <v>1.5657369190575876</v>
      </c>
      <c r="CM92" s="21">
        <f>EXP(-LN(2)/2)*CM91+(1-EXP(-LN(2)/2))/(LN(2)/2)*CG92*CJ92*VLOOKUP('Données projet'!$B$12,Paramètres!$A$1:$I$89,3,0)*0.475*44/12</f>
        <v>1.8434515221604297E-8</v>
      </c>
      <c r="CN92" s="22">
        <f t="shared" si="66"/>
        <v>2.0498077474268497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80.028000000000119</v>
      </c>
      <c r="D93" s="11">
        <f t="shared" si="86"/>
        <v>22.144030134787187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788.69637297028794</v>
      </c>
      <c r="H93" s="67">
        <f t="shared" si="56"/>
        <v>471.2829524847545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-2.2737367544323206E-13</v>
      </c>
      <c r="O93" s="13">
        <f>N93*VLOOKUP('Données projet'!$B$9,Paramètres!$A$1:$I$89,3,0)*VLOOKUP('Données projet'!$B$9,Paramètres!$A$1:$I$89,5,0)</f>
        <v>-1.2710188457276673E-13</v>
      </c>
      <c r="P93" s="13" t="e">
        <f t="shared" si="87"/>
        <v>#NUM!</v>
      </c>
      <c r="Q93" s="20" t="e">
        <f t="shared" si="54"/>
        <v>#NUM!</v>
      </c>
      <c r="R93" s="59" t="e">
        <f t="shared" si="55"/>
        <v>#NUM!</v>
      </c>
      <c r="S93" s="59">
        <f ca="1">AVERAGE(OFFSET($R$3,0,0,'Données projet'!$E$9+1,1))-AVERAGE(OFFSET($H$3,0,0,'Données projet'!$E$9+1,1))</f>
        <v>255.5374979188561</v>
      </c>
      <c r="T93" s="59">
        <f t="shared" si="88"/>
        <v>343.10418468620901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0.94170049599984595</v>
      </c>
      <c r="AA93" s="21">
        <f>EXP(-LN(2)/25)*AA92+(1-EXP(-LN(2)/25))/(LN(2)/25)*Calculateur!V93*Calculateur!X93*VLOOKUP('Données projet'!$B$9,Paramètres!$A$1:$I$89,3,0)*0.475*44/12</f>
        <v>3.02390364619326</v>
      </c>
      <c r="AB93" s="21">
        <f>EXP(-LN(2)/2)*AB92+(1-EXP(-LN(2)/2))/(LN(2)/2)*V93*Y93*VLOOKUP('Données projet'!$B$9,Paramètres!$A$1:$I$89,3,0)*0.475*44/12</f>
        <v>1.5764050925654043E-9</v>
      </c>
      <c r="AC93" s="22">
        <f t="shared" si="57"/>
        <v>3.9656041437695113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0</v>
      </c>
      <c r="AJ93" s="13">
        <f>AI93*VLOOKUP('Données projet'!$B$10,Paramètres!$A$1:$I$89,3,0)*VLOOKUP('Données projet'!$B$10,Paramètres!$A$1:$I$89,5,0)</f>
        <v>0</v>
      </c>
      <c r="AK93" s="13" t="e">
        <f t="shared" si="89"/>
        <v>#NUM!</v>
      </c>
      <c r="AL93" s="20" t="e">
        <f t="shared" si="58"/>
        <v>#NUM!</v>
      </c>
      <c r="AM93" s="59" t="e">
        <f t="shared" si="59"/>
        <v>#NUM!</v>
      </c>
      <c r="AN93" s="59">
        <f ca="1">AVERAGE(OFFSET($AM$3,0,0,'Données projet'!$E$10+1,1))-AVERAGE(OFFSET($H$3,0,0,'Données projet'!$E$10+1,1))</f>
        <v>255.41017495879987</v>
      </c>
      <c r="AO93" s="59">
        <f t="shared" si="90"/>
        <v>297.50513563712764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2.5428576979073201</v>
      </c>
      <c r="AV93" s="21">
        <f>EXP(-LN(2)/25)*AV92+(1-EXP(-LN(2)/25))/(LN(2)/25)*Calculateur!AQ93*Calculateur!AS93*VLOOKUP('Données projet'!$B$10,Paramètres!$A$1:$I$89,3,0)*0.475*44/12</f>
        <v>5.2803525242858926</v>
      </c>
      <c r="AW93" s="21">
        <f>EXP(-LN(2)/2)*AW92+(1-EXP(-LN(2)/2))/(LN(2)/2)*AQ93*AT93*VLOOKUP('Données projet'!$B$10,Paramètres!$A$1:$I$89,3,0)*0.475*44/12</f>
        <v>2.2725380153313167E-8</v>
      </c>
      <c r="AX93" s="21">
        <f t="shared" si="60"/>
        <v>7.8232102449185925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-5.1159076974727213E-13</v>
      </c>
      <c r="BE93" s="13">
        <f>BD93*VLOOKUP('Données projet'!$B$11,Paramètres!$A$1:$I$89,3,0)*VLOOKUP('Données projet'!$B$11,Paramètres!$A$1:$I$89,5,0)</f>
        <v>-4.0702161641092972E-13</v>
      </c>
      <c r="BF93" s="13" t="e">
        <f t="shared" si="91"/>
        <v>#NUM!</v>
      </c>
      <c r="BG93" s="20" t="e">
        <f t="shared" si="61"/>
        <v>#NUM!</v>
      </c>
      <c r="BH93" s="59" t="e">
        <f t="shared" si="62"/>
        <v>#NUM!</v>
      </c>
      <c r="BI93" s="59">
        <f ca="1">AVERAGE(OFFSET($BH$3,0,0,'Données projet'!$E$11+1,1))-AVERAGE(OFFSET($H$3,0,0,'Données projet'!$E$11+1,1))</f>
        <v>260.20517190557814</v>
      </c>
      <c r="BJ93" s="59">
        <f t="shared" si="92"/>
        <v>307.22009971147133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0.99440745912087503</v>
      </c>
      <c r="BQ93" s="21">
        <f>EXP(-LN(2)/25)*BQ92+(1-EXP(-LN(2)/25))/(LN(2)/25)*Calculateur!BL93*Calculateur!BN93*VLOOKUP('Données projet'!$B$11,Paramètres!$A$1:$I$89,3,0)*0.475*44/12</f>
        <v>3.8877377235233395</v>
      </c>
      <c r="BR93" s="21">
        <f>EXP(-LN(2)/2)*BR92+(1-EXP(-LN(2)/2))/(LN(2)/2)*BL93*BO93*VLOOKUP('Données projet'!$B$11,Paramètres!$A$1:$I$89,3,0)*0.475*44/12</f>
        <v>2.2388095271547592E-8</v>
      </c>
      <c r="BS93" s="22">
        <f t="shared" si="63"/>
        <v>4.8821452050323098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>
        <f>VLOOKUP(A93,'Données projet'!$A$113:$I$133,2,0)</f>
        <v>299</v>
      </c>
      <c r="BW93" s="12">
        <f>VLOOKUP(A93,'Données projet'!$A$113:$I$133,9,0)</f>
        <v>4</v>
      </c>
      <c r="BX93" s="12">
        <f t="array" ref="BX93">INDEX(BW:BW,MIN(IF(ISNUMBER(BW93:BW289),ROW(BW93:BW289),"")))</f>
        <v>4</v>
      </c>
      <c r="BY93" s="12">
        <f>IF('Données projet'!$A$114&gt;35,BY92+BX93-CG92,IF(A93&lt;'Données projet'!$A$114,$BV$205^A93,IF(A93='Données projet'!$A$114,'Données projet'!$B$114,BY92+BX93-CG92)))</f>
        <v>299.00000000000017</v>
      </c>
      <c r="BZ93" s="13">
        <f>BY93*VLOOKUP('Données projet'!$B$12,Paramètres!$A$1:$I$89,3,0)*VLOOKUP('Données projet'!$B$12,Paramètres!$A$1:$I$89,5,0)</f>
        <v>195.90480000000011</v>
      </c>
      <c r="CA93" s="13">
        <f t="shared" si="93"/>
        <v>48.843085918490004</v>
      </c>
      <c r="CB93" s="20">
        <f t="shared" si="64"/>
        <v>426.2692346413703</v>
      </c>
      <c r="CC93" s="59">
        <f t="shared" si="65"/>
        <v>719.60256797470356</v>
      </c>
      <c r="CD93" s="59">
        <f ca="1">AVERAGE(OFFSET($CC$3,0,0,'Données projet'!$E$12+1,1))-AVERAGE(OFFSET($H$3,0,0,'Données projet'!$E$12+1,1))</f>
        <v>185.21927898775016</v>
      </c>
      <c r="CE93" s="59">
        <f t="shared" si="94"/>
        <v>240.82467772396944</v>
      </c>
      <c r="CF93" s="15">
        <f>IF(ISNA(VLOOKUP(A93,'Données projet'!$A$113:$I$133,3,0)),0,VLOOKUP(A93,'Données projet'!$A$113:$I$133,3,0))</f>
        <v>8</v>
      </c>
      <c r="CG93" s="15">
        <f>IF(ISNA(VLOOKUP(A93,'Données projet'!$A$113:$I$133,4,0)),0,VLOOKUP(A93,'Données projet'!$A$113:$I$133,4,0))</f>
        <v>31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projet'!$B$12,Paramètres!$A$1:$I$89,3,0)*0.475*44/12</f>
        <v>0.47457847660596664</v>
      </c>
      <c r="CL93" s="21">
        <f>EXP(-LN(2)/25)*CL92+(1-EXP(-LN(2)/25))/(LN(2)/25)*Calculateur!CG93*Calculateur!CI93*VLOOKUP('Données projet'!$B$12,Paramètres!$A$1:$I$89,3,0)*0.475*44/12</f>
        <v>1.5229217606674319</v>
      </c>
      <c r="CM93" s="21">
        <f>EXP(-LN(2)/2)*CM92+(1-EXP(-LN(2)/2))/(LN(2)/2)*CG93*CJ93*VLOOKUP('Données projet'!$B$12,Paramètres!$A$1:$I$89,3,0)*0.475*44/12</f>
        <v>1.3035170721083029E-8</v>
      </c>
      <c r="CN93" s="22">
        <f t="shared" si="66"/>
        <v>1.9975002503085693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80.917200000000122</v>
      </c>
      <c r="D94" s="11">
        <f t="shared" si="86"/>
        <v>22.361295290994477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797.23750750943202</v>
      </c>
      <c r="H94" s="67">
        <f t="shared" si="56"/>
        <v>473.21004596514888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-2.2737367544323206E-13</v>
      </c>
      <c r="O94" s="13">
        <f>N94*VLOOKUP('Données projet'!$B$9,Paramètres!$A$1:$I$89,3,0)*VLOOKUP('Données projet'!$B$9,Paramètres!$A$1:$I$89,5,0)</f>
        <v>-1.2710188457276673E-13</v>
      </c>
      <c r="P94" s="13" t="e">
        <f t="shared" si="87"/>
        <v>#NUM!</v>
      </c>
      <c r="Q94" s="20" t="e">
        <f t="shared" si="54"/>
        <v>#NUM!</v>
      </c>
      <c r="R94" s="59" t="e">
        <f t="shared" si="55"/>
        <v>#NUM!</v>
      </c>
      <c r="S94" s="59">
        <f ca="1">AVERAGE(OFFSET($R$3,0,0,'Données projet'!$E$9+1,1))-AVERAGE(OFFSET($H$3,0,0,'Données projet'!$E$9+1,1))</f>
        <v>255.5374979188561</v>
      </c>
      <c r="T94" s="59">
        <f t="shared" si="88"/>
        <v>343.10418468620901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0.92323432365387614</v>
      </c>
      <c r="AA94" s="21">
        <f>EXP(-LN(2)/25)*AA93+(1-EXP(-LN(2)/25))/(LN(2)/25)*Calculateur!V94*Calculateur!X94*VLOOKUP('Données projet'!$B$9,Paramètres!$A$1:$I$89,3,0)*0.475*44/12</f>
        <v>2.9412148419679238</v>
      </c>
      <c r="AB94" s="21">
        <f>EXP(-LN(2)/2)*AB93+(1-EXP(-LN(2)/2))/(LN(2)/2)*V94*Y94*VLOOKUP('Données projet'!$B$9,Paramètres!$A$1:$I$89,3,0)*0.475*44/12</f>
        <v>1.1146867308500045E-9</v>
      </c>
      <c r="AC94" s="22">
        <f t="shared" si="57"/>
        <v>3.8644491667364864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0</v>
      </c>
      <c r="AJ94" s="13">
        <f>AI94*VLOOKUP('Données projet'!$B$10,Paramètres!$A$1:$I$89,3,0)*VLOOKUP('Données projet'!$B$10,Paramètres!$A$1:$I$89,5,0)</f>
        <v>0</v>
      </c>
      <c r="AK94" s="13" t="e">
        <f t="shared" si="89"/>
        <v>#NUM!</v>
      </c>
      <c r="AL94" s="20" t="e">
        <f t="shared" si="58"/>
        <v>#NUM!</v>
      </c>
      <c r="AM94" s="59" t="e">
        <f t="shared" si="59"/>
        <v>#NUM!</v>
      </c>
      <c r="AN94" s="59">
        <f ca="1">AVERAGE(OFFSET($AM$3,0,0,'Données projet'!$E$10+1,1))-AVERAGE(OFFSET($H$3,0,0,'Données projet'!$E$10+1,1))</f>
        <v>255.41017495879987</v>
      </c>
      <c r="AO94" s="59">
        <f t="shared" si="90"/>
        <v>297.50513563712764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2.4929938094414057</v>
      </c>
      <c r="AV94" s="21">
        <f>EXP(-LN(2)/25)*AV93+(1-EXP(-LN(2)/25))/(LN(2)/25)*Calculateur!AQ94*Calculateur!AS94*VLOOKUP('Données projet'!$B$10,Paramètres!$A$1:$I$89,3,0)*0.475*44/12</f>
        <v>5.1359610068276238</v>
      </c>
      <c r="AW94" s="21">
        <f>EXP(-LN(2)/2)*AW93+(1-EXP(-LN(2)/2))/(LN(2)/2)*AQ94*AT94*VLOOKUP('Données projet'!$B$10,Paramètres!$A$1:$I$89,3,0)*0.475*44/12</f>
        <v>1.6069270411449923E-8</v>
      </c>
      <c r="AX94" s="21">
        <f t="shared" si="60"/>
        <v>7.6289548323382999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-5.1159076974727213E-13</v>
      </c>
      <c r="BE94" s="13">
        <f>BD94*VLOOKUP('Données projet'!$B$11,Paramètres!$A$1:$I$89,3,0)*VLOOKUP('Données projet'!$B$11,Paramètres!$A$1:$I$89,5,0)</f>
        <v>-4.0702161641092972E-13</v>
      </c>
      <c r="BF94" s="13" t="e">
        <f t="shared" si="91"/>
        <v>#NUM!</v>
      </c>
      <c r="BG94" s="20" t="e">
        <f t="shared" si="61"/>
        <v>#NUM!</v>
      </c>
      <c r="BH94" s="59" t="e">
        <f t="shared" si="62"/>
        <v>#NUM!</v>
      </c>
      <c r="BI94" s="59">
        <f ca="1">AVERAGE(OFFSET($BH$3,0,0,'Données projet'!$E$11+1,1))-AVERAGE(OFFSET($H$3,0,0,'Données projet'!$E$11+1,1))</f>
        <v>260.20517190557814</v>
      </c>
      <c r="BJ94" s="59">
        <f t="shared" si="92"/>
        <v>307.22009971147133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0.97490773537617503</v>
      </c>
      <c r="BQ94" s="21">
        <f>EXP(-LN(2)/25)*BQ93+(1-EXP(-LN(2)/25))/(LN(2)/25)*Calculateur!BL94*Calculateur!BN94*VLOOKUP('Données projet'!$B$11,Paramètres!$A$1:$I$89,3,0)*0.475*44/12</f>
        <v>3.7814273310263524</v>
      </c>
      <c r="BR94" s="21">
        <f>EXP(-LN(2)/2)*BR93+(1-EXP(-LN(2)/2))/(LN(2)/2)*BL94*BO94*VLOOKUP('Données projet'!$B$11,Paramètres!$A$1:$I$89,3,0)*0.475*44/12</f>
        <v>1.5830773984361782E-8</v>
      </c>
      <c r="BS94" s="22">
        <f t="shared" si="63"/>
        <v>4.7563350822333019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268.00000000000017</v>
      </c>
      <c r="BZ94" s="13">
        <f>BY94*VLOOKUP('Données projet'!$B$12,Paramètres!$A$1:$I$89,3,0)*VLOOKUP('Données projet'!$B$12,Paramètres!$A$1:$I$89,5,0)</f>
        <v>175.59360000000012</v>
      </c>
      <c r="CA94" s="13">
        <f t="shared" si="93"/>
        <v>44.340433728638573</v>
      </c>
      <c r="CB94" s="20">
        <f t="shared" si="64"/>
        <v>383.05177541071242</v>
      </c>
      <c r="CC94" s="59">
        <f t="shared" si="65"/>
        <v>676.38510874404574</v>
      </c>
      <c r="CD94" s="59">
        <f ca="1">AVERAGE(OFFSET($CC$3,0,0,'Données projet'!$E$12+1,1))-AVERAGE(OFFSET($H$3,0,0,'Données projet'!$E$12+1,1))</f>
        <v>185.21927898775016</v>
      </c>
      <c r="CE94" s="59">
        <f t="shared" si="94"/>
        <v>240.82467772396944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0.46527228214401212</v>
      </c>
      <c r="CL94" s="21">
        <f>EXP(-LN(2)/25)*CL93+(1-EXP(-LN(2)/25))/(LN(2)/25)*Calculateur!CG94*Calculateur!CI94*VLOOKUP('Données projet'!$B$12,Paramètres!$A$1:$I$89,3,0)*0.475*44/12</f>
        <v>1.4812773850350063</v>
      </c>
      <c r="CM94" s="21">
        <f>EXP(-LN(2)/2)*CM93+(1-EXP(-LN(2)/2))/(LN(2)/2)*CG94*CJ94*VLOOKUP('Données projet'!$B$12,Paramètres!$A$1:$I$89,3,0)*0.475*44/12</f>
        <v>9.2172576108021484E-9</v>
      </c>
      <c r="CN94" s="22">
        <f t="shared" si="66"/>
        <v>1.946549676396276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81.806400000000124</v>
      </c>
      <c r="D95" s="11">
        <f t="shared" si="86"/>
        <v>22.578282710556053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805.77649811657409</v>
      </c>
      <c r="H95" s="67">
        <f t="shared" si="56"/>
        <v>475.1366557208853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-2.2737367544323206E-13</v>
      </c>
      <c r="O95" s="13">
        <f>N95*VLOOKUP('Données projet'!$B$9,Paramètres!$A$1:$I$89,3,0)*VLOOKUP('Données projet'!$B$9,Paramètres!$A$1:$I$89,5,0)</f>
        <v>-1.2710188457276673E-13</v>
      </c>
      <c r="P95" s="13" t="e">
        <f t="shared" si="87"/>
        <v>#NUM!</v>
      </c>
      <c r="Q95" s="20" t="e">
        <f t="shared" si="54"/>
        <v>#NUM!</v>
      </c>
      <c r="R95" s="59" t="e">
        <f t="shared" si="55"/>
        <v>#NUM!</v>
      </c>
      <c r="S95" s="59">
        <f ca="1">AVERAGE(OFFSET($R$3,0,0,'Données projet'!$E$9+1,1))-AVERAGE(OFFSET($H$3,0,0,'Données projet'!$E$9+1,1))</f>
        <v>255.5374979188561</v>
      </c>
      <c r="T95" s="59">
        <f t="shared" si="88"/>
        <v>343.10418468620901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0.90513026168435784</v>
      </c>
      <c r="AA95" s="21">
        <f>EXP(-LN(2)/25)*AA94+(1-EXP(-LN(2)/25))/(LN(2)/25)*Calculateur!V95*Calculateur!X95*VLOOKUP('Données projet'!$B$9,Paramètres!$A$1:$I$89,3,0)*0.475*44/12</f>
        <v>2.8607871674425445</v>
      </c>
      <c r="AB95" s="21">
        <f>EXP(-LN(2)/2)*AB94+(1-EXP(-LN(2)/2))/(LN(2)/2)*V95*Y95*VLOOKUP('Données projet'!$B$9,Paramètres!$A$1:$I$89,3,0)*0.475*44/12</f>
        <v>7.8820254628270214E-10</v>
      </c>
      <c r="AC95" s="22">
        <f t="shared" si="57"/>
        <v>3.7659174299151048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0</v>
      </c>
      <c r="AJ95" s="13">
        <f>AI95*VLOOKUP('Données projet'!$B$10,Paramètres!$A$1:$I$89,3,0)*VLOOKUP('Données projet'!$B$10,Paramètres!$A$1:$I$89,5,0)</f>
        <v>0</v>
      </c>
      <c r="AK95" s="13" t="e">
        <f t="shared" si="89"/>
        <v>#NUM!</v>
      </c>
      <c r="AL95" s="20" t="e">
        <f t="shared" si="58"/>
        <v>#NUM!</v>
      </c>
      <c r="AM95" s="59" t="e">
        <f t="shared" si="59"/>
        <v>#NUM!</v>
      </c>
      <c r="AN95" s="59">
        <f ca="1">AVERAGE(OFFSET($AM$3,0,0,'Données projet'!$E$10+1,1))-AVERAGE(OFFSET($H$3,0,0,'Données projet'!$E$10+1,1))</f>
        <v>255.41017495879987</v>
      </c>
      <c r="AO95" s="59">
        <f t="shared" si="90"/>
        <v>297.50513563712764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2.4441077214143392</v>
      </c>
      <c r="AV95" s="21">
        <f>EXP(-LN(2)/25)*AV94+(1-EXP(-LN(2)/25))/(LN(2)/25)*Calculateur!AQ95*Calculateur!AS95*VLOOKUP('Données projet'!$B$10,Paramètres!$A$1:$I$89,3,0)*0.475*44/12</f>
        <v>4.9955178830074711</v>
      </c>
      <c r="AW95" s="21">
        <f>EXP(-LN(2)/2)*AW94+(1-EXP(-LN(2)/2))/(LN(2)/2)*AQ95*AT95*VLOOKUP('Données projet'!$B$10,Paramètres!$A$1:$I$89,3,0)*0.475*44/12</f>
        <v>1.1362690076656584E-8</v>
      </c>
      <c r="AX95" s="21">
        <f t="shared" si="60"/>
        <v>7.4396256157845002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-5.1159076974727213E-13</v>
      </c>
      <c r="BE95" s="13">
        <f>BD95*VLOOKUP('Données projet'!$B$11,Paramètres!$A$1:$I$89,3,0)*VLOOKUP('Données projet'!$B$11,Paramètres!$A$1:$I$89,5,0)</f>
        <v>-4.0702161641092972E-13</v>
      </c>
      <c r="BF95" s="13" t="e">
        <f t="shared" si="91"/>
        <v>#NUM!</v>
      </c>
      <c r="BG95" s="20" t="e">
        <f t="shared" si="61"/>
        <v>#NUM!</v>
      </c>
      <c r="BH95" s="59" t="e">
        <f t="shared" si="62"/>
        <v>#NUM!</v>
      </c>
      <c r="BI95" s="59">
        <f ca="1">AVERAGE(OFFSET($BH$3,0,0,'Données projet'!$E$11+1,1))-AVERAGE(OFFSET($H$3,0,0,'Données projet'!$E$11+1,1))</f>
        <v>260.20517190557814</v>
      </c>
      <c r="BJ95" s="59">
        <f t="shared" si="92"/>
        <v>307.22009971147133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0.95579038932045146</v>
      </c>
      <c r="BQ95" s="21">
        <f>EXP(-LN(2)/25)*BQ94+(1-EXP(-LN(2)/25))/(LN(2)/25)*Calculateur!BL95*Calculateur!BN95*VLOOKUP('Données projet'!$B$11,Paramètres!$A$1:$I$89,3,0)*0.475*44/12</f>
        <v>3.6780240018028159</v>
      </c>
      <c r="BR95" s="21">
        <f>EXP(-LN(2)/2)*BR94+(1-EXP(-LN(2)/2))/(LN(2)/2)*BL95*BO95*VLOOKUP('Données projet'!$B$11,Paramètres!$A$1:$I$89,3,0)*0.475*44/12</f>
        <v>1.1194047635773796E-8</v>
      </c>
      <c r="BS95" s="22">
        <f t="shared" si="63"/>
        <v>4.6338144023173147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268.00000000000017</v>
      </c>
      <c r="BZ95" s="13">
        <f>BY95*VLOOKUP('Données projet'!$B$12,Paramètres!$A$1:$I$89,3,0)*VLOOKUP('Données projet'!$B$12,Paramètres!$A$1:$I$89,5,0)</f>
        <v>175.59360000000012</v>
      </c>
      <c r="CA95" s="13">
        <f t="shared" si="93"/>
        <v>44.340433728638573</v>
      </c>
      <c r="CB95" s="20">
        <f t="shared" si="64"/>
        <v>383.05177541071242</v>
      </c>
      <c r="CC95" s="59">
        <f t="shared" si="65"/>
        <v>676.38510874404574</v>
      </c>
      <c r="CD95" s="59">
        <f ca="1">AVERAGE(OFFSET($CC$3,0,0,'Données projet'!$E$12+1,1))-AVERAGE(OFFSET($H$3,0,0,'Données projet'!$E$12+1,1))</f>
        <v>185.21927898775016</v>
      </c>
      <c r="CE95" s="59">
        <f t="shared" si="94"/>
        <v>240.82467772396944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0.4561485764792384</v>
      </c>
      <c r="CL95" s="21">
        <f>EXP(-LN(2)/25)*CL94+(1-EXP(-LN(2)/25))/(LN(2)/25)*Calculateur!CG95*Calculateur!CI95*VLOOKUP('Données projet'!$B$12,Paramètres!$A$1:$I$89,3,0)*0.475*44/12</f>
        <v>1.4407717770442319</v>
      </c>
      <c r="CM95" s="21">
        <f>EXP(-LN(2)/2)*CM94+(1-EXP(-LN(2)/2))/(LN(2)/2)*CG95*CJ95*VLOOKUP('Données projet'!$B$12,Paramètres!$A$1:$I$89,3,0)*0.475*44/12</f>
        <v>6.5175853605415147E-9</v>
      </c>
      <c r="CN95" s="22">
        <f t="shared" si="66"/>
        <v>1.8969203600410556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82.695600000000127</v>
      </c>
      <c r="D96" s="11">
        <f t="shared" si="86"/>
        <v>22.794995761747877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814.31337079244076</v>
      </c>
      <c r="H96" s="67">
        <f t="shared" si="56"/>
        <v>477.06278761837774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-2.2737367544323206E-13</v>
      </c>
      <c r="O96" s="13">
        <f>N96*VLOOKUP('Données projet'!$B$9,Paramètres!$A$1:$I$89,3,0)*VLOOKUP('Données projet'!$B$9,Paramètres!$A$1:$I$89,5,0)</f>
        <v>-1.2710188457276673E-13</v>
      </c>
      <c r="P96" s="13" t="e">
        <f t="shared" si="87"/>
        <v>#NUM!</v>
      </c>
      <c r="Q96" s="20" t="e">
        <f t="shared" si="54"/>
        <v>#NUM!</v>
      </c>
      <c r="R96" s="59" t="e">
        <f t="shared" si="55"/>
        <v>#NUM!</v>
      </c>
      <c r="S96" s="59">
        <f ca="1">AVERAGE(OFFSET($R$3,0,0,'Données projet'!$E$9+1,1))-AVERAGE(OFFSET($H$3,0,0,'Données projet'!$E$9+1,1))</f>
        <v>255.5374979188561</v>
      </c>
      <c r="T96" s="59">
        <f t="shared" si="88"/>
        <v>343.10418468620901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0.88738120932767439</v>
      </c>
      <c r="AA96" s="21">
        <f>EXP(-LN(2)/25)*AA95+(1-EXP(-LN(2)/25))/(LN(2)/25)*Calculateur!V96*Calculateur!X96*VLOOKUP('Données projet'!$B$9,Paramètres!$A$1:$I$89,3,0)*0.475*44/12</f>
        <v>2.7825587919065695</v>
      </c>
      <c r="AB96" s="21">
        <f>EXP(-LN(2)/2)*AB95+(1-EXP(-LN(2)/2))/(LN(2)/2)*V96*Y96*VLOOKUP('Données projet'!$B$9,Paramètres!$A$1:$I$89,3,0)*0.475*44/12</f>
        <v>5.5734336542500225E-10</v>
      </c>
      <c r="AC96" s="22">
        <f t="shared" si="57"/>
        <v>3.6699400017915873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0</v>
      </c>
      <c r="AJ96" s="13">
        <f>AI96*VLOOKUP('Données projet'!$B$10,Paramètres!$A$1:$I$89,3,0)*VLOOKUP('Données projet'!$B$10,Paramètres!$A$1:$I$89,5,0)</f>
        <v>0</v>
      </c>
      <c r="AK96" s="13" t="e">
        <f t="shared" si="89"/>
        <v>#NUM!</v>
      </c>
      <c r="AL96" s="20" t="e">
        <f t="shared" si="58"/>
        <v>#NUM!</v>
      </c>
      <c r="AM96" s="59" t="e">
        <f t="shared" si="59"/>
        <v>#NUM!</v>
      </c>
      <c r="AN96" s="59">
        <f ca="1">AVERAGE(OFFSET($AM$3,0,0,'Données projet'!$E$10+1,1))-AVERAGE(OFFSET($H$3,0,0,'Données projet'!$E$10+1,1))</f>
        <v>255.41017495879987</v>
      </c>
      <c r="AO96" s="59">
        <f t="shared" si="90"/>
        <v>297.50513563712764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2.3961802597559139</v>
      </c>
      <c r="AV96" s="21">
        <f>EXP(-LN(2)/25)*AV95+(1-EXP(-LN(2)/25))/(LN(2)/25)*Calculateur!AQ96*Calculateur!AS96*VLOOKUP('Données projet'!$B$10,Paramètres!$A$1:$I$89,3,0)*0.475*44/12</f>
        <v>4.8589151837937639</v>
      </c>
      <c r="AW96" s="21">
        <f>EXP(-LN(2)/2)*AW95+(1-EXP(-LN(2)/2))/(LN(2)/2)*AQ96*AT96*VLOOKUP('Données projet'!$B$10,Paramètres!$A$1:$I$89,3,0)*0.475*44/12</f>
        <v>8.0346352057249617E-9</v>
      </c>
      <c r="AX96" s="21">
        <f t="shared" si="60"/>
        <v>7.2550954515843129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-5.1159076974727213E-13</v>
      </c>
      <c r="BE96" s="13">
        <f>BD96*VLOOKUP('Données projet'!$B$11,Paramètres!$A$1:$I$89,3,0)*VLOOKUP('Données projet'!$B$11,Paramètres!$A$1:$I$89,5,0)</f>
        <v>-4.0702161641092972E-13</v>
      </c>
      <c r="BF96" s="13" t="e">
        <f t="shared" si="91"/>
        <v>#NUM!</v>
      </c>
      <c r="BG96" s="20" t="e">
        <f t="shared" si="61"/>
        <v>#NUM!</v>
      </c>
      <c r="BH96" s="59" t="e">
        <f t="shared" si="62"/>
        <v>#NUM!</v>
      </c>
      <c r="BI96" s="59">
        <f ca="1">AVERAGE(OFFSET($BH$3,0,0,'Données projet'!$E$11+1,1))-AVERAGE(OFFSET($H$3,0,0,'Données projet'!$E$11+1,1))</f>
        <v>260.20517190557814</v>
      </c>
      <c r="BJ96" s="59">
        <f t="shared" si="92"/>
        <v>307.22009971147133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0.9370479227604509</v>
      </c>
      <c r="BQ96" s="21">
        <f>EXP(-LN(2)/25)*BQ95+(1-EXP(-LN(2)/25))/(LN(2)/25)*Calculateur!BL96*Calculateur!BN96*VLOOKUP('Données projet'!$B$11,Paramètres!$A$1:$I$89,3,0)*0.475*44/12</f>
        <v>3.5774482420546416</v>
      </c>
      <c r="BR96" s="21">
        <f>EXP(-LN(2)/2)*BR95+(1-EXP(-LN(2)/2))/(LN(2)/2)*BL96*BO96*VLOOKUP('Données projet'!$B$11,Paramètres!$A$1:$I$89,3,0)*0.475*44/12</f>
        <v>7.915386992180891E-9</v>
      </c>
      <c r="BS96" s="22">
        <f t="shared" si="63"/>
        <v>4.5144961727304791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268.00000000000017</v>
      </c>
      <c r="BZ96" s="13">
        <f>BY96*VLOOKUP('Données projet'!$B$12,Paramètres!$A$1:$I$89,3,0)*VLOOKUP('Données projet'!$B$12,Paramètres!$A$1:$I$89,5,0)</f>
        <v>175.59360000000012</v>
      </c>
      <c r="CA96" s="13">
        <f t="shared" si="93"/>
        <v>44.340433728638573</v>
      </c>
      <c r="CB96" s="20">
        <f t="shared" si="64"/>
        <v>383.05177541071242</v>
      </c>
      <c r="CC96" s="59">
        <f t="shared" si="65"/>
        <v>676.38510874404574</v>
      </c>
      <c r="CD96" s="59">
        <f ca="1">AVERAGE(OFFSET($CC$3,0,0,'Données projet'!$E$12+1,1))-AVERAGE(OFFSET($H$3,0,0,'Données projet'!$E$12+1,1))</f>
        <v>185.21927898775016</v>
      </c>
      <c r="CE96" s="59">
        <f t="shared" si="94"/>
        <v>240.82467772396944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0.44720378111763992</v>
      </c>
      <c r="CL96" s="21">
        <f>EXP(-LN(2)/25)*CL95+(1-EXP(-LN(2)/25))/(LN(2)/25)*Calculateur!CG96*Calculateur!CI96*VLOOKUP('Données projet'!$B$12,Paramètres!$A$1:$I$89,3,0)*0.475*44/12</f>
        <v>1.4013737970340625</v>
      </c>
      <c r="CM96" s="21">
        <f>EXP(-LN(2)/2)*CM95+(1-EXP(-LN(2)/2))/(LN(2)/2)*CG96*CJ96*VLOOKUP('Données projet'!$B$12,Paramètres!$A$1:$I$89,3,0)*0.475*44/12</f>
        <v>4.6086288054010742E-9</v>
      </c>
      <c r="CN96" s="22">
        <f t="shared" si="66"/>
        <v>1.8485775827603312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83.584800000000129</v>
      </c>
      <c r="D97" s="11">
        <f t="shared" si="86"/>
        <v>23.011437736237649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822.84815094639691</v>
      </c>
      <c r="H97" s="67">
        <f t="shared" si="56"/>
        <v>478.98844739061411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-2.2737367544323206E-13</v>
      </c>
      <c r="O97" s="13">
        <f>N97*VLOOKUP('Données projet'!$B$9,Paramètres!$A$1:$I$89,3,0)*VLOOKUP('Données projet'!$B$9,Paramètres!$A$1:$I$89,5,0)</f>
        <v>-1.2710188457276673E-13</v>
      </c>
      <c r="P97" s="13" t="e">
        <f t="shared" si="87"/>
        <v>#NUM!</v>
      </c>
      <c r="Q97" s="20" t="e">
        <f t="shared" si="54"/>
        <v>#NUM!</v>
      </c>
      <c r="R97" s="59" t="e">
        <f t="shared" si="55"/>
        <v>#NUM!</v>
      </c>
      <c r="S97" s="59">
        <f ca="1">AVERAGE(OFFSET($R$3,0,0,'Données projet'!$E$9+1,1))-AVERAGE(OFFSET($H$3,0,0,'Données projet'!$E$9+1,1))</f>
        <v>255.5374979188561</v>
      </c>
      <c r="T97" s="59">
        <f t="shared" si="88"/>
        <v>343.10418468620901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0.86998020506185247</v>
      </c>
      <c r="AA97" s="21">
        <f>EXP(-LN(2)/25)*AA96+(1-EXP(-LN(2)/25))/(LN(2)/25)*Calculateur!V97*Calculateur!X97*VLOOKUP('Données projet'!$B$9,Paramètres!$A$1:$I$89,3,0)*0.475*44/12</f>
        <v>2.7064695754134771</v>
      </c>
      <c r="AB97" s="21">
        <f>EXP(-LN(2)/2)*AB96+(1-EXP(-LN(2)/2))/(LN(2)/2)*V97*Y97*VLOOKUP('Données projet'!$B$9,Paramètres!$A$1:$I$89,3,0)*0.475*44/12</f>
        <v>3.9410127314135107E-10</v>
      </c>
      <c r="AC97" s="22">
        <f t="shared" si="57"/>
        <v>3.5764497808694307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0</v>
      </c>
      <c r="AJ97" s="13">
        <f>AI97*VLOOKUP('Données projet'!$B$10,Paramètres!$A$1:$I$89,3,0)*VLOOKUP('Données projet'!$B$10,Paramètres!$A$1:$I$89,5,0)</f>
        <v>0</v>
      </c>
      <c r="AK97" s="13" t="e">
        <f t="shared" si="89"/>
        <v>#NUM!</v>
      </c>
      <c r="AL97" s="20" t="e">
        <f t="shared" si="58"/>
        <v>#NUM!</v>
      </c>
      <c r="AM97" s="59" t="e">
        <f t="shared" si="59"/>
        <v>#NUM!</v>
      </c>
      <c r="AN97" s="59">
        <f ca="1">AVERAGE(OFFSET($AM$3,0,0,'Données projet'!$E$10+1,1))-AVERAGE(OFFSET($H$3,0,0,'Données projet'!$E$10+1,1))</f>
        <v>255.41017495879987</v>
      </c>
      <c r="AO97" s="59">
        <f t="shared" si="90"/>
        <v>297.50513563712764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2.3491926263877452</v>
      </c>
      <c r="AV97" s="21">
        <f>EXP(-LN(2)/25)*AV96+(1-EXP(-LN(2)/25))/(LN(2)/25)*Calculateur!AQ97*Calculateur!AS97*VLOOKUP('Données projet'!$B$10,Paramètres!$A$1:$I$89,3,0)*0.475*44/12</f>
        <v>4.7260478925736793</v>
      </c>
      <c r="AW97" s="21">
        <f>EXP(-LN(2)/2)*AW96+(1-EXP(-LN(2)/2))/(LN(2)/2)*AQ97*AT97*VLOOKUP('Données projet'!$B$10,Paramètres!$A$1:$I$89,3,0)*0.475*44/12</f>
        <v>5.6813450383282918E-9</v>
      </c>
      <c r="AX97" s="21">
        <f t="shared" si="60"/>
        <v>7.0752405246427692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-5.1159076974727213E-13</v>
      </c>
      <c r="BE97" s="13">
        <f>BD97*VLOOKUP('Données projet'!$B$11,Paramètres!$A$1:$I$89,3,0)*VLOOKUP('Données projet'!$B$11,Paramètres!$A$1:$I$89,5,0)</f>
        <v>-4.0702161641092972E-13</v>
      </c>
      <c r="BF97" s="13" t="e">
        <f t="shared" si="91"/>
        <v>#NUM!</v>
      </c>
      <c r="BG97" s="20" t="e">
        <f t="shared" si="61"/>
        <v>#NUM!</v>
      </c>
      <c r="BH97" s="59" t="e">
        <f t="shared" si="62"/>
        <v>#NUM!</v>
      </c>
      <c r="BI97" s="59">
        <f ca="1">AVERAGE(OFFSET($BH$3,0,0,'Données projet'!$E$11+1,1))-AVERAGE(OFFSET($H$3,0,0,'Données projet'!$E$11+1,1))</f>
        <v>260.20517190557814</v>
      </c>
      <c r="BJ97" s="59">
        <f t="shared" si="92"/>
        <v>307.22009971147133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0.91867298453791613</v>
      </c>
      <c r="BQ97" s="21">
        <f>EXP(-LN(2)/25)*BQ96+(1-EXP(-LN(2)/25))/(LN(2)/25)*Calculateur!BL97*Calculateur!BN97*VLOOKUP('Données projet'!$B$11,Paramètres!$A$1:$I$89,3,0)*0.475*44/12</f>
        <v>3.4796227317458306</v>
      </c>
      <c r="BR97" s="21">
        <f>EXP(-LN(2)/2)*BR96+(1-EXP(-LN(2)/2))/(LN(2)/2)*BL97*BO97*VLOOKUP('Données projet'!$B$11,Paramètres!$A$1:$I$89,3,0)*0.475*44/12</f>
        <v>5.5970238178868979E-9</v>
      </c>
      <c r="BS97" s="22">
        <f t="shared" si="63"/>
        <v>4.3982957218807712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268.00000000000017</v>
      </c>
      <c r="BZ97" s="13">
        <f>BY97*VLOOKUP('Données projet'!$B$12,Paramètres!$A$1:$I$89,3,0)*VLOOKUP('Données projet'!$B$12,Paramètres!$A$1:$I$89,5,0)</f>
        <v>175.59360000000012</v>
      </c>
      <c r="CA97" s="13">
        <f t="shared" si="93"/>
        <v>44.340433728638573</v>
      </c>
      <c r="CB97" s="20">
        <f t="shared" si="64"/>
        <v>383.05177541071242</v>
      </c>
      <c r="CC97" s="59">
        <f t="shared" si="65"/>
        <v>676.38510874404574</v>
      </c>
      <c r="CD97" s="59">
        <f ca="1">AVERAGE(OFFSET($CC$3,0,0,'Données projet'!$E$12+1,1))-AVERAGE(OFFSET($H$3,0,0,'Données projet'!$E$12+1,1))</f>
        <v>185.21927898775016</v>
      </c>
      <c r="CE97" s="59">
        <f t="shared" si="94"/>
        <v>240.82467772396944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0.43843438773729593</v>
      </c>
      <c r="CL97" s="21">
        <f>EXP(-LN(2)/25)*CL96+(1-EXP(-LN(2)/25))/(LN(2)/25)*Calculateur!CG97*Calculateur!CI97*VLOOKUP('Données projet'!$B$12,Paramètres!$A$1:$I$89,3,0)*0.475*44/12</f>
        <v>1.3630531568591209</v>
      </c>
      <c r="CM97" s="21">
        <f>EXP(-LN(2)/2)*CM96+(1-EXP(-LN(2)/2))/(LN(2)/2)*CG97*CJ97*VLOOKUP('Données projet'!$B$12,Paramètres!$A$1:$I$89,3,0)*0.475*44/12</f>
        <v>3.2587926802707573E-9</v>
      </c>
      <c r="CN97" s="22">
        <f t="shared" si="66"/>
        <v>1.8014875478552095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84.474000000000132</v>
      </c>
      <c r="D98" s="11">
        <f t="shared" si="86"/>
        <v>23.227611851623202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831.38086341603992</v>
      </c>
      <c r="H98" s="67">
        <f t="shared" si="56"/>
        <v>480.91364064157727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-2.2737367544323206E-13</v>
      </c>
      <c r="O98" s="13">
        <f>N98*VLOOKUP('Données projet'!$B$9,Paramètres!$A$1:$I$89,3,0)*VLOOKUP('Données projet'!$B$9,Paramètres!$A$1:$I$89,5,0)</f>
        <v>-1.2710188457276673E-13</v>
      </c>
      <c r="P98" s="13" t="e">
        <f t="shared" si="87"/>
        <v>#NUM!</v>
      </c>
      <c r="Q98" s="20" t="e">
        <f t="shared" si="54"/>
        <v>#NUM!</v>
      </c>
      <c r="R98" s="59" t="e">
        <f t="shared" si="55"/>
        <v>#NUM!</v>
      </c>
      <c r="S98" s="59">
        <f ca="1">AVERAGE(OFFSET($R$3,0,0,'Données projet'!$E$9+1,1))-AVERAGE(OFFSET($H$3,0,0,'Données projet'!$E$9+1,1))</f>
        <v>255.5374979188561</v>
      </c>
      <c r="T98" s="59">
        <f t="shared" si="88"/>
        <v>343.10418468620901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0.85292042387611877</v>
      </c>
      <c r="AA98" s="21">
        <f>EXP(-LN(2)/25)*AA97+(1-EXP(-LN(2)/25))/(LN(2)/25)*Calculateur!V98*Calculateur!X98*VLOOKUP('Données projet'!$B$9,Paramètres!$A$1:$I$89,3,0)*0.475*44/12</f>
        <v>2.6324610225467464</v>
      </c>
      <c r="AB98" s="21">
        <f>EXP(-LN(2)/2)*AB97+(1-EXP(-LN(2)/2))/(LN(2)/2)*V98*Y98*VLOOKUP('Données projet'!$B$9,Paramètres!$A$1:$I$89,3,0)*0.475*44/12</f>
        <v>2.7867168271250113E-10</v>
      </c>
      <c r="AC98" s="22">
        <f t="shared" si="57"/>
        <v>3.4853814467015369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0</v>
      </c>
      <c r="AJ98" s="13">
        <f>AI98*VLOOKUP('Données projet'!$B$10,Paramètres!$A$1:$I$89,3,0)*VLOOKUP('Données projet'!$B$10,Paramètres!$A$1:$I$89,5,0)</f>
        <v>0</v>
      </c>
      <c r="AK98" s="13" t="e">
        <f t="shared" si="89"/>
        <v>#NUM!</v>
      </c>
      <c r="AL98" s="20" t="e">
        <f t="shared" si="58"/>
        <v>#NUM!</v>
      </c>
      <c r="AM98" s="59" t="e">
        <f t="shared" si="59"/>
        <v>#NUM!</v>
      </c>
      <c r="AN98" s="59">
        <f ca="1">AVERAGE(OFFSET($AM$3,0,0,'Données projet'!$E$10+1,1))-AVERAGE(OFFSET($H$3,0,0,'Données projet'!$E$10+1,1))</f>
        <v>255.41017495879987</v>
      </c>
      <c r="AO98" s="59">
        <f t="shared" si="90"/>
        <v>297.50513563712764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2.3031263918503</v>
      </c>
      <c r="AV98" s="21">
        <f>EXP(-LN(2)/25)*AV97+(1-EXP(-LN(2)/25))/(LN(2)/25)*Calculateur!AQ98*Calculateur!AS98*VLOOKUP('Données projet'!$B$10,Paramètres!$A$1:$I$89,3,0)*0.475*44/12</f>
        <v>4.5968138644191949</v>
      </c>
      <c r="AW98" s="21">
        <f>EXP(-LN(2)/2)*AW97+(1-EXP(-LN(2)/2))/(LN(2)/2)*AQ98*AT98*VLOOKUP('Données projet'!$B$10,Paramètres!$A$1:$I$89,3,0)*0.475*44/12</f>
        <v>4.0173176028624808E-9</v>
      </c>
      <c r="AX98" s="21">
        <f t="shared" si="60"/>
        <v>6.8999402602868134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-5.1159076974727213E-13</v>
      </c>
      <c r="BE98" s="13">
        <f>BD98*VLOOKUP('Données projet'!$B$11,Paramètres!$A$1:$I$89,3,0)*VLOOKUP('Données projet'!$B$11,Paramètres!$A$1:$I$89,5,0)</f>
        <v>-4.0702161641092972E-13</v>
      </c>
      <c r="BF98" s="13" t="e">
        <f t="shared" si="91"/>
        <v>#NUM!</v>
      </c>
      <c r="BG98" s="20" t="e">
        <f t="shared" si="61"/>
        <v>#NUM!</v>
      </c>
      <c r="BH98" s="59" t="e">
        <f t="shared" si="62"/>
        <v>#NUM!</v>
      </c>
      <c r="BI98" s="59">
        <f ca="1">AVERAGE(OFFSET($BH$3,0,0,'Données projet'!$E$11+1,1))-AVERAGE(OFFSET($H$3,0,0,'Données projet'!$E$11+1,1))</f>
        <v>260.20517190557814</v>
      </c>
      <c r="BJ98" s="59">
        <f t="shared" si="92"/>
        <v>307.22009971147133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0.90065836764631968</v>
      </c>
      <c r="BQ98" s="21">
        <f>EXP(-LN(2)/25)*BQ97+(1-EXP(-LN(2)/25))/(LN(2)/25)*Calculateur!BL98*Calculateur!BN98*VLOOKUP('Données projet'!$B$11,Paramètres!$A$1:$I$89,3,0)*0.475*44/12</f>
        <v>3.3844722651608343</v>
      </c>
      <c r="BR98" s="21">
        <f>EXP(-LN(2)/2)*BR97+(1-EXP(-LN(2)/2))/(LN(2)/2)*BL98*BO98*VLOOKUP('Données projet'!$B$11,Paramètres!$A$1:$I$89,3,0)*0.475*44/12</f>
        <v>3.9576934960904455E-9</v>
      </c>
      <c r="BS98" s="22">
        <f t="shared" si="63"/>
        <v>4.2851306367648476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268.00000000000017</v>
      </c>
      <c r="BZ98" s="13">
        <f>BY98*VLOOKUP('Données projet'!$B$12,Paramètres!$A$1:$I$89,3,0)*VLOOKUP('Données projet'!$B$12,Paramètres!$A$1:$I$89,5,0)</f>
        <v>175.59360000000012</v>
      </c>
      <c r="CA98" s="13">
        <f t="shared" si="93"/>
        <v>44.340433728638573</v>
      </c>
      <c r="CB98" s="20">
        <f t="shared" si="64"/>
        <v>383.05177541071242</v>
      </c>
      <c r="CC98" s="59">
        <f t="shared" si="65"/>
        <v>676.38510874404574</v>
      </c>
      <c r="CD98" s="59">
        <f ca="1">AVERAGE(OFFSET($CC$3,0,0,'Données projet'!$E$12+1,1))-AVERAGE(OFFSET($H$3,0,0,'Données projet'!$E$12+1,1))</f>
        <v>185.21927898775016</v>
      </c>
      <c r="CE98" s="59">
        <f t="shared" si="94"/>
        <v>240.82467772396944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0.42983695681233869</v>
      </c>
      <c r="CL98" s="21">
        <f>EXP(-LN(2)/25)*CL97+(1-EXP(-LN(2)/25))/(LN(2)/25)*Calculateur!CG98*Calculateur!CI98*VLOOKUP('Données projet'!$B$12,Paramètres!$A$1:$I$89,3,0)*0.475*44/12</f>
        <v>1.3257803966049579</v>
      </c>
      <c r="CM98" s="21">
        <f>EXP(-LN(2)/2)*CM97+(1-EXP(-LN(2)/2))/(LN(2)/2)*CG98*CJ98*VLOOKUP('Données projet'!$B$12,Paramètres!$A$1:$I$89,3,0)*0.475*44/12</f>
        <v>2.3043144027005371E-9</v>
      </c>
      <c r="CN98" s="22">
        <f t="shared" si="66"/>
        <v>1.755617355721611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85.363200000000134</v>
      </c>
      <c r="D99" s="11">
        <f t="shared" si="86"/>
        <v>23.443521253861071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839.91153248594617</v>
      </c>
      <c r="H99" s="67">
        <f t="shared" si="56"/>
        <v>482.83837285047491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-2.2737367544323206E-13</v>
      </c>
      <c r="O99" s="13">
        <f>N99*VLOOKUP('Données projet'!$B$9,Paramètres!$A$1:$I$89,3,0)*VLOOKUP('Données projet'!$B$9,Paramètres!$A$1:$I$89,5,0)</f>
        <v>-1.2710188457276673E-13</v>
      </c>
      <c r="P99" s="13" t="e">
        <f t="shared" si="87"/>
        <v>#NUM!</v>
      </c>
      <c r="Q99" s="20" t="e">
        <f t="shared" ref="Q99:Q130" si="107">(O99+P99)*0.475*44/12</f>
        <v>#NUM!</v>
      </c>
      <c r="R99" s="59" t="e">
        <f t="shared" si="55"/>
        <v>#NUM!</v>
      </c>
      <c r="S99" s="59">
        <f ca="1">AVERAGE(OFFSET($R$3,0,0,'Données projet'!$E$9+1,1))-AVERAGE(OFFSET($H$3,0,0,'Données projet'!$E$9+1,1))</f>
        <v>255.5374979188561</v>
      </c>
      <c r="T99" s="59">
        <f t="shared" si="88"/>
        <v>343.10418468620901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0.83619517459399817</v>
      </c>
      <c r="AA99" s="21">
        <f>EXP(-LN(2)/25)*AA98+(1-EXP(-LN(2)/25))/(LN(2)/25)*Calculateur!V99*Calculateur!X99*VLOOKUP('Données projet'!$B$9,Paramètres!$A$1:$I$89,3,0)*0.475*44/12</f>
        <v>2.5604762374500969</v>
      </c>
      <c r="AB99" s="21">
        <f>EXP(-LN(2)/2)*AB98+(1-EXP(-LN(2)/2))/(LN(2)/2)*V99*Y99*VLOOKUP('Données projet'!$B$9,Paramètres!$A$1:$I$89,3,0)*0.475*44/12</f>
        <v>1.9705063657067554E-10</v>
      </c>
      <c r="AC99" s="22">
        <f t="shared" si="57"/>
        <v>3.3966714122411461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0</v>
      </c>
      <c r="AJ99" s="13">
        <f>AI99*VLOOKUP('Données projet'!$B$10,Paramètres!$A$1:$I$89,3,0)*VLOOKUP('Données projet'!$B$10,Paramètres!$A$1:$I$89,5,0)</f>
        <v>0</v>
      </c>
      <c r="AK99" s="13" t="e">
        <f t="shared" si="89"/>
        <v>#NUM!</v>
      </c>
      <c r="AL99" s="20" t="e">
        <f t="shared" si="58"/>
        <v>#NUM!</v>
      </c>
      <c r="AM99" s="59" t="e">
        <f t="shared" si="59"/>
        <v>#NUM!</v>
      </c>
      <c r="AN99" s="59">
        <f ca="1">AVERAGE(OFFSET($AM$3,0,0,'Données projet'!$E$10+1,1))-AVERAGE(OFFSET($H$3,0,0,'Données projet'!$E$10+1,1))</f>
        <v>255.41017495879987</v>
      </c>
      <c r="AO99" s="59">
        <f t="shared" si="90"/>
        <v>297.50513563712764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2.2579634880745054</v>
      </c>
      <c r="AV99" s="21">
        <f>EXP(-LN(2)/25)*AV98+(1-EXP(-LN(2)/25))/(LN(2)/25)*Calculateur!AQ99*Calculateur!AS99*VLOOKUP('Données projet'!$B$10,Paramètres!$A$1:$I$89,3,0)*0.475*44/12</f>
        <v>4.4711137475607172</v>
      </c>
      <c r="AW99" s="21">
        <f>EXP(-LN(2)/2)*AW98+(1-EXP(-LN(2)/2))/(LN(2)/2)*AQ99*AT99*VLOOKUP('Données projet'!$B$10,Paramètres!$A$1:$I$89,3,0)*0.475*44/12</f>
        <v>2.8406725191641459E-9</v>
      </c>
      <c r="AX99" s="21">
        <f t="shared" si="60"/>
        <v>6.7290772384758952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-5.1159076974727213E-13</v>
      </c>
      <c r="BE99" s="13">
        <f>BD99*VLOOKUP('Données projet'!$B$11,Paramètres!$A$1:$I$89,3,0)*VLOOKUP('Données projet'!$B$11,Paramètres!$A$1:$I$89,5,0)</f>
        <v>-4.0702161641092972E-13</v>
      </c>
      <c r="BF99" s="13" t="e">
        <f t="shared" si="91"/>
        <v>#NUM!</v>
      </c>
      <c r="BG99" s="20" t="e">
        <f t="shared" si="61"/>
        <v>#NUM!</v>
      </c>
      <c r="BH99" s="59" t="e">
        <f t="shared" si="62"/>
        <v>#NUM!</v>
      </c>
      <c r="BI99" s="59">
        <f ca="1">AVERAGE(OFFSET($BH$3,0,0,'Données projet'!$E$11+1,1))-AVERAGE(OFFSET($H$3,0,0,'Données projet'!$E$11+1,1))</f>
        <v>260.20517190557814</v>
      </c>
      <c r="BJ99" s="59">
        <f t="shared" si="92"/>
        <v>307.22009971147133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0.88299700640413603</v>
      </c>
      <c r="BQ99" s="21">
        <f>EXP(-LN(2)/25)*BQ98+(1-EXP(-LN(2)/25))/(LN(2)/25)*Calculateur!BL99*Calculateur!BN99*VLOOKUP('Données projet'!$B$11,Paramètres!$A$1:$I$89,3,0)*0.475*44/12</f>
        <v>3.2919236930883504</v>
      </c>
      <c r="BR99" s="21">
        <f>EXP(-LN(2)/2)*BR98+(1-EXP(-LN(2)/2))/(LN(2)/2)*BL99*BO99*VLOOKUP('Données projet'!$B$11,Paramètres!$A$1:$I$89,3,0)*0.475*44/12</f>
        <v>2.7985119089434489E-9</v>
      </c>
      <c r="BS99" s="22">
        <f t="shared" si="63"/>
        <v>4.174920702290998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268.00000000000017</v>
      </c>
      <c r="BZ99" s="13">
        <f>BY99*VLOOKUP('Données projet'!$B$12,Paramètres!$A$1:$I$89,3,0)*VLOOKUP('Données projet'!$B$12,Paramètres!$A$1:$I$89,5,0)</f>
        <v>175.59360000000012</v>
      </c>
      <c r="CA99" s="13">
        <f t="shared" si="93"/>
        <v>44.340433728638573</v>
      </c>
      <c r="CB99" s="20">
        <f t="shared" si="64"/>
        <v>383.05177541071242</v>
      </c>
      <c r="CC99" s="59">
        <f t="shared" si="65"/>
        <v>676.38510874404574</v>
      </c>
      <c r="CD99" s="59">
        <f ca="1">AVERAGE(OFFSET($CC$3,0,0,'Données projet'!$E$12+1,1))-AVERAGE(OFFSET($H$3,0,0,'Données projet'!$E$12+1,1))</f>
        <v>185.21927898775016</v>
      </c>
      <c r="CE99" s="59">
        <f t="shared" si="94"/>
        <v>240.82467772396944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0.42140811626390479</v>
      </c>
      <c r="CL99" s="21">
        <f>EXP(-LN(2)/25)*CL98+(1-EXP(-LN(2)/25))/(LN(2)/25)*Calculateur!CG99*Calculateur!CI99*VLOOKUP('Données projet'!$B$12,Paramètres!$A$1:$I$89,3,0)*0.475*44/12</f>
        <v>1.2895268619400344</v>
      </c>
      <c r="CM99" s="21">
        <f>EXP(-LN(2)/2)*CM98+(1-EXP(-LN(2)/2))/(LN(2)/2)*CG99*CJ99*VLOOKUP('Données projet'!$B$12,Paramètres!$A$1:$I$89,3,0)*0.475*44/12</f>
        <v>1.6293963401353787E-9</v>
      </c>
      <c r="CN99" s="22">
        <f t="shared" si="66"/>
        <v>1.7109349798333355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86.252400000000137</v>
      </c>
      <c r="D100" s="11">
        <f t="shared" si="86"/>
        <v>23.659169019590845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848.44018190561474</v>
      </c>
      <c r="H100" s="67">
        <f t="shared" si="56"/>
        <v>484.76264937578765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-2.2737367544323206E-13</v>
      </c>
      <c r="O100" s="13">
        <f>N100*VLOOKUP('Données projet'!$B$9,Paramètres!$A$1:$I$89,3,0)*VLOOKUP('Données projet'!$B$9,Paramètres!$A$1:$I$89,5,0)</f>
        <v>-1.2710188457276673E-13</v>
      </c>
      <c r="P100" s="13" t="e">
        <f t="shared" si="87"/>
        <v>#NUM!</v>
      </c>
      <c r="Q100" s="20" t="e">
        <f t="shared" si="107"/>
        <v>#NUM!</v>
      </c>
      <c r="R100" s="59" t="e">
        <f t="shared" si="55"/>
        <v>#NUM!</v>
      </c>
      <c r="S100" s="59">
        <f ca="1">AVERAGE(OFFSET($R$3,0,0,'Données projet'!$E$9+1,1))-AVERAGE(OFFSET($H$3,0,0,'Données projet'!$E$9+1,1))</f>
        <v>255.5374979188561</v>
      </c>
      <c r="T100" s="59">
        <f t="shared" si="88"/>
        <v>343.10418468620901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0.81979789724890517</v>
      </c>
      <c r="AA100" s="21">
        <f>EXP(-LN(2)/25)*AA99+(1-EXP(-LN(2)/25))/(LN(2)/25)*Calculateur!V100*Calculateur!X100*VLOOKUP('Données projet'!$B$9,Paramètres!$A$1:$I$89,3,0)*0.475*44/12</f>
        <v>2.4904598800874309</v>
      </c>
      <c r="AB100" s="21">
        <f>EXP(-LN(2)/2)*AB99+(1-EXP(-LN(2)/2))/(LN(2)/2)*V100*Y100*VLOOKUP('Données projet'!$B$9,Paramètres!$A$1:$I$89,3,0)*0.475*44/12</f>
        <v>1.3933584135625056E-10</v>
      </c>
      <c r="AC100" s="22">
        <f t="shared" si="57"/>
        <v>3.3102577774756718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0</v>
      </c>
      <c r="AJ100" s="13">
        <f>AI100*VLOOKUP('Données projet'!$B$10,Paramètres!$A$1:$I$89,3,0)*VLOOKUP('Données projet'!$B$10,Paramètres!$A$1:$I$89,5,0)</f>
        <v>0</v>
      </c>
      <c r="AK100" s="13" t="e">
        <f t="shared" si="89"/>
        <v>#NUM!</v>
      </c>
      <c r="AL100" s="20" t="e">
        <f t="shared" si="58"/>
        <v>#NUM!</v>
      </c>
      <c r="AM100" s="59" t="e">
        <f t="shared" si="59"/>
        <v>#NUM!</v>
      </c>
      <c r="AN100" s="59">
        <f ca="1">AVERAGE(OFFSET($AM$3,0,0,'Données projet'!$E$10+1,1))-AVERAGE(OFFSET($H$3,0,0,'Données projet'!$E$10+1,1))</f>
        <v>255.41017495879987</v>
      </c>
      <c r="AO100" s="59">
        <f t="shared" si="90"/>
        <v>297.50513563712764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2.2136862012951029</v>
      </c>
      <c r="AV100" s="21">
        <f>EXP(-LN(2)/25)*AV99+(1-EXP(-LN(2)/25))/(LN(2)/25)*Calculateur!AQ100*Calculateur!AS100*VLOOKUP('Données projet'!$B$10,Paramètres!$A$1:$I$89,3,0)*0.475*44/12</f>
        <v>4.3488509070080159</v>
      </c>
      <c r="AW100" s="21">
        <f>EXP(-LN(2)/2)*AW99+(1-EXP(-LN(2)/2))/(LN(2)/2)*AQ100*AT100*VLOOKUP('Données projet'!$B$10,Paramètres!$A$1:$I$89,3,0)*0.475*44/12</f>
        <v>2.0086588014312404E-9</v>
      </c>
      <c r="AX100" s="21">
        <f t="shared" si="60"/>
        <v>6.5625371103117773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-5.1159076974727213E-13</v>
      </c>
      <c r="BE100" s="13">
        <f>BD100*VLOOKUP('Données projet'!$B$11,Paramètres!$A$1:$I$89,3,0)*VLOOKUP('Données projet'!$B$11,Paramètres!$A$1:$I$89,5,0)</f>
        <v>-4.0702161641092972E-13</v>
      </c>
      <c r="BF100" s="13" t="e">
        <f t="shared" si="91"/>
        <v>#NUM!</v>
      </c>
      <c r="BG100" s="20" t="e">
        <f t="shared" si="61"/>
        <v>#NUM!</v>
      </c>
      <c r="BH100" s="59" t="e">
        <f t="shared" si="62"/>
        <v>#NUM!</v>
      </c>
      <c r="BI100" s="59">
        <f ca="1">AVERAGE(OFFSET($BH$3,0,0,'Données projet'!$E$11+1,1))-AVERAGE(OFFSET($H$3,0,0,'Données projet'!$E$11+1,1))</f>
        <v>260.20517190557814</v>
      </c>
      <c r="BJ100" s="59">
        <f t="shared" si="92"/>
        <v>307.22009971147133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0.86568197368354494</v>
      </c>
      <c r="BQ100" s="21">
        <f>EXP(-LN(2)/25)*BQ99+(1-EXP(-LN(2)/25))/(LN(2)/25)*Calculateur!BL100*Calculateur!BN100*VLOOKUP('Données projet'!$B$11,Paramètres!$A$1:$I$89,3,0)*0.475*44/12</f>
        <v>3.2019058665861064</v>
      </c>
      <c r="BR100" s="21">
        <f>EXP(-LN(2)/2)*BR99+(1-EXP(-LN(2)/2))/(LN(2)/2)*BL100*BO100*VLOOKUP('Données projet'!$B$11,Paramètres!$A$1:$I$89,3,0)*0.475*44/12</f>
        <v>1.9788467480452227E-9</v>
      </c>
      <c r="BS100" s="22">
        <f t="shared" si="63"/>
        <v>4.0675878422484981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268.00000000000017</v>
      </c>
      <c r="BZ100" s="13">
        <f>BY100*VLOOKUP('Données projet'!$B$12,Paramètres!$A$1:$I$89,3,0)*VLOOKUP('Données projet'!$B$12,Paramètres!$A$1:$I$89,5,0)</f>
        <v>175.59360000000012</v>
      </c>
      <c r="CA100" s="13">
        <f t="shared" si="93"/>
        <v>44.340433728638573</v>
      </c>
      <c r="CB100" s="20">
        <f t="shared" si="64"/>
        <v>383.05177541071242</v>
      </c>
      <c r="CC100" s="59">
        <f t="shared" si="65"/>
        <v>676.38510874404574</v>
      </c>
      <c r="CD100" s="59">
        <f ca="1">AVERAGE(OFFSET($CC$3,0,0,'Données projet'!$E$12+1,1))-AVERAGE(OFFSET($H$3,0,0,'Données projet'!$E$12+1,1))</f>
        <v>185.21927898775016</v>
      </c>
      <c r="CE100" s="59">
        <f t="shared" si="94"/>
        <v>240.82467772396944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0.41314456013754058</v>
      </c>
      <c r="CL100" s="21">
        <f>EXP(-LN(2)/25)*CL99+(1-EXP(-LN(2)/25))/(LN(2)/25)*Calculateur!CG100*Calculateur!CI100*VLOOKUP('Données projet'!$B$12,Paramètres!$A$1:$I$89,3,0)*0.475*44/12</f>
        <v>1.2542646820870138</v>
      </c>
      <c r="CM100" s="21">
        <f>EXP(-LN(2)/2)*CM99+(1-EXP(-LN(2)/2))/(LN(2)/2)*CG100*CJ100*VLOOKUP('Données projet'!$B$12,Paramètres!$A$1:$I$89,3,0)*0.475*44/12</f>
        <v>1.1521572013502686E-9</v>
      </c>
      <c r="CN100" s="22">
        <f t="shared" si="66"/>
        <v>1.6674092433767116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87.141600000000139</v>
      </c>
      <c r="D101" s="11">
        <f t="shared" si="86"/>
        <v>23.874558158360987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856.96683490664736</v>
      </c>
      <c r="H101" s="67">
        <f t="shared" si="56"/>
        <v>486.68647545914564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-2.2737367544323206E-13</v>
      </c>
      <c r="O101" s="13">
        <f>N101*VLOOKUP('Données projet'!$B$9,Paramètres!$A$1:$I$89,3,0)*VLOOKUP('Données projet'!$B$9,Paramètres!$A$1:$I$89,5,0)</f>
        <v>-1.2710188457276673E-13</v>
      </c>
      <c r="P101" s="13" t="e">
        <f t="shared" si="87"/>
        <v>#NUM!</v>
      </c>
      <c r="Q101" s="20" t="e">
        <f t="shared" si="107"/>
        <v>#NUM!</v>
      </c>
      <c r="R101" s="59" t="e">
        <f t="shared" si="55"/>
        <v>#NUM!</v>
      </c>
      <c r="S101" s="59">
        <f ca="1">AVERAGE(OFFSET($R$3,0,0,'Données projet'!$E$9+1,1))-AVERAGE(OFFSET($H$3,0,0,'Données projet'!$E$9+1,1))</f>
        <v>255.5374979188561</v>
      </c>
      <c r="T101" s="59">
        <f t="shared" si="88"/>
        <v>343.10418468620901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0.80372216051119783</v>
      </c>
      <c r="AA101" s="21">
        <f>EXP(-LN(2)/25)*AA100+(1-EXP(-LN(2)/25))/(LN(2)/25)*Calculateur!V101*Calculateur!X101*VLOOKUP('Données projet'!$B$9,Paramètres!$A$1:$I$89,3,0)*0.475*44/12</f>
        <v>2.4223581236988472</v>
      </c>
      <c r="AB101" s="21">
        <f>EXP(-LN(2)/2)*AB100+(1-EXP(-LN(2)/2))/(LN(2)/2)*V101*Y101*VLOOKUP('Données projet'!$B$9,Paramètres!$A$1:$I$89,3,0)*0.475*44/12</f>
        <v>9.8525318285337768E-11</v>
      </c>
      <c r="AC101" s="22">
        <f t="shared" si="57"/>
        <v>3.2260802843085701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0</v>
      </c>
      <c r="AJ101" s="13">
        <f>AI101*VLOOKUP('Données projet'!$B$10,Paramètres!$A$1:$I$89,3,0)*VLOOKUP('Données projet'!$B$10,Paramètres!$A$1:$I$89,5,0)</f>
        <v>0</v>
      </c>
      <c r="AK101" s="13" t="e">
        <f t="shared" si="89"/>
        <v>#NUM!</v>
      </c>
      <c r="AL101" s="20" t="e">
        <f t="shared" si="58"/>
        <v>#NUM!</v>
      </c>
      <c r="AM101" s="59" t="e">
        <f t="shared" si="59"/>
        <v>#NUM!</v>
      </c>
      <c r="AN101" s="59">
        <f ca="1">AVERAGE(OFFSET($AM$3,0,0,'Données projet'!$E$10+1,1))-AVERAGE(OFFSET($H$3,0,0,'Données projet'!$E$10+1,1))</f>
        <v>255.41017495879987</v>
      </c>
      <c r="AO101" s="59">
        <f t="shared" si="90"/>
        <v>297.50513563712764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2.170277165102966</v>
      </c>
      <c r="AV101" s="21">
        <f>EXP(-LN(2)/25)*AV100+(1-EXP(-LN(2)/25))/(LN(2)/25)*Calculateur!AQ101*Calculateur!AS101*VLOOKUP('Données projet'!$B$10,Paramètres!$A$1:$I$89,3,0)*0.475*44/12</f>
        <v>4.2299313502597515</v>
      </c>
      <c r="AW101" s="21">
        <f>EXP(-LN(2)/2)*AW100+(1-EXP(-LN(2)/2))/(LN(2)/2)*AQ101*AT101*VLOOKUP('Données projet'!$B$10,Paramètres!$A$1:$I$89,3,0)*0.475*44/12</f>
        <v>1.420336259582073E-9</v>
      </c>
      <c r="AX101" s="21">
        <f t="shared" si="60"/>
        <v>6.4002085167830529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-5.1159076974727213E-13</v>
      </c>
      <c r="BE101" s="13">
        <f>BD101*VLOOKUP('Données projet'!$B$11,Paramètres!$A$1:$I$89,3,0)*VLOOKUP('Données projet'!$B$11,Paramètres!$A$1:$I$89,5,0)</f>
        <v>-4.0702161641092972E-13</v>
      </c>
      <c r="BF101" s="13" t="e">
        <f t="shared" si="91"/>
        <v>#NUM!</v>
      </c>
      <c r="BG101" s="20" t="e">
        <f t="shared" si="61"/>
        <v>#NUM!</v>
      </c>
      <c r="BH101" s="59" t="e">
        <f t="shared" si="62"/>
        <v>#NUM!</v>
      </c>
      <c r="BI101" s="59">
        <f ca="1">AVERAGE(OFFSET($BH$3,0,0,'Données projet'!$E$11+1,1))-AVERAGE(OFFSET($H$3,0,0,'Données projet'!$E$11+1,1))</f>
        <v>260.20517190557814</v>
      </c>
      <c r="BJ101" s="59">
        <f t="shared" si="92"/>
        <v>307.22009971147133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0.84870647819347755</v>
      </c>
      <c r="BQ101" s="21">
        <f>EXP(-LN(2)/25)*BQ100+(1-EXP(-LN(2)/25))/(LN(2)/25)*Calculateur!BL101*Calculateur!BN101*VLOOKUP('Données projet'!$B$11,Paramètres!$A$1:$I$89,3,0)*0.475*44/12</f>
        <v>3.1143495822833978</v>
      </c>
      <c r="BR101" s="21">
        <f>EXP(-LN(2)/2)*BR100+(1-EXP(-LN(2)/2))/(LN(2)/2)*BL101*BO101*VLOOKUP('Données projet'!$B$11,Paramètres!$A$1:$I$89,3,0)*0.475*44/12</f>
        <v>1.3992559544717245E-9</v>
      </c>
      <c r="BS101" s="22">
        <f t="shared" si="63"/>
        <v>3.9630560618761312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268.00000000000017</v>
      </c>
      <c r="BZ101" s="13">
        <f>BY101*VLOOKUP('Données projet'!$B$12,Paramètres!$A$1:$I$89,3,0)*VLOOKUP('Données projet'!$B$12,Paramètres!$A$1:$I$89,5,0)</f>
        <v>175.59360000000012</v>
      </c>
      <c r="CA101" s="13">
        <f t="shared" si="93"/>
        <v>44.340433728638573</v>
      </c>
      <c r="CB101" s="20">
        <f t="shared" si="64"/>
        <v>383.05177541071242</v>
      </c>
      <c r="CC101" s="59">
        <f t="shared" si="65"/>
        <v>676.38510874404574</v>
      </c>
      <c r="CD101" s="59">
        <f ca="1">AVERAGE(OFFSET($CC$3,0,0,'Données projet'!$E$12+1,1))-AVERAGE(OFFSET($H$3,0,0,'Données projet'!$E$12+1,1))</f>
        <v>185.21927898775016</v>
      </c>
      <c r="CE101" s="59">
        <f t="shared" si="94"/>
        <v>240.82467772396944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0.40504304730654284</v>
      </c>
      <c r="CL101" s="21">
        <f>EXP(-LN(2)/25)*CL100+(1-EXP(-LN(2)/25))/(LN(2)/25)*Calculateur!CG101*Calculateur!CI101*VLOOKUP('Données projet'!$B$12,Paramètres!$A$1:$I$89,3,0)*0.475*44/12</f>
        <v>1.2199667483964314</v>
      </c>
      <c r="CM101" s="21">
        <f>EXP(-LN(2)/2)*CM100+(1-EXP(-LN(2)/2))/(LN(2)/2)*CG101*CJ101*VLOOKUP('Données projet'!$B$12,Paramètres!$A$1:$I$89,3,0)*0.475*44/12</f>
        <v>8.1469817006768933E-10</v>
      </c>
      <c r="CN101" s="22">
        <f t="shared" si="66"/>
        <v>1.6250097965176722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88.030800000000141</v>
      </c>
      <c r="D102" s="11">
        <f t="shared" si="86"/>
        <v>24.089691614761293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865.49151421921113</v>
      </c>
      <c r="H102" s="67">
        <f t="shared" si="56"/>
        <v>488.6098562290428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-2.2737367544323206E-13</v>
      </c>
      <c r="O102" s="13">
        <f>N102*VLOOKUP('Données projet'!$B$9,Paramètres!$A$1:$I$89,3,0)*VLOOKUP('Données projet'!$B$9,Paramètres!$A$1:$I$89,5,0)</f>
        <v>-1.2710188457276673E-13</v>
      </c>
      <c r="P102" s="13" t="e">
        <f t="shared" si="87"/>
        <v>#NUM!</v>
      </c>
      <c r="Q102" s="20" t="e">
        <f t="shared" si="107"/>
        <v>#NUM!</v>
      </c>
      <c r="R102" s="59" t="e">
        <f t="shared" si="55"/>
        <v>#NUM!</v>
      </c>
      <c r="S102" s="59">
        <f ca="1">AVERAGE(OFFSET($R$3,0,0,'Données projet'!$E$9+1,1))-AVERAGE(OFFSET($H$3,0,0,'Données projet'!$E$9+1,1))</f>
        <v>255.5374979188561</v>
      </c>
      <c r="T102" s="59">
        <f t="shared" si="88"/>
        <v>343.10418468620901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0.78796165916568572</v>
      </c>
      <c r="AA102" s="21">
        <f>EXP(-LN(2)/25)*AA101+(1-EXP(-LN(2)/25))/(LN(2)/25)*Calculateur!V102*Calculateur!X102*VLOOKUP('Données projet'!$B$9,Paramètres!$A$1:$I$89,3,0)*0.475*44/12</f>
        <v>2.3561186134200249</v>
      </c>
      <c r="AB102" s="21">
        <f>EXP(-LN(2)/2)*AB101+(1-EXP(-LN(2)/2))/(LN(2)/2)*V102*Y102*VLOOKUP('Données projet'!$B$9,Paramètres!$A$1:$I$89,3,0)*0.475*44/12</f>
        <v>6.9667920678125282E-11</v>
      </c>
      <c r="AC102" s="22">
        <f t="shared" si="57"/>
        <v>3.1440802726553785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0</v>
      </c>
      <c r="AJ102" s="13">
        <f>AI102*VLOOKUP('Données projet'!$B$10,Paramètres!$A$1:$I$89,3,0)*VLOOKUP('Données projet'!$B$10,Paramètres!$A$1:$I$89,5,0)</f>
        <v>0</v>
      </c>
      <c r="AK102" s="13" t="e">
        <f t="shared" si="89"/>
        <v>#NUM!</v>
      </c>
      <c r="AL102" s="20" t="e">
        <f t="shared" si="58"/>
        <v>#NUM!</v>
      </c>
      <c r="AM102" s="59" t="e">
        <f t="shared" si="59"/>
        <v>#NUM!</v>
      </c>
      <c r="AN102" s="59">
        <f ca="1">AVERAGE(OFFSET($AM$3,0,0,'Données projet'!$E$10+1,1))-AVERAGE(OFFSET($H$3,0,0,'Données projet'!$E$10+1,1))</f>
        <v>255.41017495879987</v>
      </c>
      <c r="AO102" s="59">
        <f t="shared" si="90"/>
        <v>297.50513563712764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2.1277193536336592</v>
      </c>
      <c r="AV102" s="21">
        <f>EXP(-LN(2)/25)*AV101+(1-EXP(-LN(2)/25))/(LN(2)/25)*Calculateur!AQ102*Calculateur!AS102*VLOOKUP('Données projet'!$B$10,Paramètres!$A$1:$I$89,3,0)*0.475*44/12</f>
        <v>4.1142636550444767</v>
      </c>
      <c r="AW102" s="21">
        <f>EXP(-LN(2)/2)*AW101+(1-EXP(-LN(2)/2))/(LN(2)/2)*AQ102*AT102*VLOOKUP('Données projet'!$B$10,Paramètres!$A$1:$I$89,3,0)*0.475*44/12</f>
        <v>1.0043294007156202E-9</v>
      </c>
      <c r="AX102" s="21">
        <f t="shared" si="60"/>
        <v>6.2419830096824649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-5.1159076974727213E-13</v>
      </c>
      <c r="BE102" s="13">
        <f>BD102*VLOOKUP('Données projet'!$B$11,Paramètres!$A$1:$I$89,3,0)*VLOOKUP('Données projet'!$B$11,Paramètres!$A$1:$I$89,5,0)</f>
        <v>-4.0702161641092972E-13</v>
      </c>
      <c r="BF102" s="13" t="e">
        <f t="shared" si="91"/>
        <v>#NUM!</v>
      </c>
      <c r="BG102" s="20" t="e">
        <f t="shared" si="61"/>
        <v>#NUM!</v>
      </c>
      <c r="BH102" s="59" t="e">
        <f t="shared" si="62"/>
        <v>#NUM!</v>
      </c>
      <c r="BI102" s="59">
        <f ca="1">AVERAGE(OFFSET($BH$3,0,0,'Données projet'!$E$11+1,1))-AVERAGE(OFFSET($H$3,0,0,'Données projet'!$E$11+1,1))</f>
        <v>260.20517190557814</v>
      </c>
      <c r="BJ102" s="59">
        <f t="shared" si="92"/>
        <v>307.22009971147133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0.8320638618159405</v>
      </c>
      <c r="BQ102" s="21">
        <f>EXP(-LN(2)/25)*BQ101+(1-EXP(-LN(2)/25))/(LN(2)/25)*Calculateur!BL102*Calculateur!BN102*VLOOKUP('Données projet'!$B$11,Paramètres!$A$1:$I$89,3,0)*0.475*44/12</f>
        <v>3.0291875291793318</v>
      </c>
      <c r="BR102" s="21">
        <f>EXP(-LN(2)/2)*BR101+(1-EXP(-LN(2)/2))/(LN(2)/2)*BL102*BO102*VLOOKUP('Données projet'!$B$11,Paramètres!$A$1:$I$89,3,0)*0.475*44/12</f>
        <v>9.8942337402261137E-10</v>
      </c>
      <c r="BS102" s="22">
        <f t="shared" si="63"/>
        <v>3.8612513919846956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268.00000000000017</v>
      </c>
      <c r="BZ102" s="13">
        <f>BY102*VLOOKUP('Données projet'!$B$12,Paramètres!$A$1:$I$89,3,0)*VLOOKUP('Données projet'!$B$12,Paramètres!$A$1:$I$89,5,0)</f>
        <v>175.59360000000012</v>
      </c>
      <c r="CA102" s="13">
        <f t="shared" si="93"/>
        <v>44.340433728638573</v>
      </c>
      <c r="CB102" s="20">
        <f t="shared" si="64"/>
        <v>383.05177541071242</v>
      </c>
      <c r="CC102" s="59">
        <f t="shared" si="65"/>
        <v>676.38510874404574</v>
      </c>
      <c r="CD102" s="59">
        <f ca="1">AVERAGE(OFFSET($CC$3,0,0,'Données projet'!$E$12+1,1))-AVERAGE(OFFSET($H$3,0,0,'Données projet'!$E$12+1,1))</f>
        <v>185.21927898775016</v>
      </c>
      <c r="CE102" s="59">
        <f t="shared" si="94"/>
        <v>240.82467772396944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0.39710040020072607</v>
      </c>
      <c r="CL102" s="21">
        <f>EXP(-LN(2)/25)*CL101+(1-EXP(-LN(2)/25))/(LN(2)/25)*Calculateur!CG102*Calculateur!CI102*VLOOKUP('Données projet'!$B$12,Paramètres!$A$1:$I$89,3,0)*0.475*44/12</f>
        <v>1.186606693506268</v>
      </c>
      <c r="CM102" s="21">
        <f>EXP(-LN(2)/2)*CM101+(1-EXP(-LN(2)/2))/(LN(2)/2)*CG102*CJ102*VLOOKUP('Données projet'!$B$12,Paramètres!$A$1:$I$89,3,0)*0.475*44/12</f>
        <v>5.7607860067513428E-10</v>
      </c>
      <c r="CN102" s="22">
        <f t="shared" si="66"/>
        <v>1.5837070942830727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88.920000000000144</v>
      </c>
      <c r="D103" s="11">
        <f t="shared" si="86"/>
        <v>24.304572270466512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874.01424208781282</v>
      </c>
      <c r="H103" s="67">
        <f t="shared" si="56"/>
        <v>490.53279670439605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-2.2737367544323206E-13</v>
      </c>
      <c r="O103" s="13">
        <f>N103*VLOOKUP('Données projet'!$B$9,Paramètres!$A$1:$I$89,3,0)*VLOOKUP('Données projet'!$B$9,Paramètres!$A$1:$I$89,5,0)</f>
        <v>-1.2710188457276673E-13</v>
      </c>
      <c r="P103" s="13" t="e">
        <f t="shared" si="87"/>
        <v>#NUM!</v>
      </c>
      <c r="Q103" s="20" t="e">
        <f t="shared" si="107"/>
        <v>#NUM!</v>
      </c>
      <c r="R103" s="59" t="e">
        <f t="shared" si="55"/>
        <v>#NUM!</v>
      </c>
      <c r="S103" s="59">
        <f ca="1">AVERAGE(OFFSET($R$3,0,0,'Données projet'!$E$9+1,1))-AVERAGE(OFFSET($H$3,0,0,'Données projet'!$E$9+1,1))</f>
        <v>255.5374979188561</v>
      </c>
      <c r="T103" s="59">
        <f t="shared" si="88"/>
        <v>343.10418468620901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0.77251021163860245</v>
      </c>
      <c r="AA103" s="21">
        <f>EXP(-LN(2)/25)*AA102+(1-EXP(-LN(2)/25))/(LN(2)/25)*Calculateur!V103*Calculateur!X103*VLOOKUP('Données projet'!$B$9,Paramètres!$A$1:$I$89,3,0)*0.475*44/12</f>
        <v>2.2916904260331616</v>
      </c>
      <c r="AB103" s="21">
        <f>EXP(-LN(2)/2)*AB102+(1-EXP(-LN(2)/2))/(LN(2)/2)*V103*Y103*VLOOKUP('Données projet'!$B$9,Paramètres!$A$1:$I$89,3,0)*0.475*44/12</f>
        <v>4.9262659142668884E-11</v>
      </c>
      <c r="AC103" s="22">
        <f t="shared" si="57"/>
        <v>3.0642006377210267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0</v>
      </c>
      <c r="AJ103" s="13">
        <f>AI103*VLOOKUP('Données projet'!$B$10,Paramètres!$A$1:$I$89,3,0)*VLOOKUP('Données projet'!$B$10,Paramètres!$A$1:$I$89,5,0)</f>
        <v>0</v>
      </c>
      <c r="AK103" s="13" t="e">
        <f t="shared" si="89"/>
        <v>#NUM!</v>
      </c>
      <c r="AL103" s="20" t="e">
        <f t="shared" si="58"/>
        <v>#NUM!</v>
      </c>
      <c r="AM103" s="59" t="e">
        <f t="shared" si="59"/>
        <v>#NUM!</v>
      </c>
      <c r="AN103" s="59">
        <f ca="1">AVERAGE(OFFSET($AM$3,0,0,'Données projet'!$E$10+1,1))-AVERAGE(OFFSET($H$3,0,0,'Données projet'!$E$10+1,1))</f>
        <v>255.41017495879987</v>
      </c>
      <c r="AO103" s="59">
        <f t="shared" si="90"/>
        <v>297.50513563712764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2.0859960748895636</v>
      </c>
      <c r="AV103" s="21">
        <f>EXP(-LN(2)/25)*AV102+(1-EXP(-LN(2)/25))/(LN(2)/25)*Calculateur!AQ103*Calculateur!AS103*VLOOKUP('Données projet'!$B$10,Paramètres!$A$1:$I$89,3,0)*0.475*44/12</f>
        <v>4.0017588990375632</v>
      </c>
      <c r="AW103" s="21">
        <f>EXP(-LN(2)/2)*AW102+(1-EXP(-LN(2)/2))/(LN(2)/2)*AQ103*AT103*VLOOKUP('Données projet'!$B$10,Paramètres!$A$1:$I$89,3,0)*0.475*44/12</f>
        <v>7.1016812979103648E-10</v>
      </c>
      <c r="AX103" s="21">
        <f t="shared" si="60"/>
        <v>6.0877549746372948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-5.1159076974727213E-13</v>
      </c>
      <c r="BE103" s="13">
        <f>BD103*VLOOKUP('Données projet'!$B$11,Paramètres!$A$1:$I$89,3,0)*VLOOKUP('Données projet'!$B$11,Paramètres!$A$1:$I$89,5,0)</f>
        <v>-4.0702161641092972E-13</v>
      </c>
      <c r="BF103" s="13" t="e">
        <f t="shared" si="91"/>
        <v>#NUM!</v>
      </c>
      <c r="BG103" s="20" t="e">
        <f t="shared" si="61"/>
        <v>#NUM!</v>
      </c>
      <c r="BH103" s="59" t="e">
        <f t="shared" si="62"/>
        <v>#NUM!</v>
      </c>
      <c r="BI103" s="59">
        <f ca="1">AVERAGE(OFFSET($BH$3,0,0,'Données projet'!$E$11+1,1))-AVERAGE(OFFSET($H$3,0,0,'Données projet'!$E$11+1,1))</f>
        <v>260.20517190557814</v>
      </c>
      <c r="BJ103" s="59">
        <f t="shared" si="92"/>
        <v>307.22009971147133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0.81574759699457322</v>
      </c>
      <c r="BQ103" s="21">
        <f>EXP(-LN(2)/25)*BQ102+(1-EXP(-LN(2)/25))/(LN(2)/25)*Calculateur!BL103*Calculateur!BN103*VLOOKUP('Données projet'!$B$11,Paramètres!$A$1:$I$89,3,0)*0.475*44/12</f>
        <v>2.9463542368958739</v>
      </c>
      <c r="BR103" s="21">
        <f>EXP(-LN(2)/2)*BR102+(1-EXP(-LN(2)/2))/(LN(2)/2)*BL103*BO103*VLOOKUP('Données projet'!$B$11,Paramètres!$A$1:$I$89,3,0)*0.475*44/12</f>
        <v>6.9962797723586224E-10</v>
      </c>
      <c r="BS103" s="22">
        <f t="shared" si="63"/>
        <v>3.7621018345900752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268.00000000000017</v>
      </c>
      <c r="BZ103" s="13">
        <f>BY103*VLOOKUP('Données projet'!$B$12,Paramètres!$A$1:$I$89,3,0)*VLOOKUP('Données projet'!$B$12,Paramètres!$A$1:$I$89,5,0)</f>
        <v>175.59360000000012</v>
      </c>
      <c r="CA103" s="13">
        <f t="shared" si="93"/>
        <v>44.340433728638573</v>
      </c>
      <c r="CB103" s="20">
        <f t="shared" si="64"/>
        <v>383.05177541071242</v>
      </c>
      <c r="CC103" s="59">
        <f t="shared" si="65"/>
        <v>676.38510874404574</v>
      </c>
      <c r="CD103" s="59">
        <f ca="1">AVERAGE(OFFSET($CC$3,0,0,'Données projet'!$E$12+1,1))-AVERAGE(OFFSET($H$3,0,0,'Données projet'!$E$12+1,1))</f>
        <v>185.21927898775016</v>
      </c>
      <c r="CE103" s="59">
        <f t="shared" si="94"/>
        <v>240.82467772396944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0.38931350356011796</v>
      </c>
      <c r="CL103" s="21">
        <f>EXP(-LN(2)/25)*CL102+(1-EXP(-LN(2)/25))/(LN(2)/25)*Calculateur!CG103*Calculateur!CI103*VLOOKUP('Données projet'!$B$12,Paramètres!$A$1:$I$89,3,0)*0.475*44/12</f>
        <v>1.154158871071405</v>
      </c>
      <c r="CM103" s="21">
        <f>EXP(-LN(2)/2)*CM102+(1-EXP(-LN(2)/2))/(LN(2)/2)*CG103*CJ103*VLOOKUP('Données projet'!$B$12,Paramètres!$A$1:$I$89,3,0)*0.475*44/12</f>
        <v>4.0734908503384467E-10</v>
      </c>
      <c r="CN103" s="22">
        <f t="shared" si="66"/>
        <v>1.5434723750388721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89.809200000000146</v>
      </c>
      <c r="D104" s="11">
        <f t="shared" si="86"/>
        <v>24.519202946196138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882.53504028642749</v>
      </c>
      <c r="H104" s="67">
        <f t="shared" si="56"/>
        <v>492.4553017979585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-2.2737367544323206E-13</v>
      </c>
      <c r="O104" s="13">
        <f>N104*VLOOKUP('Données projet'!$B$9,Paramètres!$A$1:$I$89,3,0)*VLOOKUP('Données projet'!$B$9,Paramètres!$A$1:$I$89,5,0)</f>
        <v>-1.2710188457276673E-13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255.5374979188561</v>
      </c>
      <c r="T104" s="59">
        <f t="shared" si="88"/>
        <v>343.10418468620901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0.75736175757307289</v>
      </c>
      <c r="AA104" s="21">
        <f>EXP(-LN(2)/25)*AA103+(1-EXP(-LN(2)/25))/(LN(2)/25)*Calculateur!V104*Calculateur!X104*VLOOKUP('Données projet'!$B$9,Paramètres!$A$1:$I$89,3,0)*0.475*44/12</f>
        <v>2.2290240308185232</v>
      </c>
      <c r="AB104" s="21">
        <f>EXP(-LN(2)/2)*AB103+(1-EXP(-LN(2)/2))/(LN(2)/2)*V104*Y104*VLOOKUP('Données projet'!$B$9,Paramètres!$A$1:$I$89,3,0)*0.475*44/12</f>
        <v>3.4833960339062641E-11</v>
      </c>
      <c r="AC104" s="22">
        <f t="shared" si="57"/>
        <v>2.9863857884264298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0</v>
      </c>
      <c r="AJ104" s="13">
        <f>AI104*VLOOKUP('Données projet'!$B$10,Paramètres!$A$1:$I$89,3,0)*VLOOKUP('Données projet'!$B$10,Paramètres!$A$1:$I$89,5,0)</f>
        <v>0</v>
      </c>
      <c r="AK104" s="13" t="e">
        <f t="shared" si="89"/>
        <v>#NUM!</v>
      </c>
      <c r="AL104" s="20" t="e">
        <f t="shared" si="58"/>
        <v>#NUM!</v>
      </c>
      <c r="AM104" s="59" t="e">
        <f t="shared" si="59"/>
        <v>#NUM!</v>
      </c>
      <c r="AN104" s="59">
        <f ca="1">AVERAGE(OFFSET($AM$3,0,0,'Données projet'!$E$10+1,1))-AVERAGE(OFFSET($H$3,0,0,'Données projet'!$E$10+1,1))</f>
        <v>255.41017495879987</v>
      </c>
      <c r="AO104" s="59">
        <f t="shared" si="90"/>
        <v>297.50513563712764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2.0450909641929527</v>
      </c>
      <c r="AV104" s="21">
        <f>EXP(-LN(2)/25)*AV103+(1-EXP(-LN(2)/25))/(LN(2)/25)*Calculateur!AQ104*Calculateur!AS104*VLOOKUP('Données projet'!$B$10,Paramètres!$A$1:$I$89,3,0)*0.475*44/12</f>
        <v>3.8923305915000266</v>
      </c>
      <c r="AW104" s="21">
        <f>EXP(-LN(2)/2)*AW103+(1-EXP(-LN(2)/2))/(LN(2)/2)*AQ104*AT104*VLOOKUP('Données projet'!$B$10,Paramètres!$A$1:$I$89,3,0)*0.475*44/12</f>
        <v>5.0216470035781011E-10</v>
      </c>
      <c r="AX104" s="21">
        <f t="shared" si="60"/>
        <v>5.9374215561951438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-5.1159076974727213E-13</v>
      </c>
      <c r="BE104" s="13">
        <f>BD104*VLOOKUP('Données projet'!$B$11,Paramètres!$A$1:$I$89,3,0)*VLOOKUP('Données projet'!$B$11,Paramètres!$A$1:$I$89,5,0)</f>
        <v>-4.0702161641092972E-13</v>
      </c>
      <c r="BF104" s="13" t="e">
        <f t="shared" si="91"/>
        <v>#NUM!</v>
      </c>
      <c r="BG104" s="20" t="e">
        <f t="shared" si="61"/>
        <v>#NUM!</v>
      </c>
      <c r="BH104" s="59" t="e">
        <f t="shared" si="62"/>
        <v>#NUM!</v>
      </c>
      <c r="BI104" s="59">
        <f ca="1">AVERAGE(OFFSET($BH$3,0,0,'Données projet'!$E$11+1,1))-AVERAGE(OFFSET($H$3,0,0,'Données projet'!$E$11+1,1))</f>
        <v>260.20517190557814</v>
      </c>
      <c r="BJ104" s="59">
        <f t="shared" si="92"/>
        <v>307.22009971147133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0.7997512841744141</v>
      </c>
      <c r="BQ104" s="21">
        <f>EXP(-LN(2)/25)*BQ103+(1-EXP(-LN(2)/25))/(LN(2)/25)*Calculateur!BL104*Calculateur!BN104*VLOOKUP('Données projet'!$B$11,Paramètres!$A$1:$I$89,3,0)*0.475*44/12</f>
        <v>2.8657860253459209</v>
      </c>
      <c r="BR104" s="21">
        <f>EXP(-LN(2)/2)*BR103+(1-EXP(-LN(2)/2))/(LN(2)/2)*BL104*BO104*VLOOKUP('Données projet'!$B$11,Paramètres!$A$1:$I$89,3,0)*0.475*44/12</f>
        <v>4.9471168701130569E-10</v>
      </c>
      <c r="BS104" s="22">
        <f t="shared" si="63"/>
        <v>3.665537310015047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268.00000000000017</v>
      </c>
      <c r="BZ104" s="13">
        <f>BY104*VLOOKUP('Données projet'!$B$12,Paramètres!$A$1:$I$89,3,0)*VLOOKUP('Données projet'!$B$12,Paramètres!$A$1:$I$89,5,0)</f>
        <v>175.59360000000012</v>
      </c>
      <c r="CA104" s="13">
        <f t="shared" si="93"/>
        <v>44.340433728638573</v>
      </c>
      <c r="CB104" s="20">
        <f t="shared" si="64"/>
        <v>383.05177541071242</v>
      </c>
      <c r="CC104" s="59">
        <f t="shared" si="65"/>
        <v>676.38510874404574</v>
      </c>
      <c r="CD104" s="59">
        <f ca="1">AVERAGE(OFFSET($CC$3,0,0,'Données projet'!$E$12+1,1))-AVERAGE(OFFSET($H$3,0,0,'Données projet'!$E$12+1,1))</f>
        <v>185.21927898775016</v>
      </c>
      <c r="CE104" s="59">
        <f t="shared" si="94"/>
        <v>240.82467772396944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0.38167930321309418</v>
      </c>
      <c r="CL104" s="21">
        <f>EXP(-LN(2)/25)*CL103+(1-EXP(-LN(2)/25))/(LN(2)/25)*Calculateur!CG104*Calculateur!CI104*VLOOKUP('Données projet'!$B$12,Paramètres!$A$1:$I$89,3,0)*0.475*44/12</f>
        <v>1.1225983360473804</v>
      </c>
      <c r="CM104" s="21">
        <f>EXP(-LN(2)/2)*CM103+(1-EXP(-LN(2)/2))/(LN(2)/2)*CG104*CJ104*VLOOKUP('Données projet'!$B$12,Paramètres!$A$1:$I$89,3,0)*0.475*44/12</f>
        <v>2.8803930033756714E-10</v>
      </c>
      <c r="CN104" s="22">
        <f t="shared" si="66"/>
        <v>1.5042776395485138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90.698400000000149</v>
      </c>
      <c r="D105" s="11">
        <f t="shared" si="86"/>
        <v>24.733586403594217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891.05393013300909</v>
      </c>
      <c r="H105" s="67">
        <f t="shared" si="56"/>
        <v>494.37737631959351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-2.2737367544323206E-13</v>
      </c>
      <c r="O105" s="13">
        <f>N105*VLOOKUP('Données projet'!$B$9,Paramètres!$A$1:$I$89,3,0)*VLOOKUP('Données projet'!$B$9,Paramètres!$A$1:$I$89,5,0)</f>
        <v>-1.2710188457276673E-13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255.5374979188561</v>
      </c>
      <c r="T105" s="59">
        <f t="shared" si="88"/>
        <v>343.10418468620901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0.74251035545212374</v>
      </c>
      <c r="AA105" s="21">
        <f>EXP(-LN(2)/25)*AA104+(1-EXP(-LN(2)/25))/(LN(2)/25)*Calculateur!V105*Calculateur!X105*VLOOKUP('Données projet'!$B$9,Paramètres!$A$1:$I$89,3,0)*0.475*44/12</f>
        <v>2.1680712514765115</v>
      </c>
      <c r="AB105" s="21">
        <f>EXP(-LN(2)/2)*AB104+(1-EXP(-LN(2)/2))/(LN(2)/2)*V105*Y105*VLOOKUP('Données projet'!$B$9,Paramètres!$A$1:$I$89,3,0)*0.475*44/12</f>
        <v>2.4631329571334442E-11</v>
      </c>
      <c r="AC105" s="22">
        <f t="shared" si="57"/>
        <v>2.9105816069532664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0</v>
      </c>
      <c r="AJ105" s="13">
        <f>AI105*VLOOKUP('Données projet'!$B$10,Paramètres!$A$1:$I$89,3,0)*VLOOKUP('Données projet'!$B$10,Paramètres!$A$1:$I$89,5,0)</f>
        <v>0</v>
      </c>
      <c r="AK105" s="13" t="e">
        <f t="shared" si="89"/>
        <v>#NUM!</v>
      </c>
      <c r="AL105" s="20" t="e">
        <f t="shared" si="58"/>
        <v>#NUM!</v>
      </c>
      <c r="AM105" s="59" t="e">
        <f t="shared" si="59"/>
        <v>#NUM!</v>
      </c>
      <c r="AN105" s="59">
        <f ca="1">AVERAGE(OFFSET($AM$3,0,0,'Données projet'!$E$10+1,1))-AVERAGE(OFFSET($H$3,0,0,'Données projet'!$E$10+1,1))</f>
        <v>255.41017495879987</v>
      </c>
      <c r="AO105" s="59">
        <f t="shared" si="90"/>
        <v>297.50513563712764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2.0049879777674482</v>
      </c>
      <c r="AV105" s="21">
        <f>EXP(-LN(2)/25)*AV104+(1-EXP(-LN(2)/25))/(LN(2)/25)*Calculateur!AQ105*Calculateur!AS105*VLOOKUP('Données projet'!$B$10,Paramètres!$A$1:$I$89,3,0)*0.475*44/12</f>
        <v>3.7858946067866888</v>
      </c>
      <c r="AW105" s="21">
        <f>EXP(-LN(2)/2)*AW104+(1-EXP(-LN(2)/2))/(LN(2)/2)*AQ105*AT105*VLOOKUP('Données projet'!$B$10,Paramètres!$A$1:$I$89,3,0)*0.475*44/12</f>
        <v>3.5508406489551824E-10</v>
      </c>
      <c r="AX105" s="21">
        <f t="shared" si="60"/>
        <v>5.7908825849092205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-5.1159076974727213E-13</v>
      </c>
      <c r="BE105" s="13">
        <f>BD105*VLOOKUP('Données projet'!$B$11,Paramètres!$A$1:$I$89,3,0)*VLOOKUP('Données projet'!$B$11,Paramètres!$A$1:$I$89,5,0)</f>
        <v>-4.0702161641092972E-13</v>
      </c>
      <c r="BF105" s="13" t="e">
        <f t="shared" si="91"/>
        <v>#NUM!</v>
      </c>
      <c r="BG105" s="20" t="e">
        <f t="shared" si="61"/>
        <v>#NUM!</v>
      </c>
      <c r="BH105" s="59" t="e">
        <f t="shared" si="62"/>
        <v>#NUM!</v>
      </c>
      <c r="BI105" s="59">
        <f ca="1">AVERAGE(OFFSET($BH$3,0,0,'Données projet'!$E$11+1,1))-AVERAGE(OFFSET($H$3,0,0,'Données projet'!$E$11+1,1))</f>
        <v>260.20517190557814</v>
      </c>
      <c r="BJ105" s="59">
        <f t="shared" si="92"/>
        <v>307.22009971147133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0.78406864929187092</v>
      </c>
      <c r="BQ105" s="21">
        <f>EXP(-LN(2)/25)*BQ104+(1-EXP(-LN(2)/25))/(LN(2)/25)*Calculateur!BL105*Calculateur!BN105*VLOOKUP('Données projet'!$B$11,Paramètres!$A$1:$I$89,3,0)*0.475*44/12</f>
        <v>2.7874209557776992</v>
      </c>
      <c r="BR105" s="21">
        <f>EXP(-LN(2)/2)*BR104+(1-EXP(-LN(2)/2))/(LN(2)/2)*BL105*BO105*VLOOKUP('Données projet'!$B$11,Paramètres!$A$1:$I$89,3,0)*0.475*44/12</f>
        <v>3.4981398861793112E-10</v>
      </c>
      <c r="BS105" s="22">
        <f t="shared" si="63"/>
        <v>3.5714896054193841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268.00000000000017</v>
      </c>
      <c r="BZ105" s="13">
        <f>BY105*VLOOKUP('Données projet'!$B$12,Paramètres!$A$1:$I$89,3,0)*VLOOKUP('Données projet'!$B$12,Paramètres!$A$1:$I$89,5,0)</f>
        <v>175.59360000000012</v>
      </c>
      <c r="CA105" s="13">
        <f t="shared" si="93"/>
        <v>44.340433728638573</v>
      </c>
      <c r="CB105" s="20">
        <f t="shared" si="64"/>
        <v>383.05177541071242</v>
      </c>
      <c r="CC105" s="59">
        <f t="shared" si="65"/>
        <v>676.38510874404574</v>
      </c>
      <c r="CD105" s="59">
        <f ca="1">AVERAGE(OFFSET($CC$3,0,0,'Données projet'!$E$12+1,1))-AVERAGE(OFFSET($H$3,0,0,'Données projet'!$E$12+1,1))</f>
        <v>185.21927898775016</v>
      </c>
      <c r="CE105" s="59">
        <f t="shared" si="94"/>
        <v>240.82467772396944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0.37419480487847312</v>
      </c>
      <c r="CL105" s="21">
        <f>EXP(-LN(2)/25)*CL104+(1-EXP(-LN(2)/25))/(LN(2)/25)*Calculateur!CG105*Calculateur!CI105*VLOOKUP('Données projet'!$B$12,Paramètres!$A$1:$I$89,3,0)*0.475*44/12</f>
        <v>1.091900825513284</v>
      </c>
      <c r="CM105" s="21">
        <f>EXP(-LN(2)/2)*CM104+(1-EXP(-LN(2)/2))/(LN(2)/2)*CG105*CJ105*VLOOKUP('Données projet'!$B$12,Paramètres!$A$1:$I$89,3,0)*0.475*44/12</f>
        <v>2.0367454251692233E-10</v>
      </c>
      <c r="CN105" s="22">
        <f t="shared" si="66"/>
        <v>1.4660956305954318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91.587600000000151</v>
      </c>
      <c r="D106" s="11">
        <f t="shared" si="86"/>
        <v>24.947725347033305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899.5709325034162</v>
      </c>
      <c r="H106" s="67">
        <f t="shared" si="56"/>
        <v>496.29902497941657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-2.2737367544323206E-13</v>
      </c>
      <c r="O106" s="13">
        <f>N106*VLOOKUP('Données projet'!$B$9,Paramètres!$A$1:$I$89,3,0)*VLOOKUP('Données projet'!$B$9,Paramètres!$A$1:$I$89,5,0)</f>
        <v>-1.2710188457276673E-13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255.5374979188561</v>
      </c>
      <c r="T106" s="59">
        <f t="shared" si="88"/>
        <v>343.10418468620901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0.7279501802683056</v>
      </c>
      <c r="AA106" s="21">
        <f>EXP(-LN(2)/25)*AA105+(1-EXP(-LN(2)/25))/(LN(2)/25)*Calculateur!V106*Calculateur!X106*VLOOKUP('Données projet'!$B$9,Paramètres!$A$1:$I$89,3,0)*0.475*44/12</f>
        <v>2.1087852290909743</v>
      </c>
      <c r="AB106" s="21">
        <f>EXP(-LN(2)/2)*AB105+(1-EXP(-LN(2)/2))/(LN(2)/2)*V106*Y106*VLOOKUP('Données projet'!$B$9,Paramètres!$A$1:$I$89,3,0)*0.475*44/12</f>
        <v>1.741698016953132E-11</v>
      </c>
      <c r="AC106" s="22">
        <f t="shared" si="57"/>
        <v>2.836735409376697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0</v>
      </c>
      <c r="AJ106" s="13">
        <f>AI106*VLOOKUP('Données projet'!$B$10,Paramètres!$A$1:$I$89,3,0)*VLOOKUP('Données projet'!$B$10,Paramètres!$A$1:$I$89,5,0)</f>
        <v>0</v>
      </c>
      <c r="AK106" s="13" t="e">
        <f t="shared" si="89"/>
        <v>#NUM!</v>
      </c>
      <c r="AL106" s="20" t="e">
        <f t="shared" si="58"/>
        <v>#NUM!</v>
      </c>
      <c r="AM106" s="59" t="e">
        <f t="shared" si="59"/>
        <v>#NUM!</v>
      </c>
      <c r="AN106" s="59">
        <f ca="1">AVERAGE(OFFSET($AM$3,0,0,'Données projet'!$E$10+1,1))-AVERAGE(OFFSET($H$3,0,0,'Données projet'!$E$10+1,1))</f>
        <v>255.41017495879987</v>
      </c>
      <c r="AO106" s="59">
        <f t="shared" si="90"/>
        <v>297.50513563712764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1.9656713864453415</v>
      </c>
      <c r="AV106" s="21">
        <f>EXP(-LN(2)/25)*AV105+(1-EXP(-LN(2)/25))/(LN(2)/25)*Calculateur!AQ106*Calculateur!AS106*VLOOKUP('Données projet'!$B$10,Paramètres!$A$1:$I$89,3,0)*0.475*44/12</f>
        <v>3.6823691196725621</v>
      </c>
      <c r="AW106" s="21">
        <f>EXP(-LN(2)/2)*AW105+(1-EXP(-LN(2)/2))/(LN(2)/2)*AQ106*AT106*VLOOKUP('Données projet'!$B$10,Paramètres!$A$1:$I$89,3,0)*0.475*44/12</f>
        <v>2.5108235017890505E-10</v>
      </c>
      <c r="AX106" s="21">
        <f t="shared" si="60"/>
        <v>5.6480405063689858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-5.1159076974727213E-13</v>
      </c>
      <c r="BE106" s="13">
        <f>BD106*VLOOKUP('Données projet'!$B$11,Paramètres!$A$1:$I$89,3,0)*VLOOKUP('Données projet'!$B$11,Paramètres!$A$1:$I$89,5,0)</f>
        <v>-4.0702161641092972E-13</v>
      </c>
      <c r="BF106" s="13" t="e">
        <f t="shared" si="91"/>
        <v>#NUM!</v>
      </c>
      <c r="BG106" s="20" t="e">
        <f t="shared" si="61"/>
        <v>#NUM!</v>
      </c>
      <c r="BH106" s="59" t="e">
        <f t="shared" si="62"/>
        <v>#NUM!</v>
      </c>
      <c r="BI106" s="59">
        <f ca="1">AVERAGE(OFFSET($BH$3,0,0,'Données projet'!$E$11+1,1))-AVERAGE(OFFSET($H$3,0,0,'Données projet'!$E$11+1,1))</f>
        <v>260.20517190557814</v>
      </c>
      <c r="BJ106" s="59">
        <f t="shared" si="92"/>
        <v>307.22009971147133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0.76869354131391165</v>
      </c>
      <c r="BQ106" s="21">
        <f>EXP(-LN(2)/25)*BQ105+(1-EXP(-LN(2)/25))/(LN(2)/25)*Calculateur!BL106*Calculateur!BN106*VLOOKUP('Données projet'!$B$11,Paramètres!$A$1:$I$89,3,0)*0.475*44/12</f>
        <v>2.7111987831578608</v>
      </c>
      <c r="BR106" s="21">
        <f>EXP(-LN(2)/2)*BR105+(1-EXP(-LN(2)/2))/(LN(2)/2)*BL106*BO106*VLOOKUP('Données projet'!$B$11,Paramètres!$A$1:$I$89,3,0)*0.475*44/12</f>
        <v>2.4735584350565284E-10</v>
      </c>
      <c r="BS106" s="22">
        <f t="shared" si="63"/>
        <v>3.4798923247191285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268.00000000000017</v>
      </c>
      <c r="BZ106" s="13">
        <f>BY106*VLOOKUP('Données projet'!$B$12,Paramètres!$A$1:$I$89,3,0)*VLOOKUP('Données projet'!$B$12,Paramètres!$A$1:$I$89,5,0)</f>
        <v>175.59360000000012</v>
      </c>
      <c r="CA106" s="13">
        <f t="shared" si="93"/>
        <v>44.340433728638573</v>
      </c>
      <c r="CB106" s="20">
        <f t="shared" si="64"/>
        <v>383.05177541071242</v>
      </c>
      <c r="CC106" s="59">
        <f t="shared" si="65"/>
        <v>676.38510874404574</v>
      </c>
      <c r="CD106" s="59">
        <f ca="1">AVERAGE(OFFSET($CC$3,0,0,'Données projet'!$E$12+1,1))-AVERAGE(OFFSET($H$3,0,0,'Données projet'!$E$12+1,1))</f>
        <v>185.21927898775016</v>
      </c>
      <c r="CE106" s="59">
        <f t="shared" si="94"/>
        <v>240.82467772396944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0.36685707299110076</v>
      </c>
      <c r="CL106" s="21">
        <f>EXP(-LN(2)/25)*CL105+(1-EXP(-LN(2)/25))/(LN(2)/25)*Calculateur!CG106*Calculateur!CI106*VLOOKUP('Données projet'!$B$12,Paramètres!$A$1:$I$89,3,0)*0.475*44/12</f>
        <v>1.0620427400190544</v>
      </c>
      <c r="CM106" s="21">
        <f>EXP(-LN(2)/2)*CM105+(1-EXP(-LN(2)/2))/(LN(2)/2)*CG106*CJ106*VLOOKUP('Données projet'!$B$12,Paramètres!$A$1:$I$89,3,0)*0.475*44/12</f>
        <v>1.4401965016878357E-10</v>
      </c>
      <c r="CN106" s="22">
        <f t="shared" si="66"/>
        <v>1.4288998131541748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92.476800000000154</v>
      </c>
      <c r="D107" s="11">
        <f t="shared" si="86"/>
        <v>25.161622425346469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908.08606784478104</v>
      </c>
      <c r="H107" s="67">
        <f t="shared" si="56"/>
        <v>498.22025239081199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-2.2737367544323206E-13</v>
      </c>
      <c r="O107" s="13">
        <f>N107*VLOOKUP('Données projet'!$B$9,Paramètres!$A$1:$I$89,3,0)*VLOOKUP('Données projet'!$B$9,Paramètres!$A$1:$I$89,5,0)</f>
        <v>-1.2710188457276673E-13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255.5374979188561</v>
      </c>
      <c r="T107" s="59">
        <f t="shared" si="88"/>
        <v>343.10418468620901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0.71367552123901212</v>
      </c>
      <c r="AA107" s="21">
        <f>EXP(-LN(2)/25)*AA106+(1-EXP(-LN(2)/25))/(LN(2)/25)*Calculateur!V107*Calculateur!X107*VLOOKUP('Données projet'!$B$9,Paramètres!$A$1:$I$89,3,0)*0.475*44/12</f>
        <v>2.051120386105286</v>
      </c>
      <c r="AB107" s="21">
        <f>EXP(-LN(2)/2)*AB106+(1-EXP(-LN(2)/2))/(LN(2)/2)*V107*Y107*VLOOKUP('Données projet'!$B$9,Paramètres!$A$1:$I$89,3,0)*0.475*44/12</f>
        <v>1.2315664785667221E-11</v>
      </c>
      <c r="AC107" s="22">
        <f t="shared" si="57"/>
        <v>2.7647959073566137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0</v>
      </c>
      <c r="AJ107" s="13">
        <f>AI107*VLOOKUP('Données projet'!$B$10,Paramètres!$A$1:$I$89,3,0)*VLOOKUP('Données projet'!$B$10,Paramètres!$A$1:$I$89,5,0)</f>
        <v>0</v>
      </c>
      <c r="AK107" s="13" t="e">
        <f t="shared" si="89"/>
        <v>#NUM!</v>
      </c>
      <c r="AL107" s="20" t="e">
        <f t="shared" si="58"/>
        <v>#NUM!</v>
      </c>
      <c r="AM107" s="59" t="e">
        <f t="shared" si="59"/>
        <v>#NUM!</v>
      </c>
      <c r="AN107" s="59">
        <f ca="1">AVERAGE(OFFSET($AM$3,0,0,'Données projet'!$E$10+1,1))-AVERAGE(OFFSET($H$3,0,0,'Données projet'!$E$10+1,1))</f>
        <v>255.41017495879987</v>
      </c>
      <c r="AO107" s="59">
        <f t="shared" si="90"/>
        <v>297.50513563712764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1.9271257694983084</v>
      </c>
      <c r="AV107" s="21">
        <f>EXP(-LN(2)/25)*AV106+(1-EXP(-LN(2)/25))/(LN(2)/25)*Calculateur!AQ107*Calculateur!AS107*VLOOKUP('Données projet'!$B$10,Paramètres!$A$1:$I$89,3,0)*0.475*44/12</f>
        <v>3.5816745424477401</v>
      </c>
      <c r="AW107" s="21">
        <f>EXP(-LN(2)/2)*AW106+(1-EXP(-LN(2)/2))/(LN(2)/2)*AQ107*AT107*VLOOKUP('Données projet'!$B$10,Paramètres!$A$1:$I$89,3,0)*0.475*44/12</f>
        <v>1.7754203244775912E-10</v>
      </c>
      <c r="AX107" s="21">
        <f t="shared" si="60"/>
        <v>5.5088003121235909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-5.1159076974727213E-13</v>
      </c>
      <c r="BE107" s="13">
        <f>BD107*VLOOKUP('Données projet'!$B$11,Paramètres!$A$1:$I$89,3,0)*VLOOKUP('Données projet'!$B$11,Paramètres!$A$1:$I$89,5,0)</f>
        <v>-4.0702161641092972E-13</v>
      </c>
      <c r="BF107" s="13" t="e">
        <f t="shared" si="91"/>
        <v>#NUM!</v>
      </c>
      <c r="BG107" s="20" t="e">
        <f t="shared" si="61"/>
        <v>#NUM!</v>
      </c>
      <c r="BH107" s="59" t="e">
        <f t="shared" si="62"/>
        <v>#NUM!</v>
      </c>
      <c r="BI107" s="59">
        <f ca="1">AVERAGE(OFFSET($BH$3,0,0,'Données projet'!$E$11+1,1))-AVERAGE(OFFSET($H$3,0,0,'Données projet'!$E$11+1,1))</f>
        <v>260.20517190557814</v>
      </c>
      <c r="BJ107" s="59">
        <f t="shared" si="92"/>
        <v>307.22009971147133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0.75361992982551029</v>
      </c>
      <c r="BQ107" s="21">
        <f>EXP(-LN(2)/25)*BQ106+(1-EXP(-LN(2)/25))/(LN(2)/25)*Calculateur!BL107*Calculateur!BN107*VLOOKUP('Données projet'!$B$11,Paramètres!$A$1:$I$89,3,0)*0.475*44/12</f>
        <v>2.6370609098566615</v>
      </c>
      <c r="BR107" s="21">
        <f>EXP(-LN(2)/2)*BR106+(1-EXP(-LN(2)/2))/(LN(2)/2)*BL107*BO107*VLOOKUP('Données projet'!$B$11,Paramètres!$A$1:$I$89,3,0)*0.475*44/12</f>
        <v>1.7490699430896556E-10</v>
      </c>
      <c r="BS107" s="22">
        <f t="shared" si="63"/>
        <v>3.3906808398570791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268.00000000000017</v>
      </c>
      <c r="BZ107" s="13">
        <f>BY107*VLOOKUP('Données projet'!$B$12,Paramètres!$A$1:$I$89,3,0)*VLOOKUP('Données projet'!$B$12,Paramètres!$A$1:$I$89,5,0)</f>
        <v>175.59360000000012</v>
      </c>
      <c r="CA107" s="13">
        <f t="shared" si="93"/>
        <v>44.340433728638573</v>
      </c>
      <c r="CB107" s="20">
        <f t="shared" si="64"/>
        <v>383.05177541071242</v>
      </c>
      <c r="CC107" s="59">
        <f t="shared" si="65"/>
        <v>676.38510874404574</v>
      </c>
      <c r="CD107" s="59">
        <f ca="1">AVERAGE(OFFSET($CC$3,0,0,'Données projet'!$E$12+1,1))-AVERAGE(OFFSET($H$3,0,0,'Données projet'!$E$12+1,1))</f>
        <v>185.21927898775016</v>
      </c>
      <c r="CE107" s="59">
        <f t="shared" si="94"/>
        <v>240.82467772396944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0.35966322955046526</v>
      </c>
      <c r="CL107" s="21">
        <f>EXP(-LN(2)/25)*CL106+(1-EXP(-LN(2)/25))/(LN(2)/25)*Calculateur!CG107*Calculateur!CI107*VLOOKUP('Données projet'!$B$12,Paramètres!$A$1:$I$89,3,0)*0.475*44/12</f>
        <v>1.0330011254428331</v>
      </c>
      <c r="CM107" s="21">
        <f>EXP(-LN(2)/2)*CM106+(1-EXP(-LN(2)/2))/(LN(2)/2)*CG107*CJ107*VLOOKUP('Données projet'!$B$12,Paramètres!$A$1:$I$89,3,0)*0.475*44/12</f>
        <v>1.0183727125846117E-10</v>
      </c>
      <c r="CN107" s="22">
        <f t="shared" si="66"/>
        <v>1.3926643550951354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93.366000000000156</v>
      </c>
      <c r="D108" s="11">
        <f t="shared" si="86"/>
        <v>25.375280233490724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916.59935618835073</v>
      </c>
      <c r="H108" s="67">
        <f t="shared" si="56"/>
        <v>500.14106307332992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-2.2737367544323206E-13</v>
      </c>
      <c r="O108" s="13">
        <f>N108*VLOOKUP('Données projet'!$B$9,Paramètres!$A$1:$I$89,3,0)*VLOOKUP('Données projet'!$B$9,Paramètres!$A$1:$I$89,5,0)</f>
        <v>-1.2710188457276673E-13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255.5374979188561</v>
      </c>
      <c r="T108" s="59">
        <f t="shared" si="88"/>
        <v>343.10418468620901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0.6996807795666008</v>
      </c>
      <c r="AA108" s="21">
        <f>EXP(-LN(2)/25)*AA107+(1-EXP(-LN(2)/25))/(LN(2)/25)*Calculateur!V108*Calculateur!X108*VLOOKUP('Données projet'!$B$9,Paramètres!$A$1:$I$89,3,0)*0.475*44/12</f>
        <v>1.9950323912835037</v>
      </c>
      <c r="AB108" s="21">
        <f>EXP(-LN(2)/2)*AB107+(1-EXP(-LN(2)/2))/(LN(2)/2)*V108*Y108*VLOOKUP('Données projet'!$B$9,Paramètres!$A$1:$I$89,3,0)*0.475*44/12</f>
        <v>8.7084900847656602E-12</v>
      </c>
      <c r="AC108" s="22">
        <f t="shared" si="57"/>
        <v>2.694713170858813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0</v>
      </c>
      <c r="AJ108" s="13">
        <f>AI108*VLOOKUP('Données projet'!$B$10,Paramètres!$A$1:$I$89,3,0)*VLOOKUP('Données projet'!$B$10,Paramètres!$A$1:$I$89,5,0)</f>
        <v>0</v>
      </c>
      <c r="AK108" s="13" t="e">
        <f t="shared" si="89"/>
        <v>#NUM!</v>
      </c>
      <c r="AL108" s="20" t="e">
        <f t="shared" si="58"/>
        <v>#NUM!</v>
      </c>
      <c r="AM108" s="59" t="e">
        <f t="shared" si="59"/>
        <v>#NUM!</v>
      </c>
      <c r="AN108" s="59">
        <f ca="1">AVERAGE(OFFSET($AM$3,0,0,'Données projet'!$E$10+1,1))-AVERAGE(OFFSET($H$3,0,0,'Données projet'!$E$10+1,1))</f>
        <v>255.41017495879987</v>
      </c>
      <c r="AO108" s="59">
        <f t="shared" si="90"/>
        <v>297.50513563712764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1.8893360085891018</v>
      </c>
      <c r="AV108" s="21">
        <f>EXP(-LN(2)/25)*AV107+(1-EXP(-LN(2)/25))/(LN(2)/25)*Calculateur!AQ108*Calculateur!AS108*VLOOKUP('Données projet'!$B$10,Paramètres!$A$1:$I$89,3,0)*0.475*44/12</f>
        <v>3.4837334637324284</v>
      </c>
      <c r="AW108" s="21">
        <f>EXP(-LN(2)/2)*AW107+(1-EXP(-LN(2)/2))/(LN(2)/2)*AQ108*AT108*VLOOKUP('Données projet'!$B$10,Paramètres!$A$1:$I$89,3,0)*0.475*44/12</f>
        <v>1.2554117508945253E-10</v>
      </c>
      <c r="AX108" s="21">
        <f t="shared" si="60"/>
        <v>5.3730694724470718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-5.1159076974727213E-13</v>
      </c>
      <c r="BE108" s="13">
        <f>BD108*VLOOKUP('Données projet'!$B$11,Paramètres!$A$1:$I$89,3,0)*VLOOKUP('Données projet'!$B$11,Paramètres!$A$1:$I$89,5,0)</f>
        <v>-4.0702161641092972E-13</v>
      </c>
      <c r="BF108" s="13" t="e">
        <f t="shared" si="91"/>
        <v>#NUM!</v>
      </c>
      <c r="BG108" s="20" t="e">
        <f t="shared" si="61"/>
        <v>#NUM!</v>
      </c>
      <c r="BH108" s="59" t="e">
        <f t="shared" si="62"/>
        <v>#NUM!</v>
      </c>
      <c r="BI108" s="59">
        <f ca="1">AVERAGE(OFFSET($BH$3,0,0,'Données projet'!$E$11+1,1))-AVERAGE(OFFSET($H$3,0,0,'Données projet'!$E$11+1,1))</f>
        <v>260.20517190557814</v>
      </c>
      <c r="BJ108" s="59">
        <f t="shared" si="92"/>
        <v>307.22009971147133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0.73884190266440131</v>
      </c>
      <c r="BQ108" s="21">
        <f>EXP(-LN(2)/25)*BQ107+(1-EXP(-LN(2)/25))/(LN(2)/25)*Calculateur!BL108*Calculateur!BN108*VLOOKUP('Données projet'!$B$11,Paramètres!$A$1:$I$89,3,0)*0.475*44/12</f>
        <v>2.564950340599625</v>
      </c>
      <c r="BR108" s="21">
        <f>EXP(-LN(2)/2)*BR107+(1-EXP(-LN(2)/2))/(LN(2)/2)*BL108*BO108*VLOOKUP('Données projet'!$B$11,Paramètres!$A$1:$I$89,3,0)*0.475*44/12</f>
        <v>1.2367792175282642E-10</v>
      </c>
      <c r="BS108" s="22">
        <f t="shared" si="63"/>
        <v>3.3037922433877043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268.00000000000017</v>
      </c>
      <c r="BZ108" s="13">
        <f>BY108*VLOOKUP('Données projet'!$B$12,Paramètres!$A$1:$I$89,3,0)*VLOOKUP('Données projet'!$B$12,Paramètres!$A$1:$I$89,5,0)</f>
        <v>175.59360000000012</v>
      </c>
      <c r="CA108" s="13">
        <f t="shared" si="93"/>
        <v>44.340433728638573</v>
      </c>
      <c r="CB108" s="20">
        <f t="shared" si="64"/>
        <v>383.05177541071242</v>
      </c>
      <c r="CC108" s="59">
        <f t="shared" si="65"/>
        <v>676.38510874404574</v>
      </c>
      <c r="CD108" s="59">
        <f ca="1">AVERAGE(OFFSET($CC$3,0,0,'Données projet'!$E$12+1,1))-AVERAGE(OFFSET($H$3,0,0,'Données projet'!$E$12+1,1))</f>
        <v>185.21927898775016</v>
      </c>
      <c r="CE108" s="59">
        <f t="shared" si="94"/>
        <v>240.82467772396944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0.35261045299188937</v>
      </c>
      <c r="CL108" s="21">
        <f>EXP(-LN(2)/25)*CL107+(1-EXP(-LN(2)/25))/(LN(2)/25)*Calculateur!CG108*Calculateur!CI108*VLOOKUP('Données projet'!$B$12,Paramètres!$A$1:$I$89,3,0)*0.475*44/12</f>
        <v>1.0047536553444305</v>
      </c>
      <c r="CM108" s="21">
        <f>EXP(-LN(2)/2)*CM107+(1-EXP(-LN(2)/2))/(LN(2)/2)*CG108*CJ108*VLOOKUP('Données projet'!$B$12,Paramètres!$A$1:$I$89,3,0)*0.475*44/12</f>
        <v>7.2009825084391785E-11</v>
      </c>
      <c r="CN108" s="22">
        <f t="shared" si="66"/>
        <v>1.3573641084083297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94.255200000000158</v>
      </c>
      <c r="D109" s="11">
        <f t="shared" si="86"/>
        <v>25.588701314145272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925.11081716182434</v>
      </c>
      <c r="H109" s="67">
        <f t="shared" si="56"/>
        <v>502.06146145546995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-2.2737367544323206E-13</v>
      </c>
      <c r="O109" s="13">
        <f>N109*VLOOKUP('Données projet'!$B$9,Paramètres!$A$1:$I$89,3,0)*VLOOKUP('Données projet'!$B$9,Paramètres!$A$1:$I$89,5,0)</f>
        <v>-1.2710188457276673E-13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255.5374979188561</v>
      </c>
      <c r="T109" s="59">
        <f t="shared" si="88"/>
        <v>343.10418468620901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0.6859604662424359</v>
      </c>
      <c r="AA109" s="21">
        <f>EXP(-LN(2)/25)*AA108+(1-EXP(-LN(2)/25))/(LN(2)/25)*Calculateur!V109*Calculateur!X109*VLOOKUP('Données projet'!$B$9,Paramètres!$A$1:$I$89,3,0)*0.475*44/12</f>
        <v>1.9404781256296626</v>
      </c>
      <c r="AB109" s="21">
        <f>EXP(-LN(2)/2)*AB108+(1-EXP(-LN(2)/2))/(LN(2)/2)*V109*Y109*VLOOKUP('Données projet'!$B$9,Paramètres!$A$1:$I$89,3,0)*0.475*44/12</f>
        <v>6.1578323928336105E-12</v>
      </c>
      <c r="AC109" s="22">
        <f t="shared" si="57"/>
        <v>2.626438591878256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0</v>
      </c>
      <c r="AJ109" s="13">
        <f>AI109*VLOOKUP('Données projet'!$B$10,Paramètres!$A$1:$I$89,3,0)*VLOOKUP('Données projet'!$B$10,Paramètres!$A$1:$I$89,5,0)</f>
        <v>0</v>
      </c>
      <c r="AK109" s="13" t="e">
        <f t="shared" si="89"/>
        <v>#NUM!</v>
      </c>
      <c r="AL109" s="20" t="e">
        <f t="shared" si="58"/>
        <v>#NUM!</v>
      </c>
      <c r="AM109" s="59" t="e">
        <f t="shared" si="59"/>
        <v>#NUM!</v>
      </c>
      <c r="AN109" s="59">
        <f ca="1">AVERAGE(OFFSET($AM$3,0,0,'Données projet'!$E$10+1,1))-AVERAGE(OFFSET($H$3,0,0,'Données projet'!$E$10+1,1))</f>
        <v>255.41017495879987</v>
      </c>
      <c r="AO109" s="59">
        <f t="shared" si="90"/>
        <v>297.50513563712764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1.8522872818418465</v>
      </c>
      <c r="AV109" s="21">
        <f>EXP(-LN(2)/25)*AV108+(1-EXP(-LN(2)/25))/(LN(2)/25)*Calculateur!AQ109*Calculateur!AS109*VLOOKUP('Données projet'!$B$10,Paramètres!$A$1:$I$89,3,0)*0.475*44/12</f>
        <v>3.3884705889650846</v>
      </c>
      <c r="AW109" s="21">
        <f>EXP(-LN(2)/2)*AW108+(1-EXP(-LN(2)/2))/(LN(2)/2)*AQ109*AT109*VLOOKUP('Données projet'!$B$10,Paramètres!$A$1:$I$89,3,0)*0.475*44/12</f>
        <v>8.877101622387956E-11</v>
      </c>
      <c r="AX109" s="21">
        <f t="shared" si="60"/>
        <v>5.2407578708957017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-5.1159076974727213E-13</v>
      </c>
      <c r="BE109" s="13">
        <f>BD109*VLOOKUP('Données projet'!$B$11,Paramètres!$A$1:$I$89,3,0)*VLOOKUP('Données projet'!$B$11,Paramètres!$A$1:$I$89,5,0)</f>
        <v>-4.0702161641092972E-13</v>
      </c>
      <c r="BF109" s="13" t="e">
        <f t="shared" si="91"/>
        <v>#NUM!</v>
      </c>
      <c r="BG109" s="20" t="e">
        <f t="shared" si="61"/>
        <v>#NUM!</v>
      </c>
      <c r="BH109" s="59" t="e">
        <f t="shared" si="62"/>
        <v>#NUM!</v>
      </c>
      <c r="BI109" s="59">
        <f ca="1">AVERAGE(OFFSET($BH$3,0,0,'Données projet'!$E$11+1,1))-AVERAGE(OFFSET($H$3,0,0,'Données projet'!$E$11+1,1))</f>
        <v>260.20517190557814</v>
      </c>
      <c r="BJ109" s="59">
        <f t="shared" si="92"/>
        <v>307.22009971147133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0.72435366360221509</v>
      </c>
      <c r="BQ109" s="21">
        <f>EXP(-LN(2)/25)*BQ108+(1-EXP(-LN(2)/25))/(LN(2)/25)*Calculateur!BL109*Calculateur!BN109*VLOOKUP('Données projet'!$B$11,Paramètres!$A$1:$I$89,3,0)*0.475*44/12</f>
        <v>2.4948116386510519</v>
      </c>
      <c r="BR109" s="21">
        <f>EXP(-LN(2)/2)*BR108+(1-EXP(-LN(2)/2))/(LN(2)/2)*BL109*BO109*VLOOKUP('Données projet'!$B$11,Paramètres!$A$1:$I$89,3,0)*0.475*44/12</f>
        <v>8.7453497154482779E-11</v>
      </c>
      <c r="BS109" s="22">
        <f t="shared" si="63"/>
        <v>3.2191653023407207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268.00000000000017</v>
      </c>
      <c r="BZ109" s="13">
        <f>BY109*VLOOKUP('Données projet'!$B$12,Paramètres!$A$1:$I$89,3,0)*VLOOKUP('Données projet'!$B$12,Paramètres!$A$1:$I$89,5,0)</f>
        <v>175.59360000000012</v>
      </c>
      <c r="CA109" s="13">
        <f t="shared" si="93"/>
        <v>44.340433728638573</v>
      </c>
      <c r="CB109" s="20">
        <f t="shared" si="64"/>
        <v>383.05177541071242</v>
      </c>
      <c r="CC109" s="59">
        <f t="shared" si="65"/>
        <v>676.38510874404574</v>
      </c>
      <c r="CD109" s="59">
        <f ca="1">AVERAGE(OFFSET($CC$3,0,0,'Données projet'!$E$12+1,1))-AVERAGE(OFFSET($H$3,0,0,'Données projet'!$E$12+1,1))</f>
        <v>185.21927898775016</v>
      </c>
      <c r="CE109" s="59">
        <f t="shared" si="94"/>
        <v>240.82467772396944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0.34569597707985822</v>
      </c>
      <c r="CL109" s="21">
        <f>EXP(-LN(2)/25)*CL108+(1-EXP(-LN(2)/25))/(LN(2)/25)*Calculateur!CG109*Calculateur!CI109*VLOOKUP('Données projet'!$B$12,Paramètres!$A$1:$I$89,3,0)*0.475*44/12</f>
        <v>0.97727861380133874</v>
      </c>
      <c r="CM109" s="21">
        <f>EXP(-LN(2)/2)*CM108+(1-EXP(-LN(2)/2))/(LN(2)/2)*CG109*CJ109*VLOOKUP('Données projet'!$B$12,Paramètres!$A$1:$I$89,3,0)*0.475*44/12</f>
        <v>5.0918635629230583E-11</v>
      </c>
      <c r="CN109" s="22">
        <f t="shared" si="66"/>
        <v>1.3229745909321156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95.144400000000161</v>
      </c>
      <c r="D110" s="11">
        <f t="shared" si="86"/>
        <v>25.801888159247749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933.62047000121208</v>
      </c>
      <c r="H110" s="67">
        <f t="shared" si="56"/>
        <v>503.98145187735673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-2.2737367544323206E-13</v>
      </c>
      <c r="O110" s="13">
        <f>N110*VLOOKUP('Données projet'!$B$9,Paramètres!$A$1:$I$89,3,0)*VLOOKUP('Données projet'!$B$9,Paramètres!$A$1:$I$89,5,0)</f>
        <v>-1.2710188457276673E-13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255.5374979188561</v>
      </c>
      <c r="T110" s="59">
        <f t="shared" si="88"/>
        <v>343.10418468620901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0.67250919989399305</v>
      </c>
      <c r="AA110" s="21">
        <f>EXP(-LN(2)/25)*AA109+(1-EXP(-LN(2)/25))/(LN(2)/25)*Calculateur!V110*Calculateur!X110*VLOOKUP('Données projet'!$B$9,Paramètres!$A$1:$I$89,3,0)*0.475*44/12</f>
        <v>1.88741564923901</v>
      </c>
      <c r="AB110" s="21">
        <f>EXP(-LN(2)/2)*AB109+(1-EXP(-LN(2)/2))/(LN(2)/2)*V110*Y110*VLOOKUP('Données projet'!$B$9,Paramètres!$A$1:$I$89,3,0)*0.475*44/12</f>
        <v>4.3542450423828301E-12</v>
      </c>
      <c r="AC110" s="22">
        <f t="shared" si="57"/>
        <v>2.5599248491373574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0</v>
      </c>
      <c r="AJ110" s="13">
        <f>AI110*VLOOKUP('Données projet'!$B$10,Paramètres!$A$1:$I$89,3,0)*VLOOKUP('Données projet'!$B$10,Paramètres!$A$1:$I$89,5,0)</f>
        <v>0</v>
      </c>
      <c r="AK110" s="13" t="e">
        <f t="shared" si="89"/>
        <v>#NUM!</v>
      </c>
      <c r="AL110" s="20" t="e">
        <f t="shared" si="58"/>
        <v>#NUM!</v>
      </c>
      <c r="AM110" s="59" t="e">
        <f t="shared" si="59"/>
        <v>#NUM!</v>
      </c>
      <c r="AN110" s="59">
        <f ca="1">AVERAGE(OFFSET($AM$3,0,0,'Données projet'!$E$10+1,1))-AVERAGE(OFFSET($H$3,0,0,'Données projet'!$E$10+1,1))</f>
        <v>255.41017495879987</v>
      </c>
      <c r="AO110" s="59">
        <f t="shared" si="90"/>
        <v>297.50513563712764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1.8159650580286131</v>
      </c>
      <c r="AV110" s="21">
        <f>EXP(-LN(2)/25)*AV109+(1-EXP(-LN(2)/25))/(LN(2)/25)*Calculateur!AQ110*Calculateur!AS110*VLOOKUP('Données projet'!$B$10,Paramètres!$A$1:$I$89,3,0)*0.475*44/12</f>
        <v>3.2958126825179104</v>
      </c>
      <c r="AW110" s="21">
        <f>EXP(-LN(2)/2)*AW109+(1-EXP(-LN(2)/2))/(LN(2)/2)*AQ110*AT110*VLOOKUP('Données projet'!$B$10,Paramètres!$A$1:$I$89,3,0)*0.475*44/12</f>
        <v>6.2770587544726263E-11</v>
      </c>
      <c r="AX110" s="21">
        <f t="shared" si="60"/>
        <v>5.1117777406092939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-5.1159076974727213E-13</v>
      </c>
      <c r="BE110" s="13">
        <f>BD110*VLOOKUP('Données projet'!$B$11,Paramètres!$A$1:$I$89,3,0)*VLOOKUP('Données projet'!$B$11,Paramètres!$A$1:$I$89,5,0)</f>
        <v>-4.0702161641092972E-13</v>
      </c>
      <c r="BF110" s="13" t="e">
        <f t="shared" si="91"/>
        <v>#NUM!</v>
      </c>
      <c r="BG110" s="20" t="e">
        <f t="shared" si="61"/>
        <v>#NUM!</v>
      </c>
      <c r="BH110" s="59" t="e">
        <f t="shared" si="62"/>
        <v>#NUM!</v>
      </c>
      <c r="BI110" s="59">
        <f ca="1">AVERAGE(OFFSET($BH$3,0,0,'Données projet'!$E$11+1,1))-AVERAGE(OFFSET($H$3,0,0,'Données projet'!$E$11+1,1))</f>
        <v>260.20517190557814</v>
      </c>
      <c r="BJ110" s="59">
        <f t="shared" si="92"/>
        <v>307.22009971147133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0.71014953007108517</v>
      </c>
      <c r="BQ110" s="21">
        <f>EXP(-LN(2)/25)*BQ109+(1-EXP(-LN(2)/25))/(LN(2)/25)*Calculateur!BL110*Calculateur!BN110*VLOOKUP('Données projet'!$B$11,Paramètres!$A$1:$I$89,3,0)*0.475*44/12</f>
        <v>2.4265908831956966</v>
      </c>
      <c r="BR110" s="21">
        <f>EXP(-LN(2)/2)*BR109+(1-EXP(-LN(2)/2))/(LN(2)/2)*BL110*BO110*VLOOKUP('Données projet'!$B$11,Paramètres!$A$1:$I$89,3,0)*0.475*44/12</f>
        <v>6.1838960876413211E-11</v>
      </c>
      <c r="BS110" s="22">
        <f t="shared" si="63"/>
        <v>3.1367404133286207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268.00000000000017</v>
      </c>
      <c r="BZ110" s="13">
        <f>BY110*VLOOKUP('Données projet'!$B$12,Paramètres!$A$1:$I$89,3,0)*VLOOKUP('Données projet'!$B$12,Paramètres!$A$1:$I$89,5,0)</f>
        <v>175.59360000000012</v>
      </c>
      <c r="CA110" s="13">
        <f t="shared" si="93"/>
        <v>44.340433728638573</v>
      </c>
      <c r="CB110" s="20">
        <f t="shared" si="64"/>
        <v>383.05177541071242</v>
      </c>
      <c r="CC110" s="59">
        <f t="shared" si="65"/>
        <v>676.38510874404574</v>
      </c>
      <c r="CD110" s="59">
        <f ca="1">AVERAGE(OFFSET($CC$3,0,0,'Données projet'!$E$12+1,1))-AVERAGE(OFFSET($H$3,0,0,'Données projet'!$E$12+1,1))</f>
        <v>185.21927898775016</v>
      </c>
      <c r="CE110" s="59">
        <f t="shared" si="94"/>
        <v>240.82467772396944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0.33891708982304813</v>
      </c>
      <c r="CL110" s="21">
        <f>EXP(-LN(2)/25)*CL109+(1-EXP(-LN(2)/25))/(LN(2)/25)*Calculateur!CG110*Calculateur!CI110*VLOOKUP('Données projet'!$B$12,Paramètres!$A$1:$I$89,3,0)*0.475*44/12</f>
        <v>0.95055487871409239</v>
      </c>
      <c r="CM110" s="21">
        <f>EXP(-LN(2)/2)*CM109+(1-EXP(-LN(2)/2))/(LN(2)/2)*CG110*CJ110*VLOOKUP('Données projet'!$B$12,Paramètres!$A$1:$I$89,3,0)*0.475*44/12</f>
        <v>3.6004912542195892E-11</v>
      </c>
      <c r="CN110" s="22">
        <f t="shared" si="66"/>
        <v>1.2894719685731455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96.033600000000163</v>
      </c>
      <c r="D111" s="11">
        <f t="shared" si="86"/>
        <v>26.014843211471252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942.12833356223564</v>
      </c>
      <c r="H111" s="67">
        <f t="shared" si="56"/>
        <v>505.90103859331265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-2.2737367544323206E-13</v>
      </c>
      <c r="O111" s="13">
        <f>N111*VLOOKUP('Données projet'!$B$9,Paramètres!$A$1:$I$89,3,0)*VLOOKUP('Données projet'!$B$9,Paramètres!$A$1:$I$89,5,0)</f>
        <v>-1.2710188457276673E-13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255.5374979188561</v>
      </c>
      <c r="T111" s="59">
        <f t="shared" si="88"/>
        <v>343.10418468620901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0.65932170467418083</v>
      </c>
      <c r="AA111" s="21">
        <f>EXP(-LN(2)/25)*AA110+(1-EXP(-LN(2)/25))/(LN(2)/25)*Calculateur!V111*Calculateur!X111*VLOOKUP('Données projet'!$B$9,Paramètres!$A$1:$I$89,3,0)*0.475*44/12</f>
        <v>1.8358041690556939</v>
      </c>
      <c r="AB111" s="21">
        <f>EXP(-LN(2)/2)*AB110+(1-EXP(-LN(2)/2))/(LN(2)/2)*V111*Y111*VLOOKUP('Données projet'!$B$9,Paramètres!$A$1:$I$89,3,0)*0.475*44/12</f>
        <v>3.0789161964168052E-12</v>
      </c>
      <c r="AC111" s="22">
        <f t="shared" si="57"/>
        <v>2.4951258737329538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0</v>
      </c>
      <c r="AJ111" s="13">
        <f>AI111*VLOOKUP('Données projet'!$B$10,Paramètres!$A$1:$I$89,3,0)*VLOOKUP('Données projet'!$B$10,Paramètres!$A$1:$I$89,5,0)</f>
        <v>0</v>
      </c>
      <c r="AK111" s="13" t="e">
        <f t="shared" si="89"/>
        <v>#NUM!</v>
      </c>
      <c r="AL111" s="20" t="e">
        <f t="shared" si="58"/>
        <v>#NUM!</v>
      </c>
      <c r="AM111" s="59" t="e">
        <f t="shared" si="59"/>
        <v>#NUM!</v>
      </c>
      <c r="AN111" s="59">
        <f ca="1">AVERAGE(OFFSET($AM$3,0,0,'Données projet'!$E$10+1,1))-AVERAGE(OFFSET($H$3,0,0,'Données projet'!$E$10+1,1))</f>
        <v>255.41017495879987</v>
      </c>
      <c r="AO111" s="59">
        <f t="shared" si="90"/>
        <v>297.50513563712764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1.7803550908699881</v>
      </c>
      <c r="AV111" s="21">
        <f>EXP(-LN(2)/25)*AV110+(1-EXP(-LN(2)/25))/(LN(2)/25)*Calculateur!AQ111*Calculateur!AS111*VLOOKUP('Données projet'!$B$10,Paramètres!$A$1:$I$89,3,0)*0.475*44/12</f>
        <v>3.2056885113952016</v>
      </c>
      <c r="AW111" s="21">
        <f>EXP(-LN(2)/2)*AW110+(1-EXP(-LN(2)/2))/(LN(2)/2)*AQ111*AT111*VLOOKUP('Données projet'!$B$10,Paramètres!$A$1:$I$89,3,0)*0.475*44/12</f>
        <v>4.438550811193978E-11</v>
      </c>
      <c r="AX111" s="21">
        <f t="shared" si="60"/>
        <v>4.9860436023095751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-5.1159076974727213E-13</v>
      </c>
      <c r="BE111" s="13">
        <f>BD111*VLOOKUP('Données projet'!$B$11,Paramètres!$A$1:$I$89,3,0)*VLOOKUP('Données projet'!$B$11,Paramètres!$A$1:$I$89,5,0)</f>
        <v>-4.0702161641092972E-13</v>
      </c>
      <c r="BF111" s="13" t="e">
        <f t="shared" si="91"/>
        <v>#NUM!</v>
      </c>
      <c r="BG111" s="20" t="e">
        <f t="shared" si="61"/>
        <v>#NUM!</v>
      </c>
      <c r="BH111" s="59" t="e">
        <f t="shared" si="62"/>
        <v>#NUM!</v>
      </c>
      <c r="BI111" s="59">
        <f ca="1">AVERAGE(OFFSET($BH$3,0,0,'Données projet'!$E$11+1,1))-AVERAGE(OFFSET($H$3,0,0,'Données projet'!$E$11+1,1))</f>
        <v>260.20517190557814</v>
      </c>
      <c r="BJ111" s="59">
        <f t="shared" si="92"/>
        <v>307.22009971147133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0.6962239309348347</v>
      </c>
      <c r="BQ111" s="21">
        <f>EXP(-LN(2)/25)*BQ110+(1-EXP(-LN(2)/25))/(LN(2)/25)*Calculateur!BL111*Calculateur!BN111*VLOOKUP('Données projet'!$B$11,Paramètres!$A$1:$I$89,3,0)*0.475*44/12</f>
        <v>2.3602356278858418</v>
      </c>
      <c r="BR111" s="21">
        <f>EXP(-LN(2)/2)*BR110+(1-EXP(-LN(2)/2))/(LN(2)/2)*BL111*BO111*VLOOKUP('Données projet'!$B$11,Paramètres!$A$1:$I$89,3,0)*0.475*44/12</f>
        <v>4.372674857724139E-11</v>
      </c>
      <c r="BS111" s="22">
        <f t="shared" si="63"/>
        <v>3.0564595588644035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268.00000000000017</v>
      </c>
      <c r="BZ111" s="13">
        <f>BY111*VLOOKUP('Données projet'!$B$12,Paramètres!$A$1:$I$89,3,0)*VLOOKUP('Données projet'!$B$12,Paramètres!$A$1:$I$89,5,0)</f>
        <v>175.59360000000012</v>
      </c>
      <c r="CA111" s="13">
        <f t="shared" si="93"/>
        <v>44.340433728638573</v>
      </c>
      <c r="CB111" s="20">
        <f t="shared" si="64"/>
        <v>383.05177541071242</v>
      </c>
      <c r="CC111" s="59">
        <f t="shared" si="65"/>
        <v>676.38510874404574</v>
      </c>
      <c r="CD111" s="59">
        <f ca="1">AVERAGE(OFFSET($CC$3,0,0,'Données projet'!$E$12+1,1))-AVERAGE(OFFSET($H$3,0,0,'Données projet'!$E$12+1,1))</f>
        <v>185.21927898775016</v>
      </c>
      <c r="CE111" s="59">
        <f t="shared" si="94"/>
        <v>240.82467772396944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0.33227113241063116</v>
      </c>
      <c r="CL111" s="21">
        <f>EXP(-LN(2)/25)*CL110+(1-EXP(-LN(2)/25))/(LN(2)/25)*Calculateur!CG111*Calculateur!CI111*VLOOKUP('Données projet'!$B$12,Paramètres!$A$1:$I$89,3,0)*0.475*44/12</f>
        <v>0.92456190556814699</v>
      </c>
      <c r="CM111" s="21">
        <f>EXP(-LN(2)/2)*CM110+(1-EXP(-LN(2)/2))/(LN(2)/2)*CG111*CJ111*VLOOKUP('Données projet'!$B$12,Paramètres!$A$1:$I$89,3,0)*0.475*44/12</f>
        <v>2.5459317814615292E-11</v>
      </c>
      <c r="CN111" s="22">
        <f t="shared" si="66"/>
        <v>1.2568330380042376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96.922800000000166</v>
      </c>
      <c r="D112" s="11">
        <f t="shared" si="86"/>
        <v>26.227568865645399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950.6344263312991</v>
      </c>
      <c r="H112" s="67">
        <f t="shared" si="56"/>
        <v>507.82022577433264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-2.2737367544323206E-13</v>
      </c>
      <c r="O112" s="13">
        <f>N112*VLOOKUP('Données projet'!$B$9,Paramètres!$A$1:$I$89,3,0)*VLOOKUP('Données projet'!$B$9,Paramètres!$A$1:$I$89,5,0)</f>
        <v>-1.2710188457276673E-13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255.5374979188561</v>
      </c>
      <c r="T112" s="59">
        <f t="shared" si="88"/>
        <v>343.10418468620901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0.64639280819205136</v>
      </c>
      <c r="AA112" s="21">
        <f>EXP(-LN(2)/25)*AA111+(1-EXP(-LN(2)/25))/(LN(2)/25)*Calculateur!V112*Calculateur!X112*VLOOKUP('Données projet'!$B$9,Paramètres!$A$1:$I$89,3,0)*0.475*44/12</f>
        <v>1.7856040075121205</v>
      </c>
      <c r="AB112" s="21">
        <f>EXP(-LN(2)/2)*AB111+(1-EXP(-LN(2)/2))/(LN(2)/2)*V112*Y112*VLOOKUP('Données projet'!$B$9,Paramètres!$A$1:$I$89,3,0)*0.475*44/12</f>
        <v>2.1771225211914151E-12</v>
      </c>
      <c r="AC112" s="22">
        <f t="shared" si="57"/>
        <v>2.4319968157063485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0</v>
      </c>
      <c r="AJ112" s="13">
        <f>AI112*VLOOKUP('Données projet'!$B$10,Paramètres!$A$1:$I$89,3,0)*VLOOKUP('Données projet'!$B$10,Paramètres!$A$1:$I$89,5,0)</f>
        <v>0</v>
      </c>
      <c r="AK112" s="13" t="e">
        <f t="shared" si="89"/>
        <v>#NUM!</v>
      </c>
      <c r="AL112" s="20" t="e">
        <f t="shared" si="58"/>
        <v>#NUM!</v>
      </c>
      <c r="AM112" s="59" t="e">
        <f t="shared" si="59"/>
        <v>#NUM!</v>
      </c>
      <c r="AN112" s="59">
        <f ca="1">AVERAGE(OFFSET($AM$3,0,0,'Données projet'!$E$10+1,1))-AVERAGE(OFFSET($H$3,0,0,'Données projet'!$E$10+1,1))</f>
        <v>255.41017495879987</v>
      </c>
      <c r="AO112" s="59">
        <f t="shared" si="90"/>
        <v>297.50513563712764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1.7454434134474084</v>
      </c>
      <c r="AV112" s="21">
        <f>EXP(-LN(2)/25)*AV111+(1-EXP(-LN(2)/25))/(LN(2)/25)*Calculateur!AQ112*Calculateur!AS112*VLOOKUP('Données projet'!$B$10,Paramètres!$A$1:$I$89,3,0)*0.475*44/12</f>
        <v>3.1180287904712678</v>
      </c>
      <c r="AW112" s="21">
        <f>EXP(-LN(2)/2)*AW111+(1-EXP(-LN(2)/2))/(LN(2)/2)*AQ112*AT112*VLOOKUP('Données projet'!$B$10,Paramètres!$A$1:$I$89,3,0)*0.475*44/12</f>
        <v>3.1385293772363132E-11</v>
      </c>
      <c r="AX112" s="21">
        <f t="shared" si="60"/>
        <v>4.863472203950062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-5.1159076974727213E-13</v>
      </c>
      <c r="BE112" s="13">
        <f>BD112*VLOOKUP('Données projet'!$B$11,Paramètres!$A$1:$I$89,3,0)*VLOOKUP('Données projet'!$B$11,Paramètres!$A$1:$I$89,5,0)</f>
        <v>-4.0702161641092972E-13</v>
      </c>
      <c r="BF112" s="13" t="e">
        <f t="shared" si="91"/>
        <v>#NUM!</v>
      </c>
      <c r="BG112" s="20" t="e">
        <f t="shared" si="61"/>
        <v>#NUM!</v>
      </c>
      <c r="BH112" s="59" t="e">
        <f t="shared" si="62"/>
        <v>#NUM!</v>
      </c>
      <c r="BI112" s="59">
        <f ca="1">AVERAGE(OFFSET($BH$3,0,0,'Données projet'!$E$11+1,1))-AVERAGE(OFFSET($H$3,0,0,'Données projet'!$E$11+1,1))</f>
        <v>260.20517190557814</v>
      </c>
      <c r="BJ112" s="59">
        <f t="shared" si="92"/>
        <v>307.22009971147133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0.68257140430386931</v>
      </c>
      <c r="BQ112" s="21">
        <f>EXP(-LN(2)/25)*BQ111+(1-EXP(-LN(2)/25))/(LN(2)/25)*Calculateur!BL112*Calculateur!BN112*VLOOKUP('Données projet'!$B$11,Paramètres!$A$1:$I$89,3,0)*0.475*44/12</f>
        <v>2.2956948605219063</v>
      </c>
      <c r="BR112" s="21">
        <f>EXP(-LN(2)/2)*BR111+(1-EXP(-LN(2)/2))/(LN(2)/2)*BL112*BO112*VLOOKUP('Données projet'!$B$11,Paramètres!$A$1:$I$89,3,0)*0.475*44/12</f>
        <v>3.0919480438206605E-11</v>
      </c>
      <c r="BS112" s="22">
        <f t="shared" si="63"/>
        <v>2.9782662648566949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268.00000000000017</v>
      </c>
      <c r="BZ112" s="13">
        <f>BY112*VLOOKUP('Données projet'!$B$12,Paramètres!$A$1:$I$89,3,0)*VLOOKUP('Données projet'!$B$12,Paramètres!$A$1:$I$89,5,0)</f>
        <v>175.59360000000012</v>
      </c>
      <c r="CA112" s="13">
        <f t="shared" si="93"/>
        <v>44.340433728638573</v>
      </c>
      <c r="CB112" s="20">
        <f t="shared" si="64"/>
        <v>383.05177541071242</v>
      </c>
      <c r="CC112" s="59">
        <f t="shared" si="65"/>
        <v>676.38510874404574</v>
      </c>
      <c r="CD112" s="59">
        <f ca="1">AVERAGE(OFFSET($CC$3,0,0,'Données projet'!$E$12+1,1))-AVERAGE(OFFSET($H$3,0,0,'Données projet'!$E$12+1,1))</f>
        <v>185.21927898775016</v>
      </c>
      <c r="CE112" s="59">
        <f t="shared" si="94"/>
        <v>240.82467772396944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0.32575549816943794</v>
      </c>
      <c r="CL112" s="21">
        <f>EXP(-LN(2)/25)*CL111+(1-EXP(-LN(2)/25))/(LN(2)/25)*Calculateur!CG112*Calculateur!CI112*VLOOKUP('Données projet'!$B$12,Paramètres!$A$1:$I$89,3,0)*0.475*44/12</f>
        <v>0.89927971163978848</v>
      </c>
      <c r="CM112" s="21">
        <f>EXP(-LN(2)/2)*CM111+(1-EXP(-LN(2)/2))/(LN(2)/2)*CG112*CJ112*VLOOKUP('Données projet'!$B$12,Paramètres!$A$1:$I$89,3,0)*0.475*44/12</f>
        <v>1.8002456271097946E-11</v>
      </c>
      <c r="CN112" s="22">
        <f t="shared" si="66"/>
        <v>1.225035209827229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97.812000000000168</v>
      </c>
      <c r="D113" s="11">
        <f t="shared" si="86"/>
        <v>26.440067470123306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959.1387664360409</v>
      </c>
      <c r="H113" s="67">
        <f t="shared" si="56"/>
        <v>509.73901751046503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-2.2737367544323206E-13</v>
      </c>
      <c r="O113" s="13">
        <f>N113*VLOOKUP('Données projet'!$B$9,Paramètres!$A$1:$I$89,3,0)*VLOOKUP('Données projet'!$B$9,Paramètres!$A$1:$I$89,5,0)</f>
        <v>-1.2710188457276673E-13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255.5374979188561</v>
      </c>
      <c r="T113" s="59">
        <f t="shared" si="88"/>
        <v>343.10418468620901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0.63371743948408821</v>
      </c>
      <c r="AA113" s="21">
        <f>EXP(-LN(2)/25)*AA112+(1-EXP(-LN(2)/25))/(LN(2)/25)*Calculateur!V113*Calculateur!X113*VLOOKUP('Données projet'!$B$9,Paramètres!$A$1:$I$89,3,0)*0.475*44/12</f>
        <v>1.7367765720258679</v>
      </c>
      <c r="AB113" s="21">
        <f>EXP(-LN(2)/2)*AB112+(1-EXP(-LN(2)/2))/(LN(2)/2)*V113*Y113*VLOOKUP('Données projet'!$B$9,Paramètres!$A$1:$I$89,3,0)*0.475*44/12</f>
        <v>1.5394580982084026E-12</v>
      </c>
      <c r="AC113" s="22">
        <f t="shared" si="57"/>
        <v>2.3704940115114956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0</v>
      </c>
      <c r="AJ113" s="13">
        <f>AI113*VLOOKUP('Données projet'!$B$10,Paramètres!$A$1:$I$89,3,0)*VLOOKUP('Données projet'!$B$10,Paramètres!$A$1:$I$89,5,0)</f>
        <v>0</v>
      </c>
      <c r="AK113" s="13" t="e">
        <f t="shared" si="89"/>
        <v>#NUM!</v>
      </c>
      <c r="AL113" s="20" t="e">
        <f t="shared" si="58"/>
        <v>#NUM!</v>
      </c>
      <c r="AM113" s="59" t="e">
        <f t="shared" si="59"/>
        <v>#NUM!</v>
      </c>
      <c r="AN113" s="59">
        <f ca="1">AVERAGE(OFFSET($AM$3,0,0,'Données projet'!$E$10+1,1))-AVERAGE(OFFSET($H$3,0,0,'Données projet'!$E$10+1,1))</f>
        <v>255.41017495879987</v>
      </c>
      <c r="AO113" s="59">
        <f t="shared" si="90"/>
        <v>297.50513563712764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1.7112163327250649</v>
      </c>
      <c r="AV113" s="21">
        <f>EXP(-LN(2)/25)*AV112+(1-EXP(-LN(2)/25))/(LN(2)/25)*Calculateur!AQ113*Calculateur!AS113*VLOOKUP('Données projet'!$B$10,Paramètres!$A$1:$I$89,3,0)*0.475*44/12</f>
        <v>3.0327661292258234</v>
      </c>
      <c r="AW113" s="21">
        <f>EXP(-LN(2)/2)*AW112+(1-EXP(-LN(2)/2))/(LN(2)/2)*AQ113*AT113*VLOOKUP('Données projet'!$B$10,Paramètres!$A$1:$I$89,3,0)*0.475*44/12</f>
        <v>2.219275405596989E-11</v>
      </c>
      <c r="AX113" s="21">
        <f t="shared" si="60"/>
        <v>4.743982461973081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-5.1159076974727213E-13</v>
      </c>
      <c r="BE113" s="13">
        <f>BD113*VLOOKUP('Données projet'!$B$11,Paramètres!$A$1:$I$89,3,0)*VLOOKUP('Données projet'!$B$11,Paramètres!$A$1:$I$89,5,0)</f>
        <v>-4.0702161641092972E-13</v>
      </c>
      <c r="BF113" s="13" t="e">
        <f t="shared" si="91"/>
        <v>#NUM!</v>
      </c>
      <c r="BG113" s="20" t="e">
        <f t="shared" si="61"/>
        <v>#NUM!</v>
      </c>
      <c r="BH113" s="59" t="e">
        <f t="shared" si="62"/>
        <v>#NUM!</v>
      </c>
      <c r="BI113" s="59">
        <f ca="1">AVERAGE(OFFSET($BH$3,0,0,'Données projet'!$E$11+1,1))-AVERAGE(OFFSET($H$3,0,0,'Données projet'!$E$11+1,1))</f>
        <v>260.20517190557814</v>
      </c>
      <c r="BJ113" s="59">
        <f t="shared" si="92"/>
        <v>307.22009971147133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0.66918659539291814</v>
      </c>
      <c r="BQ113" s="21">
        <f>EXP(-LN(2)/25)*BQ112+(1-EXP(-LN(2)/25))/(LN(2)/25)*Calculateur!BL113*Calculateur!BN113*VLOOKUP('Données projet'!$B$11,Paramètres!$A$1:$I$89,3,0)*0.475*44/12</f>
        <v>2.2329189638355889</v>
      </c>
      <c r="BR113" s="21">
        <f>EXP(-LN(2)/2)*BR112+(1-EXP(-LN(2)/2))/(LN(2)/2)*BL113*BO113*VLOOKUP('Données projet'!$B$11,Paramètres!$A$1:$I$89,3,0)*0.475*44/12</f>
        <v>2.1863374288620695E-11</v>
      </c>
      <c r="BS113" s="22">
        <f t="shared" si="63"/>
        <v>2.9021055592503702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268.00000000000017</v>
      </c>
      <c r="BZ113" s="13">
        <f>BY113*VLOOKUP('Données projet'!$B$12,Paramètres!$A$1:$I$89,3,0)*VLOOKUP('Données projet'!$B$12,Paramètres!$A$1:$I$89,5,0)</f>
        <v>175.59360000000012</v>
      </c>
      <c r="CA113" s="13">
        <f t="shared" si="93"/>
        <v>44.340433728638573</v>
      </c>
      <c r="CB113" s="20">
        <f t="shared" si="64"/>
        <v>383.05177541071242</v>
      </c>
      <c r="CC113" s="59">
        <f t="shared" si="65"/>
        <v>676.38510874404574</v>
      </c>
      <c r="CD113" s="59">
        <f ca="1">AVERAGE(OFFSET($CC$3,0,0,'Données projet'!$E$12+1,1))-AVERAGE(OFFSET($H$3,0,0,'Données projet'!$E$12+1,1))</f>
        <v>185.21927898775016</v>
      </c>
      <c r="CE113" s="59">
        <f t="shared" si="94"/>
        <v>240.82467772396944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0.31936763154157</v>
      </c>
      <c r="CL113" s="21">
        <f>EXP(-LN(2)/25)*CL112+(1-EXP(-LN(2)/25))/(LN(2)/25)*Calculateur!CG113*Calculateur!CI113*VLOOKUP('Données projet'!$B$12,Paramètres!$A$1:$I$89,3,0)*0.475*44/12</f>
        <v>0.87468886063393381</v>
      </c>
      <c r="CM113" s="21">
        <f>EXP(-LN(2)/2)*CM112+(1-EXP(-LN(2)/2))/(LN(2)/2)*CG113*CJ113*VLOOKUP('Données projet'!$B$12,Paramètres!$A$1:$I$89,3,0)*0.475*44/12</f>
        <v>1.2729658907307646E-11</v>
      </c>
      <c r="CN113" s="22">
        <f t="shared" si="66"/>
        <v>1.1940564921882333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98.701200000000171</v>
      </c>
      <c r="D114" s="11">
        <f t="shared" si="86"/>
        <v>26.65234132809799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967.64137165549471</v>
      </c>
      <c r="H114" s="67">
        <f t="shared" si="56"/>
        <v>511.6574178131043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-2.2737367544323206E-13</v>
      </c>
      <c r="O114" s="13">
        <f>N114*VLOOKUP('Données projet'!$B$9,Paramètres!$A$1:$I$89,3,0)*VLOOKUP('Données projet'!$B$9,Paramètres!$A$1:$I$89,5,0)</f>
        <v>-1.2710188457276673E-13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255.5374979188561</v>
      </c>
      <c r="T114" s="59">
        <f t="shared" si="88"/>
        <v>343.10418468620901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0.62129062702527671</v>
      </c>
      <c r="AA114" s="21">
        <f>EXP(-LN(2)/25)*AA113+(1-EXP(-LN(2)/25))/(LN(2)/25)*Calculateur!V114*Calculateur!X114*VLOOKUP('Données projet'!$B$9,Paramètres!$A$1:$I$89,3,0)*0.475*44/12</f>
        <v>1.6892843253307102</v>
      </c>
      <c r="AB114" s="21">
        <f>EXP(-LN(2)/2)*AB113+(1-EXP(-LN(2)/2))/(LN(2)/2)*V114*Y114*VLOOKUP('Données projet'!$B$9,Paramètres!$A$1:$I$89,3,0)*0.475*44/12</f>
        <v>1.0885612605957075E-12</v>
      </c>
      <c r="AC114" s="22">
        <f t="shared" si="57"/>
        <v>2.3105749523570753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0</v>
      </c>
      <c r="AJ114" s="13">
        <f>AI114*VLOOKUP('Données projet'!$B$10,Paramètres!$A$1:$I$89,3,0)*VLOOKUP('Données projet'!$B$10,Paramètres!$A$1:$I$89,5,0)</f>
        <v>0</v>
      </c>
      <c r="AK114" s="13" t="e">
        <f t="shared" si="89"/>
        <v>#NUM!</v>
      </c>
      <c r="AL114" s="20" t="e">
        <f t="shared" si="58"/>
        <v>#NUM!</v>
      </c>
      <c r="AM114" s="59" t="e">
        <f t="shared" si="59"/>
        <v>#NUM!</v>
      </c>
      <c r="AN114" s="59">
        <f ca="1">AVERAGE(OFFSET($AM$3,0,0,'Données projet'!$E$10+1,1))-AVERAGE(OFFSET($H$3,0,0,'Données projet'!$E$10+1,1))</f>
        <v>255.41017495879987</v>
      </c>
      <c r="AO114" s="59">
        <f t="shared" si="90"/>
        <v>297.50513563712764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1.6776604241792288</v>
      </c>
      <c r="AV114" s="21">
        <f>EXP(-LN(2)/25)*AV113+(1-EXP(-LN(2)/25))/(LN(2)/25)*Calculateur!AQ114*Calculateur!AS114*VLOOKUP('Données projet'!$B$10,Paramètres!$A$1:$I$89,3,0)*0.475*44/12</f>
        <v>2.949834979935904</v>
      </c>
      <c r="AW114" s="21">
        <f>EXP(-LN(2)/2)*AW113+(1-EXP(-LN(2)/2))/(LN(2)/2)*AQ114*AT114*VLOOKUP('Données projet'!$B$10,Paramètres!$A$1:$I$89,3,0)*0.475*44/12</f>
        <v>1.5692646886181566E-11</v>
      </c>
      <c r="AX114" s="21">
        <f t="shared" si="60"/>
        <v>4.6274954041308254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-5.1159076974727213E-13</v>
      </c>
      <c r="BE114" s="13">
        <f>BD114*VLOOKUP('Données projet'!$B$11,Paramètres!$A$1:$I$89,3,0)*VLOOKUP('Données projet'!$B$11,Paramètres!$A$1:$I$89,5,0)</f>
        <v>-4.0702161641092972E-13</v>
      </c>
      <c r="BF114" s="13" t="e">
        <f t="shared" si="91"/>
        <v>#NUM!</v>
      </c>
      <c r="BG114" s="20" t="e">
        <f t="shared" si="61"/>
        <v>#NUM!</v>
      </c>
      <c r="BH114" s="59" t="e">
        <f t="shared" si="62"/>
        <v>#NUM!</v>
      </c>
      <c r="BI114" s="59">
        <f ca="1">AVERAGE(OFFSET($BH$3,0,0,'Données projet'!$E$11+1,1))-AVERAGE(OFFSET($H$3,0,0,'Données projet'!$E$11+1,1))</f>
        <v>260.20517190557814</v>
      </c>
      <c r="BJ114" s="59">
        <f t="shared" si="92"/>
        <v>307.22009971147133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0.65606425442078342</v>
      </c>
      <c r="BQ114" s="21">
        <f>EXP(-LN(2)/25)*BQ113+(1-EXP(-LN(2)/25))/(LN(2)/25)*Calculateur!BL114*Calculateur!BN114*VLOOKUP('Données projet'!$B$11,Paramètres!$A$1:$I$89,3,0)*0.475*44/12</f>
        <v>2.1718596773453998</v>
      </c>
      <c r="BR114" s="21">
        <f>EXP(-LN(2)/2)*BR113+(1-EXP(-LN(2)/2))/(LN(2)/2)*BL114*BO114*VLOOKUP('Données projet'!$B$11,Paramètres!$A$1:$I$89,3,0)*0.475*44/12</f>
        <v>1.5459740219103303E-11</v>
      </c>
      <c r="BS114" s="22">
        <f t="shared" si="63"/>
        <v>2.8279239317816427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268.00000000000017</v>
      </c>
      <c r="BZ114" s="13">
        <f>BY114*VLOOKUP('Données projet'!$B$12,Paramètres!$A$1:$I$89,3,0)*VLOOKUP('Données projet'!$B$12,Paramètres!$A$1:$I$89,5,0)</f>
        <v>175.59360000000012</v>
      </c>
      <c r="CA114" s="13">
        <f t="shared" si="93"/>
        <v>44.340433728638573</v>
      </c>
      <c r="CB114" s="20">
        <f t="shared" si="64"/>
        <v>383.05177541071242</v>
      </c>
      <c r="CC114" s="59">
        <f t="shared" si="65"/>
        <v>676.38510874404574</v>
      </c>
      <c r="CD114" s="59">
        <f ca="1">AVERAGE(OFFSET($CC$3,0,0,'Données projet'!$E$12+1,1))-AVERAGE(OFFSET($H$3,0,0,'Données projet'!$E$12+1,1))</f>
        <v>185.21927898775016</v>
      </c>
      <c r="CE114" s="59">
        <f t="shared" si="94"/>
        <v>240.82467772396944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0.31310502708206062</v>
      </c>
      <c r="CL114" s="21">
        <f>EXP(-LN(2)/25)*CL113+(1-EXP(-LN(2)/25))/(LN(2)/25)*Calculateur!CG114*Calculateur!CI114*VLOOKUP('Données projet'!$B$12,Paramètres!$A$1:$I$89,3,0)*0.475*44/12</f>
        <v>0.85077044774201083</v>
      </c>
      <c r="CM114" s="21">
        <f>EXP(-LN(2)/2)*CM113+(1-EXP(-LN(2)/2))/(LN(2)/2)*CG114*CJ114*VLOOKUP('Données projet'!$B$12,Paramètres!$A$1:$I$89,3,0)*0.475*44/12</f>
        <v>9.0012281355489731E-12</v>
      </c>
      <c r="CN114" s="22">
        <f t="shared" si="66"/>
        <v>1.1638754748330726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99.590400000000173</v>
      </c>
      <c r="D115" s="11">
        <f t="shared" si="86"/>
        <v>26.864392698869374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976.14225942987014</v>
      </c>
      <c r="H115" s="67">
        <f t="shared" si="56"/>
        <v>513.57543061719775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-2.2737367544323206E-13</v>
      </c>
      <c r="O115" s="13">
        <f>N115*VLOOKUP('Données projet'!$B$9,Paramètres!$A$1:$I$89,3,0)*VLOOKUP('Données projet'!$B$9,Paramètres!$A$1:$I$89,5,0)</f>
        <v>-1.2710188457276673E-13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255.5374979188561</v>
      </c>
      <c r="T115" s="59">
        <f t="shared" si="88"/>
        <v>343.10418468620901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0.60910749677917531</v>
      </c>
      <c r="AA115" s="21">
        <f>EXP(-LN(2)/25)*AA114+(1-EXP(-LN(2)/25))/(LN(2)/25)*Calculateur!V115*Calculateur!X115*VLOOKUP('Données projet'!$B$9,Paramètres!$A$1:$I$89,3,0)*0.475*44/12</f>
        <v>1.6430907566189401</v>
      </c>
      <c r="AB115" s="21">
        <f>EXP(-LN(2)/2)*AB114+(1-EXP(-LN(2)/2))/(LN(2)/2)*V115*Y115*VLOOKUP('Données projet'!$B$9,Paramètres!$A$1:$I$89,3,0)*0.475*44/12</f>
        <v>7.6972904910420131E-13</v>
      </c>
      <c r="AC115" s="22">
        <f t="shared" si="57"/>
        <v>2.2521982533988849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0</v>
      </c>
      <c r="AJ115" s="13">
        <f>AI115*VLOOKUP('Données projet'!$B$10,Paramètres!$A$1:$I$89,3,0)*VLOOKUP('Données projet'!$B$10,Paramètres!$A$1:$I$89,5,0)</f>
        <v>0</v>
      </c>
      <c r="AK115" s="13" t="e">
        <f t="shared" si="89"/>
        <v>#NUM!</v>
      </c>
      <c r="AL115" s="20" t="e">
        <f t="shared" si="58"/>
        <v>#NUM!</v>
      </c>
      <c r="AM115" s="59" t="e">
        <f t="shared" si="59"/>
        <v>#NUM!</v>
      </c>
      <c r="AN115" s="59">
        <f ca="1">AVERAGE(OFFSET($AM$3,0,0,'Données projet'!$E$10+1,1))-AVERAGE(OFFSET($H$3,0,0,'Données projet'!$E$10+1,1))</f>
        <v>255.41017495879987</v>
      </c>
      <c r="AO115" s="59">
        <f t="shared" si="90"/>
        <v>297.50513563712764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1.6447625265328931</v>
      </c>
      <c r="AV115" s="21">
        <f>EXP(-LN(2)/25)*AV114+(1-EXP(-LN(2)/25))/(LN(2)/25)*Calculateur!AQ115*Calculateur!AS115*VLOOKUP('Données projet'!$B$10,Paramètres!$A$1:$I$89,3,0)*0.475*44/12</f>
        <v>2.8691715872844772</v>
      </c>
      <c r="AW115" s="21">
        <f>EXP(-LN(2)/2)*AW114+(1-EXP(-LN(2)/2))/(LN(2)/2)*AQ115*AT115*VLOOKUP('Données projet'!$B$10,Paramètres!$A$1:$I$89,3,0)*0.475*44/12</f>
        <v>1.1096377027984945E-11</v>
      </c>
      <c r="AX115" s="21">
        <f t="shared" si="60"/>
        <v>4.5139341138284665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-5.1159076974727213E-13</v>
      </c>
      <c r="BE115" s="13">
        <f>BD115*VLOOKUP('Données projet'!$B$11,Paramètres!$A$1:$I$89,3,0)*VLOOKUP('Données projet'!$B$11,Paramètres!$A$1:$I$89,5,0)</f>
        <v>-4.0702161641092972E-13</v>
      </c>
      <c r="BF115" s="13" t="e">
        <f t="shared" si="91"/>
        <v>#NUM!</v>
      </c>
      <c r="BG115" s="20" t="e">
        <f t="shared" si="61"/>
        <v>#NUM!</v>
      </c>
      <c r="BH115" s="59" t="e">
        <f t="shared" si="62"/>
        <v>#NUM!</v>
      </c>
      <c r="BI115" s="59">
        <f ca="1">AVERAGE(OFFSET($BH$3,0,0,'Données projet'!$E$11+1,1))-AVERAGE(OFFSET($H$3,0,0,'Données projet'!$E$11+1,1))</f>
        <v>260.20517190557814</v>
      </c>
      <c r="BJ115" s="59">
        <f t="shared" si="92"/>
        <v>307.22009971147133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0.64319923455127459</v>
      </c>
      <c r="BQ115" s="21">
        <f>EXP(-LN(2)/25)*BQ114+(1-EXP(-LN(2)/25))/(LN(2)/25)*Calculateur!BL115*Calculateur!BN115*VLOOKUP('Données projet'!$B$11,Paramètres!$A$1:$I$89,3,0)*0.475*44/12</f>
        <v>2.1124700602552533</v>
      </c>
      <c r="BR115" s="21">
        <f>EXP(-LN(2)/2)*BR114+(1-EXP(-LN(2)/2))/(LN(2)/2)*BL115*BO115*VLOOKUP('Données projet'!$B$11,Paramètres!$A$1:$I$89,3,0)*0.475*44/12</f>
        <v>1.0931687144310347E-11</v>
      </c>
      <c r="BS115" s="22">
        <f t="shared" si="63"/>
        <v>2.7556692948174595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268.00000000000017</v>
      </c>
      <c r="BZ115" s="13">
        <f>BY115*VLOOKUP('Données projet'!$B$12,Paramètres!$A$1:$I$89,3,0)*VLOOKUP('Données projet'!$B$12,Paramètres!$A$1:$I$89,5,0)</f>
        <v>175.59360000000012</v>
      </c>
      <c r="CA115" s="13">
        <f t="shared" si="93"/>
        <v>44.340433728638573</v>
      </c>
      <c r="CB115" s="20">
        <f t="shared" si="64"/>
        <v>383.05177541071242</v>
      </c>
      <c r="CC115" s="59">
        <f t="shared" si="65"/>
        <v>676.38510874404574</v>
      </c>
      <c r="CD115" s="59">
        <f ca="1">AVERAGE(OFFSET($CC$3,0,0,'Données projet'!$E$12+1,1))-AVERAGE(OFFSET($H$3,0,0,'Données projet'!$E$12+1,1))</f>
        <v>185.21927898775016</v>
      </c>
      <c r="CE115" s="59">
        <f t="shared" si="94"/>
        <v>240.82467772396944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0.30696522847619068</v>
      </c>
      <c r="CL115" s="21">
        <f>EXP(-LN(2)/25)*CL114+(1-EXP(-LN(2)/25))/(LN(2)/25)*Calculateur!CG115*Calculateur!CI115*VLOOKUP('Données projet'!$B$12,Paramètres!$A$1:$I$89,3,0)*0.475*44/12</f>
        <v>0.82750608510843215</v>
      </c>
      <c r="CM115" s="21">
        <f>EXP(-LN(2)/2)*CM114+(1-EXP(-LN(2)/2))/(LN(2)/2)*CG115*CJ115*VLOOKUP('Données projet'!$B$12,Paramètres!$A$1:$I$89,3,0)*0.475*44/12</f>
        <v>6.3648294536538229E-12</v>
      </c>
      <c r="CN115" s="22">
        <f t="shared" si="66"/>
        <v>1.1344713135909876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100.47960000000018</v>
      </c>
      <c r="D116" s="11">
        <f t="shared" si="86"/>
        <v>27.076223799065254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984.64144686997872</v>
      </c>
      <c r="H116" s="67">
        <f t="shared" si="56"/>
        <v>515.49305978337225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-2.2737367544323206E-13</v>
      </c>
      <c r="O116" s="13">
        <f>N116*VLOOKUP('Données projet'!$B$9,Paramètres!$A$1:$I$89,3,0)*VLOOKUP('Données projet'!$B$9,Paramètres!$A$1:$I$89,5,0)</f>
        <v>-1.2710188457276673E-13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255.5374979188561</v>
      </c>
      <c r="T116" s="59">
        <f t="shared" si="88"/>
        <v>343.10418468620901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0.59716327028622429</v>
      </c>
      <c r="AA116" s="21">
        <f>EXP(-LN(2)/25)*AA115+(1-EXP(-LN(2)/25))/(LN(2)/25)*Calculateur!V116*Calculateur!X116*VLOOKUP('Données projet'!$B$9,Paramètres!$A$1:$I$89,3,0)*0.475*44/12</f>
        <v>1.5981603534728077</v>
      </c>
      <c r="AB116" s="21">
        <f>EXP(-LN(2)/2)*AB115+(1-EXP(-LN(2)/2))/(LN(2)/2)*V116*Y116*VLOOKUP('Données projet'!$B$9,Paramètres!$A$1:$I$89,3,0)*0.475*44/12</f>
        <v>5.4428063029785376E-13</v>
      </c>
      <c r="AC116" s="22">
        <f t="shared" si="57"/>
        <v>2.1953236237595766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0</v>
      </c>
      <c r="AJ116" s="13">
        <f>AI116*VLOOKUP('Données projet'!$B$10,Paramètres!$A$1:$I$89,3,0)*VLOOKUP('Données projet'!$B$10,Paramètres!$A$1:$I$89,5,0)</f>
        <v>0</v>
      </c>
      <c r="AK116" s="13" t="e">
        <f t="shared" si="89"/>
        <v>#NUM!</v>
      </c>
      <c r="AL116" s="20" t="e">
        <f t="shared" si="58"/>
        <v>#NUM!</v>
      </c>
      <c r="AM116" s="59" t="e">
        <f t="shared" si="59"/>
        <v>#NUM!</v>
      </c>
      <c r="AN116" s="59">
        <f ca="1">AVERAGE(OFFSET($AM$3,0,0,'Données projet'!$E$10+1,1))-AVERAGE(OFFSET($H$3,0,0,'Données projet'!$E$10+1,1))</f>
        <v>255.41017495879987</v>
      </c>
      <c r="AO116" s="59">
        <f t="shared" si="90"/>
        <v>297.50513563712764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1.6125097365936658</v>
      </c>
      <c r="AV116" s="21">
        <f>EXP(-LN(2)/25)*AV115+(1-EXP(-LN(2)/25))/(LN(2)/25)*Calculateur!AQ116*Calculateur!AS116*VLOOKUP('Données projet'!$B$10,Paramètres!$A$1:$I$89,3,0)*0.475*44/12</f>
        <v>2.7907139393470071</v>
      </c>
      <c r="AW116" s="21">
        <f>EXP(-LN(2)/2)*AW115+(1-EXP(-LN(2)/2))/(LN(2)/2)*AQ116*AT116*VLOOKUP('Données projet'!$B$10,Paramètres!$A$1:$I$89,3,0)*0.475*44/12</f>
        <v>7.8463234430907829E-12</v>
      </c>
      <c r="AX116" s="21">
        <f t="shared" si="60"/>
        <v>4.403223675948519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-5.1159076974727213E-13</v>
      </c>
      <c r="BE116" s="13">
        <f>BD116*VLOOKUP('Données projet'!$B$11,Paramètres!$A$1:$I$89,3,0)*VLOOKUP('Données projet'!$B$11,Paramètres!$A$1:$I$89,5,0)</f>
        <v>-4.0702161641092972E-13</v>
      </c>
      <c r="BF116" s="13" t="e">
        <f t="shared" si="91"/>
        <v>#NUM!</v>
      </c>
      <c r="BG116" s="20" t="e">
        <f t="shared" si="61"/>
        <v>#NUM!</v>
      </c>
      <c r="BH116" s="59" t="e">
        <f t="shared" si="62"/>
        <v>#NUM!</v>
      </c>
      <c r="BI116" s="59">
        <f ca="1">AVERAGE(OFFSET($BH$3,0,0,'Données projet'!$E$11+1,1))-AVERAGE(OFFSET($H$3,0,0,'Données projet'!$E$11+1,1))</f>
        <v>260.20517190557814</v>
      </c>
      <c r="BJ116" s="59">
        <f t="shared" si="92"/>
        <v>307.22009971147133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0.63058648987451948</v>
      </c>
      <c r="BQ116" s="21">
        <f>EXP(-LN(2)/25)*BQ115+(1-EXP(-LN(2)/25))/(LN(2)/25)*Calculateur!BL116*Calculateur!BN116*VLOOKUP('Données projet'!$B$11,Paramètres!$A$1:$I$89,3,0)*0.475*44/12</f>
        <v>2.054704455367601</v>
      </c>
      <c r="BR116" s="21">
        <f>EXP(-LN(2)/2)*BR115+(1-EXP(-LN(2)/2))/(LN(2)/2)*BL116*BO116*VLOOKUP('Données projet'!$B$11,Paramètres!$A$1:$I$89,3,0)*0.475*44/12</f>
        <v>7.7298701095516513E-12</v>
      </c>
      <c r="BS116" s="22">
        <f t="shared" si="63"/>
        <v>2.6852909452498501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268.00000000000017</v>
      </c>
      <c r="BZ116" s="13">
        <f>BY116*VLOOKUP('Données projet'!$B$12,Paramètres!$A$1:$I$89,3,0)*VLOOKUP('Données projet'!$B$12,Paramètres!$A$1:$I$89,5,0)</f>
        <v>175.59360000000012</v>
      </c>
      <c r="CA116" s="13">
        <f t="shared" si="93"/>
        <v>44.340433728638573</v>
      </c>
      <c r="CB116" s="20">
        <f t="shared" si="64"/>
        <v>383.05177541071242</v>
      </c>
      <c r="CC116" s="59">
        <f t="shared" si="65"/>
        <v>676.38510874404574</v>
      </c>
      <c r="CD116" s="59">
        <f ca="1">AVERAGE(OFFSET($CC$3,0,0,'Données projet'!$E$12+1,1))-AVERAGE(OFFSET($H$3,0,0,'Données projet'!$E$12+1,1))</f>
        <v>185.21927898775016</v>
      </c>
      <c r="CE116" s="59">
        <f t="shared" si="94"/>
        <v>240.82467772396944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0.30094582757607446</v>
      </c>
      <c r="CL116" s="21">
        <f>EXP(-LN(2)/25)*CL115+(1-EXP(-LN(2)/25))/(LN(2)/25)*Calculateur!CG116*Calculateur!CI116*VLOOKUP('Données projet'!$B$12,Paramètres!$A$1:$I$89,3,0)*0.475*44/12</f>
        <v>0.80487788769448831</v>
      </c>
      <c r="CM116" s="21">
        <f>EXP(-LN(2)/2)*CM115+(1-EXP(-LN(2)/2))/(LN(2)/2)*CG116*CJ116*VLOOKUP('Données projet'!$B$12,Paramètres!$A$1:$I$89,3,0)*0.475*44/12</f>
        <v>4.5006140677744865E-12</v>
      </c>
      <c r="CN116" s="22">
        <f t="shared" si="66"/>
        <v>1.1058237152750634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101.36880000000018</v>
      </c>
      <c r="D117" s="11">
        <f t="shared" si="86"/>
        <v>27.287836803817498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993.13895076631172</v>
      </c>
      <c r="H117" s="67">
        <f t="shared" si="56"/>
        <v>517.41030909998244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-2.2737367544323206E-13</v>
      </c>
      <c r="O117" s="13">
        <f>N117*VLOOKUP('Données projet'!$B$9,Paramètres!$A$1:$I$89,3,0)*VLOOKUP('Données projet'!$B$9,Paramètres!$A$1:$I$89,5,0)</f>
        <v>-1.2710188457276673E-13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255.5374979188561</v>
      </c>
      <c r="T117" s="59">
        <f t="shared" si="88"/>
        <v>343.10418468620901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0.58545326278954124</v>
      </c>
      <c r="AA117" s="21">
        <f>EXP(-LN(2)/25)*AA116+(1-EXP(-LN(2)/25))/(LN(2)/25)*Calculateur!V117*Calculateur!X117*VLOOKUP('Données projet'!$B$9,Paramètres!$A$1:$I$89,3,0)*0.475*44/12</f>
        <v>1.5544585745634933</v>
      </c>
      <c r="AB117" s="21">
        <f>EXP(-LN(2)/2)*AB116+(1-EXP(-LN(2)/2))/(LN(2)/2)*V117*Y117*VLOOKUP('Données projet'!$B$9,Paramètres!$A$1:$I$89,3,0)*0.475*44/12</f>
        <v>3.8486452455210066E-13</v>
      </c>
      <c r="AC117" s="22">
        <f t="shared" si="57"/>
        <v>2.1399118373534196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0</v>
      </c>
      <c r="AJ117" s="13">
        <f>AI117*VLOOKUP('Données projet'!$B$10,Paramètres!$A$1:$I$89,3,0)*VLOOKUP('Données projet'!$B$10,Paramètres!$A$1:$I$89,5,0)</f>
        <v>0</v>
      </c>
      <c r="AK117" s="13" t="e">
        <f t="shared" si="89"/>
        <v>#NUM!</v>
      </c>
      <c r="AL117" s="20" t="e">
        <f t="shared" si="58"/>
        <v>#NUM!</v>
      </c>
      <c r="AM117" s="59" t="e">
        <f t="shared" si="59"/>
        <v>#NUM!</v>
      </c>
      <c r="AN117" s="59">
        <f ca="1">AVERAGE(OFFSET($AM$3,0,0,'Données projet'!$E$10+1,1))-AVERAGE(OFFSET($H$3,0,0,'Données projet'!$E$10+1,1))</f>
        <v>255.41017495879987</v>
      </c>
      <c r="AO117" s="59">
        <f t="shared" si="90"/>
        <v>297.50513563712764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1.5808894041928874</v>
      </c>
      <c r="AV117" s="21">
        <f>EXP(-LN(2)/25)*AV116+(1-EXP(-LN(2)/25))/(LN(2)/25)*Calculateur!AQ117*Calculateur!AS117*VLOOKUP('Données projet'!$B$10,Paramètres!$A$1:$I$89,3,0)*0.475*44/12</f>
        <v>2.7144017199182953</v>
      </c>
      <c r="AW117" s="21">
        <f>EXP(-LN(2)/2)*AW116+(1-EXP(-LN(2)/2))/(LN(2)/2)*AQ117*AT117*VLOOKUP('Données projet'!$B$10,Paramètres!$A$1:$I$89,3,0)*0.475*44/12</f>
        <v>5.5481885139924725E-12</v>
      </c>
      <c r="AX117" s="21">
        <f t="shared" si="60"/>
        <v>4.2952911241167309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-5.1159076974727213E-13</v>
      </c>
      <c r="BE117" s="13">
        <f>BD117*VLOOKUP('Données projet'!$B$11,Paramètres!$A$1:$I$89,3,0)*VLOOKUP('Données projet'!$B$11,Paramètres!$A$1:$I$89,5,0)</f>
        <v>-4.0702161641092972E-13</v>
      </c>
      <c r="BF117" s="13" t="e">
        <f t="shared" si="91"/>
        <v>#NUM!</v>
      </c>
      <c r="BG117" s="20" t="e">
        <f t="shared" si="61"/>
        <v>#NUM!</v>
      </c>
      <c r="BH117" s="59" t="e">
        <f t="shared" si="62"/>
        <v>#NUM!</v>
      </c>
      <c r="BI117" s="59">
        <f ca="1">AVERAGE(OFFSET($BH$3,0,0,'Données projet'!$E$11+1,1))-AVERAGE(OFFSET($H$3,0,0,'Données projet'!$E$11+1,1))</f>
        <v>260.20517190557814</v>
      </c>
      <c r="BJ117" s="59">
        <f t="shared" si="92"/>
        <v>307.22009971147133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0.61822107342786092</v>
      </c>
      <c r="BQ117" s="21">
        <f>EXP(-LN(2)/25)*BQ116+(1-EXP(-LN(2)/25))/(LN(2)/25)*Calculateur!BL117*Calculateur!BN117*VLOOKUP('Données projet'!$B$11,Paramètres!$A$1:$I$89,3,0)*0.475*44/12</f>
        <v>1.9985184539833627</v>
      </c>
      <c r="BR117" s="21">
        <f>EXP(-LN(2)/2)*BR116+(1-EXP(-LN(2)/2))/(LN(2)/2)*BL117*BO117*VLOOKUP('Données projet'!$B$11,Paramètres!$A$1:$I$89,3,0)*0.475*44/12</f>
        <v>5.4658435721551737E-12</v>
      </c>
      <c r="BS117" s="22">
        <f t="shared" si="63"/>
        <v>2.6167395274166894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268.00000000000017</v>
      </c>
      <c r="BZ117" s="13">
        <f>BY117*VLOOKUP('Données projet'!$B$12,Paramètres!$A$1:$I$89,3,0)*VLOOKUP('Données projet'!$B$12,Paramètres!$A$1:$I$89,5,0)</f>
        <v>175.59360000000012</v>
      </c>
      <c r="CA117" s="13">
        <f t="shared" si="93"/>
        <v>44.340433728638573</v>
      </c>
      <c r="CB117" s="20">
        <f t="shared" si="64"/>
        <v>383.05177541071242</v>
      </c>
      <c r="CC117" s="59">
        <f t="shared" si="65"/>
        <v>676.38510874404574</v>
      </c>
      <c r="CD117" s="59">
        <f ca="1">AVERAGE(OFFSET($CC$3,0,0,'Données projet'!$E$12+1,1))-AVERAGE(OFFSET($H$3,0,0,'Données projet'!$E$12+1,1))</f>
        <v>185.21927898775016</v>
      </c>
      <c r="CE117" s="59">
        <f t="shared" si="94"/>
        <v>240.82467772396944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0.29504446345613755</v>
      </c>
      <c r="CL117" s="21">
        <f>EXP(-LN(2)/25)*CL116+(1-EXP(-LN(2)/25))/(LN(2)/25)*Calculateur!CG117*Calculateur!CI117*VLOOKUP('Données projet'!$B$12,Paramètres!$A$1:$I$89,3,0)*0.475*44/12</f>
        <v>0.78286845952879403</v>
      </c>
      <c r="CM117" s="21">
        <f>EXP(-LN(2)/2)*CM116+(1-EXP(-LN(2)/2))/(LN(2)/2)*CG117*CJ117*VLOOKUP('Données projet'!$B$12,Paramètres!$A$1:$I$89,3,0)*0.475*44/12</f>
        <v>3.1824147268269115E-12</v>
      </c>
      <c r="CN117" s="22">
        <f t="shared" si="66"/>
        <v>1.0779129229881139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102.25800000000018</v>
      </c>
      <c r="D118" s="11">
        <f t="shared" si="86"/>
        <v>27.499233847895908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1001.6347875977945</v>
      </c>
      <c r="H118" s="67">
        <f t="shared" si="56"/>
        <v>519.32718228508566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-2.2737367544323206E-13</v>
      </c>
      <c r="O118" s="13">
        <f>N118*VLOOKUP('Données projet'!$B$9,Paramètres!$A$1:$I$89,3,0)*VLOOKUP('Données projet'!$B$9,Paramètres!$A$1:$I$89,5,0)</f>
        <v>-1.2710188457276673E-13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255.5374979188561</v>
      </c>
      <c r="T118" s="59">
        <f t="shared" si="88"/>
        <v>343.10418468620901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0.57397288139746883</v>
      </c>
      <c r="AA118" s="21">
        <f>EXP(-LN(2)/25)*AA117+(1-EXP(-LN(2)/25))/(LN(2)/25)*Calculateur!V118*Calculateur!X118*VLOOKUP('Données projet'!$B$9,Paramètres!$A$1:$I$89,3,0)*0.475*44/12</f>
        <v>1.5119518230966309</v>
      </c>
      <c r="AB118" s="21">
        <f>EXP(-LN(2)/2)*AB117+(1-EXP(-LN(2)/2))/(LN(2)/2)*V118*Y118*VLOOKUP('Données projet'!$B$9,Paramètres!$A$1:$I$89,3,0)*0.475*44/12</f>
        <v>2.7214031514892688E-13</v>
      </c>
      <c r="AC118" s="22">
        <f t="shared" si="57"/>
        <v>2.0859247044943721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0</v>
      </c>
      <c r="AJ118" s="13">
        <f>AI118*VLOOKUP('Données projet'!$B$10,Paramètres!$A$1:$I$89,3,0)*VLOOKUP('Données projet'!$B$10,Paramètres!$A$1:$I$89,5,0)</f>
        <v>0</v>
      </c>
      <c r="AK118" s="13" t="e">
        <f t="shared" si="89"/>
        <v>#NUM!</v>
      </c>
      <c r="AL118" s="20" t="e">
        <f t="shared" si="58"/>
        <v>#NUM!</v>
      </c>
      <c r="AM118" s="59" t="e">
        <f t="shared" si="59"/>
        <v>#NUM!</v>
      </c>
      <c r="AN118" s="59">
        <f ca="1">AVERAGE(OFFSET($AM$3,0,0,'Données projet'!$E$10+1,1))-AVERAGE(OFFSET($H$3,0,0,'Données projet'!$E$10+1,1))</f>
        <v>255.41017495879987</v>
      </c>
      <c r="AO118" s="59">
        <f t="shared" si="90"/>
        <v>297.50513563712764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1.5498891272239899</v>
      </c>
      <c r="AV118" s="21">
        <f>EXP(-LN(2)/25)*AV117+(1-EXP(-LN(2)/25))/(LN(2)/25)*Calculateur!AQ118*Calculateur!AS118*VLOOKUP('Données projet'!$B$10,Paramètres!$A$1:$I$89,3,0)*0.475*44/12</f>
        <v>2.6401762621429468</v>
      </c>
      <c r="AW118" s="21">
        <f>EXP(-LN(2)/2)*AW117+(1-EXP(-LN(2)/2))/(LN(2)/2)*AQ118*AT118*VLOOKUP('Données projet'!$B$10,Paramètres!$A$1:$I$89,3,0)*0.475*44/12</f>
        <v>3.9231617215453914E-12</v>
      </c>
      <c r="AX118" s="21">
        <f t="shared" si="60"/>
        <v>4.1900653893708597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-5.1159076974727213E-13</v>
      </c>
      <c r="BE118" s="13">
        <f>BD118*VLOOKUP('Données projet'!$B$11,Paramètres!$A$1:$I$89,3,0)*VLOOKUP('Données projet'!$B$11,Paramètres!$A$1:$I$89,5,0)</f>
        <v>-4.0702161641092972E-13</v>
      </c>
      <c r="BF118" s="13" t="e">
        <f t="shared" si="91"/>
        <v>#NUM!</v>
      </c>
      <c r="BG118" s="20" t="e">
        <f t="shared" si="61"/>
        <v>#NUM!</v>
      </c>
      <c r="BH118" s="59" t="e">
        <f t="shared" si="62"/>
        <v>#NUM!</v>
      </c>
      <c r="BI118" s="59">
        <f ca="1">AVERAGE(OFFSET($BH$3,0,0,'Données projet'!$E$11+1,1))-AVERAGE(OFFSET($H$3,0,0,'Données projet'!$E$11+1,1))</f>
        <v>260.20517190557814</v>
      </c>
      <c r="BJ118" s="59">
        <f t="shared" si="92"/>
        <v>307.22009971147133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0.606098135255562</v>
      </c>
      <c r="BQ118" s="21">
        <f>EXP(-LN(2)/25)*BQ117+(1-EXP(-LN(2)/25))/(LN(2)/25)*Calculateur!BL118*Calculateur!BN118*VLOOKUP('Données projet'!$B$11,Paramètres!$A$1:$I$89,3,0)*0.475*44/12</f>
        <v>1.9438688617616697</v>
      </c>
      <c r="BR118" s="21">
        <f>EXP(-LN(2)/2)*BR117+(1-EXP(-LN(2)/2))/(LN(2)/2)*BL118*BO118*VLOOKUP('Données projet'!$B$11,Paramètres!$A$1:$I$89,3,0)*0.475*44/12</f>
        <v>3.8649350547758257E-12</v>
      </c>
      <c r="BS118" s="22">
        <f t="shared" si="63"/>
        <v>2.5499669970210967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268.00000000000017</v>
      </c>
      <c r="BZ118" s="13">
        <f>BY118*VLOOKUP('Données projet'!$B$12,Paramètres!$A$1:$I$89,3,0)*VLOOKUP('Données projet'!$B$12,Paramètres!$A$1:$I$89,5,0)</f>
        <v>175.59360000000012</v>
      </c>
      <c r="CA118" s="13">
        <f t="shared" si="93"/>
        <v>44.340433728638573</v>
      </c>
      <c r="CB118" s="20">
        <f t="shared" si="64"/>
        <v>383.05177541071242</v>
      </c>
      <c r="CC118" s="59">
        <f t="shared" si="65"/>
        <v>676.38510874404574</v>
      </c>
      <c r="CD118" s="59">
        <f ca="1">AVERAGE(OFFSET($CC$3,0,0,'Données projet'!$E$12+1,1))-AVERAGE(OFFSET($H$3,0,0,'Données projet'!$E$12+1,1))</f>
        <v>185.21927898775016</v>
      </c>
      <c r="CE118" s="59">
        <f t="shared" si="94"/>
        <v>240.82467772396944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0.2892588214871159</v>
      </c>
      <c r="CL118" s="21">
        <f>EXP(-LN(2)/25)*CL117+(1-EXP(-LN(2)/25))/(LN(2)/25)*Calculateur!CG118*Calculateur!CI118*VLOOKUP('Données projet'!$B$12,Paramètres!$A$1:$I$89,3,0)*0.475*44/12</f>
        <v>0.76146088033371617</v>
      </c>
      <c r="CM118" s="21">
        <f>EXP(-LN(2)/2)*CM117+(1-EXP(-LN(2)/2))/(LN(2)/2)*CG118*CJ118*VLOOKUP('Données projet'!$B$12,Paramètres!$A$1:$I$89,3,0)*0.475*44/12</f>
        <v>2.2503070338872433E-12</v>
      </c>
      <c r="CN118" s="22">
        <f t="shared" si="66"/>
        <v>1.0507197018230823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103.14720000000018</v>
      </c>
      <c r="D119" s="11">
        <f t="shared" si="86"/>
        <v>27.710417026801501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1010.1289735402235</v>
      </c>
      <c r="H119" s="67">
        <f t="shared" si="56"/>
        <v>521.24368298834622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-2.2737367544323206E-13</v>
      </c>
      <c r="O119" s="13">
        <f>N119*VLOOKUP('Données projet'!$B$9,Paramètres!$A$1:$I$89,3,0)*VLOOKUP('Données projet'!$B$9,Paramètres!$A$1:$I$89,5,0)</f>
        <v>-1.2710188457276673E-13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255.5374979188561</v>
      </c>
      <c r="T119" s="59">
        <f t="shared" si="88"/>
        <v>343.10418468620901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0.56271762328215369</v>
      </c>
      <c r="AA119" s="21">
        <f>EXP(-LN(2)/25)*AA118+(1-EXP(-LN(2)/25))/(LN(2)/25)*Calculateur!V119*Calculateur!X119*VLOOKUP('Données projet'!$B$9,Paramètres!$A$1:$I$89,3,0)*0.475*44/12</f>
        <v>1.4706074209839628</v>
      </c>
      <c r="AB119" s="21">
        <f>EXP(-LN(2)/2)*AB118+(1-EXP(-LN(2)/2))/(LN(2)/2)*V119*Y119*VLOOKUP('Données projet'!$B$9,Paramètres!$A$1:$I$89,3,0)*0.475*44/12</f>
        <v>1.9243226227605033E-13</v>
      </c>
      <c r="AC119" s="22">
        <f t="shared" si="57"/>
        <v>2.0333250442663089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0</v>
      </c>
      <c r="AJ119" s="13">
        <f>AI119*VLOOKUP('Données projet'!$B$10,Paramètres!$A$1:$I$89,3,0)*VLOOKUP('Données projet'!$B$10,Paramètres!$A$1:$I$89,5,0)</f>
        <v>0</v>
      </c>
      <c r="AK119" s="13" t="e">
        <f t="shared" si="89"/>
        <v>#NUM!</v>
      </c>
      <c r="AL119" s="20" t="e">
        <f t="shared" si="58"/>
        <v>#NUM!</v>
      </c>
      <c r="AM119" s="59" t="e">
        <f t="shared" si="59"/>
        <v>#NUM!</v>
      </c>
      <c r="AN119" s="59">
        <f ca="1">AVERAGE(OFFSET($AM$3,0,0,'Données projet'!$E$10+1,1))-AVERAGE(OFFSET($H$3,0,0,'Données projet'!$E$10+1,1))</f>
        <v>255.41017495879987</v>
      </c>
      <c r="AO119" s="59">
        <f t="shared" si="90"/>
        <v>297.50513563712764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1.5194967467781506</v>
      </c>
      <c r="AV119" s="21">
        <f>EXP(-LN(2)/25)*AV118+(1-EXP(-LN(2)/25))/(LN(2)/25)*Calculateur!AQ119*Calculateur!AS119*VLOOKUP('Données projet'!$B$10,Paramètres!$A$1:$I$89,3,0)*0.475*44/12</f>
        <v>2.5679805034138123</v>
      </c>
      <c r="AW119" s="21">
        <f>EXP(-LN(2)/2)*AW118+(1-EXP(-LN(2)/2))/(LN(2)/2)*AQ119*AT119*VLOOKUP('Données projet'!$B$10,Paramètres!$A$1:$I$89,3,0)*0.475*44/12</f>
        <v>2.7740942569962362E-12</v>
      </c>
      <c r="AX119" s="21">
        <f t="shared" si="60"/>
        <v>4.0874772501947367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-5.1159076974727213E-13</v>
      </c>
      <c r="BE119" s="13">
        <f>BD119*VLOOKUP('Données projet'!$B$11,Paramètres!$A$1:$I$89,3,0)*VLOOKUP('Données projet'!$B$11,Paramètres!$A$1:$I$89,5,0)</f>
        <v>-4.0702161641092972E-13</v>
      </c>
      <c r="BF119" s="13" t="e">
        <f t="shared" si="91"/>
        <v>#NUM!</v>
      </c>
      <c r="BG119" s="20" t="e">
        <f t="shared" si="61"/>
        <v>#NUM!</v>
      </c>
      <c r="BH119" s="59" t="e">
        <f t="shared" si="62"/>
        <v>#NUM!</v>
      </c>
      <c r="BI119" s="59">
        <f ca="1">AVERAGE(OFFSET($BH$3,0,0,'Données projet'!$E$11+1,1))-AVERAGE(OFFSET($H$3,0,0,'Données projet'!$E$11+1,1))</f>
        <v>260.20517190557814</v>
      </c>
      <c r="BJ119" s="59">
        <f t="shared" si="92"/>
        <v>307.22009971147133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0.59421292050655972</v>
      </c>
      <c r="BQ119" s="21">
        <f>EXP(-LN(2)/25)*BQ118+(1-EXP(-LN(2)/25))/(LN(2)/25)*Calculateur!BL119*Calculateur!BN119*VLOOKUP('Données projet'!$B$11,Paramètres!$A$1:$I$89,3,0)*0.475*44/12</f>
        <v>1.8907136655131762</v>
      </c>
      <c r="BR119" s="21">
        <f>EXP(-LN(2)/2)*BR118+(1-EXP(-LN(2)/2))/(LN(2)/2)*BL119*BO119*VLOOKUP('Données projet'!$B$11,Paramètres!$A$1:$I$89,3,0)*0.475*44/12</f>
        <v>2.7329217860775869E-12</v>
      </c>
      <c r="BS119" s="22">
        <f t="shared" si="63"/>
        <v>2.484926586022469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268.00000000000017</v>
      </c>
      <c r="BZ119" s="13">
        <f>BY119*VLOOKUP('Données projet'!$B$12,Paramètres!$A$1:$I$89,3,0)*VLOOKUP('Données projet'!$B$12,Paramètres!$A$1:$I$89,5,0)</f>
        <v>175.59360000000012</v>
      </c>
      <c r="CA119" s="13">
        <f t="shared" si="93"/>
        <v>44.340433728638573</v>
      </c>
      <c r="CB119" s="20">
        <f t="shared" si="64"/>
        <v>383.05177541071242</v>
      </c>
      <c r="CC119" s="59">
        <f t="shared" si="65"/>
        <v>676.38510874404574</v>
      </c>
      <c r="CD119" s="59">
        <f ca="1">AVERAGE(OFFSET($CC$3,0,0,'Données projet'!$E$12+1,1))-AVERAGE(OFFSET($H$3,0,0,'Données projet'!$E$12+1,1))</f>
        <v>185.21927898775016</v>
      </c>
      <c r="CE119" s="59">
        <f t="shared" si="94"/>
        <v>240.82467772396944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0.28358663242821358</v>
      </c>
      <c r="CL119" s="21">
        <f>EXP(-LN(2)/25)*CL118+(1-EXP(-LN(2)/25))/(LN(2)/25)*Calculateur!CG119*Calculateur!CI119*VLOOKUP('Données projet'!$B$12,Paramètres!$A$1:$I$89,3,0)*0.475*44/12</f>
        <v>0.74063869251750336</v>
      </c>
      <c r="CM119" s="21">
        <f>EXP(-LN(2)/2)*CM118+(1-EXP(-LN(2)/2))/(LN(2)/2)*CG119*CJ119*VLOOKUP('Données projet'!$B$12,Paramètres!$A$1:$I$89,3,0)*0.475*44/12</f>
        <v>1.5912073634134557E-12</v>
      </c>
      <c r="CN119" s="22">
        <f t="shared" si="66"/>
        <v>1.0242253249473081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104.03640000000019</v>
      </c>
      <c r="D120" s="11">
        <f t="shared" si="86"/>
        <v>27.921388397821048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1018.6215244744094</v>
      </c>
      <c r="H120" s="67">
        <f t="shared" si="56"/>
        <v>523.15981479287188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-2.2737367544323206E-13</v>
      </c>
      <c r="O120" s="13">
        <f>N120*VLOOKUP('Données projet'!$B$9,Paramètres!$A$1:$I$89,3,0)*VLOOKUP('Données projet'!$B$9,Paramètres!$A$1:$I$89,5,0)</f>
        <v>-1.2710188457276673E-13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255.5374979188561</v>
      </c>
      <c r="T120" s="59">
        <f t="shared" si="88"/>
        <v>343.10418468620901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0.55168307391345028</v>
      </c>
      <c r="AA120" s="21">
        <f>EXP(-LN(2)/25)*AA119+(1-EXP(-LN(2)/25))/(LN(2)/25)*Calculateur!V120*Calculateur!X120*VLOOKUP('Données projet'!$B$9,Paramètres!$A$1:$I$89,3,0)*0.475*44/12</f>
        <v>1.4303935837212731</v>
      </c>
      <c r="AB120" s="21">
        <f>EXP(-LN(2)/2)*AB119+(1-EXP(-LN(2)/2))/(LN(2)/2)*V120*Y120*VLOOKUP('Données projet'!$B$9,Paramètres!$A$1:$I$89,3,0)*0.475*44/12</f>
        <v>1.3607015757446344E-13</v>
      </c>
      <c r="AC120" s="22">
        <f t="shared" si="57"/>
        <v>1.9820766576348594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0</v>
      </c>
      <c r="AJ120" s="13">
        <f>AI120*VLOOKUP('Données projet'!$B$10,Paramètres!$A$1:$I$89,3,0)*VLOOKUP('Données projet'!$B$10,Paramètres!$A$1:$I$89,5,0)</f>
        <v>0</v>
      </c>
      <c r="AK120" s="13" t="e">
        <f t="shared" si="89"/>
        <v>#NUM!</v>
      </c>
      <c r="AL120" s="20" t="e">
        <f t="shared" si="58"/>
        <v>#NUM!</v>
      </c>
      <c r="AM120" s="59" t="e">
        <f t="shared" si="59"/>
        <v>#NUM!</v>
      </c>
      <c r="AN120" s="59">
        <f ca="1">AVERAGE(OFFSET($AM$3,0,0,'Données projet'!$E$10+1,1))-AVERAGE(OFFSET($H$3,0,0,'Données projet'!$E$10+1,1))</f>
        <v>255.41017495879987</v>
      </c>
      <c r="AO120" s="59">
        <f t="shared" si="90"/>
        <v>297.50513563712764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1.4897003423753326</v>
      </c>
      <c r="AV120" s="21">
        <f>EXP(-LN(2)/25)*AV119+(1-EXP(-LN(2)/25))/(LN(2)/25)*Calculateur!AQ120*Calculateur!AS120*VLOOKUP('Données projet'!$B$10,Paramètres!$A$1:$I$89,3,0)*0.475*44/12</f>
        <v>2.497758941503736</v>
      </c>
      <c r="AW120" s="21">
        <f>EXP(-LN(2)/2)*AW119+(1-EXP(-LN(2)/2))/(LN(2)/2)*AQ120*AT120*VLOOKUP('Données projet'!$B$10,Paramètres!$A$1:$I$89,3,0)*0.475*44/12</f>
        <v>1.9615808607726957E-12</v>
      </c>
      <c r="AX120" s="21">
        <f t="shared" si="60"/>
        <v>3.9874592838810301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-5.1159076974727213E-13</v>
      </c>
      <c r="BE120" s="13">
        <f>BD120*VLOOKUP('Données projet'!$B$11,Paramètres!$A$1:$I$89,3,0)*VLOOKUP('Données projet'!$B$11,Paramètres!$A$1:$I$89,5,0)</f>
        <v>-4.0702161641092972E-13</v>
      </c>
      <c r="BF120" s="13" t="e">
        <f t="shared" si="91"/>
        <v>#NUM!</v>
      </c>
      <c r="BG120" s="20" t="e">
        <f t="shared" si="61"/>
        <v>#NUM!</v>
      </c>
      <c r="BH120" s="59" t="e">
        <f t="shared" si="62"/>
        <v>#NUM!</v>
      </c>
      <c r="BI120" s="59">
        <f ca="1">AVERAGE(OFFSET($BH$3,0,0,'Données projet'!$E$11+1,1))-AVERAGE(OFFSET($H$3,0,0,'Données projet'!$E$11+1,1))</f>
        <v>260.20517190557814</v>
      </c>
      <c r="BJ120" s="59">
        <f t="shared" si="92"/>
        <v>307.22009971147133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0.58256076756952024</v>
      </c>
      <c r="BQ120" s="21">
        <f>EXP(-LN(2)/25)*BQ119+(1-EXP(-LN(2)/25))/(LN(2)/25)*Calculateur!BL120*Calculateur!BN120*VLOOKUP('Données projet'!$B$11,Paramètres!$A$1:$I$89,3,0)*0.475*44/12</f>
        <v>1.8390120009014079</v>
      </c>
      <c r="BR120" s="21">
        <f>EXP(-LN(2)/2)*BR119+(1-EXP(-LN(2)/2))/(LN(2)/2)*BL120*BO120*VLOOKUP('Données projet'!$B$11,Paramètres!$A$1:$I$89,3,0)*0.475*44/12</f>
        <v>1.9324675273879128E-12</v>
      </c>
      <c r="BS120" s="22">
        <f t="shared" si="63"/>
        <v>2.4215727684728607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268.00000000000017</v>
      </c>
      <c r="BZ120" s="13">
        <f>BY120*VLOOKUP('Données projet'!$B$12,Paramètres!$A$1:$I$89,3,0)*VLOOKUP('Données projet'!$B$12,Paramètres!$A$1:$I$89,5,0)</f>
        <v>175.59360000000012</v>
      </c>
      <c r="CA120" s="13">
        <f t="shared" si="93"/>
        <v>44.340433728638573</v>
      </c>
      <c r="CB120" s="20">
        <f t="shared" si="64"/>
        <v>383.05177541071242</v>
      </c>
      <c r="CC120" s="59">
        <f t="shared" si="65"/>
        <v>676.38510874404574</v>
      </c>
      <c r="CD120" s="59">
        <f ca="1">AVERAGE(OFFSET($CC$3,0,0,'Données projet'!$E$12+1,1))-AVERAGE(OFFSET($H$3,0,0,'Données projet'!$E$12+1,1))</f>
        <v>185.21927898775016</v>
      </c>
      <c r="CE120" s="59">
        <f t="shared" si="94"/>
        <v>240.82467772396944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0.27802567153706265</v>
      </c>
      <c r="CL120" s="21">
        <f>EXP(-LN(2)/25)*CL119+(1-EXP(-LN(2)/25))/(LN(2)/25)*Calculateur!CG120*Calculateur!CI120*VLOOKUP('Données projet'!$B$12,Paramètres!$A$1:$I$89,3,0)*0.475*44/12</f>
        <v>0.72038588852211616</v>
      </c>
      <c r="CM120" s="21">
        <f>EXP(-LN(2)/2)*CM119+(1-EXP(-LN(2)/2))/(LN(2)/2)*CG120*CJ120*VLOOKUP('Données projet'!$B$12,Paramètres!$A$1:$I$89,3,0)*0.475*44/12</f>
        <v>1.1251535169436216E-12</v>
      </c>
      <c r="CN120" s="22">
        <f t="shared" si="66"/>
        <v>0.99841156006030385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104.92560000000019</v>
      </c>
      <c r="D121" s="11">
        <f t="shared" si="86"/>
        <v>28.132149981044396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1027.1124559940286</v>
      </c>
      <c r="H121" s="67">
        <f t="shared" si="56"/>
        <v>525.07558121698594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-2.2737367544323206E-13</v>
      </c>
      <c r="O121" s="13">
        <f>N121*VLOOKUP('Données projet'!$B$9,Paramètres!$A$1:$I$89,3,0)*VLOOKUP('Données projet'!$B$9,Paramètres!$A$1:$I$89,5,0)</f>
        <v>-1.2710188457276673E-13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255.5374979188561</v>
      </c>
      <c r="T121" s="59">
        <f t="shared" si="88"/>
        <v>343.10418468620901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0.54086490532745668</v>
      </c>
      <c r="AA121" s="21">
        <f>EXP(-LN(2)/25)*AA120+(1-EXP(-LN(2)/25))/(LN(2)/25)*Calculateur!V121*Calculateur!X121*VLOOKUP('Données projet'!$B$9,Paramètres!$A$1:$I$89,3,0)*0.475*44/12</f>
        <v>1.3912793959532856</v>
      </c>
      <c r="AB121" s="21">
        <f>EXP(-LN(2)/2)*AB120+(1-EXP(-LN(2)/2))/(LN(2)/2)*V121*Y121*VLOOKUP('Données projet'!$B$9,Paramètres!$A$1:$I$89,3,0)*0.475*44/12</f>
        <v>9.6216131138025164E-14</v>
      </c>
      <c r="AC121" s="22">
        <f t="shared" si="57"/>
        <v>1.9321443012808384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0</v>
      </c>
      <c r="AJ121" s="13">
        <f>AI121*VLOOKUP('Données projet'!$B$10,Paramètres!$A$1:$I$89,3,0)*VLOOKUP('Données projet'!$B$10,Paramètres!$A$1:$I$89,5,0)</f>
        <v>0</v>
      </c>
      <c r="AK121" s="13" t="e">
        <f t="shared" si="89"/>
        <v>#NUM!</v>
      </c>
      <c r="AL121" s="20" t="e">
        <f t="shared" si="58"/>
        <v>#NUM!</v>
      </c>
      <c r="AM121" s="59" t="e">
        <f t="shared" si="59"/>
        <v>#NUM!</v>
      </c>
      <c r="AN121" s="59">
        <f ca="1">AVERAGE(OFFSET($AM$3,0,0,'Données projet'!$E$10+1,1))-AVERAGE(OFFSET($H$3,0,0,'Données projet'!$E$10+1,1))</f>
        <v>255.41017495879987</v>
      </c>
      <c r="AO121" s="59">
        <f t="shared" si="90"/>
        <v>297.50513563712764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1.4604882272888415</v>
      </c>
      <c r="AV121" s="21">
        <f>EXP(-LN(2)/25)*AV120+(1-EXP(-LN(2)/25))/(LN(2)/25)*Calculateur!AQ121*Calculateur!AS121*VLOOKUP('Données projet'!$B$10,Paramètres!$A$1:$I$89,3,0)*0.475*44/12</f>
        <v>2.4294575918968824</v>
      </c>
      <c r="AW121" s="21">
        <f>EXP(-LN(2)/2)*AW120+(1-EXP(-LN(2)/2))/(LN(2)/2)*AQ121*AT121*VLOOKUP('Données projet'!$B$10,Paramètres!$A$1:$I$89,3,0)*0.475*44/12</f>
        <v>1.3870471284981181E-12</v>
      </c>
      <c r="AX121" s="21">
        <f t="shared" si="60"/>
        <v>3.8899458191871106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-5.1159076974727213E-13</v>
      </c>
      <c r="BE121" s="13">
        <f>BD121*VLOOKUP('Données projet'!$B$11,Paramètres!$A$1:$I$89,3,0)*VLOOKUP('Données projet'!$B$11,Paramètres!$A$1:$I$89,5,0)</f>
        <v>-4.0702161641092972E-13</v>
      </c>
      <c r="BF121" s="13" t="e">
        <f t="shared" si="91"/>
        <v>#NUM!</v>
      </c>
      <c r="BG121" s="20" t="e">
        <f t="shared" si="61"/>
        <v>#NUM!</v>
      </c>
      <c r="BH121" s="59" t="e">
        <f t="shared" si="62"/>
        <v>#NUM!</v>
      </c>
      <c r="BI121" s="59">
        <f ca="1">AVERAGE(OFFSET($BH$3,0,0,'Données projet'!$E$11+1,1))-AVERAGE(OFFSET($H$3,0,0,'Données projet'!$E$11+1,1))</f>
        <v>260.20517190557814</v>
      </c>
      <c r="BJ121" s="59">
        <f t="shared" si="92"/>
        <v>307.22009971147133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0.57113710624446457</v>
      </c>
      <c r="BQ121" s="21">
        <f>EXP(-LN(2)/25)*BQ120+(1-EXP(-LN(2)/25))/(LN(2)/25)*Calculateur!BL121*Calculateur!BN121*VLOOKUP('Données projet'!$B$11,Paramètres!$A$1:$I$89,3,0)*0.475*44/12</f>
        <v>1.7887241210273208</v>
      </c>
      <c r="BR121" s="21">
        <f>EXP(-LN(2)/2)*BR120+(1-EXP(-LN(2)/2))/(LN(2)/2)*BL121*BO121*VLOOKUP('Données projet'!$B$11,Paramètres!$A$1:$I$89,3,0)*0.475*44/12</f>
        <v>1.3664608930387934E-12</v>
      </c>
      <c r="BS121" s="22">
        <f t="shared" si="63"/>
        <v>2.3598612272731518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268.00000000000017</v>
      </c>
      <c r="BZ121" s="13">
        <f>BY121*VLOOKUP('Données projet'!$B$12,Paramètres!$A$1:$I$89,3,0)*VLOOKUP('Données projet'!$B$12,Paramètres!$A$1:$I$89,5,0)</f>
        <v>175.59360000000012</v>
      </c>
      <c r="CA121" s="13">
        <f t="shared" si="93"/>
        <v>44.340433728638573</v>
      </c>
      <c r="CB121" s="20">
        <f t="shared" si="64"/>
        <v>383.05177541071242</v>
      </c>
      <c r="CC121" s="59">
        <f t="shared" si="65"/>
        <v>676.38510874404574</v>
      </c>
      <c r="CD121" s="59">
        <f ca="1">AVERAGE(OFFSET($CC$3,0,0,'Données projet'!$E$12+1,1))-AVERAGE(OFFSET($H$3,0,0,'Données projet'!$E$12+1,1))</f>
        <v>185.21927898775016</v>
      </c>
      <c r="CE121" s="59">
        <f t="shared" si="94"/>
        <v>240.82467772396944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0.27257375769713593</v>
      </c>
      <c r="CL121" s="21">
        <f>EXP(-LN(2)/25)*CL120+(1-EXP(-LN(2)/25))/(LN(2)/25)*Calculateur!CG121*Calculateur!CI121*VLOOKUP('Données projet'!$B$12,Paramètres!$A$1:$I$89,3,0)*0.475*44/12</f>
        <v>0.70068689851703148</v>
      </c>
      <c r="CM121" s="21">
        <f>EXP(-LN(2)/2)*CM120+(1-EXP(-LN(2)/2))/(LN(2)/2)*CG121*CJ121*VLOOKUP('Données projet'!$B$12,Paramètres!$A$1:$I$89,3,0)*0.475*44/12</f>
        <v>7.9560368170672786E-13</v>
      </c>
      <c r="CN121" s="22">
        <f t="shared" si="66"/>
        <v>0.97326065621496305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105.81480000000019</v>
      </c>
      <c r="D122" s="11">
        <f t="shared" si="86"/>
        <v>28.342703760346538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1035.6017834132028</v>
      </c>
      <c r="H122" s="67">
        <f t="shared" si="56"/>
        <v>526.9909857159372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-2.2737367544323206E-13</v>
      </c>
      <c r="O122" s="13">
        <f>N122*VLOOKUP('Données projet'!$B$9,Paramètres!$A$1:$I$89,3,0)*VLOOKUP('Données projet'!$B$9,Paramètres!$A$1:$I$89,5,0)</f>
        <v>-1.2710188457276673E-13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255.5374979188561</v>
      </c>
      <c r="T122" s="59">
        <f t="shared" si="88"/>
        <v>343.10418468620901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0.5302588744290031</v>
      </c>
      <c r="AA122" s="21">
        <f>EXP(-LN(2)/25)*AA121+(1-EXP(-LN(2)/25))/(LN(2)/25)*Calculateur!V122*Calculateur!X122*VLOOKUP('Données projet'!$B$9,Paramètres!$A$1:$I$89,3,0)*0.475*44/12</f>
        <v>1.3532347877067394</v>
      </c>
      <c r="AB122" s="21">
        <f>EXP(-LN(2)/2)*AB121+(1-EXP(-LN(2)/2))/(LN(2)/2)*V122*Y122*VLOOKUP('Données projet'!$B$9,Paramètres!$A$1:$I$89,3,0)*0.475*44/12</f>
        <v>6.803507878723172E-14</v>
      </c>
      <c r="AC122" s="22">
        <f t="shared" si="57"/>
        <v>1.8834936621358105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0</v>
      </c>
      <c r="AJ122" s="13">
        <f>AI122*VLOOKUP('Données projet'!$B$10,Paramètres!$A$1:$I$89,3,0)*VLOOKUP('Données projet'!$B$10,Paramètres!$A$1:$I$89,5,0)</f>
        <v>0</v>
      </c>
      <c r="AK122" s="13" t="e">
        <f t="shared" si="89"/>
        <v>#NUM!</v>
      </c>
      <c r="AL122" s="20" t="e">
        <f t="shared" si="58"/>
        <v>#NUM!</v>
      </c>
      <c r="AM122" s="59" t="e">
        <f t="shared" si="59"/>
        <v>#NUM!</v>
      </c>
      <c r="AN122" s="59">
        <f ca="1">AVERAGE(OFFSET($AM$3,0,0,'Données projet'!$E$10+1,1))-AVERAGE(OFFSET($H$3,0,0,'Données projet'!$E$10+1,1))</f>
        <v>255.41017495879987</v>
      </c>
      <c r="AO122" s="59">
        <f t="shared" si="90"/>
        <v>297.50513563712764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1.4318489439615658</v>
      </c>
      <c r="AV122" s="21">
        <f>EXP(-LN(2)/25)*AV121+(1-EXP(-LN(2)/25))/(LN(2)/25)*Calculateur!AQ122*Calculateur!AS122*VLOOKUP('Données projet'!$B$10,Paramètres!$A$1:$I$89,3,0)*0.475*44/12</f>
        <v>2.3630239462868401</v>
      </c>
      <c r="AW122" s="21">
        <f>EXP(-LN(2)/2)*AW121+(1-EXP(-LN(2)/2))/(LN(2)/2)*AQ122*AT122*VLOOKUP('Données projet'!$B$10,Paramètres!$A$1:$I$89,3,0)*0.475*44/12</f>
        <v>9.8079043038634786E-13</v>
      </c>
      <c r="AX122" s="21">
        <f t="shared" si="60"/>
        <v>3.7948728902493869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-5.1159076974727213E-13</v>
      </c>
      <c r="BE122" s="13">
        <f>BD122*VLOOKUP('Données projet'!$B$11,Paramètres!$A$1:$I$89,3,0)*VLOOKUP('Données projet'!$B$11,Paramètres!$A$1:$I$89,5,0)</f>
        <v>-4.0702161641092972E-13</v>
      </c>
      <c r="BF122" s="13" t="e">
        <f t="shared" si="91"/>
        <v>#NUM!</v>
      </c>
      <c r="BG122" s="20" t="e">
        <f t="shared" si="61"/>
        <v>#NUM!</v>
      </c>
      <c r="BH122" s="59" t="e">
        <f t="shared" si="62"/>
        <v>#NUM!</v>
      </c>
      <c r="BI122" s="59">
        <f ca="1">AVERAGE(OFFSET($BH$3,0,0,'Données projet'!$E$11+1,1))-AVERAGE(OFFSET($H$3,0,0,'Données projet'!$E$11+1,1))</f>
        <v>260.20517190557814</v>
      </c>
      <c r="BJ122" s="59">
        <f t="shared" si="92"/>
        <v>307.22009971147133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0.5599374559502478</v>
      </c>
      <c r="BQ122" s="21">
        <f>EXP(-LN(2)/25)*BQ121+(1-EXP(-LN(2)/25))/(LN(2)/25)*Calculateur!BL122*Calculateur!BN122*VLOOKUP('Données projet'!$B$11,Paramètres!$A$1:$I$89,3,0)*0.475*44/12</f>
        <v>1.7398113658729153</v>
      </c>
      <c r="BR122" s="21">
        <f>EXP(-LN(2)/2)*BR121+(1-EXP(-LN(2)/2))/(LN(2)/2)*BL122*BO122*VLOOKUP('Données projet'!$B$11,Paramètres!$A$1:$I$89,3,0)*0.475*44/12</f>
        <v>9.6623376369395642E-13</v>
      </c>
      <c r="BS122" s="22">
        <f t="shared" si="63"/>
        <v>2.2997488218241293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268.00000000000017</v>
      </c>
      <c r="BZ122" s="13">
        <f>BY122*VLOOKUP('Données projet'!$B$12,Paramètres!$A$1:$I$89,3,0)*VLOOKUP('Données projet'!$B$12,Paramètres!$A$1:$I$89,5,0)</f>
        <v>175.59360000000012</v>
      </c>
      <c r="CA122" s="13">
        <f t="shared" si="93"/>
        <v>44.340433728638573</v>
      </c>
      <c r="CB122" s="20">
        <f t="shared" si="64"/>
        <v>383.05177541071242</v>
      </c>
      <c r="CC122" s="59">
        <f t="shared" si="65"/>
        <v>676.38510874404574</v>
      </c>
      <c r="CD122" s="59">
        <f ca="1">AVERAGE(OFFSET($CC$3,0,0,'Données projet'!$E$12+1,1))-AVERAGE(OFFSET($H$3,0,0,'Données projet'!$E$12+1,1))</f>
        <v>185.21927898775016</v>
      </c>
      <c r="CE122" s="59">
        <f t="shared" si="94"/>
        <v>240.82467772396944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0.26722875256227113</v>
      </c>
      <c r="CL122" s="21">
        <f>EXP(-LN(2)/25)*CL121+(1-EXP(-LN(2)/25))/(LN(2)/25)*Calculateur!CG122*Calculateur!CI122*VLOOKUP('Données projet'!$B$12,Paramètres!$A$1:$I$89,3,0)*0.475*44/12</f>
        <v>0.68152657842956066</v>
      </c>
      <c r="CM122" s="21">
        <f>EXP(-LN(2)/2)*CM121+(1-EXP(-LN(2)/2))/(LN(2)/2)*CG122*CJ122*VLOOKUP('Données projet'!$B$12,Paramètres!$A$1:$I$89,3,0)*0.475*44/12</f>
        <v>5.6257675847181082E-13</v>
      </c>
      <c r="CN122" s="22">
        <f t="shared" si="66"/>
        <v>0.94875533099239429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106.70400000000019</v>
      </c>
      <c r="D123" s="11">
        <f t="shared" si="86"/>
        <v>28.553051684335379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1044.0895217738187</v>
      </c>
      <c r="H123" s="67">
        <f t="shared" si="56"/>
        <v>528.90603168355119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-2.2737367544323206E-13</v>
      </c>
      <c r="O123" s="13">
        <f>N123*VLOOKUP('Données projet'!$B$9,Paramètres!$A$1:$I$89,3,0)*VLOOKUP('Données projet'!$B$9,Paramètres!$A$1:$I$89,5,0)</f>
        <v>-1.2710188457276673E-13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255.5374979188561</v>
      </c>
      <c r="T123" s="59">
        <f t="shared" si="88"/>
        <v>343.10418468620901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0.51986082132742806</v>
      </c>
      <c r="AA123" s="21">
        <f>EXP(-LN(2)/25)*AA122+(1-EXP(-LN(2)/25))/(LN(2)/25)*Calculateur!V123*Calculateur!X123*VLOOKUP('Données projet'!$B$9,Paramètres!$A$1:$I$89,3,0)*0.475*44/12</f>
        <v>1.3162305112733741</v>
      </c>
      <c r="AB123" s="21">
        <f>EXP(-LN(2)/2)*AB122+(1-EXP(-LN(2)/2))/(LN(2)/2)*V123*Y123*VLOOKUP('Données projet'!$B$9,Paramètres!$A$1:$I$89,3,0)*0.475*44/12</f>
        <v>4.8108065569012582E-14</v>
      </c>
      <c r="AC123" s="22">
        <f t="shared" si="57"/>
        <v>1.8360913326008503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0</v>
      </c>
      <c r="AJ123" s="13">
        <f>AI123*VLOOKUP('Données projet'!$B$10,Paramètres!$A$1:$I$89,3,0)*VLOOKUP('Données projet'!$B$10,Paramètres!$A$1:$I$89,5,0)</f>
        <v>0</v>
      </c>
      <c r="AK123" s="13" t="e">
        <f t="shared" si="89"/>
        <v>#NUM!</v>
      </c>
      <c r="AL123" s="20" t="e">
        <f t="shared" si="58"/>
        <v>#NUM!</v>
      </c>
      <c r="AM123" s="59" t="e">
        <f t="shared" si="59"/>
        <v>#NUM!</v>
      </c>
      <c r="AN123" s="59">
        <f ca="1">AVERAGE(OFFSET($AM$3,0,0,'Données projet'!$E$10+1,1))-AVERAGE(OFFSET($H$3,0,0,'Données projet'!$E$10+1,1))</f>
        <v>255.41017495879987</v>
      </c>
      <c r="AO123" s="59">
        <f t="shared" si="90"/>
        <v>297.50513563712764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1.4037712595120999</v>
      </c>
      <c r="AV123" s="21">
        <f>EXP(-LN(2)/25)*AV122+(1-EXP(-LN(2)/25))/(LN(2)/25)*Calculateur!AQ123*Calculateur!AS123*VLOOKUP('Données projet'!$B$10,Paramètres!$A$1:$I$89,3,0)*0.475*44/12</f>
        <v>2.2984069322095979</v>
      </c>
      <c r="AW123" s="21">
        <f>EXP(-LN(2)/2)*AW122+(1-EXP(-LN(2)/2))/(LN(2)/2)*AQ123*AT123*VLOOKUP('Données projet'!$B$10,Paramètres!$A$1:$I$89,3,0)*0.475*44/12</f>
        <v>6.9352356424905906E-13</v>
      </c>
      <c r="AX123" s="21">
        <f t="shared" si="60"/>
        <v>3.7021781917223917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-5.1159076974727213E-13</v>
      </c>
      <c r="BE123" s="13">
        <f>BD123*VLOOKUP('Données projet'!$B$11,Paramètres!$A$1:$I$89,3,0)*VLOOKUP('Données projet'!$B$11,Paramètres!$A$1:$I$89,5,0)</f>
        <v>-4.0702161641092972E-13</v>
      </c>
      <c r="BF123" s="13" t="e">
        <f t="shared" si="91"/>
        <v>#NUM!</v>
      </c>
      <c r="BG123" s="20" t="e">
        <f t="shared" si="61"/>
        <v>#NUM!</v>
      </c>
      <c r="BH123" s="59" t="e">
        <f t="shared" si="62"/>
        <v>#NUM!</v>
      </c>
      <c r="BI123" s="59">
        <f ca="1">AVERAGE(OFFSET($BH$3,0,0,'Données projet'!$E$11+1,1))-AVERAGE(OFFSET($H$3,0,0,'Données projet'!$E$11+1,1))</f>
        <v>260.20517190557814</v>
      </c>
      <c r="BJ123" s="59">
        <f t="shared" si="92"/>
        <v>307.22009971147133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0.5489574239671885</v>
      </c>
      <c r="BQ123" s="21">
        <f>EXP(-LN(2)/25)*BQ122+(1-EXP(-LN(2)/25))/(LN(2)/25)*Calculateur!BL123*Calculateur!BN123*VLOOKUP('Données projet'!$B$11,Paramètres!$A$1:$I$89,3,0)*0.475*44/12</f>
        <v>1.6922361325804172</v>
      </c>
      <c r="BR123" s="21">
        <f>EXP(-LN(2)/2)*BR122+(1-EXP(-LN(2)/2))/(LN(2)/2)*BL123*BO123*VLOOKUP('Données projet'!$B$11,Paramètres!$A$1:$I$89,3,0)*0.475*44/12</f>
        <v>6.8323044651939671E-13</v>
      </c>
      <c r="BS123" s="22">
        <f t="shared" si="63"/>
        <v>2.2411935565482888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268.00000000000017</v>
      </c>
      <c r="BZ123" s="13">
        <f>BY123*VLOOKUP('Données projet'!$B$12,Paramètres!$A$1:$I$89,3,0)*VLOOKUP('Données projet'!$B$12,Paramètres!$A$1:$I$89,5,0)</f>
        <v>175.59360000000012</v>
      </c>
      <c r="CA123" s="13">
        <f t="shared" si="93"/>
        <v>44.340433728638573</v>
      </c>
      <c r="CB123" s="20">
        <f t="shared" si="64"/>
        <v>383.05177541071242</v>
      </c>
      <c r="CC123" s="59">
        <f t="shared" si="65"/>
        <v>676.38510874404574</v>
      </c>
      <c r="CD123" s="59">
        <f ca="1">AVERAGE(OFFSET($CC$3,0,0,'Données projet'!$E$12+1,1))-AVERAGE(OFFSET($H$3,0,0,'Données projet'!$E$12+1,1))</f>
        <v>185.21927898775016</v>
      </c>
      <c r="CE123" s="59">
        <f t="shared" si="94"/>
        <v>240.82467772396944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0.2619885597179698</v>
      </c>
      <c r="CL123" s="21">
        <f>EXP(-LN(2)/25)*CL122+(1-EXP(-LN(2)/25))/(LN(2)/25)*Calculateur!CG123*Calculateur!CI123*VLOOKUP('Données projet'!$B$12,Paramètres!$A$1:$I$89,3,0)*0.475*44/12</f>
        <v>0.66289019830247919</v>
      </c>
      <c r="CM123" s="21">
        <f>EXP(-LN(2)/2)*CM122+(1-EXP(-LN(2)/2))/(LN(2)/2)*CG123*CJ123*VLOOKUP('Données projet'!$B$12,Paramètres!$A$1:$I$89,3,0)*0.475*44/12</f>
        <v>3.9780184085336393E-13</v>
      </c>
      <c r="CN123" s="22">
        <f t="shared" si="66"/>
        <v>0.92487875802084674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107.59320000000019</v>
      </c>
      <c r="D124" s="11">
        <f t="shared" si="86"/>
        <v>28.763195667267546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1052.5756858525931</v>
      </c>
      <c r="H124" s="67">
        <f t="shared" si="56"/>
        <v>530.8207224538246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-2.2737367544323206E-13</v>
      </c>
      <c r="O124" s="13">
        <f>N124*VLOOKUP('Données projet'!$B$9,Paramètres!$A$1:$I$89,3,0)*VLOOKUP('Données projet'!$B$9,Paramètres!$A$1:$I$89,5,0)</f>
        <v>-1.2710188457276673E-13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255.5374979188561</v>
      </c>
      <c r="T124" s="59">
        <f t="shared" si="88"/>
        <v>343.10418468620901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0.50966666770498881</v>
      </c>
      <c r="AA124" s="21">
        <f>EXP(-LN(2)/25)*AA123+(1-EXP(-LN(2)/25))/(LN(2)/25)*Calculateur!V124*Calculateur!X124*VLOOKUP('Données projet'!$B$9,Paramètres!$A$1:$I$89,3,0)*0.475*44/12</f>
        <v>1.2802381187250493</v>
      </c>
      <c r="AB124" s="21">
        <f>EXP(-LN(2)/2)*AB123+(1-EXP(-LN(2)/2))/(LN(2)/2)*V124*Y124*VLOOKUP('Données projet'!$B$9,Paramètres!$A$1:$I$89,3,0)*0.475*44/12</f>
        <v>3.401753939361586E-14</v>
      </c>
      <c r="AC124" s="22">
        <f t="shared" si="57"/>
        <v>1.7899047864300721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0</v>
      </c>
      <c r="AJ124" s="13">
        <f>AI124*VLOOKUP('Données projet'!$B$10,Paramètres!$A$1:$I$89,3,0)*VLOOKUP('Données projet'!$B$10,Paramètres!$A$1:$I$89,5,0)</f>
        <v>0</v>
      </c>
      <c r="AK124" s="13" t="e">
        <f t="shared" si="89"/>
        <v>#NUM!</v>
      </c>
      <c r="AL124" s="20" t="e">
        <f t="shared" si="58"/>
        <v>#NUM!</v>
      </c>
      <c r="AM124" s="59" t="e">
        <f t="shared" si="59"/>
        <v>#NUM!</v>
      </c>
      <c r="AN124" s="59">
        <f ca="1">AVERAGE(OFFSET($AM$3,0,0,'Données projet'!$E$10+1,1))-AVERAGE(OFFSET($H$3,0,0,'Données projet'!$E$10+1,1))</f>
        <v>255.41017495879987</v>
      </c>
      <c r="AO124" s="59">
        <f t="shared" si="90"/>
        <v>297.50513563712764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1.3762441613289917</v>
      </c>
      <c r="AV124" s="21">
        <f>EXP(-LN(2)/25)*AV123+(1-EXP(-LN(2)/25))/(LN(2)/25)*Calculateur!AQ124*Calculateur!AS124*VLOOKUP('Données projet'!$B$10,Paramètres!$A$1:$I$89,3,0)*0.475*44/12</f>
        <v>2.2355568737803591</v>
      </c>
      <c r="AW124" s="21">
        <f>EXP(-LN(2)/2)*AW123+(1-EXP(-LN(2)/2))/(LN(2)/2)*AQ124*AT124*VLOOKUP('Données projet'!$B$10,Paramètres!$A$1:$I$89,3,0)*0.475*44/12</f>
        <v>4.9039521519317393E-13</v>
      </c>
      <c r="AX124" s="21">
        <f t="shared" si="60"/>
        <v>3.6118010351098411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-5.1159076974727213E-13</v>
      </c>
      <c r="BE124" s="13">
        <f>BD124*VLOOKUP('Données projet'!$B$11,Paramètres!$A$1:$I$89,3,0)*VLOOKUP('Données projet'!$B$11,Paramètres!$A$1:$I$89,5,0)</f>
        <v>-4.0702161641092972E-13</v>
      </c>
      <c r="BF124" s="13" t="e">
        <f t="shared" si="91"/>
        <v>#NUM!</v>
      </c>
      <c r="BG124" s="20" t="e">
        <f t="shared" si="61"/>
        <v>#NUM!</v>
      </c>
      <c r="BH124" s="59" t="e">
        <f t="shared" si="62"/>
        <v>#NUM!</v>
      </c>
      <c r="BI124" s="59">
        <f ca="1">AVERAGE(OFFSET($BH$3,0,0,'Données projet'!$E$11+1,1))-AVERAGE(OFFSET($H$3,0,0,'Données projet'!$E$11+1,1))</f>
        <v>260.20517190557814</v>
      </c>
      <c r="BJ124" s="59">
        <f t="shared" si="92"/>
        <v>307.22009971147133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0.53819270371415873</v>
      </c>
      <c r="BQ124" s="21">
        <f>EXP(-LN(2)/25)*BQ123+(1-EXP(-LN(2)/25))/(LN(2)/25)*Calculateur!BL124*Calculateur!BN124*VLOOKUP('Données projet'!$B$11,Paramètres!$A$1:$I$89,3,0)*0.475*44/12</f>
        <v>1.6459618465441752</v>
      </c>
      <c r="BR124" s="21">
        <f>EXP(-LN(2)/2)*BR123+(1-EXP(-LN(2)/2))/(LN(2)/2)*BL124*BO124*VLOOKUP('Données projet'!$B$11,Paramètres!$A$1:$I$89,3,0)*0.475*44/12</f>
        <v>4.8311688184697821E-13</v>
      </c>
      <c r="BS124" s="22">
        <f t="shared" si="63"/>
        <v>2.1841545502588171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268.00000000000017</v>
      </c>
      <c r="BZ124" s="13">
        <f>BY124*VLOOKUP('Données projet'!$B$12,Paramètres!$A$1:$I$89,3,0)*VLOOKUP('Données projet'!$B$12,Paramètres!$A$1:$I$89,5,0)</f>
        <v>175.59360000000012</v>
      </c>
      <c r="CA124" s="13">
        <f t="shared" si="93"/>
        <v>44.340433728638573</v>
      </c>
      <c r="CB124" s="20">
        <f t="shared" si="64"/>
        <v>383.05177541071242</v>
      </c>
      <c r="CC124" s="59">
        <f t="shared" si="65"/>
        <v>676.38510874404574</v>
      </c>
      <c r="CD124" s="59">
        <f ca="1">AVERAGE(OFFSET($CC$3,0,0,'Données projet'!$E$12+1,1))-AVERAGE(OFFSET($H$3,0,0,'Données projet'!$E$12+1,1))</f>
        <v>185.21927898775016</v>
      </c>
      <c r="CE124" s="59">
        <f t="shared" si="94"/>
        <v>240.82467772396944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0.25685112385914316</v>
      </c>
      <c r="CL124" s="21">
        <f>EXP(-LN(2)/25)*CL123+(1-EXP(-LN(2)/25))/(LN(2)/25)*Calculateur!CG124*Calculateur!CI124*VLOOKUP('Données projet'!$B$12,Paramètres!$A$1:$I$89,3,0)*0.475*44/12</f>
        <v>0.64476343097001743</v>
      </c>
      <c r="CM124" s="21">
        <f>EXP(-LN(2)/2)*CM123+(1-EXP(-LN(2)/2))/(LN(2)/2)*CG124*CJ124*VLOOKUP('Données projet'!$B$12,Paramètres!$A$1:$I$89,3,0)*0.475*44/12</f>
        <v>2.8128837923590541E-13</v>
      </c>
      <c r="CN124" s="22">
        <f t="shared" si="66"/>
        <v>0.90161455482944186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108.4824000000002</v>
      </c>
      <c r="D125" s="11">
        <f t="shared" si="86"/>
        <v>28.973137589932421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1061.060290167901</v>
      </c>
      <c r="H125" s="67">
        <f t="shared" si="56"/>
        <v>532.73506130246597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-2.2737367544323206E-13</v>
      </c>
      <c r="O125" s="13">
        <f>N125*VLOOKUP('Données projet'!$B$9,Paramètres!$A$1:$I$89,3,0)*VLOOKUP('Données projet'!$B$9,Paramètres!$A$1:$I$89,5,0)</f>
        <v>-1.2710188457276673E-13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255.5374979188561</v>
      </c>
      <c r="T125" s="59">
        <f t="shared" si="88"/>
        <v>343.10418468620901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0.4996724152172658</v>
      </c>
      <c r="AA125" s="21">
        <f>EXP(-LN(2)/25)*AA124+(1-EXP(-LN(2)/25))/(LN(2)/25)*Calculateur!V125*Calculateur!X125*VLOOKUP('Données projet'!$B$9,Paramètres!$A$1:$I$89,3,0)*0.475*44/12</f>
        <v>1.2452299400437161</v>
      </c>
      <c r="AB125" s="21">
        <f>EXP(-LN(2)/2)*AB124+(1-EXP(-LN(2)/2))/(LN(2)/2)*V125*Y125*VLOOKUP('Données projet'!$B$9,Paramètres!$A$1:$I$89,3,0)*0.475*44/12</f>
        <v>2.4054032784506291E-14</v>
      </c>
      <c r="AC125" s="22">
        <f t="shared" si="57"/>
        <v>1.7449023552610059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0</v>
      </c>
      <c r="AJ125" s="13">
        <f>AI125*VLOOKUP('Données projet'!$B$10,Paramètres!$A$1:$I$89,3,0)*VLOOKUP('Données projet'!$B$10,Paramètres!$A$1:$I$89,5,0)</f>
        <v>0</v>
      </c>
      <c r="AK125" s="13" t="e">
        <f t="shared" si="89"/>
        <v>#NUM!</v>
      </c>
      <c r="AL125" s="20" t="e">
        <f t="shared" si="58"/>
        <v>#NUM!</v>
      </c>
      <c r="AM125" s="59" t="e">
        <f t="shared" si="59"/>
        <v>#NUM!</v>
      </c>
      <c r="AN125" s="59">
        <f ca="1">AVERAGE(OFFSET($AM$3,0,0,'Données projet'!$E$10+1,1))-AVERAGE(OFFSET($H$3,0,0,'Données projet'!$E$10+1,1))</f>
        <v>255.41017495879987</v>
      </c>
      <c r="AO125" s="59">
        <f t="shared" si="90"/>
        <v>297.50513563712764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1.3492568527513822</v>
      </c>
      <c r="AV125" s="21">
        <f>EXP(-LN(2)/25)*AV124+(1-EXP(-LN(2)/25))/(LN(2)/25)*Calculateur!AQ125*Calculateur!AS125*VLOOKUP('Données projet'!$B$10,Paramètres!$A$1:$I$89,3,0)*0.475*44/12</f>
        <v>2.1744254535040084</v>
      </c>
      <c r="AW125" s="21">
        <f>EXP(-LN(2)/2)*AW124+(1-EXP(-LN(2)/2))/(LN(2)/2)*AQ125*AT125*VLOOKUP('Données projet'!$B$10,Paramètres!$A$1:$I$89,3,0)*0.475*44/12</f>
        <v>3.4676178212452953E-13</v>
      </c>
      <c r="AX125" s="21">
        <f t="shared" si="60"/>
        <v>3.5236823062557376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-5.1159076974727213E-13</v>
      </c>
      <c r="BE125" s="13">
        <f>BD125*VLOOKUP('Données projet'!$B$11,Paramètres!$A$1:$I$89,3,0)*VLOOKUP('Données projet'!$B$11,Paramètres!$A$1:$I$89,5,0)</f>
        <v>-4.0702161641092972E-13</v>
      </c>
      <c r="BF125" s="13" t="e">
        <f t="shared" si="91"/>
        <v>#NUM!</v>
      </c>
      <c r="BG125" s="20" t="e">
        <f t="shared" si="61"/>
        <v>#NUM!</v>
      </c>
      <c r="BH125" s="59" t="e">
        <f t="shared" si="62"/>
        <v>#NUM!</v>
      </c>
      <c r="BI125" s="59">
        <f ca="1">AVERAGE(OFFSET($BH$3,0,0,'Données projet'!$E$11+1,1))-AVERAGE(OFFSET($H$3,0,0,'Données projet'!$E$11+1,1))</f>
        <v>260.20517190557814</v>
      </c>
      <c r="BJ125" s="59">
        <f t="shared" si="92"/>
        <v>307.22009971147133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0.5276390730594599</v>
      </c>
      <c r="BQ125" s="21">
        <f>EXP(-LN(2)/25)*BQ124+(1-EXP(-LN(2)/25))/(LN(2)/25)*Calculateur!BL125*Calculateur!BN125*VLOOKUP('Données projet'!$B$11,Paramètres!$A$1:$I$89,3,0)*0.475*44/12</f>
        <v>1.6009529332930532</v>
      </c>
      <c r="BR125" s="21">
        <f>EXP(-LN(2)/2)*BR124+(1-EXP(-LN(2)/2))/(LN(2)/2)*BL125*BO125*VLOOKUP('Données projet'!$B$11,Paramètres!$A$1:$I$89,3,0)*0.475*44/12</f>
        <v>3.4161522325969836E-13</v>
      </c>
      <c r="BS125" s="22">
        <f t="shared" si="63"/>
        <v>2.1285920063528545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268.00000000000017</v>
      </c>
      <c r="BZ125" s="13">
        <f>BY125*VLOOKUP('Données projet'!$B$12,Paramètres!$A$1:$I$89,3,0)*VLOOKUP('Données projet'!$B$12,Paramètres!$A$1:$I$89,5,0)</f>
        <v>175.59360000000012</v>
      </c>
      <c r="CA125" s="13">
        <f t="shared" si="93"/>
        <v>44.340433728638573</v>
      </c>
      <c r="CB125" s="20">
        <f t="shared" si="64"/>
        <v>383.05177541071242</v>
      </c>
      <c r="CC125" s="59">
        <f t="shared" si="65"/>
        <v>676.38510874404574</v>
      </c>
      <c r="CD125" s="59">
        <f ca="1">AVERAGE(OFFSET($CC$3,0,0,'Données projet'!$E$12+1,1))-AVERAGE(OFFSET($H$3,0,0,'Données projet'!$E$12+1,1))</f>
        <v>185.21927898775016</v>
      </c>
      <c r="CE125" s="59">
        <f t="shared" si="94"/>
        <v>240.82467772396944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0.25181442998398168</v>
      </c>
      <c r="CL125" s="21">
        <f>EXP(-LN(2)/25)*CL124+(1-EXP(-LN(2)/25))/(LN(2)/25)*Calculateur!CG125*Calculateur!CI125*VLOOKUP('Données projet'!$B$12,Paramètres!$A$1:$I$89,3,0)*0.475*44/12</f>
        <v>0.62713234104350712</v>
      </c>
      <c r="CM125" s="21">
        <f>EXP(-LN(2)/2)*CM124+(1-EXP(-LN(2)/2))/(LN(2)/2)*CG125*CJ125*VLOOKUP('Données projet'!$B$12,Paramètres!$A$1:$I$89,3,0)*0.475*44/12</f>
        <v>1.9890092042668197E-13</v>
      </c>
      <c r="CN125" s="22">
        <f t="shared" si="66"/>
        <v>0.8789467710276877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109.3716000000002</v>
      </c>
      <c r="D126" s="11">
        <f t="shared" si="86"/>
        <v>29.182879300506769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1069.5433489863697</v>
      </c>
      <c r="H126" s="67">
        <f t="shared" si="56"/>
        <v>534.64905144838292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-2.2737367544323206E-13</v>
      </c>
      <c r="O126" s="13">
        <f>N126*VLOOKUP('Données projet'!$B$9,Paramètres!$A$1:$I$89,3,0)*VLOOKUP('Données projet'!$B$9,Paramètres!$A$1:$I$89,5,0)</f>
        <v>-1.2710188457276673E-13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255.5374979188561</v>
      </c>
      <c r="T126" s="59">
        <f t="shared" si="88"/>
        <v>343.10418468620901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0.48987414392493495</v>
      </c>
      <c r="AA126" s="21">
        <f>EXP(-LN(2)/25)*AA125+(1-EXP(-LN(2)/25))/(LN(2)/25)*Calculateur!V126*Calculateur!X126*VLOOKUP('Données projet'!$B$9,Paramètres!$A$1:$I$89,3,0)*0.475*44/12</f>
        <v>1.2111790618494243</v>
      </c>
      <c r="AB126" s="21">
        <f>EXP(-LN(2)/2)*AB125+(1-EXP(-LN(2)/2))/(LN(2)/2)*V126*Y126*VLOOKUP('Données projet'!$B$9,Paramètres!$A$1:$I$89,3,0)*0.475*44/12</f>
        <v>1.700876969680793E-14</v>
      </c>
      <c r="AC126" s="22">
        <f t="shared" si="57"/>
        <v>1.7010532057743764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0</v>
      </c>
      <c r="AJ126" s="13">
        <f>AI126*VLOOKUP('Données projet'!$B$10,Paramètres!$A$1:$I$89,3,0)*VLOOKUP('Données projet'!$B$10,Paramètres!$A$1:$I$89,5,0)</f>
        <v>0</v>
      </c>
      <c r="AK126" s="13" t="e">
        <f t="shared" si="89"/>
        <v>#NUM!</v>
      </c>
      <c r="AL126" s="20" t="e">
        <f t="shared" si="58"/>
        <v>#NUM!</v>
      </c>
      <c r="AM126" s="59" t="e">
        <f t="shared" si="59"/>
        <v>#NUM!</v>
      </c>
      <c r="AN126" s="59">
        <f ca="1">AVERAGE(OFFSET($AM$3,0,0,'Données projet'!$E$10+1,1))-AVERAGE(OFFSET($H$3,0,0,'Données projet'!$E$10+1,1))</f>
        <v>255.41017495879987</v>
      </c>
      <c r="AO126" s="59">
        <f t="shared" si="90"/>
        <v>297.50513563712764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1.3227987488343467</v>
      </c>
      <c r="AV126" s="21">
        <f>EXP(-LN(2)/25)*AV125+(1-EXP(-LN(2)/25))/(LN(2)/25)*Calculateur!AQ126*Calculateur!AS126*VLOOKUP('Données projet'!$B$10,Paramètres!$A$1:$I$89,3,0)*0.475*44/12</f>
        <v>2.1149656751298762</v>
      </c>
      <c r="AW126" s="21">
        <f>EXP(-LN(2)/2)*AW125+(1-EXP(-LN(2)/2))/(LN(2)/2)*AQ126*AT126*VLOOKUP('Données projet'!$B$10,Paramètres!$A$1:$I$89,3,0)*0.475*44/12</f>
        <v>2.4519760759658697E-13</v>
      </c>
      <c r="AX126" s="21">
        <f t="shared" si="60"/>
        <v>3.437764423964468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-5.1159076974727213E-13</v>
      </c>
      <c r="BE126" s="13">
        <f>BD126*VLOOKUP('Données projet'!$B$11,Paramètres!$A$1:$I$89,3,0)*VLOOKUP('Données projet'!$B$11,Paramètres!$A$1:$I$89,5,0)</f>
        <v>-4.0702161641092972E-13</v>
      </c>
      <c r="BF126" s="13" t="e">
        <f t="shared" si="91"/>
        <v>#NUM!</v>
      </c>
      <c r="BG126" s="20" t="e">
        <f t="shared" si="61"/>
        <v>#NUM!</v>
      </c>
      <c r="BH126" s="59" t="e">
        <f t="shared" si="62"/>
        <v>#NUM!</v>
      </c>
      <c r="BI126" s="59">
        <f ca="1">AVERAGE(OFFSET($BH$3,0,0,'Données projet'!$E$11+1,1))-AVERAGE(OFFSET($H$3,0,0,'Données projet'!$E$11+1,1))</f>
        <v>260.20517190557814</v>
      </c>
      <c r="BJ126" s="59">
        <f t="shared" si="92"/>
        <v>307.22009971147133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0.51729239266482052</v>
      </c>
      <c r="BQ126" s="21">
        <f>EXP(-LN(2)/25)*BQ125+(1-EXP(-LN(2)/25))/(LN(2)/25)*Calculateur!BL126*Calculateur!BN126*VLOOKUP('Données projet'!$B$11,Paramètres!$A$1:$I$89,3,0)*0.475*44/12</f>
        <v>1.5571747911416989</v>
      </c>
      <c r="BR126" s="21">
        <f>EXP(-LN(2)/2)*BR125+(1-EXP(-LN(2)/2))/(LN(2)/2)*BL126*BO126*VLOOKUP('Données projet'!$B$11,Paramètres!$A$1:$I$89,3,0)*0.475*44/12</f>
        <v>2.415584409234891E-13</v>
      </c>
      <c r="BS126" s="22">
        <f t="shared" si="63"/>
        <v>2.0744671838067612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268.00000000000017</v>
      </c>
      <c r="BZ126" s="13">
        <f>BY126*VLOOKUP('Données projet'!$B$12,Paramètres!$A$1:$I$89,3,0)*VLOOKUP('Données projet'!$B$12,Paramètres!$A$1:$I$89,5,0)</f>
        <v>175.59360000000012</v>
      </c>
      <c r="CA126" s="13">
        <f t="shared" si="93"/>
        <v>44.340433728638573</v>
      </c>
      <c r="CB126" s="20">
        <f t="shared" si="64"/>
        <v>383.05177541071242</v>
      </c>
      <c r="CC126" s="59">
        <f t="shared" si="65"/>
        <v>676.38510874404574</v>
      </c>
      <c r="CD126" s="59">
        <f ca="1">AVERAGE(OFFSET($CC$3,0,0,'Données projet'!$E$12+1,1))-AVERAGE(OFFSET($H$3,0,0,'Données projet'!$E$12+1,1))</f>
        <v>185.21927898775016</v>
      </c>
      <c r="CE126" s="59">
        <f t="shared" si="94"/>
        <v>240.82467772396944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0.24687650260363217</v>
      </c>
      <c r="CL126" s="21">
        <f>EXP(-LN(2)/25)*CL125+(1-EXP(-LN(2)/25))/(LN(2)/25)*Calculateur!CG126*Calculateur!CI126*VLOOKUP('Données projet'!$B$12,Paramètres!$A$1:$I$89,3,0)*0.475*44/12</f>
        <v>0.60998337419821591</v>
      </c>
      <c r="CM126" s="21">
        <f>EXP(-LN(2)/2)*CM125+(1-EXP(-LN(2)/2))/(LN(2)/2)*CG126*CJ126*VLOOKUP('Données projet'!$B$12,Paramètres!$A$1:$I$89,3,0)*0.475*44/12</f>
        <v>1.406441896179527E-13</v>
      </c>
      <c r="CN126" s="22">
        <f t="shared" si="66"/>
        <v>0.85685987680198872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110.2608000000002</v>
      </c>
      <c r="D127" s="11">
        <f t="shared" si="86"/>
        <v>29.392422615380852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1078.0248763292573</v>
      </c>
      <c r="H127" s="67">
        <f t="shared" si="56"/>
        <v>536.56269605512193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-2.2737367544323206E-13</v>
      </c>
      <c r="O127" s="13">
        <f>N127*VLOOKUP('Données projet'!$B$9,Paramètres!$A$1:$I$89,3,0)*VLOOKUP('Données projet'!$B$9,Paramètres!$A$1:$I$89,5,0)</f>
        <v>-1.2710188457276673E-13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255.5374979188561</v>
      </c>
      <c r="T127" s="59">
        <f t="shared" si="88"/>
        <v>343.10418468620901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0.48026801075629133</v>
      </c>
      <c r="AA127" s="21">
        <f>EXP(-LN(2)/25)*AA126+(1-EXP(-LN(2)/25))/(LN(2)/25)*Calculateur!V127*Calculateur!X127*VLOOKUP('Données projet'!$B$9,Paramètres!$A$1:$I$89,3,0)*0.475*44/12</f>
        <v>1.1780593067100131</v>
      </c>
      <c r="AB127" s="21">
        <f>EXP(-LN(2)/2)*AB126+(1-EXP(-LN(2)/2))/(LN(2)/2)*V127*Y127*VLOOKUP('Données projet'!$B$9,Paramètres!$A$1:$I$89,3,0)*0.475*44/12</f>
        <v>1.2027016392253146E-14</v>
      </c>
      <c r="AC127" s="22">
        <f t="shared" si="57"/>
        <v>1.6583273174663165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0</v>
      </c>
      <c r="AJ127" s="13">
        <f>AI127*VLOOKUP('Données projet'!$B$10,Paramètres!$A$1:$I$89,3,0)*VLOOKUP('Données projet'!$B$10,Paramètres!$A$1:$I$89,5,0)</f>
        <v>0</v>
      </c>
      <c r="AK127" s="13" t="e">
        <f t="shared" si="89"/>
        <v>#NUM!</v>
      </c>
      <c r="AL127" s="20" t="e">
        <f t="shared" si="58"/>
        <v>#NUM!</v>
      </c>
      <c r="AM127" s="59" t="e">
        <f t="shared" si="59"/>
        <v>#NUM!</v>
      </c>
      <c r="AN127" s="59">
        <f ca="1">AVERAGE(OFFSET($AM$3,0,0,'Données projet'!$E$10+1,1))-AVERAGE(OFFSET($H$3,0,0,'Données projet'!$E$10+1,1))</f>
        <v>255.41017495879987</v>
      </c>
      <c r="AO127" s="59">
        <f t="shared" si="90"/>
        <v>297.50513563712764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1.2968594721972744</v>
      </c>
      <c r="AV127" s="21">
        <f>EXP(-LN(2)/25)*AV126+(1-EXP(-LN(2)/25))/(LN(2)/25)*Calculateur!AQ127*Calculateur!AS127*VLOOKUP('Données projet'!$B$10,Paramètres!$A$1:$I$89,3,0)*0.475*44/12</f>
        <v>2.0571318275222388</v>
      </c>
      <c r="AW127" s="21">
        <f>EXP(-LN(2)/2)*AW126+(1-EXP(-LN(2)/2))/(LN(2)/2)*AQ127*AT127*VLOOKUP('Données projet'!$B$10,Paramètres!$A$1:$I$89,3,0)*0.475*44/12</f>
        <v>1.7338089106226477E-13</v>
      </c>
      <c r="AX127" s="21">
        <f t="shared" si="60"/>
        <v>3.3539912997196861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-5.1159076974727213E-13</v>
      </c>
      <c r="BE127" s="13">
        <f>BD127*VLOOKUP('Données projet'!$B$11,Paramètres!$A$1:$I$89,3,0)*VLOOKUP('Données projet'!$B$11,Paramètres!$A$1:$I$89,5,0)</f>
        <v>-4.0702161641092972E-13</v>
      </c>
      <c r="BF127" s="13" t="e">
        <f t="shared" si="91"/>
        <v>#NUM!</v>
      </c>
      <c r="BG127" s="20" t="e">
        <f t="shared" si="61"/>
        <v>#NUM!</v>
      </c>
      <c r="BH127" s="59" t="e">
        <f t="shared" si="62"/>
        <v>#NUM!</v>
      </c>
      <c r="BI127" s="59">
        <f ca="1">AVERAGE(OFFSET($BH$3,0,0,'Données projet'!$E$11+1,1))-AVERAGE(OFFSET($H$3,0,0,'Données projet'!$E$11+1,1))</f>
        <v>260.20517190557814</v>
      </c>
      <c r="BJ127" s="59">
        <f t="shared" si="92"/>
        <v>307.22009971147133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0.50714860436186815</v>
      </c>
      <c r="BQ127" s="21">
        <f>EXP(-LN(2)/25)*BQ126+(1-EXP(-LN(2)/25))/(LN(2)/25)*Calculateur!BL127*Calculateur!BN127*VLOOKUP('Données projet'!$B$11,Paramètres!$A$1:$I$89,3,0)*0.475*44/12</f>
        <v>1.5145937645896659</v>
      </c>
      <c r="BR127" s="21">
        <f>EXP(-LN(2)/2)*BR126+(1-EXP(-LN(2)/2))/(LN(2)/2)*BL127*BO127*VLOOKUP('Données projet'!$B$11,Paramètres!$A$1:$I$89,3,0)*0.475*44/12</f>
        <v>1.7080761162984918E-13</v>
      </c>
      <c r="BS127" s="22">
        <f t="shared" si="63"/>
        <v>2.0217423689517049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268.00000000000017</v>
      </c>
      <c r="BZ127" s="13">
        <f>BY127*VLOOKUP('Données projet'!$B$12,Paramètres!$A$1:$I$89,3,0)*VLOOKUP('Données projet'!$B$12,Paramètres!$A$1:$I$89,5,0)</f>
        <v>175.59360000000012</v>
      </c>
      <c r="CA127" s="13">
        <f t="shared" si="93"/>
        <v>44.340433728638573</v>
      </c>
      <c r="CB127" s="20">
        <f t="shared" si="64"/>
        <v>383.05177541071242</v>
      </c>
      <c r="CC127" s="59">
        <f t="shared" si="65"/>
        <v>676.38510874404574</v>
      </c>
      <c r="CD127" s="59">
        <f ca="1">AVERAGE(OFFSET($CC$3,0,0,'Données projet'!$E$12+1,1))-AVERAGE(OFFSET($H$3,0,0,'Données projet'!$E$12+1,1))</f>
        <v>185.21927898775016</v>
      </c>
      <c r="CE127" s="59">
        <f t="shared" si="94"/>
        <v>240.82467772396944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0.24203540496737302</v>
      </c>
      <c r="CL127" s="21">
        <f>EXP(-LN(2)/25)*CL126+(1-EXP(-LN(2)/25))/(LN(2)/25)*Calculateur!CG127*Calculateur!CI127*VLOOKUP('Données projet'!$B$12,Paramètres!$A$1:$I$89,3,0)*0.475*44/12</f>
        <v>0.59330334675313423</v>
      </c>
      <c r="CM127" s="21">
        <f>EXP(-LN(2)/2)*CM126+(1-EXP(-LN(2)/2))/(LN(2)/2)*CG127*CJ127*VLOOKUP('Données projet'!$B$12,Paramètres!$A$1:$I$89,3,0)*0.475*44/12</f>
        <v>9.9450460213340983E-14</v>
      </c>
      <c r="CN127" s="22">
        <f t="shared" si="66"/>
        <v>0.83533875172060679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111.1500000000002</v>
      </c>
      <c r="D128" s="11">
        <f t="shared" si="86"/>
        <v>29.601769319956595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1086.5048859786139</v>
      </c>
      <c r="H128" s="67">
        <f t="shared" si="56"/>
        <v>538.47599823225801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-2.2737367544323206E-13</v>
      </c>
      <c r="O128" s="13">
        <f>N128*VLOOKUP('Données projet'!$B$9,Paramètres!$A$1:$I$89,3,0)*VLOOKUP('Données projet'!$B$9,Paramètres!$A$1:$I$89,5,0)</f>
        <v>-1.2710188457276673E-13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255.5374979188561</v>
      </c>
      <c r="T128" s="59">
        <f t="shared" si="88"/>
        <v>343.10418468620901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0.47085024799992214</v>
      </c>
      <c r="AA128" s="21">
        <f>EXP(-LN(2)/25)*AA127+(1-EXP(-LN(2)/25))/(LN(2)/25)*Calculateur!V128*Calculateur!X128*VLOOKUP('Données projet'!$B$9,Paramètres!$A$1:$I$89,3,0)*0.475*44/12</f>
        <v>1.1458452130165813</v>
      </c>
      <c r="AB128" s="21">
        <f>EXP(-LN(2)/2)*AB127+(1-EXP(-LN(2)/2))/(LN(2)/2)*V128*Y128*VLOOKUP('Données projet'!$B$9,Paramètres!$A$1:$I$89,3,0)*0.475*44/12</f>
        <v>8.504384848403965E-15</v>
      </c>
      <c r="AC128" s="22">
        <f t="shared" si="57"/>
        <v>1.6166954610165118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0</v>
      </c>
      <c r="AJ128" s="13">
        <f>AI128*VLOOKUP('Données projet'!$B$10,Paramètres!$A$1:$I$89,3,0)*VLOOKUP('Données projet'!$B$10,Paramètres!$A$1:$I$89,5,0)</f>
        <v>0</v>
      </c>
      <c r="AK128" s="13" t="e">
        <f t="shared" si="89"/>
        <v>#NUM!</v>
      </c>
      <c r="AL128" s="20" t="e">
        <f t="shared" si="58"/>
        <v>#NUM!</v>
      </c>
      <c r="AM128" s="59" t="e">
        <f t="shared" si="59"/>
        <v>#NUM!</v>
      </c>
      <c r="AN128" s="59">
        <f ca="1">AVERAGE(OFFSET($AM$3,0,0,'Données projet'!$E$10+1,1))-AVERAGE(OFFSET($H$3,0,0,'Données projet'!$E$10+1,1))</f>
        <v>255.41017495879987</v>
      </c>
      <c r="AO128" s="59">
        <f t="shared" si="90"/>
        <v>297.50513563712764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1.2714288489536585</v>
      </c>
      <c r="AV128" s="21">
        <f>EXP(-LN(2)/25)*AV127+(1-EXP(-LN(2)/25))/(LN(2)/25)*Calculateur!AQ128*Calculateur!AS128*VLOOKUP('Données projet'!$B$10,Paramètres!$A$1:$I$89,3,0)*0.475*44/12</f>
        <v>2.000879449518782</v>
      </c>
      <c r="AW128" s="21">
        <f>EXP(-LN(2)/2)*AW127+(1-EXP(-LN(2)/2))/(LN(2)/2)*AQ128*AT128*VLOOKUP('Données projet'!$B$10,Paramètres!$A$1:$I$89,3,0)*0.475*44/12</f>
        <v>1.2259880379829348E-13</v>
      </c>
      <c r="AX128" s="21">
        <f t="shared" si="60"/>
        <v>3.2723082984725629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-5.1159076974727213E-13</v>
      </c>
      <c r="BE128" s="13">
        <f>BD128*VLOOKUP('Données projet'!$B$11,Paramètres!$A$1:$I$89,3,0)*VLOOKUP('Données projet'!$B$11,Paramètres!$A$1:$I$89,5,0)</f>
        <v>-4.0702161641092972E-13</v>
      </c>
      <c r="BF128" s="13" t="e">
        <f t="shared" si="91"/>
        <v>#NUM!</v>
      </c>
      <c r="BG128" s="20" t="e">
        <f t="shared" si="61"/>
        <v>#NUM!</v>
      </c>
      <c r="BH128" s="59" t="e">
        <f t="shared" si="62"/>
        <v>#NUM!</v>
      </c>
      <c r="BI128" s="59">
        <f ca="1">AVERAGE(OFFSET($BH$3,0,0,'Données projet'!$E$11+1,1))-AVERAGE(OFFSET($H$3,0,0,'Données projet'!$E$11+1,1))</f>
        <v>260.20517190557814</v>
      </c>
      <c r="BJ128" s="59">
        <f t="shared" si="92"/>
        <v>307.22009971147133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0.49720372956043679</v>
      </c>
      <c r="BQ128" s="21">
        <f>EXP(-LN(2)/25)*BQ127+(1-EXP(-LN(2)/25))/(LN(2)/25)*Calculateur!BL128*Calculateur!BN128*VLOOKUP('Données projet'!$B$11,Paramètres!$A$1:$I$89,3,0)*0.475*44/12</f>
        <v>1.473177118447937</v>
      </c>
      <c r="BR128" s="21">
        <f>EXP(-LN(2)/2)*BR127+(1-EXP(-LN(2)/2))/(LN(2)/2)*BL128*BO128*VLOOKUP('Données projet'!$B$11,Paramètres!$A$1:$I$89,3,0)*0.475*44/12</f>
        <v>1.2077922046174455E-13</v>
      </c>
      <c r="BS128" s="22">
        <f t="shared" si="63"/>
        <v>1.9703808480084946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268.00000000000017</v>
      </c>
      <c r="BZ128" s="13">
        <f>BY128*VLOOKUP('Données projet'!$B$12,Paramètres!$A$1:$I$89,3,0)*VLOOKUP('Données projet'!$B$12,Paramètres!$A$1:$I$89,5,0)</f>
        <v>175.59360000000012</v>
      </c>
      <c r="CA128" s="13">
        <f t="shared" si="93"/>
        <v>44.340433728638573</v>
      </c>
      <c r="CB128" s="20">
        <f t="shared" si="64"/>
        <v>383.05177541071242</v>
      </c>
      <c r="CC128" s="59">
        <f t="shared" si="65"/>
        <v>676.38510874404574</v>
      </c>
      <c r="CD128" s="59">
        <f ca="1">AVERAGE(OFFSET($CC$3,0,0,'Données projet'!$E$12+1,1))-AVERAGE(OFFSET($H$3,0,0,'Données projet'!$E$12+1,1))</f>
        <v>185.21927898775016</v>
      </c>
      <c r="CE128" s="59">
        <f t="shared" si="94"/>
        <v>240.82467772396944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0.2372892383029829</v>
      </c>
      <c r="CL128" s="21">
        <f>EXP(-LN(2)/25)*CL127+(1-EXP(-LN(2)/25))/(LN(2)/25)*Calculateur!CG128*Calculateur!CI128*VLOOKUP('Données projet'!$B$12,Paramètres!$A$1:$I$89,3,0)*0.475*44/12</f>
        <v>0.57707943553570273</v>
      </c>
      <c r="CM128" s="21">
        <f>EXP(-LN(2)/2)*CM127+(1-EXP(-LN(2)/2))/(LN(2)/2)*CG128*CJ128*VLOOKUP('Données projet'!$B$12,Paramètres!$A$1:$I$89,3,0)*0.475*44/12</f>
        <v>7.0322094808976352E-14</v>
      </c>
      <c r="CN128" s="22">
        <f t="shared" si="66"/>
        <v>0.81436867383875589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112.03920000000021</v>
      </c>
      <c r="D129" s="11">
        <f t="shared" si="86"/>
        <v>29.810921169420254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1094.9833914832457</v>
      </c>
      <c r="H129" s="67">
        <f t="shared" si="56"/>
        <v>540.38896103674051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-2.2737367544323206E-13</v>
      </c>
      <c r="O129" s="13">
        <f>N129*VLOOKUP('Données projet'!$B$9,Paramètres!$A$1:$I$89,3,0)*VLOOKUP('Données projet'!$B$9,Paramètres!$A$1:$I$89,5,0)</f>
        <v>-1.2710188457276673E-13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255.5374979188561</v>
      </c>
      <c r="T129" s="59">
        <f t="shared" si="88"/>
        <v>343.10418468620901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0.46161716182693724</v>
      </c>
      <c r="AA129" s="21">
        <f>EXP(-LN(2)/25)*AA128+(1-EXP(-LN(2)/25))/(LN(2)/25)*Calculateur!V129*Calculateur!X129*VLOOKUP('Données projet'!$B$9,Paramètres!$A$1:$I$89,3,0)*0.475*44/12</f>
        <v>1.114512015409262</v>
      </c>
      <c r="AB129" s="21">
        <f>EXP(-LN(2)/2)*AB128+(1-EXP(-LN(2)/2))/(LN(2)/2)*V129*Y129*VLOOKUP('Données projet'!$B$9,Paramètres!$A$1:$I$89,3,0)*0.475*44/12</f>
        <v>6.0135081961265728E-15</v>
      </c>
      <c r="AC129" s="22">
        <f t="shared" si="57"/>
        <v>1.5761291772362054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0</v>
      </c>
      <c r="AJ129" s="13">
        <f>AI129*VLOOKUP('Données projet'!$B$10,Paramètres!$A$1:$I$89,3,0)*VLOOKUP('Données projet'!$B$10,Paramètres!$A$1:$I$89,5,0)</f>
        <v>0</v>
      </c>
      <c r="AK129" s="13" t="e">
        <f t="shared" si="89"/>
        <v>#NUM!</v>
      </c>
      <c r="AL129" s="20" t="e">
        <f t="shared" si="58"/>
        <v>#NUM!</v>
      </c>
      <c r="AM129" s="59" t="e">
        <f t="shared" si="59"/>
        <v>#NUM!</v>
      </c>
      <c r="AN129" s="59">
        <f ca="1">AVERAGE(OFFSET($AM$3,0,0,'Données projet'!$E$10+1,1))-AVERAGE(OFFSET($H$3,0,0,'Données projet'!$E$10+1,1))</f>
        <v>255.41017495879987</v>
      </c>
      <c r="AO129" s="59">
        <f t="shared" si="90"/>
        <v>297.50513563712764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1.2464969047207013</v>
      </c>
      <c r="AV129" s="21">
        <f>EXP(-LN(2)/25)*AV128+(1-EXP(-LN(2)/25))/(LN(2)/25)*Calculateur!AQ129*Calculateur!AS129*VLOOKUP('Données projet'!$B$10,Paramètres!$A$1:$I$89,3,0)*0.475*44/12</f>
        <v>1.9461652957500137</v>
      </c>
      <c r="AW129" s="21">
        <f>EXP(-LN(2)/2)*AW128+(1-EXP(-LN(2)/2))/(LN(2)/2)*AQ129*AT129*VLOOKUP('Données projet'!$B$10,Paramètres!$A$1:$I$89,3,0)*0.475*44/12</f>
        <v>8.6690445531132383E-14</v>
      </c>
      <c r="AX129" s="21">
        <f t="shared" si="60"/>
        <v>3.1926622004708016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-5.1159076974727213E-13</v>
      </c>
      <c r="BE129" s="13">
        <f>BD129*VLOOKUP('Données projet'!$B$11,Paramètres!$A$1:$I$89,3,0)*VLOOKUP('Données projet'!$B$11,Paramètres!$A$1:$I$89,5,0)</f>
        <v>-4.0702161641092972E-13</v>
      </c>
      <c r="BF129" s="13" t="e">
        <f t="shared" si="91"/>
        <v>#NUM!</v>
      </c>
      <c r="BG129" s="20" t="e">
        <f t="shared" si="61"/>
        <v>#NUM!</v>
      </c>
      <c r="BH129" s="59" t="e">
        <f t="shared" si="62"/>
        <v>#NUM!</v>
      </c>
      <c r="BI129" s="59">
        <f ca="1">AVERAGE(OFFSET($BH$3,0,0,'Données projet'!$E$11+1,1))-AVERAGE(OFFSET($H$3,0,0,'Données projet'!$E$11+1,1))</f>
        <v>260.20517190557814</v>
      </c>
      <c r="BJ129" s="59">
        <f t="shared" si="92"/>
        <v>307.22009971147133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0.48745386768808679</v>
      </c>
      <c r="BQ129" s="21">
        <f>EXP(-LN(2)/25)*BQ128+(1-EXP(-LN(2)/25))/(LN(2)/25)*Calculateur!BL129*Calculateur!BN129*VLOOKUP('Données projet'!$B$11,Paramètres!$A$1:$I$89,3,0)*0.475*44/12</f>
        <v>1.4328930126729604</v>
      </c>
      <c r="BR129" s="21">
        <f>EXP(-LN(2)/2)*BR128+(1-EXP(-LN(2)/2))/(LN(2)/2)*BL129*BO129*VLOOKUP('Données projet'!$B$11,Paramètres!$A$1:$I$89,3,0)*0.475*44/12</f>
        <v>8.5403805814924589E-14</v>
      </c>
      <c r="BS129" s="22">
        <f t="shared" si="63"/>
        <v>1.9203468803611328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268.00000000000017</v>
      </c>
      <c r="BZ129" s="13">
        <f>BY129*VLOOKUP('Données projet'!$B$12,Paramètres!$A$1:$I$89,3,0)*VLOOKUP('Données projet'!$B$12,Paramètres!$A$1:$I$89,5,0)</f>
        <v>175.59360000000012</v>
      </c>
      <c r="CA129" s="13">
        <f t="shared" si="93"/>
        <v>44.340433728638573</v>
      </c>
      <c r="CB129" s="20">
        <f t="shared" si="64"/>
        <v>383.05177541071242</v>
      </c>
      <c r="CC129" s="59">
        <f t="shared" si="65"/>
        <v>676.38510874404574</v>
      </c>
      <c r="CD129" s="59">
        <f ca="1">AVERAGE(OFFSET($CC$3,0,0,'Données projet'!$E$12+1,1))-AVERAGE(OFFSET($H$3,0,0,'Données projet'!$E$12+1,1))</f>
        <v>185.21927898775016</v>
      </c>
      <c r="CE129" s="59">
        <f t="shared" si="94"/>
        <v>240.82467772396944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0.23263614107200567</v>
      </c>
      <c r="CL129" s="21">
        <f>EXP(-LN(2)/25)*CL128+(1-EXP(-LN(2)/25))/(LN(2)/25)*Calculateur!CG129*Calculateur!CI129*VLOOKUP('Données projet'!$B$12,Paramètres!$A$1:$I$89,3,0)*0.475*44/12</f>
        <v>0.5612991680236904</v>
      </c>
      <c r="CM129" s="21">
        <f>EXP(-LN(2)/2)*CM128+(1-EXP(-LN(2)/2))/(LN(2)/2)*CG129*CJ129*VLOOKUP('Données projet'!$B$12,Paramètres!$A$1:$I$89,3,0)*0.475*44/12</f>
        <v>4.9725230106670491E-14</v>
      </c>
      <c r="CN129" s="22">
        <f t="shared" si="66"/>
        <v>0.79393530909574583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112.92840000000021</v>
      </c>
      <c r="D130" s="11">
        <f t="shared" si="86"/>
        <v>30.019879889489037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1103.4604061644784</v>
      </c>
      <c r="H130" s="67">
        <f t="shared" si="56"/>
        <v>542.30158747419375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-2.2737367544323206E-13</v>
      </c>
      <c r="O130" s="13">
        <f>N130*VLOOKUP('Données projet'!$B$9,Paramètres!$A$1:$I$89,3,0)*VLOOKUP('Données projet'!$B$9,Paramètres!$A$1:$I$89,5,0)</f>
        <v>-1.2710188457276673E-13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255.5374979188561</v>
      </c>
      <c r="T130" s="59">
        <f t="shared" si="88"/>
        <v>343.10418468620901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0.45256513084217809</v>
      </c>
      <c r="AA130" s="21">
        <f>EXP(-LN(2)/25)*AA129+(1-EXP(-LN(2)/25))/(LN(2)/25)*Calculateur!V130*Calculateur!X130*VLOOKUP('Données projet'!$B$9,Paramètres!$A$1:$I$89,3,0)*0.475*44/12</f>
        <v>1.0840356257382562</v>
      </c>
      <c r="AB130" s="21">
        <f>EXP(-LN(2)/2)*AB129+(1-EXP(-LN(2)/2))/(LN(2)/2)*V130*Y130*VLOOKUP('Données projet'!$B$9,Paramètres!$A$1:$I$89,3,0)*0.475*44/12</f>
        <v>4.2521924242019825E-15</v>
      </c>
      <c r="AC130" s="22">
        <f t="shared" si="57"/>
        <v>1.5366007565804385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0</v>
      </c>
      <c r="AJ130" s="13">
        <f>AI130*VLOOKUP('Données projet'!$B$10,Paramètres!$A$1:$I$89,3,0)*VLOOKUP('Données projet'!$B$10,Paramètres!$A$1:$I$89,5,0)</f>
        <v>0</v>
      </c>
      <c r="AK130" s="13" t="e">
        <f t="shared" si="89"/>
        <v>#NUM!</v>
      </c>
      <c r="AL130" s="20" t="e">
        <f t="shared" si="58"/>
        <v>#NUM!</v>
      </c>
      <c r="AM130" s="59" t="e">
        <f t="shared" si="59"/>
        <v>#NUM!</v>
      </c>
      <c r="AN130" s="59">
        <f ca="1">AVERAGE(OFFSET($AM$3,0,0,'Données projet'!$E$10+1,1))-AVERAGE(OFFSET($H$3,0,0,'Données projet'!$E$10+1,1))</f>
        <v>255.41017495879987</v>
      </c>
      <c r="AO130" s="59">
        <f t="shared" si="90"/>
        <v>297.50513563712764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1.222053860707168</v>
      </c>
      <c r="AV130" s="21">
        <f>EXP(-LN(2)/25)*AV129+(1-EXP(-LN(2)/25))/(LN(2)/25)*Calculateur!AQ130*Calculateur!AS130*VLOOKUP('Données projet'!$B$10,Paramètres!$A$1:$I$89,3,0)*0.475*44/12</f>
        <v>1.8929473033933448</v>
      </c>
      <c r="AW130" s="21">
        <f>EXP(-LN(2)/2)*AW129+(1-EXP(-LN(2)/2))/(LN(2)/2)*AQ130*AT130*VLOOKUP('Données projet'!$B$10,Paramètres!$A$1:$I$89,3,0)*0.475*44/12</f>
        <v>6.1299401899146741E-14</v>
      </c>
      <c r="AX130" s="21">
        <f t="shared" si="60"/>
        <v>3.1150011641005744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-5.1159076974727213E-13</v>
      </c>
      <c r="BE130" s="13">
        <f>BD130*VLOOKUP('Données projet'!$B$11,Paramètres!$A$1:$I$89,3,0)*VLOOKUP('Données projet'!$B$11,Paramètres!$A$1:$I$89,5,0)</f>
        <v>-4.0702161641092972E-13</v>
      </c>
      <c r="BF130" s="13" t="e">
        <f t="shared" si="91"/>
        <v>#NUM!</v>
      </c>
      <c r="BG130" s="20" t="e">
        <f t="shared" si="61"/>
        <v>#NUM!</v>
      </c>
      <c r="BH130" s="59" t="e">
        <f t="shared" si="62"/>
        <v>#NUM!</v>
      </c>
      <c r="BI130" s="59">
        <f ca="1">AVERAGE(OFFSET($BH$3,0,0,'Données projet'!$E$11+1,1))-AVERAGE(OFFSET($H$3,0,0,'Données projet'!$E$11+1,1))</f>
        <v>260.20517190557814</v>
      </c>
      <c r="BJ130" s="59">
        <f t="shared" si="92"/>
        <v>307.22009971147133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0.47789519466022506</v>
      </c>
      <c r="BQ130" s="21">
        <f>EXP(-LN(2)/25)*BQ129+(1-EXP(-LN(2)/25))/(LN(2)/25)*Calculateur!BL130*Calculateur!BN130*VLOOKUP('Données projet'!$B$11,Paramètres!$A$1:$I$89,3,0)*0.475*44/12</f>
        <v>1.3937104778888496</v>
      </c>
      <c r="BR130" s="21">
        <f>EXP(-LN(2)/2)*BR129+(1-EXP(-LN(2)/2))/(LN(2)/2)*BL130*BO130*VLOOKUP('Données projet'!$B$11,Paramètres!$A$1:$I$89,3,0)*0.475*44/12</f>
        <v>6.0389610230872276E-14</v>
      </c>
      <c r="BS130" s="22">
        <f t="shared" si="63"/>
        <v>1.871605672549135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268.00000000000017</v>
      </c>
      <c r="BZ130" s="13">
        <f>BY130*VLOOKUP('Données projet'!$B$12,Paramètres!$A$1:$I$89,3,0)*VLOOKUP('Données projet'!$B$12,Paramètres!$A$1:$I$89,5,0)</f>
        <v>175.59360000000012</v>
      </c>
      <c r="CA130" s="13">
        <f t="shared" si="93"/>
        <v>44.340433728638573</v>
      </c>
      <c r="CB130" s="20">
        <f t="shared" si="64"/>
        <v>383.05177541071242</v>
      </c>
      <c r="CC130" s="59">
        <f t="shared" si="65"/>
        <v>676.38510874404574</v>
      </c>
      <c r="CD130" s="59">
        <f ca="1">AVERAGE(OFFSET($CC$3,0,0,'Données projet'!$E$12+1,1))-AVERAGE(OFFSET($H$3,0,0,'Données projet'!$E$12+1,1))</f>
        <v>185.21927898775016</v>
      </c>
      <c r="CE130" s="59">
        <f t="shared" si="94"/>
        <v>240.82467772396944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0.22807428823961881</v>
      </c>
      <c r="CL130" s="21">
        <f>EXP(-LN(2)/25)*CL129+(1-EXP(-LN(2)/25))/(LN(2)/25)*Calculateur!CG130*Calculateur!CI130*VLOOKUP('Données projet'!$B$12,Paramètres!$A$1:$I$89,3,0)*0.475*44/12</f>
        <v>0.54595041275664224</v>
      </c>
      <c r="CM130" s="21">
        <f>EXP(-LN(2)/2)*CM129+(1-EXP(-LN(2)/2))/(LN(2)/2)*CG130*CJ130*VLOOKUP('Données projet'!$B$12,Paramètres!$A$1:$I$89,3,0)*0.475*44/12</f>
        <v>3.5161047404488176E-14</v>
      </c>
      <c r="CN130" s="22">
        <f t="shared" si="66"/>
        <v>0.77402470099629628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113.81760000000021</v>
      </c>
      <c r="D131" s="11">
        <f t="shared" si="86"/>
        <v>30.228647177134249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1111.9359431217397</v>
      </c>
      <c r="H131" s="67">
        <f t="shared" si="56"/>
        <v>544.21388050017583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-2.2737367544323206E-13</v>
      </c>
      <c r="O131" s="13">
        <f>N131*VLOOKUP('Données projet'!$B$9,Paramètres!$A$1:$I$89,3,0)*VLOOKUP('Données projet'!$B$9,Paramètres!$A$1:$I$89,5,0)</f>
        <v>-1.2710188457276673E-13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255.5374979188561</v>
      </c>
      <c r="T131" s="59">
        <f t="shared" si="88"/>
        <v>343.10418468620901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0.44369060466383636</v>
      </c>
      <c r="AA131" s="21">
        <f>EXP(-LN(2)/25)*AA130+(1-EXP(-LN(2)/25))/(LN(2)/25)*Calculateur!V131*Calculateur!X131*VLOOKUP('Données projet'!$B$9,Paramètres!$A$1:$I$89,3,0)*0.475*44/12</f>
        <v>1.0543926145454876</v>
      </c>
      <c r="AB131" s="21">
        <f>EXP(-LN(2)/2)*AB130+(1-EXP(-LN(2)/2))/(LN(2)/2)*V131*Y131*VLOOKUP('Données projet'!$B$9,Paramètres!$A$1:$I$89,3,0)*0.475*44/12</f>
        <v>3.0067540980632864E-15</v>
      </c>
      <c r="AC131" s="22">
        <f t="shared" si="57"/>
        <v>1.498083219209327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0</v>
      </c>
      <c r="AJ131" s="13">
        <f>AI131*VLOOKUP('Données projet'!$B$10,Paramètres!$A$1:$I$89,3,0)*VLOOKUP('Données projet'!$B$10,Paramètres!$A$1:$I$89,5,0)</f>
        <v>0</v>
      </c>
      <c r="AK131" s="13" t="e">
        <f t="shared" si="89"/>
        <v>#NUM!</v>
      </c>
      <c r="AL131" s="20" t="e">
        <f t="shared" si="58"/>
        <v>#NUM!</v>
      </c>
      <c r="AM131" s="59" t="e">
        <f t="shared" si="59"/>
        <v>#NUM!</v>
      </c>
      <c r="AN131" s="59">
        <f ca="1">AVERAGE(OFFSET($AM$3,0,0,'Données projet'!$E$10+1,1))-AVERAGE(OFFSET($H$3,0,0,'Données projet'!$E$10+1,1))</f>
        <v>255.41017495879987</v>
      </c>
      <c r="AO131" s="59">
        <f t="shared" si="90"/>
        <v>297.50513563712764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1.1980901298779554</v>
      </c>
      <c r="AV131" s="21">
        <f>EXP(-LN(2)/25)*AV130+(1-EXP(-LN(2)/25))/(LN(2)/25)*Calculateur!AQ131*Calculateur!AS131*VLOOKUP('Données projet'!$B$10,Paramètres!$A$1:$I$89,3,0)*0.475*44/12</f>
        <v>1.8411845598362815</v>
      </c>
      <c r="AW131" s="21">
        <f>EXP(-LN(2)/2)*AW130+(1-EXP(-LN(2)/2))/(LN(2)/2)*AQ131*AT131*VLOOKUP('Données projet'!$B$10,Paramètres!$A$1:$I$89,3,0)*0.475*44/12</f>
        <v>4.3345222765566191E-14</v>
      </c>
      <c r="AX131" s="21">
        <f t="shared" si="60"/>
        <v>3.0392746897142802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-5.1159076974727213E-13</v>
      </c>
      <c r="BE131" s="13">
        <f>BD131*VLOOKUP('Données projet'!$B$11,Paramètres!$A$1:$I$89,3,0)*VLOOKUP('Données projet'!$B$11,Paramètres!$A$1:$I$89,5,0)</f>
        <v>-4.0702161641092972E-13</v>
      </c>
      <c r="BF131" s="13" t="e">
        <f t="shared" si="91"/>
        <v>#NUM!</v>
      </c>
      <c r="BG131" s="20" t="e">
        <f t="shared" si="61"/>
        <v>#NUM!</v>
      </c>
      <c r="BH131" s="59" t="e">
        <f t="shared" si="62"/>
        <v>#NUM!</v>
      </c>
      <c r="BI131" s="59">
        <f ca="1">AVERAGE(OFFSET($BH$3,0,0,'Données projet'!$E$11+1,1))-AVERAGE(OFFSET($H$3,0,0,'Données projet'!$E$11+1,1))</f>
        <v>260.20517190557814</v>
      </c>
      <c r="BJ131" s="59">
        <f t="shared" si="92"/>
        <v>307.22009971147133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0.46852396138022484</v>
      </c>
      <c r="BQ131" s="21">
        <f>EXP(-LN(2)/25)*BQ130+(1-EXP(-LN(2)/25))/(LN(2)/25)*Calculateur!BL131*Calculateur!BN131*VLOOKUP('Données projet'!$B$11,Paramètres!$A$1:$I$89,3,0)*0.475*44/12</f>
        <v>1.3555993915789304</v>
      </c>
      <c r="BR131" s="21">
        <f>EXP(-LN(2)/2)*BR130+(1-EXP(-LN(2)/2))/(LN(2)/2)*BL131*BO131*VLOOKUP('Données projet'!$B$11,Paramètres!$A$1:$I$89,3,0)*0.475*44/12</f>
        <v>4.2701902907462295E-14</v>
      </c>
      <c r="BS131" s="22">
        <f t="shared" si="63"/>
        <v>1.8241233529591978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268.00000000000017</v>
      </c>
      <c r="BZ131" s="13">
        <f>BY131*VLOOKUP('Données projet'!$B$12,Paramètres!$A$1:$I$89,3,0)*VLOOKUP('Données projet'!$B$12,Paramètres!$A$1:$I$89,5,0)</f>
        <v>175.59360000000012</v>
      </c>
      <c r="CA131" s="13">
        <f t="shared" si="93"/>
        <v>44.340433728638573</v>
      </c>
      <c r="CB131" s="20">
        <f t="shared" si="64"/>
        <v>383.05177541071242</v>
      </c>
      <c r="CC131" s="59">
        <f t="shared" si="65"/>
        <v>676.38510874404574</v>
      </c>
      <c r="CD131" s="59">
        <f ca="1">AVERAGE(OFFSET($CC$3,0,0,'Données projet'!$E$12+1,1))-AVERAGE(OFFSET($H$3,0,0,'Données projet'!$E$12+1,1))</f>
        <v>185.21927898775016</v>
      </c>
      <c r="CE131" s="59">
        <f t="shared" si="94"/>
        <v>240.82467772396944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0.22360189055881957</v>
      </c>
      <c r="CL131" s="21">
        <f>EXP(-LN(2)/25)*CL130+(1-EXP(-LN(2)/25))/(LN(2)/25)*Calculateur!CG131*Calculateur!CI131*VLOOKUP('Données projet'!$B$12,Paramètres!$A$1:$I$89,3,0)*0.475*44/12</f>
        <v>0.53102137000952743</v>
      </c>
      <c r="CM131" s="21">
        <f>EXP(-LN(2)/2)*CM130+(1-EXP(-LN(2)/2))/(LN(2)/2)*CG131*CJ131*VLOOKUP('Données projet'!$B$12,Paramètres!$A$1:$I$89,3,0)*0.475*44/12</f>
        <v>2.4862615053335246E-14</v>
      </c>
      <c r="CN131" s="22">
        <f t="shared" si="66"/>
        <v>0.75462326056837181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114.70680000000021</v>
      </c>
      <c r="D132" s="11">
        <f t="shared" si="86"/>
        <v>30.437224701280673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1120.4100152379581</v>
      </c>
      <c r="H132" s="67">
        <f t="shared" ref="H132:H195" si="110">(B132+E132+F132)*44/12+(C132+D132)*0.475*44/12</f>
        <v>546.12584302139749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-2.2737367544323206E-13</v>
      </c>
      <c r="O132" s="13">
        <f>N132*VLOOKUP('Données projet'!$B$9,Paramètres!$A$1:$I$89,3,0)*VLOOKUP('Données projet'!$B$9,Paramètres!$A$1:$I$89,5,0)</f>
        <v>-1.2710188457276673E-13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255.5374979188561</v>
      </c>
      <c r="T132" s="59">
        <f t="shared" si="88"/>
        <v>343.10418468620901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0.4349901025309254</v>
      </c>
      <c r="AA132" s="21">
        <f>EXP(-LN(2)/25)*AA131+(1-EXP(-LN(2)/25))/(LN(2)/25)*Calculateur!V132*Calculateur!X132*VLOOKUP('Données projet'!$B$9,Paramètres!$A$1:$I$89,3,0)*0.475*44/12</f>
        <v>1.0255601930526435</v>
      </c>
      <c r="AB132" s="21">
        <f>EXP(-LN(2)/2)*AB131+(1-EXP(-LN(2)/2))/(LN(2)/2)*V132*Y132*VLOOKUP('Données projet'!$B$9,Paramètres!$A$1:$I$89,3,0)*0.475*44/12</f>
        <v>2.1260962121009913E-15</v>
      </c>
      <c r="AC132" s="22">
        <f t="shared" ref="AC132:AC153" si="111">SUM(Z132:AB132)</f>
        <v>1.460550295583571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0</v>
      </c>
      <c r="AJ132" s="13">
        <f>AI132*VLOOKUP('Données projet'!$B$10,Paramètres!$A$1:$I$89,3,0)*VLOOKUP('Données projet'!$B$10,Paramètres!$A$1:$I$89,5,0)</f>
        <v>0</v>
      </c>
      <c r="AK132" s="13" t="e">
        <f t="shared" si="89"/>
        <v>#NUM!</v>
      </c>
      <c r="AL132" s="20" t="e">
        <f t="shared" ref="AL132:AL153" si="112">(AJ132+AK132)*0.475*44/12</f>
        <v>#NUM!</v>
      </c>
      <c r="AM132" s="59" t="e">
        <f t="shared" ref="AM132:AM195" si="113">AL132+(AD132+AE132)*44/12</f>
        <v>#NUM!</v>
      </c>
      <c r="AN132" s="59">
        <f ca="1">AVERAGE(OFFSET($AM$3,0,0,'Données projet'!$E$10+1,1))-AVERAGE(OFFSET($H$3,0,0,'Données projet'!$E$10+1,1))</f>
        <v>255.41017495879987</v>
      </c>
      <c r="AO132" s="59">
        <f t="shared" si="90"/>
        <v>297.50513563712764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1.174596313193871</v>
      </c>
      <c r="AV132" s="21">
        <f>EXP(-LN(2)/25)*AV131+(1-EXP(-LN(2)/25))/(LN(2)/25)*Calculateur!AQ132*Calculateur!AS132*VLOOKUP('Données projet'!$B$10,Paramètres!$A$1:$I$89,3,0)*0.475*44/12</f>
        <v>1.7908372712238705</v>
      </c>
      <c r="AW132" s="21">
        <f>EXP(-LN(2)/2)*AW131+(1-EXP(-LN(2)/2))/(LN(2)/2)*AQ132*AT132*VLOOKUP('Données projet'!$B$10,Paramètres!$A$1:$I$89,3,0)*0.475*44/12</f>
        <v>3.0649700949573371E-14</v>
      </c>
      <c r="AX132" s="21">
        <f t="shared" ref="AX132:AX153" si="114">SUM(AU132:AW132)</f>
        <v>2.9654335844177724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-5.1159076974727213E-13</v>
      </c>
      <c r="BE132" s="13">
        <f>BD132*VLOOKUP('Données projet'!$B$11,Paramètres!$A$1:$I$89,3,0)*VLOOKUP('Données projet'!$B$11,Paramètres!$A$1:$I$89,5,0)</f>
        <v>-4.0702161641092972E-13</v>
      </c>
      <c r="BF132" s="13" t="e">
        <f t="shared" si="91"/>
        <v>#NUM!</v>
      </c>
      <c r="BG132" s="20" t="e">
        <f t="shared" ref="BG132:BG153" si="115">(BE132+BF132)*0.475*44/12</f>
        <v>#NUM!</v>
      </c>
      <c r="BH132" s="59" t="e">
        <f t="shared" ref="BH132:BH195" si="116">BG132+(AY132+AZ132)*44/12</f>
        <v>#NUM!</v>
      </c>
      <c r="BI132" s="59">
        <f ca="1">AVERAGE(OFFSET($BH$3,0,0,'Données projet'!$E$11+1,1))-AVERAGE(OFFSET($H$3,0,0,'Données projet'!$E$11+1,1))</f>
        <v>260.20517190557814</v>
      </c>
      <c r="BJ132" s="59">
        <f t="shared" si="92"/>
        <v>307.22009971147133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0.45933649226895751</v>
      </c>
      <c r="BQ132" s="21">
        <f>EXP(-LN(2)/25)*BQ131+(1-EXP(-LN(2)/25))/(LN(2)/25)*Calculateur!BL132*Calculateur!BN132*VLOOKUP('Données projet'!$B$11,Paramètres!$A$1:$I$89,3,0)*0.475*44/12</f>
        <v>1.3185304549283308</v>
      </c>
      <c r="BR132" s="21">
        <f>EXP(-LN(2)/2)*BR131+(1-EXP(-LN(2)/2))/(LN(2)/2)*BL132*BO132*VLOOKUP('Données projet'!$B$11,Paramètres!$A$1:$I$89,3,0)*0.475*44/12</f>
        <v>3.0194805115436138E-14</v>
      </c>
      <c r="BS132" s="22">
        <f t="shared" ref="BS132:BS153" si="117">SUM(BP132:BR132)</f>
        <v>1.7778669471973185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268.00000000000017</v>
      </c>
      <c r="BZ132" s="13">
        <f>BY132*VLOOKUP('Données projet'!$B$12,Paramètres!$A$1:$I$89,3,0)*VLOOKUP('Données projet'!$B$12,Paramètres!$A$1:$I$89,5,0)</f>
        <v>175.59360000000012</v>
      </c>
      <c r="CA132" s="13">
        <f t="shared" si="93"/>
        <v>44.340433728638573</v>
      </c>
      <c r="CB132" s="20">
        <f t="shared" ref="CB132:CB153" si="118">(BZ132+CA132)*0.475*44/12</f>
        <v>383.05177541071242</v>
      </c>
      <c r="CC132" s="59">
        <f t="shared" ref="CC132:CC195" si="119">CB132+(BT132+BU132)*44/12</f>
        <v>676.38510874404574</v>
      </c>
      <c r="CD132" s="59">
        <f ca="1">AVERAGE(OFFSET($CC$3,0,0,'Données projet'!$E$12+1,1))-AVERAGE(OFFSET($H$3,0,0,'Données projet'!$E$12+1,1))</f>
        <v>185.21927898775016</v>
      </c>
      <c r="CE132" s="59">
        <f t="shared" si="94"/>
        <v>240.82467772396944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0.2192171938686476</v>
      </c>
      <c r="CL132" s="21">
        <f>EXP(-LN(2)/25)*CL131+(1-EXP(-LN(2)/25))/(LN(2)/25)*Calculateur!CG132*Calculateur!CI132*VLOOKUP('Données projet'!$B$12,Paramètres!$A$1:$I$89,3,0)*0.475*44/12</f>
        <v>0.51650056272141676</v>
      </c>
      <c r="CM132" s="21">
        <f>EXP(-LN(2)/2)*CM131+(1-EXP(-LN(2)/2))/(LN(2)/2)*CG132*CJ132*VLOOKUP('Données projet'!$B$12,Paramètres!$A$1:$I$89,3,0)*0.475*44/12</f>
        <v>1.7580523702244088E-14</v>
      </c>
      <c r="CN132" s="22">
        <f t="shared" ref="CN132:CN153" si="120">SUM(CK132:CM132)</f>
        <v>0.73571775659008187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115.59600000000022</v>
      </c>
      <c r="D133" s="11">
        <f t="shared" ref="D133:D196" si="140">IFERROR(EXP(-1.0587+0.8836*LN(C133)+0.284),0)</f>
        <v>30.645614103483904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1128.8826351847899</v>
      </c>
      <c r="H133" s="67">
        <f t="shared" si="110"/>
        <v>548.03747789690146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-2.2737367544323206E-13</v>
      </c>
      <c r="O133" s="13">
        <f>N133*VLOOKUP('Données projet'!$B$9,Paramètres!$A$1:$I$89,3,0)*VLOOKUP('Données projet'!$B$9,Paramètres!$A$1:$I$89,5,0)</f>
        <v>-1.2710188457276673E-13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255.5374979188561</v>
      </c>
      <c r="T133" s="59">
        <f t="shared" ref="T133:T196" si="142">$T$3</f>
        <v>343.10418468620901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0.42646021193805855</v>
      </c>
      <c r="AA133" s="21">
        <f>EXP(-LN(2)/25)*AA132+(1-EXP(-LN(2)/25))/(LN(2)/25)*Calculateur!V133*Calculateur!X133*VLOOKUP('Données projet'!$B$9,Paramètres!$A$1:$I$89,3,0)*0.475*44/12</f>
        <v>0.99751619564175231</v>
      </c>
      <c r="AB133" s="21">
        <f>EXP(-LN(2)/2)*AB132+(1-EXP(-LN(2)/2))/(LN(2)/2)*V133*Y133*VLOOKUP('Données projet'!$B$9,Paramètres!$A$1:$I$89,3,0)*0.475*44/12</f>
        <v>1.5033770490316432E-15</v>
      </c>
      <c r="AC133" s="22">
        <f t="shared" si="111"/>
        <v>1.4239764075798125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0</v>
      </c>
      <c r="AJ133" s="13">
        <f>AI133*VLOOKUP('Données projet'!$B$10,Paramètres!$A$1:$I$89,3,0)*VLOOKUP('Données projet'!$B$10,Paramètres!$A$1:$I$89,5,0)</f>
        <v>0</v>
      </c>
      <c r="AK133" s="13" t="e">
        <f t="shared" ref="AK133:AK153" si="143">EXP(-1.0587+0.8836*LN(AJ133)+0.284)</f>
        <v>#NUM!</v>
      </c>
      <c r="AL133" s="20" t="e">
        <f t="shared" si="112"/>
        <v>#NUM!</v>
      </c>
      <c r="AM133" s="59" t="e">
        <f t="shared" si="113"/>
        <v>#NUM!</v>
      </c>
      <c r="AN133" s="59">
        <f ca="1">AVERAGE(OFFSET($AM$3,0,0,'Données projet'!$E$10+1,1))-AVERAGE(OFFSET($H$3,0,0,'Données projet'!$E$10+1,1))</f>
        <v>255.41017495879987</v>
      </c>
      <c r="AO133" s="59">
        <f t="shared" ref="AO133:AO196" si="144">$AO$3</f>
        <v>297.50513563712764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1.1515631959251484</v>
      </c>
      <c r="AV133" s="21">
        <f>EXP(-LN(2)/25)*AV132+(1-EXP(-LN(2)/25))/(LN(2)/25)*Calculateur!AQ133*Calculateur!AS133*VLOOKUP('Données projet'!$B$10,Paramètres!$A$1:$I$89,3,0)*0.475*44/12</f>
        <v>1.7418667318662147</v>
      </c>
      <c r="AW133" s="21">
        <f>EXP(-LN(2)/2)*AW132+(1-EXP(-LN(2)/2))/(LN(2)/2)*AQ133*AT133*VLOOKUP('Données projet'!$B$10,Paramètres!$A$1:$I$89,3,0)*0.475*44/12</f>
        <v>2.1672611382783096E-14</v>
      </c>
      <c r="AX133" s="21">
        <f t="shared" si="114"/>
        <v>2.8934299277913849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-5.1159076974727213E-13</v>
      </c>
      <c r="BE133" s="13">
        <f>BD133*VLOOKUP('Données projet'!$B$11,Paramètres!$A$1:$I$89,3,0)*VLOOKUP('Données projet'!$B$11,Paramètres!$A$1:$I$89,5,0)</f>
        <v>-4.0702161641092972E-13</v>
      </c>
      <c r="BF133" s="13" t="e">
        <f t="shared" ref="BF133:BF153" si="145">EXP(-1.0587+0.8836*LN(BE133)+0.284)</f>
        <v>#NUM!</v>
      </c>
      <c r="BG133" s="20" t="e">
        <f t="shared" si="115"/>
        <v>#NUM!</v>
      </c>
      <c r="BH133" s="59" t="e">
        <f t="shared" si="116"/>
        <v>#NUM!</v>
      </c>
      <c r="BI133" s="59">
        <f ca="1">AVERAGE(OFFSET($BH$3,0,0,'Données projet'!$E$11+1,1))-AVERAGE(OFFSET($H$3,0,0,'Données projet'!$E$11+1,1))</f>
        <v>260.20517190557814</v>
      </c>
      <c r="BJ133" s="59">
        <f t="shared" ref="BJ133:BJ196" si="146">$BJ$3</f>
        <v>307.22009971147133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0.45032918382315928</v>
      </c>
      <c r="BQ133" s="21">
        <f>EXP(-LN(2)/25)*BQ132+(1-EXP(-LN(2)/25))/(LN(2)/25)*Calculateur!BL133*Calculateur!BN133*VLOOKUP('Données projet'!$B$11,Paramètres!$A$1:$I$89,3,0)*0.475*44/12</f>
        <v>1.2824751702998125</v>
      </c>
      <c r="BR133" s="21">
        <f>EXP(-LN(2)/2)*BR132+(1-EXP(-LN(2)/2))/(LN(2)/2)*BL133*BO133*VLOOKUP('Données projet'!$B$11,Paramètres!$A$1:$I$89,3,0)*0.475*44/12</f>
        <v>2.1350951453731147E-14</v>
      </c>
      <c r="BS133" s="22">
        <f t="shared" si="117"/>
        <v>1.7328043541229932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268.00000000000017</v>
      </c>
      <c r="BZ133" s="13">
        <f>BY133*VLOOKUP('Données projet'!$B$12,Paramètres!$A$1:$I$89,3,0)*VLOOKUP('Données projet'!$B$12,Paramètres!$A$1:$I$89,5,0)</f>
        <v>175.59360000000012</v>
      </c>
      <c r="CA133" s="13">
        <f t="shared" ref="CA133:CA153" si="147">EXP(-1.0587+0.8836*LN(BZ133)+0.284)</f>
        <v>44.340433728638573</v>
      </c>
      <c r="CB133" s="20">
        <f t="shared" si="118"/>
        <v>383.05177541071242</v>
      </c>
      <c r="CC133" s="59">
        <f t="shared" si="119"/>
        <v>676.38510874404574</v>
      </c>
      <c r="CD133" s="59">
        <f ca="1">AVERAGE(OFFSET($CC$3,0,0,'Données projet'!$E$12+1,1))-AVERAGE(OFFSET($H$3,0,0,'Données projet'!$E$12+1,1))</f>
        <v>185.21927898775016</v>
      </c>
      <c r="CE133" s="59">
        <f t="shared" ref="CE133:CE196" si="148">$CE$3</f>
        <v>240.82467772396944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0.21491847840616898</v>
      </c>
      <c r="CL133" s="21">
        <f>EXP(-LN(2)/25)*CL132+(1-EXP(-LN(2)/25))/(LN(2)/25)*Calculateur!CG133*Calculateur!CI133*VLOOKUP('Données projet'!$B$12,Paramètres!$A$1:$I$89,3,0)*0.475*44/12</f>
        <v>0.50237682767221548</v>
      </c>
      <c r="CM133" s="21">
        <f>EXP(-LN(2)/2)*CM132+(1-EXP(-LN(2)/2))/(LN(2)/2)*CG133*CJ133*VLOOKUP('Données projet'!$B$12,Paramètres!$A$1:$I$89,3,0)*0.475*44/12</f>
        <v>1.2431307526667623E-14</v>
      </c>
      <c r="CN133" s="22">
        <f t="shared" si="120"/>
        <v>0.71729530607839687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116.48520000000022</v>
      </c>
      <c r="D134" s="11">
        <f t="shared" si="140"/>
        <v>30.853816998586289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1137.3538154276855</v>
      </c>
      <c r="H134" s="67">
        <f t="shared" si="110"/>
        <v>549.94878793920475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-2.2737367544323206E-13</v>
      </c>
      <c r="O134" s="13">
        <f>N134*VLOOKUP('Données projet'!$B$9,Paramètres!$A$1:$I$89,3,0)*VLOOKUP('Données projet'!$B$9,Paramètres!$A$1:$I$89,5,0)</f>
        <v>-1.2710188457276673E-13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255.5374979188561</v>
      </c>
      <c r="T134" s="59">
        <f t="shared" si="142"/>
        <v>343.10418468620901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0.41809758729699825</v>
      </c>
      <c r="AA134" s="21">
        <f>EXP(-LN(2)/25)*AA133+(1-EXP(-LN(2)/25))/(LN(2)/25)*Calculateur!V134*Calculateur!X134*VLOOKUP('Données projet'!$B$9,Paramètres!$A$1:$I$89,3,0)*0.475*44/12</f>
        <v>0.97023906281483174</v>
      </c>
      <c r="AB134" s="21">
        <f>EXP(-LN(2)/2)*AB133+(1-EXP(-LN(2)/2))/(LN(2)/2)*V134*Y134*VLOOKUP('Données projet'!$B$9,Paramètres!$A$1:$I$89,3,0)*0.475*44/12</f>
        <v>1.0630481060504956E-15</v>
      </c>
      <c r="AC134" s="22">
        <f t="shared" si="111"/>
        <v>1.388336650111831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0</v>
      </c>
      <c r="AJ134" s="13">
        <f>AI134*VLOOKUP('Données projet'!$B$10,Paramètres!$A$1:$I$89,3,0)*VLOOKUP('Données projet'!$B$10,Paramètres!$A$1:$I$89,5,0)</f>
        <v>0</v>
      </c>
      <c r="AK134" s="13" t="e">
        <f t="shared" si="143"/>
        <v>#NUM!</v>
      </c>
      <c r="AL134" s="20" t="e">
        <f t="shared" si="112"/>
        <v>#NUM!</v>
      </c>
      <c r="AM134" s="59" t="e">
        <f t="shared" si="113"/>
        <v>#NUM!</v>
      </c>
      <c r="AN134" s="59">
        <f ca="1">AVERAGE(OFFSET($AM$3,0,0,'Données projet'!$E$10+1,1))-AVERAGE(OFFSET($H$3,0,0,'Données projet'!$E$10+1,1))</f>
        <v>255.41017495879987</v>
      </c>
      <c r="AO134" s="59">
        <f t="shared" si="144"/>
        <v>297.50513563712764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1.1289817440372512</v>
      </c>
      <c r="AV134" s="21">
        <f>EXP(-LN(2)/25)*AV133+(1-EXP(-LN(2)/25))/(LN(2)/25)*Calculateur!AQ134*Calculateur!AS134*VLOOKUP('Données projet'!$B$10,Paramètres!$A$1:$I$89,3,0)*0.475*44/12</f>
        <v>1.6942352944825427</v>
      </c>
      <c r="AW134" s="21">
        <f>EXP(-LN(2)/2)*AW133+(1-EXP(-LN(2)/2))/(LN(2)/2)*AQ134*AT134*VLOOKUP('Données projet'!$B$10,Paramètres!$A$1:$I$89,3,0)*0.475*44/12</f>
        <v>1.5324850474786685E-14</v>
      </c>
      <c r="AX134" s="21">
        <f t="shared" si="114"/>
        <v>2.8232170385198097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-5.1159076974727213E-13</v>
      </c>
      <c r="BE134" s="13">
        <f>BD134*VLOOKUP('Données projet'!$B$11,Paramètres!$A$1:$I$89,3,0)*VLOOKUP('Données projet'!$B$11,Paramètres!$A$1:$I$89,5,0)</f>
        <v>-4.0702161641092972E-13</v>
      </c>
      <c r="BF134" s="13" t="e">
        <f t="shared" si="145"/>
        <v>#NUM!</v>
      </c>
      <c r="BG134" s="20" t="e">
        <f t="shared" si="115"/>
        <v>#NUM!</v>
      </c>
      <c r="BH134" s="59" t="e">
        <f t="shared" si="116"/>
        <v>#NUM!</v>
      </c>
      <c r="BI134" s="59">
        <f ca="1">AVERAGE(OFFSET($BH$3,0,0,'Données projet'!$E$11+1,1))-AVERAGE(OFFSET($H$3,0,0,'Données projet'!$E$11+1,1))</f>
        <v>260.20517190557814</v>
      </c>
      <c r="BJ134" s="59">
        <f t="shared" si="146"/>
        <v>307.22009971147133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0.44149850320206752</v>
      </c>
      <c r="BQ134" s="21">
        <f>EXP(-LN(2)/25)*BQ133+(1-EXP(-LN(2)/25))/(LN(2)/25)*Calculateur!BL134*Calculateur!BN134*VLOOKUP('Données projet'!$B$11,Paramètres!$A$1:$I$89,3,0)*0.475*44/12</f>
        <v>1.247405819325526</v>
      </c>
      <c r="BR134" s="21">
        <f>EXP(-LN(2)/2)*BR133+(1-EXP(-LN(2)/2))/(LN(2)/2)*BL134*BO134*VLOOKUP('Données projet'!$B$11,Paramètres!$A$1:$I$89,3,0)*0.475*44/12</f>
        <v>1.5097402557718069E-14</v>
      </c>
      <c r="BS134" s="22">
        <f t="shared" si="117"/>
        <v>1.6889043225276086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268.00000000000017</v>
      </c>
      <c r="BZ134" s="13">
        <f>BY134*VLOOKUP('Données projet'!$B$12,Paramètres!$A$1:$I$89,3,0)*VLOOKUP('Données projet'!$B$12,Paramètres!$A$1:$I$89,5,0)</f>
        <v>175.59360000000012</v>
      </c>
      <c r="CA134" s="13">
        <f t="shared" si="147"/>
        <v>44.340433728638573</v>
      </c>
      <c r="CB134" s="20">
        <f t="shared" si="118"/>
        <v>383.05177541071242</v>
      </c>
      <c r="CC134" s="59">
        <f t="shared" si="119"/>
        <v>676.38510874404574</v>
      </c>
      <c r="CD134" s="59">
        <f ca="1">AVERAGE(OFFSET($CC$3,0,0,'Données projet'!$E$12+1,1))-AVERAGE(OFFSET($H$3,0,0,'Données projet'!$E$12+1,1))</f>
        <v>185.21927898775016</v>
      </c>
      <c r="CE134" s="59">
        <f t="shared" si="148"/>
        <v>240.82467772396944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0.21070405813195203</v>
      </c>
      <c r="CL134" s="21">
        <f>EXP(-LN(2)/25)*CL133+(1-EXP(-LN(2)/25))/(LN(2)/25)*Calculateur!CG134*Calculateur!CI134*VLOOKUP('Données projet'!$B$12,Paramètres!$A$1:$I$89,3,0)*0.475*44/12</f>
        <v>0.48863930690066959</v>
      </c>
      <c r="CM134" s="21">
        <f>EXP(-LN(2)/2)*CM133+(1-EXP(-LN(2)/2))/(LN(2)/2)*CG134*CJ134*VLOOKUP('Données projet'!$B$12,Paramètres!$A$1:$I$89,3,0)*0.475*44/12</f>
        <v>8.790261851122044E-15</v>
      </c>
      <c r="CN134" s="22">
        <f t="shared" si="120"/>
        <v>0.69934336503263039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117.37440000000022</v>
      </c>
      <c r="D135" s="11">
        <f t="shared" si="140"/>
        <v>31.061834975351932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1145.8235682307889</v>
      </c>
      <c r="H135" s="67">
        <f t="shared" si="110"/>
        <v>551.85977591540495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-2.2737367544323206E-13</v>
      </c>
      <c r="O135" s="13">
        <f>N135*VLOOKUP('Données projet'!$B$9,Paramètres!$A$1:$I$89,3,0)*VLOOKUP('Données projet'!$B$9,Paramètres!$A$1:$I$89,5,0)</f>
        <v>-1.2710188457276673E-13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255.5374979188561</v>
      </c>
      <c r="T135" s="59">
        <f t="shared" si="142"/>
        <v>343.10418468620901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0.40989894862445181</v>
      </c>
      <c r="AA135" s="21">
        <f>EXP(-LN(2)/25)*AA134+(1-EXP(-LN(2)/25))/(LN(2)/25)*Calculateur!V135*Calculateur!X135*VLOOKUP('Données projet'!$B$9,Paramètres!$A$1:$I$89,3,0)*0.475*44/12</f>
        <v>0.94370782461950542</v>
      </c>
      <c r="AB135" s="21">
        <f>EXP(-LN(2)/2)*AB134+(1-EXP(-LN(2)/2))/(LN(2)/2)*V135*Y135*VLOOKUP('Données projet'!$B$9,Paramètres!$A$1:$I$89,3,0)*0.475*44/12</f>
        <v>7.5168852451582159E-16</v>
      </c>
      <c r="AC135" s="22">
        <f t="shared" si="111"/>
        <v>1.3536067732439578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0</v>
      </c>
      <c r="AJ135" s="13">
        <f>AI135*VLOOKUP('Données projet'!$B$10,Paramètres!$A$1:$I$89,3,0)*VLOOKUP('Données projet'!$B$10,Paramètres!$A$1:$I$89,5,0)</f>
        <v>0</v>
      </c>
      <c r="AK135" s="13" t="e">
        <f t="shared" si="143"/>
        <v>#NUM!</v>
      </c>
      <c r="AL135" s="20" t="e">
        <f t="shared" si="112"/>
        <v>#NUM!</v>
      </c>
      <c r="AM135" s="59" t="e">
        <f t="shared" si="113"/>
        <v>#NUM!</v>
      </c>
      <c r="AN135" s="59">
        <f ca="1">AVERAGE(OFFSET($AM$3,0,0,'Données projet'!$E$10+1,1))-AVERAGE(OFFSET($H$3,0,0,'Données projet'!$E$10+1,1))</f>
        <v>255.41017495879987</v>
      </c>
      <c r="AO135" s="59">
        <f t="shared" si="144"/>
        <v>297.50513563712764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1.1068431006475499</v>
      </c>
      <c r="AV135" s="21">
        <f>EXP(-LN(2)/25)*AV134+(1-EXP(-LN(2)/25))/(LN(2)/25)*Calculateur!AQ135*Calculateur!AS135*VLOOKUP('Données projet'!$B$10,Paramètres!$A$1:$I$89,3,0)*0.475*44/12</f>
        <v>1.6479063412589556</v>
      </c>
      <c r="AW135" s="21">
        <f>EXP(-LN(2)/2)*AW134+(1-EXP(-LN(2)/2))/(LN(2)/2)*AQ135*AT135*VLOOKUP('Données projet'!$B$10,Paramètres!$A$1:$I$89,3,0)*0.475*44/12</f>
        <v>1.0836305691391548E-14</v>
      </c>
      <c r="AX135" s="21">
        <f t="shared" si="114"/>
        <v>2.7547494419065162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-5.1159076974727213E-13</v>
      </c>
      <c r="BE135" s="13">
        <f>BD135*VLOOKUP('Données projet'!$B$11,Paramètres!$A$1:$I$89,3,0)*VLOOKUP('Données projet'!$B$11,Paramètres!$A$1:$I$89,5,0)</f>
        <v>-4.0702161641092972E-13</v>
      </c>
      <c r="BF135" s="13" t="e">
        <f t="shared" si="145"/>
        <v>#NUM!</v>
      </c>
      <c r="BG135" s="20" t="e">
        <f t="shared" si="115"/>
        <v>#NUM!</v>
      </c>
      <c r="BH135" s="59" t="e">
        <f t="shared" si="116"/>
        <v>#NUM!</v>
      </c>
      <c r="BI135" s="59">
        <f ca="1">AVERAGE(OFFSET($BH$3,0,0,'Données projet'!$E$11+1,1))-AVERAGE(OFFSET($H$3,0,0,'Données projet'!$E$11+1,1))</f>
        <v>260.20517190557814</v>
      </c>
      <c r="BJ135" s="59">
        <f t="shared" si="146"/>
        <v>307.22009971147133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0.43284098684177197</v>
      </c>
      <c r="BQ135" s="21">
        <f>EXP(-LN(2)/25)*BQ134+(1-EXP(-LN(2)/25))/(LN(2)/25)*Calculateur!BL135*Calculateur!BN135*VLOOKUP('Données projet'!$B$11,Paramètres!$A$1:$I$89,3,0)*0.475*44/12</f>
        <v>1.2132954415978483</v>
      </c>
      <c r="BR135" s="21">
        <f>EXP(-LN(2)/2)*BR134+(1-EXP(-LN(2)/2))/(LN(2)/2)*BL135*BO135*VLOOKUP('Données projet'!$B$11,Paramètres!$A$1:$I$89,3,0)*0.475*44/12</f>
        <v>1.0675475726865574E-14</v>
      </c>
      <c r="BS135" s="22">
        <f t="shared" si="117"/>
        <v>1.6461364284396309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268.00000000000017</v>
      </c>
      <c r="BZ135" s="13">
        <f>BY135*VLOOKUP('Données projet'!$B$12,Paramètres!$A$1:$I$89,3,0)*VLOOKUP('Données projet'!$B$12,Paramètres!$A$1:$I$89,5,0)</f>
        <v>175.59360000000012</v>
      </c>
      <c r="CA135" s="13">
        <f t="shared" si="147"/>
        <v>44.340433728638573</v>
      </c>
      <c r="CB135" s="20">
        <f t="shared" si="118"/>
        <v>383.05177541071242</v>
      </c>
      <c r="CC135" s="59">
        <f t="shared" si="119"/>
        <v>676.38510874404574</v>
      </c>
      <c r="CD135" s="59">
        <f ca="1">AVERAGE(OFFSET($CC$3,0,0,'Données projet'!$E$12+1,1))-AVERAGE(OFFSET($H$3,0,0,'Données projet'!$E$12+1,1))</f>
        <v>185.21927898775016</v>
      </c>
      <c r="CE135" s="59">
        <f t="shared" si="148"/>
        <v>240.82467772396944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0.20657228006876993</v>
      </c>
      <c r="CL135" s="21">
        <f>EXP(-LN(2)/25)*CL134+(1-EXP(-LN(2)/25))/(LN(2)/25)*Calculateur!CG135*Calculateur!CI135*VLOOKUP('Données projet'!$B$12,Paramètres!$A$1:$I$89,3,0)*0.475*44/12</f>
        <v>0.47527743935704642</v>
      </c>
      <c r="CM135" s="21">
        <f>EXP(-LN(2)/2)*CM134+(1-EXP(-LN(2)/2))/(LN(2)/2)*CG135*CJ135*VLOOKUP('Données projet'!$B$12,Paramètres!$A$1:$I$89,3,0)*0.475*44/12</f>
        <v>6.2156537633338114E-15</v>
      </c>
      <c r="CN135" s="22">
        <f t="shared" si="120"/>
        <v>0.68184971942582262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118.26360000000022</v>
      </c>
      <c r="D136" s="11">
        <f t="shared" si="140"/>
        <v>31.26966959708238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1154.2919056616904</v>
      </c>
      <c r="H136" s="67">
        <f t="shared" si="110"/>
        <v>553.77044454825227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-2.2737367544323206E-13</v>
      </c>
      <c r="O136" s="13">
        <f>N136*VLOOKUP('Données projet'!$B$9,Paramètres!$A$1:$I$89,3,0)*VLOOKUP('Données projet'!$B$9,Paramètres!$A$1:$I$89,5,0)</f>
        <v>-1.2710188457276673E-13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255.5374979188561</v>
      </c>
      <c r="T136" s="59">
        <f t="shared" si="142"/>
        <v>343.10418468620901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0.40186108025559819</v>
      </c>
      <c r="AA136" s="21">
        <f>EXP(-LN(2)/25)*AA135+(1-EXP(-LN(2)/25))/(LN(2)/25)*Calculateur!V136*Calculateur!X136*VLOOKUP('Données projet'!$B$9,Paramètres!$A$1:$I$89,3,0)*0.475*44/12</f>
        <v>0.91790208452784738</v>
      </c>
      <c r="AB136" s="21">
        <f>EXP(-LN(2)/2)*AB135+(1-EXP(-LN(2)/2))/(LN(2)/2)*V136*Y136*VLOOKUP('Données projet'!$B$9,Paramètres!$A$1:$I$89,3,0)*0.475*44/12</f>
        <v>5.3152405302524782E-16</v>
      </c>
      <c r="AC136" s="22">
        <f t="shared" si="111"/>
        <v>1.319763164783446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0</v>
      </c>
      <c r="AJ136" s="13">
        <f>AI136*VLOOKUP('Données projet'!$B$10,Paramètres!$A$1:$I$89,3,0)*VLOOKUP('Données projet'!$B$10,Paramètres!$A$1:$I$89,5,0)</f>
        <v>0</v>
      </c>
      <c r="AK136" s="13" t="e">
        <f t="shared" si="143"/>
        <v>#NUM!</v>
      </c>
      <c r="AL136" s="20" t="e">
        <f t="shared" si="112"/>
        <v>#NUM!</v>
      </c>
      <c r="AM136" s="59" t="e">
        <f t="shared" si="113"/>
        <v>#NUM!</v>
      </c>
      <c r="AN136" s="59">
        <f ca="1">AVERAGE(OFFSET($AM$3,0,0,'Données projet'!$E$10+1,1))-AVERAGE(OFFSET($H$3,0,0,'Données projet'!$E$10+1,1))</f>
        <v>255.41017495879987</v>
      </c>
      <c r="AO136" s="59">
        <f t="shared" si="144"/>
        <v>297.50513563712764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1.0851385825514814</v>
      </c>
      <c r="AV136" s="21">
        <f>EXP(-LN(2)/25)*AV135+(1-EXP(-LN(2)/25))/(LN(2)/25)*Calculateur!AQ136*Calculateur!AS136*VLOOKUP('Données projet'!$B$10,Paramètres!$A$1:$I$89,3,0)*0.475*44/12</f>
        <v>1.6028442556976013</v>
      </c>
      <c r="AW136" s="21">
        <f>EXP(-LN(2)/2)*AW135+(1-EXP(-LN(2)/2))/(LN(2)/2)*AQ136*AT136*VLOOKUP('Données projet'!$B$10,Paramètres!$A$1:$I$89,3,0)*0.475*44/12</f>
        <v>7.6624252373933427E-15</v>
      </c>
      <c r="AX136" s="21">
        <f t="shared" si="114"/>
        <v>2.68798283824909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-5.1159076974727213E-13</v>
      </c>
      <c r="BE136" s="13">
        <f>BD136*VLOOKUP('Données projet'!$B$11,Paramètres!$A$1:$I$89,3,0)*VLOOKUP('Données projet'!$B$11,Paramètres!$A$1:$I$89,5,0)</f>
        <v>-4.0702161641092972E-13</v>
      </c>
      <c r="BF136" s="13" t="e">
        <f t="shared" si="145"/>
        <v>#NUM!</v>
      </c>
      <c r="BG136" s="20" t="e">
        <f t="shared" si="115"/>
        <v>#NUM!</v>
      </c>
      <c r="BH136" s="59" t="e">
        <f t="shared" si="116"/>
        <v>#NUM!</v>
      </c>
      <c r="BI136" s="59">
        <f ca="1">AVERAGE(OFFSET($BH$3,0,0,'Données projet'!$E$11+1,1))-AVERAGE(OFFSET($H$3,0,0,'Données projet'!$E$11+1,1))</f>
        <v>260.20517190557814</v>
      </c>
      <c r="BJ136" s="59">
        <f t="shared" si="146"/>
        <v>307.22009971147133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0.42435323909673828</v>
      </c>
      <c r="BQ136" s="21">
        <f>EXP(-LN(2)/25)*BQ135+(1-EXP(-LN(2)/25))/(LN(2)/25)*Calculateur!BL136*Calculateur!BN136*VLOOKUP('Données projet'!$B$11,Paramètres!$A$1:$I$89,3,0)*0.475*44/12</f>
        <v>1.1801178139429209</v>
      </c>
      <c r="BR136" s="21">
        <f>EXP(-LN(2)/2)*BR135+(1-EXP(-LN(2)/2))/(LN(2)/2)*BL136*BO136*VLOOKUP('Données projet'!$B$11,Paramètres!$A$1:$I$89,3,0)*0.475*44/12</f>
        <v>7.5487012788590345E-15</v>
      </c>
      <c r="BS136" s="22">
        <f t="shared" si="117"/>
        <v>1.6044710530396666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268.00000000000017</v>
      </c>
      <c r="BZ136" s="13">
        <f>BY136*VLOOKUP('Données projet'!$B$12,Paramètres!$A$1:$I$89,3,0)*VLOOKUP('Données projet'!$B$12,Paramètres!$A$1:$I$89,5,0)</f>
        <v>175.59360000000012</v>
      </c>
      <c r="CA136" s="13">
        <f t="shared" si="147"/>
        <v>44.340433728638573</v>
      </c>
      <c r="CB136" s="20">
        <f t="shared" si="118"/>
        <v>383.05177541071242</v>
      </c>
      <c r="CC136" s="59">
        <f t="shared" si="119"/>
        <v>676.38510874404574</v>
      </c>
      <c r="CD136" s="59">
        <f ca="1">AVERAGE(OFFSET($CC$3,0,0,'Données projet'!$E$12+1,1))-AVERAGE(OFFSET($H$3,0,0,'Données projet'!$E$12+1,1))</f>
        <v>185.21927898775016</v>
      </c>
      <c r="CE136" s="59">
        <f t="shared" si="148"/>
        <v>240.82467772396944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0.20252152365327106</v>
      </c>
      <c r="CL136" s="21">
        <f>EXP(-LN(2)/25)*CL135+(1-EXP(-LN(2)/25))/(LN(2)/25)*Calculateur!CG136*Calculateur!CI136*VLOOKUP('Données projet'!$B$12,Paramètres!$A$1:$I$89,3,0)*0.475*44/12</f>
        <v>0.46228095278407372</v>
      </c>
      <c r="CM136" s="21">
        <f>EXP(-LN(2)/2)*CM135+(1-EXP(-LN(2)/2))/(LN(2)/2)*CG136*CJ136*VLOOKUP('Données projet'!$B$12,Paramètres!$A$1:$I$89,3,0)*0.475*44/12</f>
        <v>4.395130925561022E-15</v>
      </c>
      <c r="CN136" s="22">
        <f t="shared" si="120"/>
        <v>0.66480247643734924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119.15280000000023</v>
      </c>
      <c r="D137" s="11">
        <f t="shared" si="140"/>
        <v>31.477322402212781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1162.7588395960302</v>
      </c>
      <c r="H137" s="67">
        <f t="shared" si="110"/>
        <v>555.68079651718767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-2.2737367544323206E-13</v>
      </c>
      <c r="O137" s="13">
        <f>N137*VLOOKUP('Données projet'!$B$9,Paramètres!$A$1:$I$89,3,0)*VLOOKUP('Données projet'!$B$9,Paramètres!$A$1:$I$89,5,0)</f>
        <v>-1.2710188457276673E-13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255.5374979188561</v>
      </c>
      <c r="T137" s="59">
        <f t="shared" si="142"/>
        <v>343.10418468620901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0.39398082958284214</v>
      </c>
      <c r="AA137" s="21">
        <f>EXP(-LN(2)/25)*AA136+(1-EXP(-LN(2)/25))/(LN(2)/25)*Calculateur!V137*Calculateur!X137*VLOOKUP('Données projet'!$B$9,Paramètres!$A$1:$I$89,3,0)*0.475*44/12</f>
        <v>0.89280200375606067</v>
      </c>
      <c r="AB137" s="21">
        <f>EXP(-LN(2)/2)*AB136+(1-EXP(-LN(2)/2))/(LN(2)/2)*V137*Y137*VLOOKUP('Données projet'!$B$9,Paramètres!$A$1:$I$89,3,0)*0.475*44/12</f>
        <v>3.758442622579108E-16</v>
      </c>
      <c r="AC137" s="22">
        <f t="shared" si="111"/>
        <v>1.2867828333389033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0</v>
      </c>
      <c r="AJ137" s="13">
        <f>AI137*VLOOKUP('Données projet'!$B$10,Paramètres!$A$1:$I$89,3,0)*VLOOKUP('Données projet'!$B$10,Paramètres!$A$1:$I$89,5,0)</f>
        <v>0</v>
      </c>
      <c r="AK137" s="13" t="e">
        <f t="shared" si="143"/>
        <v>#NUM!</v>
      </c>
      <c r="AL137" s="20" t="e">
        <f t="shared" si="112"/>
        <v>#NUM!</v>
      </c>
      <c r="AM137" s="59" t="e">
        <f t="shared" si="113"/>
        <v>#NUM!</v>
      </c>
      <c r="AN137" s="59">
        <f ca="1">AVERAGE(OFFSET($AM$3,0,0,'Données projet'!$E$10+1,1))-AVERAGE(OFFSET($H$3,0,0,'Données projet'!$E$10+1,1))</f>
        <v>255.41017495879987</v>
      </c>
      <c r="AO137" s="59">
        <f t="shared" si="144"/>
        <v>297.50513563712764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1.063859676816828</v>
      </c>
      <c r="AV137" s="21">
        <f>EXP(-LN(2)/25)*AV136+(1-EXP(-LN(2)/25))/(LN(2)/25)*Calculateur!AQ137*Calculateur!AS137*VLOOKUP('Données projet'!$B$10,Paramètres!$A$1:$I$89,3,0)*0.475*44/12</f>
        <v>1.5590143952356343</v>
      </c>
      <c r="AW137" s="21">
        <f>EXP(-LN(2)/2)*AW136+(1-EXP(-LN(2)/2))/(LN(2)/2)*AQ137*AT137*VLOOKUP('Données projet'!$B$10,Paramètres!$A$1:$I$89,3,0)*0.475*44/12</f>
        <v>5.4181528456957739E-15</v>
      </c>
      <c r="AX137" s="21">
        <f t="shared" si="114"/>
        <v>2.6228740720524675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-5.1159076974727213E-13</v>
      </c>
      <c r="BE137" s="13">
        <f>BD137*VLOOKUP('Données projet'!$B$11,Paramètres!$A$1:$I$89,3,0)*VLOOKUP('Données projet'!$B$11,Paramètres!$A$1:$I$89,5,0)</f>
        <v>-4.0702161641092972E-13</v>
      </c>
      <c r="BF137" s="13" t="e">
        <f t="shared" si="145"/>
        <v>#NUM!</v>
      </c>
      <c r="BG137" s="20" t="e">
        <f t="shared" si="115"/>
        <v>#NUM!</v>
      </c>
      <c r="BH137" s="59" t="e">
        <f t="shared" si="116"/>
        <v>#NUM!</v>
      </c>
      <c r="BI137" s="59">
        <f ca="1">AVERAGE(OFFSET($BH$3,0,0,'Données projet'!$E$11+1,1))-AVERAGE(OFFSET($H$3,0,0,'Données projet'!$E$11+1,1))</f>
        <v>260.20517190557814</v>
      </c>
      <c r="BJ137" s="59">
        <f t="shared" si="146"/>
        <v>307.22009971147133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0.41603193090796975</v>
      </c>
      <c r="BQ137" s="21">
        <f>EXP(-LN(2)/25)*BQ136+(1-EXP(-LN(2)/25))/(LN(2)/25)*Calculateur!BL137*Calculateur!BN137*VLOOKUP('Données projet'!$B$11,Paramètres!$A$1:$I$89,3,0)*0.475*44/12</f>
        <v>1.1478474302609531</v>
      </c>
      <c r="BR137" s="21">
        <f>EXP(-LN(2)/2)*BR136+(1-EXP(-LN(2)/2))/(LN(2)/2)*BL137*BO137*VLOOKUP('Données projet'!$B$11,Paramètres!$A$1:$I$89,3,0)*0.475*44/12</f>
        <v>5.3377378634327868E-15</v>
      </c>
      <c r="BS137" s="22">
        <f t="shared" si="117"/>
        <v>1.5638793611689281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268.00000000000017</v>
      </c>
      <c r="BZ137" s="13">
        <f>BY137*VLOOKUP('Données projet'!$B$12,Paramètres!$A$1:$I$89,3,0)*VLOOKUP('Données projet'!$B$12,Paramètres!$A$1:$I$89,5,0)</f>
        <v>175.59360000000012</v>
      </c>
      <c r="CA137" s="13">
        <f t="shared" si="147"/>
        <v>44.340433728638573</v>
      </c>
      <c r="CB137" s="20">
        <f t="shared" si="118"/>
        <v>383.05177541071242</v>
      </c>
      <c r="CC137" s="59">
        <f t="shared" si="119"/>
        <v>676.38510874404574</v>
      </c>
      <c r="CD137" s="59">
        <f ca="1">AVERAGE(OFFSET($CC$3,0,0,'Données projet'!$E$12+1,1))-AVERAGE(OFFSET($H$3,0,0,'Données projet'!$E$12+1,1))</f>
        <v>185.21927898775016</v>
      </c>
      <c r="CE137" s="59">
        <f t="shared" si="148"/>
        <v>240.82467772396944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0.19855020010036267</v>
      </c>
      <c r="CL137" s="21">
        <f>EXP(-LN(2)/25)*CL136+(1-EXP(-LN(2)/25))/(LN(2)/25)*Calculateur!CG137*Calculateur!CI137*VLOOKUP('Données projet'!$B$12,Paramètres!$A$1:$I$89,3,0)*0.475*44/12</f>
        <v>0.44963985581989446</v>
      </c>
      <c r="CM137" s="21">
        <f>EXP(-LN(2)/2)*CM136+(1-EXP(-LN(2)/2))/(LN(2)/2)*CG137*CJ137*VLOOKUP('Données projet'!$B$12,Paramètres!$A$1:$I$89,3,0)*0.475*44/12</f>
        <v>3.1078268816669057E-15</v>
      </c>
      <c r="CN137" s="22">
        <f t="shared" si="120"/>
        <v>0.64819005592026024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120.04200000000023</v>
      </c>
      <c r="D138" s="11">
        <f t="shared" si="140"/>
        <v>31.68479490489014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1171.2243817219608</v>
      </c>
      <c r="H138" s="67">
        <f t="shared" si="110"/>
        <v>557.59083445935073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-2.2737367544323206E-13</v>
      </c>
      <c r="O138" s="13">
        <f>N138*VLOOKUP('Données projet'!$B$9,Paramètres!$A$1:$I$89,3,0)*VLOOKUP('Données projet'!$B$9,Paramètres!$A$1:$I$89,5,0)</f>
        <v>-1.2710188457276673E-13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255.5374979188561</v>
      </c>
      <c r="T138" s="59">
        <f t="shared" si="142"/>
        <v>343.10418468620901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0.38625510581930056</v>
      </c>
      <c r="AA138" s="21">
        <f>EXP(-LN(2)/25)*AA137+(1-EXP(-LN(2)/25))/(LN(2)/25)*Calculateur!V138*Calculateur!X138*VLOOKUP('Données projet'!$B$9,Paramètres!$A$1:$I$89,3,0)*0.475*44/12</f>
        <v>0.86838828601293439</v>
      </c>
      <c r="AB138" s="21">
        <f>EXP(-LN(2)/2)*AB137+(1-EXP(-LN(2)/2))/(LN(2)/2)*V138*Y138*VLOOKUP('Données projet'!$B$9,Paramètres!$A$1:$I$89,3,0)*0.475*44/12</f>
        <v>2.6576202651262391E-16</v>
      </c>
      <c r="AC138" s="22">
        <f t="shared" si="111"/>
        <v>1.2546433918322351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0</v>
      </c>
      <c r="AJ138" s="13">
        <f>AI138*VLOOKUP('Données projet'!$B$10,Paramètres!$A$1:$I$89,3,0)*VLOOKUP('Données projet'!$B$10,Paramètres!$A$1:$I$89,5,0)</f>
        <v>0</v>
      </c>
      <c r="AK138" s="13" t="e">
        <f t="shared" si="143"/>
        <v>#NUM!</v>
      </c>
      <c r="AL138" s="20" t="e">
        <f t="shared" si="112"/>
        <v>#NUM!</v>
      </c>
      <c r="AM138" s="59" t="e">
        <f t="shared" si="113"/>
        <v>#NUM!</v>
      </c>
      <c r="AN138" s="59">
        <f ca="1">AVERAGE(OFFSET($AM$3,0,0,'Données projet'!$E$10+1,1))-AVERAGE(OFFSET($H$3,0,0,'Données projet'!$E$10+1,1))</f>
        <v>255.41017495879987</v>
      </c>
      <c r="AO138" s="59">
        <f t="shared" si="144"/>
        <v>297.50513563712764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1.0429980374447803</v>
      </c>
      <c r="AV138" s="21">
        <f>EXP(-LN(2)/25)*AV137+(1-EXP(-LN(2)/25))/(LN(2)/25)*Calculateur!AQ138*Calculateur!AS138*VLOOKUP('Données projet'!$B$10,Paramètres!$A$1:$I$89,3,0)*0.475*44/12</f>
        <v>1.5163830646129119</v>
      </c>
      <c r="AW138" s="21">
        <f>EXP(-LN(2)/2)*AW137+(1-EXP(-LN(2)/2))/(LN(2)/2)*AQ138*AT138*VLOOKUP('Données projet'!$B$10,Paramètres!$A$1:$I$89,3,0)*0.475*44/12</f>
        <v>3.8312126186966713E-15</v>
      </c>
      <c r="AX138" s="21">
        <f t="shared" si="114"/>
        <v>2.5593811020576962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-5.1159076974727213E-13</v>
      </c>
      <c r="BE138" s="13">
        <f>BD138*VLOOKUP('Données projet'!$B$11,Paramètres!$A$1:$I$89,3,0)*VLOOKUP('Données projet'!$B$11,Paramètres!$A$1:$I$89,5,0)</f>
        <v>-4.0702161641092972E-13</v>
      </c>
      <c r="BF138" s="13" t="e">
        <f t="shared" si="145"/>
        <v>#NUM!</v>
      </c>
      <c r="BG138" s="20" t="e">
        <f t="shared" si="115"/>
        <v>#NUM!</v>
      </c>
      <c r="BH138" s="59" t="e">
        <f t="shared" si="116"/>
        <v>#NUM!</v>
      </c>
      <c r="BI138" s="59">
        <f ca="1">AVERAGE(OFFSET($BH$3,0,0,'Données projet'!$E$11+1,1))-AVERAGE(OFFSET($H$3,0,0,'Données projet'!$E$11+1,1))</f>
        <v>260.20517190557814</v>
      </c>
      <c r="BJ138" s="59">
        <f t="shared" si="146"/>
        <v>307.22009971147133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0.40787379849728617</v>
      </c>
      <c r="BQ138" s="21">
        <f>EXP(-LN(2)/25)*BQ137+(1-EXP(-LN(2)/25))/(LN(2)/25)*Calculateur!BL138*Calculateur!BN138*VLOOKUP('Données projet'!$B$11,Paramètres!$A$1:$I$89,3,0)*0.475*44/12</f>
        <v>1.1164594819177944</v>
      </c>
      <c r="BR138" s="21">
        <f>EXP(-LN(2)/2)*BR137+(1-EXP(-LN(2)/2))/(LN(2)/2)*BL138*BO138*VLOOKUP('Données projet'!$B$11,Paramètres!$A$1:$I$89,3,0)*0.475*44/12</f>
        <v>3.7743506394295173E-15</v>
      </c>
      <c r="BS138" s="22">
        <f t="shared" si="117"/>
        <v>1.5243332804150844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268.00000000000017</v>
      </c>
      <c r="BZ138" s="13">
        <f>BY138*VLOOKUP('Données projet'!$B$12,Paramètres!$A$1:$I$89,3,0)*VLOOKUP('Données projet'!$B$12,Paramètres!$A$1:$I$89,5,0)</f>
        <v>175.59360000000012</v>
      </c>
      <c r="CA138" s="13">
        <f t="shared" si="147"/>
        <v>44.340433728638573</v>
      </c>
      <c r="CB138" s="20">
        <f t="shared" si="118"/>
        <v>383.05177541071242</v>
      </c>
      <c r="CC138" s="59">
        <f t="shared" si="119"/>
        <v>676.38510874404574</v>
      </c>
      <c r="CD138" s="59">
        <f ca="1">AVERAGE(OFFSET($CC$3,0,0,'Données projet'!$E$12+1,1))-AVERAGE(OFFSET($H$3,0,0,'Données projet'!$E$12+1,1))</f>
        <v>185.21927898775016</v>
      </c>
      <c r="CE138" s="59">
        <f t="shared" si="148"/>
        <v>240.82467772396944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0.19465675178005862</v>
      </c>
      <c r="CL138" s="21">
        <f>EXP(-LN(2)/25)*CL137+(1-EXP(-LN(2)/25))/(LN(2)/25)*Calculateur!CG138*Calculateur!CI138*VLOOKUP('Données projet'!$B$12,Paramètres!$A$1:$I$89,3,0)*0.475*44/12</f>
        <v>0.43734443031696707</v>
      </c>
      <c r="CM138" s="21">
        <f>EXP(-LN(2)/2)*CM137+(1-EXP(-LN(2)/2))/(LN(2)/2)*CG138*CJ138*VLOOKUP('Données projet'!$B$12,Paramètres!$A$1:$I$89,3,0)*0.475*44/12</f>
        <v>2.197565462780511E-15</v>
      </c>
      <c r="CN138" s="22">
        <f t="shared" si="120"/>
        <v>0.63200118209702794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120.93120000000023</v>
      </c>
      <c r="D139" s="11">
        <f t="shared" si="140"/>
        <v>31.892088595533707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1179.6885435444726</v>
      </c>
      <c r="H139" s="67">
        <f t="shared" si="110"/>
        <v>559.50056097055494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-2.2737367544323206E-13</v>
      </c>
      <c r="O139" s="13">
        <f>N139*VLOOKUP('Données projet'!$B$9,Paramètres!$A$1:$I$89,3,0)*VLOOKUP('Données projet'!$B$9,Paramètres!$A$1:$I$89,5,0)</f>
        <v>-1.2710188457276673E-13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255.5374979188561</v>
      </c>
      <c r="T139" s="59">
        <f t="shared" si="142"/>
        <v>343.10418468620901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0.37868087878653584</v>
      </c>
      <c r="AA139" s="21">
        <f>EXP(-LN(2)/25)*AA138+(1-EXP(-LN(2)/25))/(LN(2)/25)*Calculateur!V139*Calculateur!X139*VLOOKUP('Données projet'!$B$9,Paramètres!$A$1:$I$89,3,0)*0.475*44/12</f>
        <v>0.84464216266535541</v>
      </c>
      <c r="AB139" s="21">
        <f>EXP(-LN(2)/2)*AB138+(1-EXP(-LN(2)/2))/(LN(2)/2)*V139*Y139*VLOOKUP('Données projet'!$B$9,Paramètres!$A$1:$I$89,3,0)*0.475*44/12</f>
        <v>1.879221311289554E-16</v>
      </c>
      <c r="AC139" s="22">
        <f t="shared" si="111"/>
        <v>1.2233230414518914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0</v>
      </c>
      <c r="AJ139" s="13">
        <f>AI139*VLOOKUP('Données projet'!$B$10,Paramètres!$A$1:$I$89,3,0)*VLOOKUP('Données projet'!$B$10,Paramètres!$A$1:$I$89,5,0)</f>
        <v>0</v>
      </c>
      <c r="AK139" s="13" t="e">
        <f t="shared" si="143"/>
        <v>#NUM!</v>
      </c>
      <c r="AL139" s="20" t="e">
        <f t="shared" si="112"/>
        <v>#NUM!</v>
      </c>
      <c r="AM139" s="59" t="e">
        <f t="shared" si="113"/>
        <v>#NUM!</v>
      </c>
      <c r="AN139" s="59">
        <f ca="1">AVERAGE(OFFSET($AM$3,0,0,'Données projet'!$E$10+1,1))-AVERAGE(OFFSET($H$3,0,0,'Données projet'!$E$10+1,1))</f>
        <v>255.41017495879987</v>
      </c>
      <c r="AO139" s="59">
        <f t="shared" si="144"/>
        <v>297.50513563712764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1.0225454820964748</v>
      </c>
      <c r="AV139" s="21">
        <f>EXP(-LN(2)/25)*AV138+(1-EXP(-LN(2)/25))/(LN(2)/25)*Calculateur!AQ139*Calculateur!AS139*VLOOKUP('Données projet'!$B$10,Paramètres!$A$1:$I$89,3,0)*0.475*44/12</f>
        <v>1.4749174899679522</v>
      </c>
      <c r="AW139" s="21">
        <f>EXP(-LN(2)/2)*AW138+(1-EXP(-LN(2)/2))/(LN(2)/2)*AQ139*AT139*VLOOKUP('Données projet'!$B$10,Paramètres!$A$1:$I$89,3,0)*0.475*44/12</f>
        <v>2.709076422847887E-15</v>
      </c>
      <c r="AX139" s="21">
        <f t="shared" si="114"/>
        <v>2.4974629720644295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-5.1159076974727213E-13</v>
      </c>
      <c r="BE139" s="13">
        <f>BD139*VLOOKUP('Données projet'!$B$11,Paramètres!$A$1:$I$89,3,0)*VLOOKUP('Données projet'!$B$11,Paramètres!$A$1:$I$89,5,0)</f>
        <v>-4.0702161641092972E-13</v>
      </c>
      <c r="BF139" s="13" t="e">
        <f t="shared" si="145"/>
        <v>#NUM!</v>
      </c>
      <c r="BG139" s="20" t="e">
        <f t="shared" si="115"/>
        <v>#NUM!</v>
      </c>
      <c r="BH139" s="59" t="e">
        <f t="shared" si="116"/>
        <v>#NUM!</v>
      </c>
      <c r="BI139" s="59">
        <f ca="1">AVERAGE(OFFSET($BH$3,0,0,'Données projet'!$E$11+1,1))-AVERAGE(OFFSET($H$3,0,0,'Données projet'!$E$11+1,1))</f>
        <v>260.20517190557814</v>
      </c>
      <c r="BJ139" s="59">
        <f t="shared" si="146"/>
        <v>307.22009971147133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0.39987564208720666</v>
      </c>
      <c r="BQ139" s="21">
        <f>EXP(-LN(2)/25)*BQ138+(1-EXP(-LN(2)/25))/(LN(2)/25)*Calculateur!BL139*Calculateur!BN139*VLOOKUP('Données projet'!$B$11,Paramètres!$A$1:$I$89,3,0)*0.475*44/12</f>
        <v>1.0859298386726999</v>
      </c>
      <c r="BR139" s="21">
        <f>EXP(-LN(2)/2)*BR138+(1-EXP(-LN(2)/2))/(LN(2)/2)*BL139*BO139*VLOOKUP('Données projet'!$B$11,Paramètres!$A$1:$I$89,3,0)*0.475*44/12</f>
        <v>2.6688689317163934E-15</v>
      </c>
      <c r="BS139" s="22">
        <f t="shared" si="117"/>
        <v>1.4858054807599093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268.00000000000017</v>
      </c>
      <c r="BZ139" s="13">
        <f>BY139*VLOOKUP('Données projet'!$B$12,Paramètres!$A$1:$I$89,3,0)*VLOOKUP('Données projet'!$B$12,Paramètres!$A$1:$I$89,5,0)</f>
        <v>175.59360000000012</v>
      </c>
      <c r="CA139" s="13">
        <f t="shared" si="147"/>
        <v>44.340433728638573</v>
      </c>
      <c r="CB139" s="20">
        <f t="shared" si="118"/>
        <v>383.05177541071242</v>
      </c>
      <c r="CC139" s="59">
        <f t="shared" si="119"/>
        <v>676.38510874404574</v>
      </c>
      <c r="CD139" s="59">
        <f ca="1">AVERAGE(OFFSET($CC$3,0,0,'Données projet'!$E$12+1,1))-AVERAGE(OFFSET($H$3,0,0,'Données projet'!$E$12+1,1))</f>
        <v>185.21927898775016</v>
      </c>
      <c r="CE139" s="59">
        <f t="shared" si="148"/>
        <v>240.82467772396944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0.19083965160654676</v>
      </c>
      <c r="CL139" s="21">
        <f>EXP(-LN(2)/25)*CL138+(1-EXP(-LN(2)/25))/(LN(2)/25)*Calculateur!CG139*Calculateur!CI139*VLOOKUP('Données projet'!$B$12,Paramètres!$A$1:$I$89,3,0)*0.475*44/12</f>
        <v>0.42538522387100558</v>
      </c>
      <c r="CM139" s="21">
        <f>EXP(-LN(2)/2)*CM138+(1-EXP(-LN(2)/2))/(LN(2)/2)*CG139*CJ139*VLOOKUP('Données projet'!$B$12,Paramètres!$A$1:$I$89,3,0)*0.475*44/12</f>
        <v>1.5539134408334529E-15</v>
      </c>
      <c r="CN139" s="22">
        <f t="shared" si="120"/>
        <v>0.61622487547755389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121.82040000000023</v>
      </c>
      <c r="D140" s="11">
        <f t="shared" si="140"/>
        <v>32.09920494137846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1188.1513363895899</v>
      </c>
      <c r="H140" s="67">
        <f t="shared" si="110"/>
        <v>561.40997860623452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-2.2737367544323206E-13</v>
      </c>
      <c r="O140" s="13">
        <f>N140*VLOOKUP('Données projet'!$B$9,Paramètres!$A$1:$I$89,3,0)*VLOOKUP('Données projet'!$B$9,Paramètres!$A$1:$I$89,5,0)</f>
        <v>-1.2710188457276673E-13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255.5374979188561</v>
      </c>
      <c r="T140" s="59">
        <f t="shared" si="142"/>
        <v>343.10418468620901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0.37125517772606126</v>
      </c>
      <c r="AA140" s="21">
        <f>EXP(-LN(2)/25)*AA139+(1-EXP(-LN(2)/25))/(LN(2)/25)*Calculateur!V140*Calculateur!X140*VLOOKUP('Données projet'!$B$9,Paramètres!$A$1:$I$89,3,0)*0.475*44/12</f>
        <v>0.82154537830947039</v>
      </c>
      <c r="AB140" s="21">
        <f>EXP(-LN(2)/2)*AB139+(1-EXP(-LN(2)/2))/(LN(2)/2)*V140*Y140*VLOOKUP('Données projet'!$B$9,Paramètres!$A$1:$I$89,3,0)*0.475*44/12</f>
        <v>1.3288101325631195E-16</v>
      </c>
      <c r="AC140" s="22">
        <f t="shared" si="111"/>
        <v>1.1928005560355319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0</v>
      </c>
      <c r="AJ140" s="13">
        <f>AI140*VLOOKUP('Données projet'!$B$10,Paramètres!$A$1:$I$89,3,0)*VLOOKUP('Données projet'!$B$10,Paramètres!$A$1:$I$89,5,0)</f>
        <v>0</v>
      </c>
      <c r="AK140" s="13" t="e">
        <f t="shared" si="143"/>
        <v>#NUM!</v>
      </c>
      <c r="AL140" s="20" t="e">
        <f t="shared" si="112"/>
        <v>#NUM!</v>
      </c>
      <c r="AM140" s="59" t="e">
        <f t="shared" si="113"/>
        <v>#NUM!</v>
      </c>
      <c r="AN140" s="59">
        <f ca="1">AVERAGE(OFFSET($AM$3,0,0,'Données projet'!$E$10+1,1))-AVERAGE(OFFSET($H$3,0,0,'Données projet'!$E$10+1,1))</f>
        <v>255.41017495879987</v>
      </c>
      <c r="AO140" s="59">
        <f t="shared" si="144"/>
        <v>297.50513563712764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1.0024939888837225</v>
      </c>
      <c r="AV140" s="21">
        <f>EXP(-LN(2)/25)*AV139+(1-EXP(-LN(2)/25))/(LN(2)/25)*Calculateur!AQ140*Calculateur!AS140*VLOOKUP('Données projet'!$B$10,Paramètres!$A$1:$I$89,3,0)*0.475*44/12</f>
        <v>1.4345857936422388</v>
      </c>
      <c r="AW140" s="21">
        <f>EXP(-LN(2)/2)*AW139+(1-EXP(-LN(2)/2))/(LN(2)/2)*AQ140*AT140*VLOOKUP('Données projet'!$B$10,Paramètres!$A$1:$I$89,3,0)*0.475*44/12</f>
        <v>1.9156063093483357E-15</v>
      </c>
      <c r="AX140" s="21">
        <f t="shared" si="114"/>
        <v>2.4370797825259629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-5.1159076974727213E-13</v>
      </c>
      <c r="BE140" s="13">
        <f>BD140*VLOOKUP('Données projet'!$B$11,Paramètres!$A$1:$I$89,3,0)*VLOOKUP('Données projet'!$B$11,Paramètres!$A$1:$I$89,5,0)</f>
        <v>-4.0702161641092972E-13</v>
      </c>
      <c r="BF140" s="13" t="e">
        <f t="shared" si="145"/>
        <v>#NUM!</v>
      </c>
      <c r="BG140" s="20" t="e">
        <f t="shared" si="115"/>
        <v>#NUM!</v>
      </c>
      <c r="BH140" s="59" t="e">
        <f t="shared" si="116"/>
        <v>#NUM!</v>
      </c>
      <c r="BI140" s="59">
        <f ca="1">AVERAGE(OFFSET($BH$3,0,0,'Données projet'!$E$11+1,1))-AVERAGE(OFFSET($H$3,0,0,'Données projet'!$E$11+1,1))</f>
        <v>260.20517190557814</v>
      </c>
      <c r="BJ140" s="59">
        <f t="shared" si="146"/>
        <v>307.22009971147133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0.39203432464593507</v>
      </c>
      <c r="BQ140" s="21">
        <f>EXP(-LN(2)/25)*BQ139+(1-EXP(-LN(2)/25))/(LN(2)/25)*Calculateur!BL140*Calculateur!BN140*VLOOKUP('Données projet'!$B$11,Paramètres!$A$1:$I$89,3,0)*0.475*44/12</f>
        <v>1.0562350301276267</v>
      </c>
      <c r="BR140" s="21">
        <f>EXP(-LN(2)/2)*BR139+(1-EXP(-LN(2)/2))/(LN(2)/2)*BL140*BO140*VLOOKUP('Données projet'!$B$11,Paramètres!$A$1:$I$89,3,0)*0.475*44/12</f>
        <v>1.8871753197147586E-15</v>
      </c>
      <c r="BS140" s="22">
        <f t="shared" si="117"/>
        <v>1.4482693547735634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268.00000000000017</v>
      </c>
      <c r="BZ140" s="13">
        <f>BY140*VLOOKUP('Données projet'!$B$12,Paramètres!$A$1:$I$89,3,0)*VLOOKUP('Données projet'!$B$12,Paramètres!$A$1:$I$89,5,0)</f>
        <v>175.59360000000012</v>
      </c>
      <c r="CA140" s="13">
        <f t="shared" si="147"/>
        <v>44.340433728638573</v>
      </c>
      <c r="CB140" s="20">
        <f t="shared" si="118"/>
        <v>383.05177541071242</v>
      </c>
      <c r="CC140" s="59">
        <f t="shared" si="119"/>
        <v>676.38510874404574</v>
      </c>
      <c r="CD140" s="59">
        <f ca="1">AVERAGE(OFFSET($CC$3,0,0,'Données projet'!$E$12+1,1))-AVERAGE(OFFSET($H$3,0,0,'Données projet'!$E$12+1,1))</f>
        <v>185.21927898775016</v>
      </c>
      <c r="CE140" s="59">
        <f t="shared" si="148"/>
        <v>240.82467772396944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0.18709740243923623</v>
      </c>
      <c r="CL140" s="21">
        <f>EXP(-LN(2)/25)*CL139+(1-EXP(-LN(2)/25))/(LN(2)/25)*Calculateur!CG140*Calculateur!CI140*VLOOKUP('Données projet'!$B$12,Paramètres!$A$1:$I$89,3,0)*0.475*44/12</f>
        <v>0.41375304255421624</v>
      </c>
      <c r="CM140" s="21">
        <f>EXP(-LN(2)/2)*CM139+(1-EXP(-LN(2)/2))/(LN(2)/2)*CG140*CJ140*VLOOKUP('Données projet'!$B$12,Paramètres!$A$1:$I$89,3,0)*0.475*44/12</f>
        <v>1.0987827313902555E-15</v>
      </c>
      <c r="CN140" s="22">
        <f t="shared" si="120"/>
        <v>0.60085044499345353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122.70960000000024</v>
      </c>
      <c r="D141" s="11">
        <f t="shared" si="140"/>
        <v>32.306145387002346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1196.6127714084412</v>
      </c>
      <c r="H141" s="67">
        <f t="shared" si="110"/>
        <v>563.31908988236285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-2.2737367544323206E-13</v>
      </c>
      <c r="O141" s="13">
        <f>N141*VLOOKUP('Données projet'!$B$9,Paramètres!$A$1:$I$89,3,0)*VLOOKUP('Données projet'!$B$9,Paramètres!$A$1:$I$89,5,0)</f>
        <v>-1.2710188457276673E-13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255.5374979188561</v>
      </c>
      <c r="T141" s="59">
        <f t="shared" si="142"/>
        <v>343.10418468620901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0.36397509013415219</v>
      </c>
      <c r="AA141" s="21">
        <f>EXP(-LN(2)/25)*AA140+(1-EXP(-LN(2)/25))/(LN(2)/25)*Calculateur!V141*Calculateur!X141*VLOOKUP('Données projet'!$B$9,Paramètres!$A$1:$I$89,3,0)*0.475*44/12</f>
        <v>0.79908017673640419</v>
      </c>
      <c r="AB141" s="21">
        <f>EXP(-LN(2)/2)*AB140+(1-EXP(-LN(2)/2))/(LN(2)/2)*V141*Y141*VLOOKUP('Données projet'!$B$9,Paramètres!$A$1:$I$89,3,0)*0.475*44/12</f>
        <v>9.3961065564477699E-17</v>
      </c>
      <c r="AC141" s="22">
        <f t="shared" si="111"/>
        <v>1.1630552668705563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0</v>
      </c>
      <c r="AJ141" s="13">
        <f>AI141*VLOOKUP('Données projet'!$B$10,Paramètres!$A$1:$I$89,3,0)*VLOOKUP('Données projet'!$B$10,Paramètres!$A$1:$I$89,5,0)</f>
        <v>0</v>
      </c>
      <c r="AK141" s="13" t="e">
        <f t="shared" si="143"/>
        <v>#NUM!</v>
      </c>
      <c r="AL141" s="20" t="e">
        <f t="shared" si="112"/>
        <v>#NUM!</v>
      </c>
      <c r="AM141" s="59" t="e">
        <f t="shared" si="113"/>
        <v>#NUM!</v>
      </c>
      <c r="AN141" s="59">
        <f ca="1">AVERAGE(OFFSET($AM$3,0,0,'Données projet'!$E$10+1,1))-AVERAGE(OFFSET($H$3,0,0,'Données projet'!$E$10+1,1))</f>
        <v>255.41017495879987</v>
      </c>
      <c r="AO141" s="59">
        <f t="shared" si="144"/>
        <v>297.50513563712764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0.98283569322266917</v>
      </c>
      <c r="AV141" s="21">
        <f>EXP(-LN(2)/25)*AV140+(1-EXP(-LN(2)/25))/(LN(2)/25)*Calculateur!AQ141*Calculateur!AS141*VLOOKUP('Données projet'!$B$10,Paramètres!$A$1:$I$89,3,0)*0.475*44/12</f>
        <v>1.3953569696735038</v>
      </c>
      <c r="AW141" s="21">
        <f>EXP(-LN(2)/2)*AW140+(1-EXP(-LN(2)/2))/(LN(2)/2)*AQ141*AT141*VLOOKUP('Données projet'!$B$10,Paramètres!$A$1:$I$89,3,0)*0.475*44/12</f>
        <v>1.3545382114239435E-15</v>
      </c>
      <c r="AX141" s="21">
        <f t="shared" si="114"/>
        <v>2.3781926628961743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-5.1159076974727213E-13</v>
      </c>
      <c r="BE141" s="13">
        <f>BD141*VLOOKUP('Données projet'!$B$11,Paramètres!$A$1:$I$89,3,0)*VLOOKUP('Données projet'!$B$11,Paramètres!$A$1:$I$89,5,0)</f>
        <v>-4.0702161641092972E-13</v>
      </c>
      <c r="BF141" s="13" t="e">
        <f t="shared" si="145"/>
        <v>#NUM!</v>
      </c>
      <c r="BG141" s="20" t="e">
        <f t="shared" si="115"/>
        <v>#NUM!</v>
      </c>
      <c r="BH141" s="59" t="e">
        <f t="shared" si="116"/>
        <v>#NUM!</v>
      </c>
      <c r="BI141" s="59">
        <f ca="1">AVERAGE(OFFSET($BH$3,0,0,'Données projet'!$E$11+1,1))-AVERAGE(OFFSET($H$3,0,0,'Données projet'!$E$11+1,1))</f>
        <v>260.20517190557814</v>
      </c>
      <c r="BJ141" s="59">
        <f t="shared" si="146"/>
        <v>307.22009971147133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0.38434677065695544</v>
      </c>
      <c r="BQ141" s="21">
        <f>EXP(-LN(2)/25)*BQ140+(1-EXP(-LN(2)/25))/(LN(2)/25)*Calculateur!BL141*Calculateur!BN141*VLOOKUP('Données projet'!$B$11,Paramètres!$A$1:$I$89,3,0)*0.475*44/12</f>
        <v>1.0273522276838005</v>
      </c>
      <c r="BR141" s="21">
        <f>EXP(-LN(2)/2)*BR140+(1-EXP(-LN(2)/2))/(LN(2)/2)*BL141*BO141*VLOOKUP('Données projet'!$B$11,Paramètres!$A$1:$I$89,3,0)*0.475*44/12</f>
        <v>1.3344344658581967E-15</v>
      </c>
      <c r="BS141" s="22">
        <f t="shared" si="117"/>
        <v>1.4116989983407573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268.00000000000017</v>
      </c>
      <c r="BZ141" s="13">
        <f>BY141*VLOOKUP('Données projet'!$B$12,Paramètres!$A$1:$I$89,3,0)*VLOOKUP('Données projet'!$B$12,Paramètres!$A$1:$I$89,5,0)</f>
        <v>175.59360000000012</v>
      </c>
      <c r="CA141" s="13">
        <f t="shared" si="147"/>
        <v>44.340433728638573</v>
      </c>
      <c r="CB141" s="20">
        <f t="shared" si="118"/>
        <v>383.05177541071242</v>
      </c>
      <c r="CC141" s="59">
        <f t="shared" si="119"/>
        <v>676.38510874404574</v>
      </c>
      <c r="CD141" s="59">
        <f ca="1">AVERAGE(OFFSET($CC$3,0,0,'Données projet'!$E$12+1,1))-AVERAGE(OFFSET($H$3,0,0,'Données projet'!$E$12+1,1))</f>
        <v>185.21927898775016</v>
      </c>
      <c r="CE141" s="59">
        <f t="shared" si="148"/>
        <v>240.82467772396944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0.18342853649555005</v>
      </c>
      <c r="CL141" s="21">
        <f>EXP(-LN(2)/25)*CL140+(1-EXP(-LN(2)/25))/(LN(2)/25)*Calculateur!CG141*Calculateur!CI141*VLOOKUP('Données projet'!$B$12,Paramètres!$A$1:$I$89,3,0)*0.475*44/12</f>
        <v>0.40243894384724432</v>
      </c>
      <c r="CM141" s="21">
        <f>EXP(-LN(2)/2)*CM140+(1-EXP(-LN(2)/2))/(LN(2)/2)*CG141*CJ141*VLOOKUP('Données projet'!$B$12,Paramètres!$A$1:$I$89,3,0)*0.475*44/12</f>
        <v>7.7695672041672643E-16</v>
      </c>
      <c r="CN141" s="22">
        <f t="shared" si="120"/>
        <v>0.58586748034279512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123.59880000000024</v>
      </c>
      <c r="D142" s="11">
        <f t="shared" si="140"/>
        <v>32.512911354837613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1205.0728595812045</v>
      </c>
      <c r="H142" s="67">
        <f t="shared" si="110"/>
        <v>565.22789727634256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-2.2737367544323206E-13</v>
      </c>
      <c r="O142" s="13">
        <f>N142*VLOOKUP('Données projet'!$B$9,Paramètres!$A$1:$I$89,3,0)*VLOOKUP('Données projet'!$B$9,Paramètres!$A$1:$I$89,5,0)</f>
        <v>-1.2710188457276673E-13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255.5374979188561</v>
      </c>
      <c r="T142" s="59">
        <f t="shared" si="142"/>
        <v>343.10418468620901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0.35683776061950551</v>
      </c>
      <c r="AA142" s="21">
        <f>EXP(-LN(2)/25)*AA141+(1-EXP(-LN(2)/25))/(LN(2)/25)*Calculateur!V142*Calculateur!X142*VLOOKUP('Données projet'!$B$9,Paramètres!$A$1:$I$89,3,0)*0.475*44/12</f>
        <v>0.77722928728174701</v>
      </c>
      <c r="AB142" s="21">
        <f>EXP(-LN(2)/2)*AB141+(1-EXP(-LN(2)/2))/(LN(2)/2)*V142*Y142*VLOOKUP('Données projet'!$B$9,Paramètres!$A$1:$I$89,3,0)*0.475*44/12</f>
        <v>6.6440506628155977E-17</v>
      </c>
      <c r="AC142" s="22">
        <f t="shared" si="111"/>
        <v>1.1340670479012525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0</v>
      </c>
      <c r="AJ142" s="13">
        <f>AI142*VLOOKUP('Données projet'!$B$10,Paramètres!$A$1:$I$89,3,0)*VLOOKUP('Données projet'!$B$10,Paramètres!$A$1:$I$89,5,0)</f>
        <v>0</v>
      </c>
      <c r="AK142" s="13" t="e">
        <f t="shared" si="143"/>
        <v>#NUM!</v>
      </c>
      <c r="AL142" s="20" t="e">
        <f t="shared" si="112"/>
        <v>#NUM!</v>
      </c>
      <c r="AM142" s="59" t="e">
        <f t="shared" si="113"/>
        <v>#NUM!</v>
      </c>
      <c r="AN142" s="59">
        <f ca="1">AVERAGE(OFFSET($AM$3,0,0,'Données projet'!$E$10+1,1))-AVERAGE(OFFSET($H$3,0,0,'Données projet'!$E$10+1,1))</f>
        <v>255.41017495879987</v>
      </c>
      <c r="AO142" s="59">
        <f t="shared" si="144"/>
        <v>297.50513563712764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0.96356288474915264</v>
      </c>
      <c r="AV142" s="21">
        <f>EXP(-LN(2)/25)*AV141+(1-EXP(-LN(2)/25))/(LN(2)/25)*Calculateur!AQ142*Calculateur!AS142*VLOOKUP('Données projet'!$B$10,Paramètres!$A$1:$I$89,3,0)*0.475*44/12</f>
        <v>1.3572008599591479</v>
      </c>
      <c r="AW142" s="21">
        <f>EXP(-LN(2)/2)*AW141+(1-EXP(-LN(2)/2))/(LN(2)/2)*AQ142*AT142*VLOOKUP('Données projet'!$B$10,Paramètres!$A$1:$I$89,3,0)*0.475*44/12</f>
        <v>9.5780315467416783E-16</v>
      </c>
      <c r="AX142" s="21">
        <f t="shared" si="114"/>
        <v>2.3207637447083016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-5.1159076974727213E-13</v>
      </c>
      <c r="BE142" s="13">
        <f>BD142*VLOOKUP('Données projet'!$B$11,Paramètres!$A$1:$I$89,3,0)*VLOOKUP('Données projet'!$B$11,Paramètres!$A$1:$I$89,5,0)</f>
        <v>-4.0702161641092972E-13</v>
      </c>
      <c r="BF142" s="13" t="e">
        <f t="shared" si="145"/>
        <v>#NUM!</v>
      </c>
      <c r="BG142" s="20" t="e">
        <f t="shared" si="115"/>
        <v>#NUM!</v>
      </c>
      <c r="BH142" s="59" t="e">
        <f t="shared" si="116"/>
        <v>#NUM!</v>
      </c>
      <c r="BI142" s="59">
        <f ca="1">AVERAGE(OFFSET($BH$3,0,0,'Données projet'!$E$11+1,1))-AVERAGE(OFFSET($H$3,0,0,'Données projet'!$E$11+1,1))</f>
        <v>260.20517190557814</v>
      </c>
      <c r="BJ142" s="59">
        <f t="shared" si="146"/>
        <v>307.22009971147133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0.37680996491275476</v>
      </c>
      <c r="BQ142" s="21">
        <f>EXP(-LN(2)/25)*BQ141+(1-EXP(-LN(2)/25))/(LN(2)/25)*Calculateur!BL142*Calculateur!BN142*VLOOKUP('Données projet'!$B$11,Paramètres!$A$1:$I$89,3,0)*0.475*44/12</f>
        <v>0.99925922699168135</v>
      </c>
      <c r="BR142" s="21">
        <f>EXP(-LN(2)/2)*BR141+(1-EXP(-LN(2)/2))/(LN(2)/2)*BL142*BO142*VLOOKUP('Données projet'!$B$11,Paramètres!$A$1:$I$89,3,0)*0.475*44/12</f>
        <v>9.4358765985737932E-16</v>
      </c>
      <c r="BS142" s="22">
        <f t="shared" si="117"/>
        <v>1.376069191904437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268.00000000000017</v>
      </c>
      <c r="BZ142" s="13">
        <f>BY142*VLOOKUP('Données projet'!$B$12,Paramètres!$A$1:$I$89,3,0)*VLOOKUP('Données projet'!$B$12,Paramètres!$A$1:$I$89,5,0)</f>
        <v>175.59360000000012</v>
      </c>
      <c r="CA142" s="13">
        <f t="shared" si="147"/>
        <v>44.340433728638573</v>
      </c>
      <c r="CB142" s="20">
        <f t="shared" si="118"/>
        <v>383.05177541071242</v>
      </c>
      <c r="CC142" s="59">
        <f t="shared" si="119"/>
        <v>676.38510874404574</v>
      </c>
      <c r="CD142" s="59">
        <f ca="1">AVERAGE(OFFSET($CC$3,0,0,'Données projet'!$E$12+1,1))-AVERAGE(OFFSET($H$3,0,0,'Données projet'!$E$12+1,1))</f>
        <v>185.21927898775016</v>
      </c>
      <c r="CE142" s="59">
        <f t="shared" si="148"/>
        <v>240.82467772396944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0.1798316147752323</v>
      </c>
      <c r="CL142" s="21">
        <f>EXP(-LN(2)/25)*CL141+(1-EXP(-LN(2)/25))/(LN(2)/25)*Calculateur!CG142*Calculateur!CI142*VLOOKUP('Données projet'!$B$12,Paramètres!$A$1:$I$89,3,0)*0.475*44/12</f>
        <v>0.39143422976439718</v>
      </c>
      <c r="CM142" s="21">
        <f>EXP(-LN(2)/2)*CM141+(1-EXP(-LN(2)/2))/(LN(2)/2)*CG142*CJ142*VLOOKUP('Données projet'!$B$12,Paramètres!$A$1:$I$89,3,0)*0.475*44/12</f>
        <v>5.4939136569512775E-16</v>
      </c>
      <c r="CN142" s="22">
        <f t="shared" si="120"/>
        <v>0.57126584453963003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124.48800000000024</v>
      </c>
      <c r="D143" s="11">
        <f t="shared" si="140"/>
        <v>32.719504245667331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1213.5316117209427</v>
      </c>
      <c r="H143" s="67">
        <f t="shared" si="110"/>
        <v>567.13640322787103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-2.2737367544323206E-13</v>
      </c>
      <c r="O143" s="13">
        <f>N143*VLOOKUP('Données projet'!$B$9,Paramètres!$A$1:$I$89,3,0)*VLOOKUP('Données projet'!$B$9,Paramètres!$A$1:$I$89,5,0)</f>
        <v>-1.2710188457276673E-13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255.5374979188561</v>
      </c>
      <c r="T143" s="59">
        <f t="shared" si="142"/>
        <v>343.10418468620901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0.3498403897832999</v>
      </c>
      <c r="AA143" s="21">
        <f>EXP(-LN(2)/25)*AA142+(1-EXP(-LN(2)/25))/(LN(2)/25)*Calculateur!V143*Calculateur!X143*VLOOKUP('Données projet'!$B$9,Paramètres!$A$1:$I$89,3,0)*0.475*44/12</f>
        <v>0.75597591154831578</v>
      </c>
      <c r="AB143" s="21">
        <f>EXP(-LN(2)/2)*AB142+(1-EXP(-LN(2)/2))/(LN(2)/2)*V143*Y143*VLOOKUP('Données projet'!$B$9,Paramètres!$A$1:$I$89,3,0)*0.475*44/12</f>
        <v>4.698053278223885E-17</v>
      </c>
      <c r="AC143" s="22">
        <f t="shared" si="111"/>
        <v>1.1058163013316156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0</v>
      </c>
      <c r="AJ143" s="13">
        <f>AI143*VLOOKUP('Données projet'!$B$10,Paramètres!$A$1:$I$89,3,0)*VLOOKUP('Données projet'!$B$10,Paramètres!$A$1:$I$89,5,0)</f>
        <v>0</v>
      </c>
      <c r="AK143" s="13" t="e">
        <f t="shared" si="143"/>
        <v>#NUM!</v>
      </c>
      <c r="AL143" s="20" t="e">
        <f t="shared" si="112"/>
        <v>#NUM!</v>
      </c>
      <c r="AM143" s="59" t="e">
        <f t="shared" si="113"/>
        <v>#NUM!</v>
      </c>
      <c r="AN143" s="59">
        <f ca="1">AVERAGE(OFFSET($AM$3,0,0,'Données projet'!$E$10+1,1))-AVERAGE(OFFSET($H$3,0,0,'Données projet'!$E$10+1,1))</f>
        <v>255.41017495879987</v>
      </c>
      <c r="AO143" s="59">
        <f t="shared" si="144"/>
        <v>297.50513563712764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0.94466800429454933</v>
      </c>
      <c r="AV143" s="21">
        <f>EXP(-LN(2)/25)*AV142+(1-EXP(-LN(2)/25))/(LN(2)/25)*Calculateur!AQ143*Calculateur!AS143*VLOOKUP('Données projet'!$B$10,Paramètres!$A$1:$I$89,3,0)*0.475*44/12</f>
        <v>1.3200881310714736</v>
      </c>
      <c r="AW143" s="21">
        <f>EXP(-LN(2)/2)*AW142+(1-EXP(-LN(2)/2))/(LN(2)/2)*AQ143*AT143*VLOOKUP('Données projet'!$B$10,Paramètres!$A$1:$I$89,3,0)*0.475*44/12</f>
        <v>6.7726910571197174E-16</v>
      </c>
      <c r="AX143" s="21">
        <f t="shared" si="114"/>
        <v>2.2647561353660239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-5.1159076974727213E-13</v>
      </c>
      <c r="BE143" s="13">
        <f>BD143*VLOOKUP('Données projet'!$B$11,Paramètres!$A$1:$I$89,3,0)*VLOOKUP('Données projet'!$B$11,Paramètres!$A$1:$I$89,5,0)</f>
        <v>-4.0702161641092972E-13</v>
      </c>
      <c r="BF143" s="13" t="e">
        <f t="shared" si="145"/>
        <v>#NUM!</v>
      </c>
      <c r="BG143" s="20" t="e">
        <f t="shared" si="115"/>
        <v>#NUM!</v>
      </c>
      <c r="BH143" s="59" t="e">
        <f t="shared" si="116"/>
        <v>#NUM!</v>
      </c>
      <c r="BI143" s="59">
        <f ca="1">AVERAGE(OFFSET($BH$3,0,0,'Données projet'!$E$11+1,1))-AVERAGE(OFFSET($H$3,0,0,'Données projet'!$E$11+1,1))</f>
        <v>260.20517190557814</v>
      </c>
      <c r="BJ143" s="59">
        <f t="shared" si="146"/>
        <v>307.22009971147133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0.36942095133220026</v>
      </c>
      <c r="BQ143" s="21">
        <f>EXP(-LN(2)/25)*BQ142+(1-EXP(-LN(2)/25))/(LN(2)/25)*Calculateur!BL143*Calculateur!BN143*VLOOKUP('Données projet'!$B$11,Paramètres!$A$1:$I$89,3,0)*0.475*44/12</f>
        <v>0.97193443088083487</v>
      </c>
      <c r="BR143" s="21">
        <f>EXP(-LN(2)/2)*BR142+(1-EXP(-LN(2)/2))/(LN(2)/2)*BL143*BO143*VLOOKUP('Données projet'!$B$11,Paramètres!$A$1:$I$89,3,0)*0.475*44/12</f>
        <v>6.6721723292909835E-16</v>
      </c>
      <c r="BS143" s="22">
        <f t="shared" si="117"/>
        <v>1.3413553822130357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268.00000000000017</v>
      </c>
      <c r="BZ143" s="13">
        <f>BY143*VLOOKUP('Données projet'!$B$12,Paramètres!$A$1:$I$89,3,0)*VLOOKUP('Données projet'!$B$12,Paramètres!$A$1:$I$89,5,0)</f>
        <v>175.59360000000012</v>
      </c>
      <c r="CA143" s="13">
        <f t="shared" si="147"/>
        <v>44.340433728638573</v>
      </c>
      <c r="CB143" s="20">
        <f t="shared" si="118"/>
        <v>383.05177541071242</v>
      </c>
      <c r="CC143" s="59">
        <f t="shared" si="119"/>
        <v>676.38510874404574</v>
      </c>
      <c r="CD143" s="59">
        <f ca="1">AVERAGE(OFFSET($CC$3,0,0,'Données projet'!$E$12+1,1))-AVERAGE(OFFSET($H$3,0,0,'Données projet'!$E$12+1,1))</f>
        <v>185.21927898775016</v>
      </c>
      <c r="CE143" s="59">
        <f t="shared" si="148"/>
        <v>240.82467772396944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0.17630522649594438</v>
      </c>
      <c r="CL143" s="21">
        <f>EXP(-LN(2)/25)*CL142+(1-EXP(-LN(2)/25))/(LN(2)/25)*Calculateur!CG143*Calculateur!CI143*VLOOKUP('Données projet'!$B$12,Paramètres!$A$1:$I$89,3,0)*0.475*44/12</f>
        <v>0.38073044016685825</v>
      </c>
      <c r="CM143" s="21">
        <f>EXP(-LN(2)/2)*CM142+(1-EXP(-LN(2)/2))/(LN(2)/2)*CG143*CJ143*VLOOKUP('Données projet'!$B$12,Paramètres!$A$1:$I$89,3,0)*0.475*44/12</f>
        <v>3.8847836020836321E-16</v>
      </c>
      <c r="CN143" s="22">
        <f t="shared" si="120"/>
        <v>0.55703566666280302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125.37720000000024</v>
      </c>
      <c r="D144" s="11">
        <f t="shared" si="140"/>
        <v>32.925925439106905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1221.9890384773182</v>
      </c>
      <c r="H144" s="67">
        <f t="shared" si="110"/>
        <v>569.04461013977823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-2.2737367544323206E-13</v>
      </c>
      <c r="O144" s="13">
        <f>N144*VLOOKUP('Données projet'!$B$9,Paramètres!$A$1:$I$89,3,0)*VLOOKUP('Données projet'!$B$9,Paramètres!$A$1:$I$89,5,0)</f>
        <v>-1.2710188457276673E-13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255.5374979188561</v>
      </c>
      <c r="T144" s="59">
        <f t="shared" si="142"/>
        <v>343.10418468620901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0.34298023312121745</v>
      </c>
      <c r="AA144" s="21">
        <f>EXP(-LN(2)/25)*AA143+(1-EXP(-LN(2)/25))/(LN(2)/25)*Calculateur!V144*Calculateur!X144*VLOOKUP('Données projet'!$B$9,Paramètres!$A$1:$I$89,3,0)*0.475*44/12</f>
        <v>0.73530371049198173</v>
      </c>
      <c r="AB144" s="21">
        <f>EXP(-LN(2)/2)*AB143+(1-EXP(-LN(2)/2))/(LN(2)/2)*V144*Y144*VLOOKUP('Données projet'!$B$9,Paramètres!$A$1:$I$89,3,0)*0.475*44/12</f>
        <v>3.3220253314077988E-17</v>
      </c>
      <c r="AC144" s="22">
        <f t="shared" si="111"/>
        <v>1.0782839436131992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0</v>
      </c>
      <c r="AJ144" s="13">
        <f>AI144*VLOOKUP('Données projet'!$B$10,Paramètres!$A$1:$I$89,3,0)*VLOOKUP('Données projet'!$B$10,Paramètres!$A$1:$I$89,5,0)</f>
        <v>0</v>
      </c>
      <c r="AK144" s="13" t="e">
        <f t="shared" si="143"/>
        <v>#NUM!</v>
      </c>
      <c r="AL144" s="20" t="e">
        <f t="shared" si="112"/>
        <v>#NUM!</v>
      </c>
      <c r="AM144" s="59" t="e">
        <f t="shared" si="113"/>
        <v>#NUM!</v>
      </c>
      <c r="AN144" s="59">
        <f ca="1">AVERAGE(OFFSET($AM$3,0,0,'Données projet'!$E$10+1,1))-AVERAGE(OFFSET($H$3,0,0,'Données projet'!$E$10+1,1))</f>
        <v>255.41017495879987</v>
      </c>
      <c r="AO144" s="59">
        <f t="shared" si="144"/>
        <v>297.50513563712764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0.92614364092092172</v>
      </c>
      <c r="AV144" s="21">
        <f>EXP(-LN(2)/25)*AV143+(1-EXP(-LN(2)/25))/(LN(2)/25)*Calculateur!AQ144*Calculateur!AS144*VLOOKUP('Données projet'!$B$10,Paramètres!$A$1:$I$89,3,0)*0.475*44/12</f>
        <v>1.2839902517069064</v>
      </c>
      <c r="AW144" s="21">
        <f>EXP(-LN(2)/2)*AW143+(1-EXP(-LN(2)/2))/(LN(2)/2)*AQ144*AT144*VLOOKUP('Données projet'!$B$10,Paramètres!$A$1:$I$89,3,0)*0.475*44/12</f>
        <v>4.7890157733708392E-16</v>
      </c>
      <c r="AX144" s="21">
        <f t="shared" si="114"/>
        <v>2.2101338926278284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-5.1159076974727213E-13</v>
      </c>
      <c r="BE144" s="13">
        <f>BD144*VLOOKUP('Données projet'!$B$11,Paramètres!$A$1:$I$89,3,0)*VLOOKUP('Données projet'!$B$11,Paramètres!$A$1:$I$89,5,0)</f>
        <v>-4.0702161641092972E-13</v>
      </c>
      <c r="BF144" s="13" t="e">
        <f t="shared" si="145"/>
        <v>#NUM!</v>
      </c>
      <c r="BG144" s="20" t="e">
        <f t="shared" si="115"/>
        <v>#NUM!</v>
      </c>
      <c r="BH144" s="59" t="e">
        <f t="shared" si="116"/>
        <v>#NUM!</v>
      </c>
      <c r="BI144" s="59">
        <f ca="1">AVERAGE(OFFSET($BH$3,0,0,'Données projet'!$E$11+1,1))-AVERAGE(OFFSET($H$3,0,0,'Données projet'!$E$11+1,1))</f>
        <v>260.20517190557814</v>
      </c>
      <c r="BJ144" s="59">
        <f t="shared" si="146"/>
        <v>307.22009971147133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0.36217683180110716</v>
      </c>
      <c r="BQ144" s="21">
        <f>EXP(-LN(2)/25)*BQ143+(1-EXP(-LN(2)/25))/(LN(2)/25)*Calculateur!BL144*Calculateur!BN144*VLOOKUP('Données projet'!$B$11,Paramètres!$A$1:$I$89,3,0)*0.475*44/12</f>
        <v>0.94535683275658811</v>
      </c>
      <c r="BR144" s="21">
        <f>EXP(-LN(2)/2)*BR143+(1-EXP(-LN(2)/2))/(LN(2)/2)*BL144*BO144*VLOOKUP('Données projet'!$B$11,Paramètres!$A$1:$I$89,3,0)*0.475*44/12</f>
        <v>4.7179382992868966E-16</v>
      </c>
      <c r="BS144" s="22">
        <f t="shared" si="117"/>
        <v>1.3075336645576958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268.00000000000017</v>
      </c>
      <c r="BZ144" s="13">
        <f>BY144*VLOOKUP('Données projet'!$B$12,Paramètres!$A$1:$I$89,3,0)*VLOOKUP('Données projet'!$B$12,Paramètres!$A$1:$I$89,5,0)</f>
        <v>175.59360000000012</v>
      </c>
      <c r="CA144" s="13">
        <f t="shared" si="147"/>
        <v>44.340433728638573</v>
      </c>
      <c r="CB144" s="20">
        <f t="shared" si="118"/>
        <v>383.05177541071242</v>
      </c>
      <c r="CC144" s="59">
        <f t="shared" si="119"/>
        <v>676.38510874404574</v>
      </c>
      <c r="CD144" s="59">
        <f ca="1">AVERAGE(OFFSET($CC$3,0,0,'Données projet'!$E$12+1,1))-AVERAGE(OFFSET($H$3,0,0,'Données projet'!$E$12+1,1))</f>
        <v>185.21927898775016</v>
      </c>
      <c r="CE144" s="59">
        <f t="shared" si="148"/>
        <v>240.82467772396944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0.1728479885399288</v>
      </c>
      <c r="CL144" s="21">
        <f>EXP(-LN(2)/25)*CL143+(1-EXP(-LN(2)/25))/(LN(2)/25)*Calculateur!CG144*Calculateur!CI144*VLOOKUP('Données projet'!$B$12,Paramètres!$A$1:$I$89,3,0)*0.475*44/12</f>
        <v>0.37031934625875185</v>
      </c>
      <c r="CM144" s="21">
        <f>EXP(-LN(2)/2)*CM143+(1-EXP(-LN(2)/2))/(LN(2)/2)*CG144*CJ144*VLOOKUP('Données projet'!$B$12,Paramètres!$A$1:$I$89,3,0)*0.475*44/12</f>
        <v>2.7469568284756388E-16</v>
      </c>
      <c r="CN144" s="22">
        <f t="shared" si="120"/>
        <v>0.54316733479868085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126.26640000000025</v>
      </c>
      <c r="D145" s="11">
        <f t="shared" si="140"/>
        <v>33.132176294071868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1230.4451503402058</v>
      </c>
      <c r="H145" s="67">
        <f t="shared" si="110"/>
        <v>570.95252037884222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-2.2737367544323206E-13</v>
      </c>
      <c r="O145" s="13">
        <f>N145*VLOOKUP('Données projet'!$B$9,Paramètres!$A$1:$I$89,3,0)*VLOOKUP('Données projet'!$B$9,Paramètres!$A$1:$I$89,5,0)</f>
        <v>-1.2710188457276673E-13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255.5374979188561</v>
      </c>
      <c r="T145" s="59">
        <f t="shared" si="142"/>
        <v>343.10418468620901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0.33625459994699608</v>
      </c>
      <c r="AA145" s="21">
        <f>EXP(-LN(2)/25)*AA144+(1-EXP(-LN(2)/25))/(LN(2)/25)*Calculateur!V145*Calculateur!X145*VLOOKUP('Données projet'!$B$9,Paramètres!$A$1:$I$89,3,0)*0.475*44/12</f>
        <v>0.71519679186063689</v>
      </c>
      <c r="AB145" s="21">
        <f>EXP(-LN(2)/2)*AB144+(1-EXP(-LN(2)/2))/(LN(2)/2)*V145*Y145*VLOOKUP('Données projet'!$B$9,Paramètres!$A$1:$I$89,3,0)*0.475*44/12</f>
        <v>2.3490266391119425E-17</v>
      </c>
      <c r="AC145" s="22">
        <f t="shared" si="111"/>
        <v>1.0514513918076329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0</v>
      </c>
      <c r="AJ145" s="13">
        <f>AI145*VLOOKUP('Données projet'!$B$10,Paramètres!$A$1:$I$89,3,0)*VLOOKUP('Données projet'!$B$10,Paramètres!$A$1:$I$89,5,0)</f>
        <v>0</v>
      </c>
      <c r="AK145" s="13" t="e">
        <f t="shared" si="143"/>
        <v>#NUM!</v>
      </c>
      <c r="AL145" s="20" t="e">
        <f t="shared" si="112"/>
        <v>#NUM!</v>
      </c>
      <c r="AM145" s="59" t="e">
        <f t="shared" si="113"/>
        <v>#NUM!</v>
      </c>
      <c r="AN145" s="59">
        <f ca="1">AVERAGE(OFFSET($AM$3,0,0,'Données projet'!$E$10+1,1))-AVERAGE(OFFSET($H$3,0,0,'Données projet'!$E$10+1,1))</f>
        <v>255.41017495879987</v>
      </c>
      <c r="AO145" s="59">
        <f t="shared" si="144"/>
        <v>297.50513563712764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0.90798252901430498</v>
      </c>
      <c r="AV145" s="21">
        <f>EXP(-LN(2)/25)*AV144+(1-EXP(-LN(2)/25))/(LN(2)/25)*Calculateur!AQ145*Calculateur!AS145*VLOOKUP('Données projet'!$B$10,Paramètres!$A$1:$I$89,3,0)*0.475*44/12</f>
        <v>1.2488794707518682</v>
      </c>
      <c r="AW145" s="21">
        <f>EXP(-LN(2)/2)*AW144+(1-EXP(-LN(2)/2))/(LN(2)/2)*AQ145*AT145*VLOOKUP('Données projet'!$B$10,Paramètres!$A$1:$I$89,3,0)*0.475*44/12</f>
        <v>3.3863455285598587E-16</v>
      </c>
      <c r="AX145" s="21">
        <f t="shared" si="114"/>
        <v>2.1568619997661735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-5.1159076974727213E-13</v>
      </c>
      <c r="BE145" s="13">
        <f>BD145*VLOOKUP('Données projet'!$B$11,Paramètres!$A$1:$I$89,3,0)*VLOOKUP('Données projet'!$B$11,Paramètres!$A$1:$I$89,5,0)</f>
        <v>-4.0702161641092972E-13</v>
      </c>
      <c r="BF145" s="13" t="e">
        <f t="shared" si="145"/>
        <v>#NUM!</v>
      </c>
      <c r="BG145" s="20" t="e">
        <f t="shared" si="115"/>
        <v>#NUM!</v>
      </c>
      <c r="BH145" s="59" t="e">
        <f t="shared" si="116"/>
        <v>#NUM!</v>
      </c>
      <c r="BI145" s="59">
        <f ca="1">AVERAGE(OFFSET($BH$3,0,0,'Données projet'!$E$11+1,1))-AVERAGE(OFFSET($H$3,0,0,'Données projet'!$E$11+1,1))</f>
        <v>260.20517190557814</v>
      </c>
      <c r="BJ145" s="59">
        <f t="shared" si="146"/>
        <v>307.22009971147133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0.35507476503554219</v>
      </c>
      <c r="BQ145" s="21">
        <f>EXP(-LN(2)/25)*BQ144+(1-EXP(-LN(2)/25))/(LN(2)/25)*Calculateur!BL145*Calculateur!BN145*VLOOKUP('Données projet'!$B$11,Paramètres!$A$1:$I$89,3,0)*0.475*44/12</f>
        <v>0.91950600045070396</v>
      </c>
      <c r="BR145" s="21">
        <f>EXP(-LN(2)/2)*BR144+(1-EXP(-LN(2)/2))/(LN(2)/2)*BL145*BO145*VLOOKUP('Données projet'!$B$11,Paramètres!$A$1:$I$89,3,0)*0.475*44/12</f>
        <v>3.3360861646454918E-16</v>
      </c>
      <c r="BS145" s="22">
        <f t="shared" si="117"/>
        <v>1.2745807654862467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268.00000000000017</v>
      </c>
      <c r="BZ145" s="13">
        <f>BY145*VLOOKUP('Données projet'!$B$12,Paramètres!$A$1:$I$89,3,0)*VLOOKUP('Données projet'!$B$12,Paramètres!$A$1:$I$89,5,0)</f>
        <v>175.59360000000012</v>
      </c>
      <c r="CA145" s="13">
        <f t="shared" si="147"/>
        <v>44.340433728638573</v>
      </c>
      <c r="CB145" s="20">
        <f t="shared" si="118"/>
        <v>383.05177541071242</v>
      </c>
      <c r="CC145" s="59">
        <f t="shared" si="119"/>
        <v>676.38510874404574</v>
      </c>
      <c r="CD145" s="59">
        <f ca="1">AVERAGE(OFFSET($CC$3,0,0,'Données projet'!$E$12+1,1))-AVERAGE(OFFSET($H$3,0,0,'Données projet'!$E$12+1,1))</f>
        <v>185.21927898775016</v>
      </c>
      <c r="CE145" s="59">
        <f t="shared" si="148"/>
        <v>240.82467772396944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0.16945854491152376</v>
      </c>
      <c r="CL145" s="21">
        <f>EXP(-LN(2)/25)*CL144+(1-EXP(-LN(2)/25))/(LN(2)/25)*Calculateur!CG145*Calculateur!CI145*VLOOKUP('Données projet'!$B$12,Paramètres!$A$1:$I$89,3,0)*0.475*44/12</f>
        <v>0.36019294426105825</v>
      </c>
      <c r="CM145" s="21">
        <f>EXP(-LN(2)/2)*CM144+(1-EXP(-LN(2)/2))/(LN(2)/2)*CG145*CJ145*VLOOKUP('Données projet'!$B$12,Paramètres!$A$1:$I$89,3,0)*0.475*44/12</f>
        <v>1.9423918010418161E-16</v>
      </c>
      <c r="CN145" s="22">
        <f t="shared" si="120"/>
        <v>0.5296514891725822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127.15560000000025</v>
      </c>
      <c r="D146" s="11">
        <f t="shared" si="140"/>
        <v>33.33825814923194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1238.8999576431959</v>
      </c>
      <c r="H146" s="67">
        <f t="shared" si="110"/>
        <v>572.8601362765794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-2.2737367544323206E-13</v>
      </c>
      <c r="O146" s="13">
        <f>N146*VLOOKUP('Données projet'!$B$9,Paramètres!$A$1:$I$89,3,0)*VLOOKUP('Données projet'!$B$9,Paramètres!$A$1:$I$89,5,0)</f>
        <v>-1.2710188457276673E-13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255.5374979188561</v>
      </c>
      <c r="T146" s="59">
        <f t="shared" si="142"/>
        <v>343.10418468620901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0.32966085233709003</v>
      </c>
      <c r="AA146" s="21">
        <f>EXP(-LN(2)/25)*AA145+(1-EXP(-LN(2)/25))/(LN(2)/25)*Calculateur!V146*Calculateur!X146*VLOOKUP('Données projet'!$B$9,Paramètres!$A$1:$I$89,3,0)*0.475*44/12</f>
        <v>0.69563969797664305</v>
      </c>
      <c r="AB146" s="21">
        <f>EXP(-LN(2)/2)*AB145+(1-EXP(-LN(2)/2))/(LN(2)/2)*V146*Y146*VLOOKUP('Données projet'!$B$9,Paramètres!$A$1:$I$89,3,0)*0.475*44/12</f>
        <v>1.6610126657038994E-17</v>
      </c>
      <c r="AC146" s="22">
        <f t="shared" si="111"/>
        <v>1.0253005503137331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0</v>
      </c>
      <c r="AJ146" s="13">
        <f>AI146*VLOOKUP('Données projet'!$B$10,Paramètres!$A$1:$I$89,3,0)*VLOOKUP('Données projet'!$B$10,Paramètres!$A$1:$I$89,5,0)</f>
        <v>0</v>
      </c>
      <c r="AK146" s="13" t="e">
        <f t="shared" si="143"/>
        <v>#NUM!</v>
      </c>
      <c r="AL146" s="20" t="e">
        <f t="shared" si="112"/>
        <v>#NUM!</v>
      </c>
      <c r="AM146" s="59" t="e">
        <f t="shared" si="113"/>
        <v>#NUM!</v>
      </c>
      <c r="AN146" s="59">
        <f ca="1">AVERAGE(OFFSET($AM$3,0,0,'Données projet'!$E$10+1,1))-AVERAGE(OFFSET($H$3,0,0,'Données projet'!$E$10+1,1))</f>
        <v>255.41017495879987</v>
      </c>
      <c r="AO146" s="59">
        <f t="shared" si="144"/>
        <v>297.50513563712764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0.8901775454349925</v>
      </c>
      <c r="AV146" s="21">
        <f>EXP(-LN(2)/25)*AV145+(1-EXP(-LN(2)/25))/(LN(2)/25)*Calculateur!AQ146*Calculateur!AS146*VLOOKUP('Données projet'!$B$10,Paramètres!$A$1:$I$89,3,0)*0.475*44/12</f>
        <v>1.2147287959484414</v>
      </c>
      <c r="AW146" s="21">
        <f>EXP(-LN(2)/2)*AW145+(1-EXP(-LN(2)/2))/(LN(2)/2)*AQ146*AT146*VLOOKUP('Données projet'!$B$10,Paramètres!$A$1:$I$89,3,0)*0.475*44/12</f>
        <v>2.3945078866854196E-16</v>
      </c>
      <c r="AX146" s="21">
        <f t="shared" si="114"/>
        <v>2.1049063413834346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-5.1159076974727213E-13</v>
      </c>
      <c r="BE146" s="13">
        <f>BD146*VLOOKUP('Données projet'!$B$11,Paramètres!$A$1:$I$89,3,0)*VLOOKUP('Données projet'!$B$11,Paramètres!$A$1:$I$89,5,0)</f>
        <v>-4.0702161641092972E-13</v>
      </c>
      <c r="BF146" s="13" t="e">
        <f t="shared" si="145"/>
        <v>#NUM!</v>
      </c>
      <c r="BG146" s="20" t="e">
        <f t="shared" si="115"/>
        <v>#NUM!</v>
      </c>
      <c r="BH146" s="59" t="e">
        <f t="shared" si="116"/>
        <v>#NUM!</v>
      </c>
      <c r="BI146" s="59">
        <f ca="1">AVERAGE(OFFSET($BH$3,0,0,'Données projet'!$E$11+1,1))-AVERAGE(OFFSET($H$3,0,0,'Données projet'!$E$11+1,1))</f>
        <v>260.20517190557814</v>
      </c>
      <c r="BJ146" s="59">
        <f t="shared" si="146"/>
        <v>307.22009971147133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0.34811196546741696</v>
      </c>
      <c r="BQ146" s="21">
        <f>EXP(-LN(2)/25)*BQ145+(1-EXP(-LN(2)/25))/(LN(2)/25)*Calculateur!BL146*Calculateur!BN146*VLOOKUP('Données projet'!$B$11,Paramètres!$A$1:$I$89,3,0)*0.475*44/12</f>
        <v>0.89436206051366041</v>
      </c>
      <c r="BR146" s="21">
        <f>EXP(-LN(2)/2)*BR145+(1-EXP(-LN(2)/2))/(LN(2)/2)*BL146*BO146*VLOOKUP('Données projet'!$B$11,Paramètres!$A$1:$I$89,3,0)*0.475*44/12</f>
        <v>2.3589691496434483E-16</v>
      </c>
      <c r="BS146" s="22">
        <f t="shared" si="117"/>
        <v>1.2424740259810776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268.00000000000017</v>
      </c>
      <c r="BZ146" s="13">
        <f>BY146*VLOOKUP('Données projet'!$B$12,Paramètres!$A$1:$I$89,3,0)*VLOOKUP('Données projet'!$B$12,Paramètres!$A$1:$I$89,5,0)</f>
        <v>175.59360000000012</v>
      </c>
      <c r="CA146" s="13">
        <f t="shared" si="147"/>
        <v>44.340433728638573</v>
      </c>
      <c r="CB146" s="20">
        <f t="shared" si="118"/>
        <v>383.05177541071242</v>
      </c>
      <c r="CC146" s="59">
        <f t="shared" si="119"/>
        <v>676.38510874404574</v>
      </c>
      <c r="CD146" s="59">
        <f ca="1">AVERAGE(OFFSET($CC$3,0,0,'Données projet'!$E$12+1,1))-AVERAGE(OFFSET($H$3,0,0,'Données projet'!$E$12+1,1))</f>
        <v>185.21927898775016</v>
      </c>
      <c r="CE146" s="59">
        <f t="shared" si="148"/>
        <v>240.82467772396944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0.16613556620531528</v>
      </c>
      <c r="CL146" s="21">
        <f>EXP(-LN(2)/25)*CL145+(1-EXP(-LN(2)/25))/(LN(2)/25)*Calculateur!CG146*Calculateur!CI146*VLOOKUP('Données projet'!$B$12,Paramètres!$A$1:$I$89,3,0)*0.475*44/12</f>
        <v>0.3503434492585159</v>
      </c>
      <c r="CM146" s="21">
        <f>EXP(-LN(2)/2)*CM145+(1-EXP(-LN(2)/2))/(LN(2)/2)*CG146*CJ146*VLOOKUP('Données projet'!$B$12,Paramètres!$A$1:$I$89,3,0)*0.475*44/12</f>
        <v>1.3734784142378194E-16</v>
      </c>
      <c r="CN146" s="22">
        <f t="shared" si="120"/>
        <v>0.51647901546383135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128.04480000000024</v>
      </c>
      <c r="D147" s="11">
        <f t="shared" si="140"/>
        <v>33.544172323452237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1247.3534705670015</v>
      </c>
      <c r="H147" s="67">
        <f t="shared" si="110"/>
        <v>574.76746013001298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-2.2737367544323206E-13</v>
      </c>
      <c r="O147" s="13">
        <f>N147*VLOOKUP('Données projet'!$B$9,Paramètres!$A$1:$I$89,3,0)*VLOOKUP('Données projet'!$B$9,Paramètres!$A$1:$I$89,5,0)</f>
        <v>-1.2710188457276673E-13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255.5374979188561</v>
      </c>
      <c r="T147" s="59">
        <f t="shared" si="142"/>
        <v>343.10418468620901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0.32319640409602529</v>
      </c>
      <c r="AA147" s="21">
        <f>EXP(-LN(2)/25)*AA146+(1-EXP(-LN(2)/25))/(LN(2)/25)*Calculateur!V147*Calculateur!X147*VLOOKUP('Données projet'!$B$9,Paramètres!$A$1:$I$89,3,0)*0.475*44/12</f>
        <v>0.67661739385336994</v>
      </c>
      <c r="AB147" s="21">
        <f>EXP(-LN(2)/2)*AB146+(1-EXP(-LN(2)/2))/(LN(2)/2)*V147*Y147*VLOOKUP('Données projet'!$B$9,Paramètres!$A$1:$I$89,3,0)*0.475*44/12</f>
        <v>1.1745133195559712E-17</v>
      </c>
      <c r="AC147" s="22">
        <f t="shared" si="111"/>
        <v>0.99981379794939529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0</v>
      </c>
      <c r="AJ147" s="13">
        <f>AI147*VLOOKUP('Données projet'!$B$10,Paramètres!$A$1:$I$89,3,0)*VLOOKUP('Données projet'!$B$10,Paramètres!$A$1:$I$89,5,0)</f>
        <v>0</v>
      </c>
      <c r="AK147" s="13" t="e">
        <f t="shared" si="143"/>
        <v>#NUM!</v>
      </c>
      <c r="AL147" s="20" t="e">
        <f t="shared" si="112"/>
        <v>#NUM!</v>
      </c>
      <c r="AM147" s="59" t="e">
        <f t="shared" si="113"/>
        <v>#NUM!</v>
      </c>
      <c r="AN147" s="59">
        <f ca="1">AVERAGE(OFFSET($AM$3,0,0,'Données projet'!$E$10+1,1))-AVERAGE(OFFSET($H$3,0,0,'Données projet'!$E$10+1,1))</f>
        <v>255.41017495879987</v>
      </c>
      <c r="AO147" s="59">
        <f t="shared" si="144"/>
        <v>297.50513563712764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0.87272170672370264</v>
      </c>
      <c r="AV147" s="21">
        <f>EXP(-LN(2)/25)*AV146+(1-EXP(-LN(2)/25))/(LN(2)/25)*Calculateur!AQ147*Calculateur!AS147*VLOOKUP('Données projet'!$B$10,Paramètres!$A$1:$I$89,3,0)*0.475*44/12</f>
        <v>1.1815119731434203</v>
      </c>
      <c r="AW147" s="21">
        <f>EXP(-LN(2)/2)*AW146+(1-EXP(-LN(2)/2))/(LN(2)/2)*AQ147*AT147*VLOOKUP('Données projet'!$B$10,Paramètres!$A$1:$I$89,3,0)*0.475*44/12</f>
        <v>1.6931727642799293E-16</v>
      </c>
      <c r="AX147" s="21">
        <f t="shared" si="114"/>
        <v>2.054233679867123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-5.1159076974727213E-13</v>
      </c>
      <c r="BE147" s="13">
        <f>BD147*VLOOKUP('Données projet'!$B$11,Paramètres!$A$1:$I$89,3,0)*VLOOKUP('Données projet'!$B$11,Paramètres!$A$1:$I$89,5,0)</f>
        <v>-4.0702161641092972E-13</v>
      </c>
      <c r="BF147" s="13" t="e">
        <f t="shared" si="145"/>
        <v>#NUM!</v>
      </c>
      <c r="BG147" s="20" t="e">
        <f t="shared" si="115"/>
        <v>#NUM!</v>
      </c>
      <c r="BH147" s="59" t="e">
        <f t="shared" si="116"/>
        <v>#NUM!</v>
      </c>
      <c r="BI147" s="59">
        <f ca="1">AVERAGE(OFFSET($BH$3,0,0,'Données projet'!$E$11+1,1))-AVERAGE(OFFSET($H$3,0,0,'Données projet'!$E$11+1,1))</f>
        <v>260.20517190557814</v>
      </c>
      <c r="BJ147" s="59">
        <f t="shared" si="146"/>
        <v>307.22009971147133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0.34128570215193427</v>
      </c>
      <c r="BQ147" s="21">
        <f>EXP(-LN(2)/25)*BQ146+(1-EXP(-LN(2)/25))/(LN(2)/25)*Calculateur!BL147*Calculateur!BN147*VLOOKUP('Données projet'!$B$11,Paramètres!$A$1:$I$89,3,0)*0.475*44/12</f>
        <v>0.86990568293645765</v>
      </c>
      <c r="BR147" s="21">
        <f>EXP(-LN(2)/2)*BR146+(1-EXP(-LN(2)/2))/(LN(2)/2)*BL147*BO147*VLOOKUP('Données projet'!$B$11,Paramètres!$A$1:$I$89,3,0)*0.475*44/12</f>
        <v>1.6680430823227459E-16</v>
      </c>
      <c r="BS147" s="22">
        <f t="shared" si="117"/>
        <v>1.2111913850883922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268.00000000000017</v>
      </c>
      <c r="BZ147" s="13">
        <f>BY147*VLOOKUP('Données projet'!$B$12,Paramètres!$A$1:$I$89,3,0)*VLOOKUP('Données projet'!$B$12,Paramètres!$A$1:$I$89,5,0)</f>
        <v>175.59360000000012</v>
      </c>
      <c r="CA147" s="13">
        <f t="shared" si="147"/>
        <v>44.340433728638573</v>
      </c>
      <c r="CB147" s="20">
        <f t="shared" si="118"/>
        <v>383.05177541071242</v>
      </c>
      <c r="CC147" s="59">
        <f t="shared" si="119"/>
        <v>676.38510874404574</v>
      </c>
      <c r="CD147" s="59">
        <f ca="1">AVERAGE(OFFSET($CC$3,0,0,'Données projet'!$E$12+1,1))-AVERAGE(OFFSET($H$3,0,0,'Données projet'!$E$12+1,1))</f>
        <v>185.21927898775016</v>
      </c>
      <c r="CE147" s="59">
        <f t="shared" si="148"/>
        <v>240.82467772396944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0.16287774908471866</v>
      </c>
      <c r="CL147" s="21">
        <f>EXP(-LN(2)/25)*CL146+(1-EXP(-LN(2)/25))/(LN(2)/25)*Calculateur!CG147*Calculateur!CI147*VLOOKUP('Données projet'!$B$12,Paramètres!$A$1:$I$89,3,0)*0.475*44/12</f>
        <v>0.3407632892147805</v>
      </c>
      <c r="CM147" s="21">
        <f>EXP(-LN(2)/2)*CM146+(1-EXP(-LN(2)/2))/(LN(2)/2)*CG147*CJ147*VLOOKUP('Données projet'!$B$12,Paramètres!$A$1:$I$89,3,0)*0.475*44/12</f>
        <v>9.7119590052090804E-17</v>
      </c>
      <c r="CN147" s="22">
        <f t="shared" si="120"/>
        <v>0.50364103829949924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128.93400000000022</v>
      </c>
      <c r="D148" s="11">
        <f t="shared" si="140"/>
        <v>33.749920116221446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1255.8056991427636</v>
      </c>
      <c r="H148" s="67">
        <f t="shared" si="110"/>
        <v>576.6744942024194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-2.2737367544323206E-13</v>
      </c>
      <c r="O148" s="13">
        <f>N148*VLOOKUP('Données projet'!$B$9,Paramètres!$A$1:$I$89,3,0)*VLOOKUP('Données projet'!$B$9,Paramètres!$A$1:$I$89,5,0)</f>
        <v>-1.2710188457276673E-13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255.5374979188561</v>
      </c>
      <c r="T148" s="59">
        <f t="shared" si="142"/>
        <v>343.10418468620901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0.31685871974204372</v>
      </c>
      <c r="AA148" s="21">
        <f>EXP(-LN(2)/25)*AA147+(1-EXP(-LN(2)/25))/(LN(2)/25)*Calculateur!V148*Calculateur!X148*VLOOKUP('Données projet'!$B$9,Paramètres!$A$1:$I$89,3,0)*0.475*44/12</f>
        <v>0.65811525563668727</v>
      </c>
      <c r="AB148" s="21">
        <f>EXP(-LN(2)/2)*AB147+(1-EXP(-LN(2)/2))/(LN(2)/2)*V148*Y148*VLOOKUP('Données projet'!$B$9,Paramètres!$A$1:$I$89,3,0)*0.475*44/12</f>
        <v>8.3050633285194971E-18</v>
      </c>
      <c r="AC148" s="22">
        <f t="shared" si="111"/>
        <v>0.97497397537873098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0</v>
      </c>
      <c r="AJ148" s="13">
        <f>AI148*VLOOKUP('Données projet'!$B$10,Paramètres!$A$1:$I$89,3,0)*VLOOKUP('Données projet'!$B$10,Paramètres!$A$1:$I$89,5,0)</f>
        <v>0</v>
      </c>
      <c r="AK148" s="13" t="e">
        <f t="shared" si="143"/>
        <v>#NUM!</v>
      </c>
      <c r="AL148" s="20" t="e">
        <f t="shared" si="112"/>
        <v>#NUM!</v>
      </c>
      <c r="AM148" s="59" t="e">
        <f t="shared" si="113"/>
        <v>#NUM!</v>
      </c>
      <c r="AN148" s="59">
        <f ca="1">AVERAGE(OFFSET($AM$3,0,0,'Données projet'!$E$10+1,1))-AVERAGE(OFFSET($H$3,0,0,'Données projet'!$E$10+1,1))</f>
        <v>255.41017495879987</v>
      </c>
      <c r="AO148" s="59">
        <f t="shared" si="144"/>
        <v>297.50513563712764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0.8556081663625309</v>
      </c>
      <c r="AV148" s="21">
        <f>EXP(-LN(2)/25)*AV147+(1-EXP(-LN(2)/25))/(LN(2)/25)*Calculateur!AQ148*Calculateur!AS148*VLOOKUP('Données projet'!$B$10,Paramètres!$A$1:$I$89,3,0)*0.475*44/12</f>
        <v>1.1492034661047992</v>
      </c>
      <c r="AW148" s="21">
        <f>EXP(-LN(2)/2)*AW147+(1-EXP(-LN(2)/2))/(LN(2)/2)*AQ148*AT148*VLOOKUP('Données projet'!$B$10,Paramètres!$A$1:$I$89,3,0)*0.475*44/12</f>
        <v>1.1972539433427098E-16</v>
      </c>
      <c r="AX148" s="21">
        <f t="shared" si="114"/>
        <v>2.0048116324673302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-5.1159076974727213E-13</v>
      </c>
      <c r="BE148" s="13">
        <f>BD148*VLOOKUP('Données projet'!$B$11,Paramètres!$A$1:$I$89,3,0)*VLOOKUP('Données projet'!$B$11,Paramètres!$A$1:$I$89,5,0)</f>
        <v>-4.0702161641092972E-13</v>
      </c>
      <c r="BF148" s="13" t="e">
        <f t="shared" si="145"/>
        <v>#NUM!</v>
      </c>
      <c r="BG148" s="20" t="e">
        <f t="shared" si="115"/>
        <v>#NUM!</v>
      </c>
      <c r="BH148" s="59" t="e">
        <f t="shared" si="116"/>
        <v>#NUM!</v>
      </c>
      <c r="BI148" s="59">
        <f ca="1">AVERAGE(OFFSET($BH$3,0,0,'Données projet'!$E$11+1,1))-AVERAGE(OFFSET($H$3,0,0,'Données projet'!$E$11+1,1))</f>
        <v>260.20517190557814</v>
      </c>
      <c r="BJ148" s="59">
        <f t="shared" si="146"/>
        <v>307.22009971147133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0.33459329769645868</v>
      </c>
      <c r="BQ148" s="21">
        <f>EXP(-LN(2)/25)*BQ147+(1-EXP(-LN(2)/25))/(LN(2)/25)*Calculateur!BL148*Calculateur!BN148*VLOOKUP('Données projet'!$B$11,Paramètres!$A$1:$I$89,3,0)*0.475*44/12</f>
        <v>0.84611806629020858</v>
      </c>
      <c r="BR148" s="21">
        <f>EXP(-LN(2)/2)*BR147+(1-EXP(-LN(2)/2))/(LN(2)/2)*BL148*BO148*VLOOKUP('Données projet'!$B$11,Paramètres!$A$1:$I$89,3,0)*0.475*44/12</f>
        <v>1.1794845748217241E-16</v>
      </c>
      <c r="BS148" s="22">
        <f t="shared" si="117"/>
        <v>1.1807113639866675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268.00000000000017</v>
      </c>
      <c r="BZ148" s="13">
        <f>BY148*VLOOKUP('Données projet'!$B$12,Paramètres!$A$1:$I$89,3,0)*VLOOKUP('Données projet'!$B$12,Paramètres!$A$1:$I$89,5,0)</f>
        <v>175.59360000000012</v>
      </c>
      <c r="CA148" s="13">
        <f t="shared" si="147"/>
        <v>44.340433728638573</v>
      </c>
      <c r="CB148" s="20">
        <f t="shared" si="118"/>
        <v>383.05177541071242</v>
      </c>
      <c r="CC148" s="59">
        <f t="shared" si="119"/>
        <v>676.38510874404574</v>
      </c>
      <c r="CD148" s="59">
        <f ca="1">AVERAGE(OFFSET($CC$3,0,0,'Données projet'!$E$12+1,1))-AVERAGE(OFFSET($H$3,0,0,'Données projet'!$E$12+1,1))</f>
        <v>185.21927898775016</v>
      </c>
      <c r="CE148" s="59">
        <f t="shared" si="148"/>
        <v>240.82467772396944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0.15968381577078472</v>
      </c>
      <c r="CL148" s="21">
        <f>EXP(-LN(2)/25)*CL147+(1-EXP(-LN(2)/25))/(LN(2)/25)*Calculateur!CG148*Calculateur!CI148*VLOOKUP('Données projet'!$B$12,Paramètres!$A$1:$I$89,3,0)*0.475*44/12</f>
        <v>0.33144509915123976</v>
      </c>
      <c r="CM148" s="21">
        <f>EXP(-LN(2)/2)*CM147+(1-EXP(-LN(2)/2))/(LN(2)/2)*CG148*CJ148*VLOOKUP('Données projet'!$B$12,Paramètres!$A$1:$I$89,3,0)*0.475*44/12</f>
        <v>6.8673920711890969E-17</v>
      </c>
      <c r="CN148" s="22">
        <f t="shared" si="120"/>
        <v>0.49112891492202454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129.82320000000021</v>
      </c>
      <c r="D149" s="11">
        <f t="shared" si="140"/>
        <v>33.955502808068339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1264.256653255266</v>
      </c>
      <c r="H149" s="67">
        <f t="shared" si="110"/>
        <v>578.58124072405269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-2.2737367544323206E-13</v>
      </c>
      <c r="O149" s="13">
        <f>N149*VLOOKUP('Données projet'!$B$9,Paramètres!$A$1:$I$89,3,0)*VLOOKUP('Données projet'!$B$9,Paramètres!$A$1:$I$89,5,0)</f>
        <v>-1.2710188457276673E-13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255.5374979188561</v>
      </c>
      <c r="T149" s="59">
        <f t="shared" si="142"/>
        <v>343.10418468620901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0.31064531351263797</v>
      </c>
      <c r="AA149" s="21">
        <f>EXP(-LN(2)/25)*AA148+(1-EXP(-LN(2)/25))/(LN(2)/25)*Calculateur!V149*Calculateur!X149*VLOOKUP('Données projet'!$B$9,Paramètres!$A$1:$I$89,3,0)*0.475*44/12</f>
        <v>0.64011905936252489</v>
      </c>
      <c r="AB149" s="21">
        <f>EXP(-LN(2)/2)*AB148+(1-EXP(-LN(2)/2))/(LN(2)/2)*V149*Y149*VLOOKUP('Données projet'!$B$9,Paramètres!$A$1:$I$89,3,0)*0.475*44/12</f>
        <v>5.8725665977798562E-18</v>
      </c>
      <c r="AC149" s="22">
        <f t="shared" si="111"/>
        <v>0.95076437287516291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0</v>
      </c>
      <c r="AJ149" s="13">
        <f>AI149*VLOOKUP('Données projet'!$B$10,Paramètres!$A$1:$I$89,3,0)*VLOOKUP('Données projet'!$B$10,Paramètres!$A$1:$I$89,5,0)</f>
        <v>0</v>
      </c>
      <c r="AK149" s="13" t="e">
        <f t="shared" si="143"/>
        <v>#NUM!</v>
      </c>
      <c r="AL149" s="20" t="e">
        <f t="shared" si="112"/>
        <v>#NUM!</v>
      </c>
      <c r="AM149" s="59" t="e">
        <f t="shared" si="113"/>
        <v>#NUM!</v>
      </c>
      <c r="AN149" s="59">
        <f ca="1">AVERAGE(OFFSET($AM$3,0,0,'Données projet'!$E$10+1,1))-AVERAGE(OFFSET($H$3,0,0,'Données projet'!$E$10+1,1))</f>
        <v>255.41017495879987</v>
      </c>
      <c r="AO149" s="59">
        <f t="shared" si="144"/>
        <v>297.50513563712764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0.83883021208961284</v>
      </c>
      <c r="AV149" s="21">
        <f>EXP(-LN(2)/25)*AV148+(1-EXP(-LN(2)/25))/(LN(2)/25)*Calculateur!AQ149*Calculateur!AS149*VLOOKUP('Données projet'!$B$10,Paramètres!$A$1:$I$89,3,0)*0.475*44/12</f>
        <v>1.1177784368901797</v>
      </c>
      <c r="AW149" s="21">
        <f>EXP(-LN(2)/2)*AW148+(1-EXP(-LN(2)/2))/(LN(2)/2)*AQ149*AT149*VLOOKUP('Données projet'!$B$10,Paramètres!$A$1:$I$89,3,0)*0.475*44/12</f>
        <v>8.4658638213996467E-17</v>
      </c>
      <c r="AX149" s="21">
        <f t="shared" si="114"/>
        <v>1.9566086489797927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-5.1159076974727213E-13</v>
      </c>
      <c r="BE149" s="13">
        <f>BD149*VLOOKUP('Données projet'!$B$11,Paramètres!$A$1:$I$89,3,0)*VLOOKUP('Données projet'!$B$11,Paramètres!$A$1:$I$89,5,0)</f>
        <v>-4.0702161641092972E-13</v>
      </c>
      <c r="BF149" s="13" t="e">
        <f t="shared" si="145"/>
        <v>#NUM!</v>
      </c>
      <c r="BG149" s="20" t="e">
        <f t="shared" si="115"/>
        <v>#NUM!</v>
      </c>
      <c r="BH149" s="59" t="e">
        <f t="shared" si="116"/>
        <v>#NUM!</v>
      </c>
      <c r="BI149" s="59">
        <f ca="1">AVERAGE(OFFSET($BH$3,0,0,'Données projet'!$E$11+1,1))-AVERAGE(OFFSET($H$3,0,0,'Données projet'!$E$11+1,1))</f>
        <v>260.20517190557814</v>
      </c>
      <c r="BJ149" s="59">
        <f t="shared" si="146"/>
        <v>307.22009971147133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0.32803212721039132</v>
      </c>
      <c r="BQ149" s="21">
        <f>EXP(-LN(2)/25)*BQ148+(1-EXP(-LN(2)/25))/(LN(2)/25)*Calculateur!BL149*Calculateur!BN149*VLOOKUP('Données projet'!$B$11,Paramètres!$A$1:$I$89,3,0)*0.475*44/12</f>
        <v>0.82298092327208761</v>
      </c>
      <c r="BR149" s="21">
        <f>EXP(-LN(2)/2)*BR148+(1-EXP(-LN(2)/2))/(LN(2)/2)*BL149*BO149*VLOOKUP('Données projet'!$B$11,Paramètres!$A$1:$I$89,3,0)*0.475*44/12</f>
        <v>8.3402154116137294E-17</v>
      </c>
      <c r="BS149" s="22">
        <f t="shared" si="117"/>
        <v>1.1510130504824789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268.00000000000017</v>
      </c>
      <c r="BZ149" s="13">
        <f>BY149*VLOOKUP('Données projet'!$B$12,Paramètres!$A$1:$I$89,3,0)*VLOOKUP('Données projet'!$B$12,Paramètres!$A$1:$I$89,5,0)</f>
        <v>175.59360000000012</v>
      </c>
      <c r="CA149" s="13">
        <f t="shared" si="147"/>
        <v>44.340433728638573</v>
      </c>
      <c r="CB149" s="20">
        <f t="shared" si="118"/>
        <v>383.05177541071242</v>
      </c>
      <c r="CC149" s="59">
        <f t="shared" si="119"/>
        <v>676.38510874404574</v>
      </c>
      <c r="CD149" s="59">
        <f ca="1">AVERAGE(OFFSET($CC$3,0,0,'Données projet'!$E$12+1,1))-AVERAGE(OFFSET($H$3,0,0,'Données projet'!$E$12+1,1))</f>
        <v>185.21927898775016</v>
      </c>
      <c r="CE149" s="59">
        <f t="shared" si="148"/>
        <v>240.82467772396944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0.15655251354103006</v>
      </c>
      <c r="CL149" s="21">
        <f>EXP(-LN(2)/25)*CL148+(1-EXP(-LN(2)/25))/(LN(2)/25)*Calculateur!CG149*Calculateur!CI149*VLOOKUP('Données projet'!$B$12,Paramètres!$A$1:$I$89,3,0)*0.475*44/12</f>
        <v>0.32238171548500888</v>
      </c>
      <c r="CM149" s="21">
        <f>EXP(-LN(2)/2)*CM148+(1-EXP(-LN(2)/2))/(LN(2)/2)*CG149*CJ149*VLOOKUP('Données projet'!$B$12,Paramètres!$A$1:$I$89,3,0)*0.475*44/12</f>
        <v>4.8559795026045402E-17</v>
      </c>
      <c r="CN149" s="22">
        <f t="shared" si="120"/>
        <v>0.47893422902603899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130.7124000000002</v>
      </c>
      <c r="D150" s="11">
        <f t="shared" si="140"/>
        <v>34.160921660966174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1272.7063426460566</v>
      </c>
      <c r="H150" s="67">
        <f t="shared" si="110"/>
        <v>580.48770189284971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-2.2737367544323206E-13</v>
      </c>
      <c r="O150" s="13">
        <f>N150*VLOOKUP('Données projet'!$B$9,Paramètres!$A$1:$I$89,3,0)*VLOOKUP('Données projet'!$B$9,Paramètres!$A$1:$I$89,5,0)</f>
        <v>-1.2710188457276673E-13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255.5374979188561</v>
      </c>
      <c r="T150" s="59">
        <f t="shared" si="142"/>
        <v>343.10418468620901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0.30455374838958726</v>
      </c>
      <c r="AA150" s="21">
        <f>EXP(-LN(2)/25)*AA149+(1-EXP(-LN(2)/25))/(LN(2)/25)*Calculateur!V150*Calculateur!X150*VLOOKUP('Données projet'!$B$9,Paramètres!$A$1:$I$89,3,0)*0.475*44/12</f>
        <v>0.62261497002185828</v>
      </c>
      <c r="AB150" s="21">
        <f>EXP(-LN(2)/2)*AB149+(1-EXP(-LN(2)/2))/(LN(2)/2)*V150*Y150*VLOOKUP('Données projet'!$B$9,Paramètres!$A$1:$I$89,3,0)*0.475*44/12</f>
        <v>4.1525316642597486E-18</v>
      </c>
      <c r="AC150" s="22">
        <f t="shared" si="111"/>
        <v>0.92716871841144555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0</v>
      </c>
      <c r="AJ150" s="13">
        <f>AI150*VLOOKUP('Données projet'!$B$10,Paramètres!$A$1:$I$89,3,0)*VLOOKUP('Données projet'!$B$10,Paramètres!$A$1:$I$89,5,0)</f>
        <v>0</v>
      </c>
      <c r="AK150" s="13" t="e">
        <f t="shared" si="143"/>
        <v>#NUM!</v>
      </c>
      <c r="AL150" s="20" t="e">
        <f t="shared" si="112"/>
        <v>#NUM!</v>
      </c>
      <c r="AM150" s="59" t="e">
        <f t="shared" si="113"/>
        <v>#NUM!</v>
      </c>
      <c r="AN150" s="59">
        <f ca="1">AVERAGE(OFFSET($AM$3,0,0,'Données projet'!$E$10+1,1))-AVERAGE(OFFSET($H$3,0,0,'Données projet'!$E$10+1,1))</f>
        <v>255.41017495879987</v>
      </c>
      <c r="AO150" s="59">
        <f t="shared" si="144"/>
        <v>297.50513563712764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0.82238126326644501</v>
      </c>
      <c r="AV150" s="21">
        <f>EXP(-LN(2)/25)*AV149+(1-EXP(-LN(2)/25))/(LN(2)/25)*Calculateur!AQ150*Calculateur!AS150*VLOOKUP('Données projet'!$B$10,Paramètres!$A$1:$I$89,3,0)*0.475*44/12</f>
        <v>1.0872127267520044</v>
      </c>
      <c r="AW150" s="21">
        <f>EXP(-LN(2)/2)*AW149+(1-EXP(-LN(2)/2))/(LN(2)/2)*AQ150*AT150*VLOOKUP('Données projet'!$B$10,Paramètres!$A$1:$I$89,3,0)*0.475*44/12</f>
        <v>5.986269716713549E-17</v>
      </c>
      <c r="AX150" s="21">
        <f t="shared" si="114"/>
        <v>1.9095939900184495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-5.1159076974727213E-13</v>
      </c>
      <c r="BE150" s="13">
        <f>BD150*VLOOKUP('Données projet'!$B$11,Paramètres!$A$1:$I$89,3,0)*VLOOKUP('Données projet'!$B$11,Paramètres!$A$1:$I$89,5,0)</f>
        <v>-4.0702161641092972E-13</v>
      </c>
      <c r="BF150" s="13" t="e">
        <f t="shared" si="145"/>
        <v>#NUM!</v>
      </c>
      <c r="BG150" s="20" t="e">
        <f t="shared" si="115"/>
        <v>#NUM!</v>
      </c>
      <c r="BH150" s="59" t="e">
        <f t="shared" si="116"/>
        <v>#NUM!</v>
      </c>
      <c r="BI150" s="59">
        <f ca="1">AVERAGE(OFFSET($BH$3,0,0,'Données projet'!$E$11+1,1))-AVERAGE(OFFSET($H$3,0,0,'Données projet'!$E$11+1,1))</f>
        <v>260.20517190557814</v>
      </c>
      <c r="BJ150" s="59">
        <f t="shared" si="146"/>
        <v>307.22009971147133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0.32159961727563691</v>
      </c>
      <c r="BQ150" s="21">
        <f>EXP(-LN(2)/25)*BQ149+(1-EXP(-LN(2)/25))/(LN(2)/25)*Calculateur!BL150*Calculateur!BN150*VLOOKUP('Données projet'!$B$11,Paramètres!$A$1:$I$89,3,0)*0.475*44/12</f>
        <v>0.80047646664652661</v>
      </c>
      <c r="BR150" s="21">
        <f>EXP(-LN(2)/2)*BR149+(1-EXP(-LN(2)/2))/(LN(2)/2)*BL150*BO150*VLOOKUP('Données projet'!$B$11,Paramètres!$A$1:$I$89,3,0)*0.475*44/12</f>
        <v>5.8974228741086207E-17</v>
      </c>
      <c r="BS150" s="22">
        <f t="shared" si="117"/>
        <v>1.1220760839221635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268.00000000000017</v>
      </c>
      <c r="BZ150" s="13">
        <f>BY150*VLOOKUP('Données projet'!$B$12,Paramètres!$A$1:$I$89,3,0)*VLOOKUP('Données projet'!$B$12,Paramètres!$A$1:$I$89,5,0)</f>
        <v>175.59360000000012</v>
      </c>
      <c r="CA150" s="13">
        <f t="shared" si="147"/>
        <v>44.340433728638573</v>
      </c>
      <c r="CB150" s="20">
        <f t="shared" si="118"/>
        <v>383.05177541071242</v>
      </c>
      <c r="CC150" s="59">
        <f t="shared" si="119"/>
        <v>676.38510874404574</v>
      </c>
      <c r="CD150" s="59">
        <f ca="1">AVERAGE(OFFSET($CC$3,0,0,'Données projet'!$E$12+1,1))-AVERAGE(OFFSET($H$3,0,0,'Données projet'!$E$12+1,1))</f>
        <v>185.21927898775016</v>
      </c>
      <c r="CE150" s="59">
        <f t="shared" si="148"/>
        <v>240.82467772396944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0.15348261423809509</v>
      </c>
      <c r="CL150" s="21">
        <f>EXP(-LN(2)/25)*CL149+(1-EXP(-LN(2)/25))/(LN(2)/25)*Calculateur!CG150*Calculateur!CI150*VLOOKUP('Données projet'!$B$12,Paramètres!$A$1:$I$89,3,0)*0.475*44/12</f>
        <v>0.31356617052175373</v>
      </c>
      <c r="CM150" s="21">
        <f>EXP(-LN(2)/2)*CM149+(1-EXP(-LN(2)/2))/(LN(2)/2)*CG150*CJ150*VLOOKUP('Données projet'!$B$12,Paramètres!$A$1:$I$89,3,0)*0.475*44/12</f>
        <v>3.4336960355945485E-17</v>
      </c>
      <c r="CN150" s="22">
        <f t="shared" si="120"/>
        <v>0.46704878475984885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131.60160000000019</v>
      </c>
      <c r="D151" s="11">
        <f t="shared" si="140"/>
        <v>34.366177918726152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1281.1547769164843</v>
      </c>
      <c r="H151" s="67">
        <f t="shared" si="110"/>
        <v>582.39387987511509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-2.2737367544323206E-13</v>
      </c>
      <c r="O151" s="13">
        <f>N151*VLOOKUP('Données projet'!$B$9,Paramètres!$A$1:$I$89,3,0)*VLOOKUP('Données projet'!$B$9,Paramètres!$A$1:$I$89,5,0)</f>
        <v>-1.2710188457276673E-13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255.5374979188561</v>
      </c>
      <c r="T151" s="59">
        <f t="shared" si="142"/>
        <v>343.10418468620901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0.29858163514311176</v>
      </c>
      <c r="AA151" s="21">
        <f>EXP(-LN(2)/25)*AA150+(1-EXP(-LN(2)/25))/(LN(2)/25)*Calculateur!V151*Calculateur!X151*VLOOKUP('Données projet'!$B$9,Paramètres!$A$1:$I$89,3,0)*0.475*44/12</f>
        <v>0.60558953092471235</v>
      </c>
      <c r="AB151" s="21">
        <f>EXP(-LN(2)/2)*AB150+(1-EXP(-LN(2)/2))/(LN(2)/2)*V151*Y151*VLOOKUP('Données projet'!$B$9,Paramètres!$A$1:$I$89,3,0)*0.475*44/12</f>
        <v>2.9362832988899281E-18</v>
      </c>
      <c r="AC151" s="22">
        <f t="shared" si="111"/>
        <v>0.90417116606782411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0</v>
      </c>
      <c r="AJ151" s="13">
        <f>AI151*VLOOKUP('Données projet'!$B$10,Paramètres!$A$1:$I$89,3,0)*VLOOKUP('Données projet'!$B$10,Paramètres!$A$1:$I$89,5,0)</f>
        <v>0</v>
      </c>
      <c r="AK151" s="13" t="e">
        <f t="shared" si="143"/>
        <v>#NUM!</v>
      </c>
      <c r="AL151" s="20" t="e">
        <f t="shared" si="112"/>
        <v>#NUM!</v>
      </c>
      <c r="AM151" s="59" t="e">
        <f t="shared" si="113"/>
        <v>#NUM!</v>
      </c>
      <c r="AN151" s="59">
        <f ca="1">AVERAGE(OFFSET($AM$3,0,0,'Données projet'!$E$10+1,1))-AVERAGE(OFFSET($H$3,0,0,'Données projet'!$E$10+1,1))</f>
        <v>255.41017495879987</v>
      </c>
      <c r="AO151" s="59">
        <f t="shared" si="144"/>
        <v>297.50513563712764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0.80625486829683146</v>
      </c>
      <c r="AV151" s="21">
        <f>EXP(-LN(2)/25)*AV150+(1-EXP(-LN(2)/25))/(LN(2)/25)*Calculateur!AQ151*Calculateur!AS151*VLOOKUP('Données projet'!$B$10,Paramètres!$A$1:$I$89,3,0)*0.475*44/12</f>
        <v>1.0574828375649383</v>
      </c>
      <c r="AW151" s="21">
        <f>EXP(-LN(2)/2)*AW150+(1-EXP(-LN(2)/2))/(LN(2)/2)*AQ151*AT151*VLOOKUP('Données projet'!$B$10,Paramètres!$A$1:$I$89,3,0)*0.475*44/12</f>
        <v>4.2329319106998234E-17</v>
      </c>
      <c r="AX151" s="21">
        <f t="shared" si="114"/>
        <v>1.8637377058617699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-5.1159076974727213E-13</v>
      </c>
      <c r="BE151" s="13">
        <f>BD151*VLOOKUP('Données projet'!$B$11,Paramètres!$A$1:$I$89,3,0)*VLOOKUP('Données projet'!$B$11,Paramètres!$A$1:$I$89,5,0)</f>
        <v>-4.0702161641092972E-13</v>
      </c>
      <c r="BF151" s="13" t="e">
        <f t="shared" si="145"/>
        <v>#NUM!</v>
      </c>
      <c r="BG151" s="20" t="e">
        <f t="shared" si="115"/>
        <v>#NUM!</v>
      </c>
      <c r="BH151" s="59" t="e">
        <f t="shared" si="116"/>
        <v>#NUM!</v>
      </c>
      <c r="BI151" s="59">
        <f ca="1">AVERAGE(OFFSET($BH$3,0,0,'Données projet'!$E$11+1,1))-AVERAGE(OFFSET($H$3,0,0,'Données projet'!$E$11+1,1))</f>
        <v>260.20517190557814</v>
      </c>
      <c r="BJ151" s="59">
        <f t="shared" si="146"/>
        <v>307.22009971147133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0.31529324493725935</v>
      </c>
      <c r="BQ151" s="21">
        <f>EXP(-LN(2)/25)*BQ150+(1-EXP(-LN(2)/25))/(LN(2)/25)*Calculateur!BL151*Calculateur!BN151*VLOOKUP('Données projet'!$B$11,Paramètres!$A$1:$I$89,3,0)*0.475*44/12</f>
        <v>0.77858739557084944</v>
      </c>
      <c r="BR151" s="21">
        <f>EXP(-LN(2)/2)*BR150+(1-EXP(-LN(2)/2))/(LN(2)/2)*BL151*BO151*VLOOKUP('Données projet'!$B$11,Paramètres!$A$1:$I$89,3,0)*0.475*44/12</f>
        <v>4.1701077058068647E-17</v>
      </c>
      <c r="BS151" s="22">
        <f t="shared" si="117"/>
        <v>1.0938806405081087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268.00000000000017</v>
      </c>
      <c r="BZ151" s="13">
        <f>BY151*VLOOKUP('Données projet'!$B$12,Paramètres!$A$1:$I$89,3,0)*VLOOKUP('Données projet'!$B$12,Paramètres!$A$1:$I$89,5,0)</f>
        <v>175.59360000000012</v>
      </c>
      <c r="CA151" s="13">
        <f t="shared" si="147"/>
        <v>44.340433728638573</v>
      </c>
      <c r="CB151" s="20">
        <f t="shared" si="118"/>
        <v>383.05177541071242</v>
      </c>
      <c r="CC151" s="59">
        <f t="shared" si="119"/>
        <v>676.38510874404574</v>
      </c>
      <c r="CD151" s="59">
        <f ca="1">AVERAGE(OFFSET($CC$3,0,0,'Données projet'!$E$12+1,1))-AVERAGE(OFFSET($H$3,0,0,'Données projet'!$E$12+1,1))</f>
        <v>185.21927898775016</v>
      </c>
      <c r="CE151" s="59">
        <f t="shared" si="148"/>
        <v>240.82467772396944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0.15047291378803701</v>
      </c>
      <c r="CL151" s="21">
        <f>EXP(-LN(2)/25)*CL150+(1-EXP(-LN(2)/25))/(LN(2)/25)*Calculateur!CG151*Calculateur!CI151*VLOOKUP('Données projet'!$B$12,Paramètres!$A$1:$I$89,3,0)*0.475*44/12</f>
        <v>0.30499168709910812</v>
      </c>
      <c r="CM151" s="21">
        <f>EXP(-LN(2)/2)*CM150+(1-EXP(-LN(2)/2))/(LN(2)/2)*CG151*CJ151*VLOOKUP('Données projet'!$B$12,Paramètres!$A$1:$I$89,3,0)*0.475*44/12</f>
        <v>2.4279897513022701E-17</v>
      </c>
      <c r="CN151" s="22">
        <f t="shared" si="120"/>
        <v>0.45546460088714513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132.49080000000018</v>
      </c>
      <c r="D152" s="11">
        <f t="shared" si="140"/>
        <v>34.571272807379401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1289.6019655306493</v>
      </c>
      <c r="H152" s="67">
        <f t="shared" si="110"/>
        <v>584.29977680618606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-2.2737367544323206E-13</v>
      </c>
      <c r="O152" s="13">
        <f>N152*VLOOKUP('Données projet'!$B$9,Paramètres!$A$1:$I$89,3,0)*VLOOKUP('Données projet'!$B$9,Paramètres!$A$1:$I$89,5,0)</f>
        <v>-1.2710188457276673E-13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255.5374979188561</v>
      </c>
      <c r="T152" s="59">
        <f t="shared" si="142"/>
        <v>343.10418468620901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0.29272663139477023</v>
      </c>
      <c r="AA152" s="21">
        <f>EXP(-LN(2)/25)*AA151+(1-EXP(-LN(2)/25))/(LN(2)/25)*Calculateur!V152*Calculateur!X152*VLOOKUP('Données projet'!$B$9,Paramètres!$A$1:$I$89,3,0)*0.475*44/12</f>
        <v>0.58902965335500679</v>
      </c>
      <c r="AB152" s="21">
        <f>EXP(-LN(2)/2)*AB151+(1-EXP(-LN(2)/2))/(LN(2)/2)*V152*Y152*VLOOKUP('Données projet'!$B$9,Paramètres!$A$1:$I$89,3,0)*0.475*44/12</f>
        <v>2.0762658321298743E-18</v>
      </c>
      <c r="AC152" s="22">
        <f t="shared" si="111"/>
        <v>0.88175628474977708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0</v>
      </c>
      <c r="AJ152" s="13">
        <f>AI152*VLOOKUP('Données projet'!$B$10,Paramètres!$A$1:$I$89,3,0)*VLOOKUP('Données projet'!$B$10,Paramètres!$A$1:$I$89,5,0)</f>
        <v>0</v>
      </c>
      <c r="AK152" s="13" t="e">
        <f t="shared" si="143"/>
        <v>#NUM!</v>
      </c>
      <c r="AL152" s="20" t="e">
        <f t="shared" si="112"/>
        <v>#NUM!</v>
      </c>
      <c r="AM152" s="59" t="e">
        <f t="shared" si="113"/>
        <v>#NUM!</v>
      </c>
      <c r="AN152" s="59">
        <f ca="1">AVERAGE(OFFSET($AM$3,0,0,'Données projet'!$E$10+1,1))-AVERAGE(OFFSET($H$3,0,0,'Données projet'!$E$10+1,1))</f>
        <v>255.41017495879987</v>
      </c>
      <c r="AO152" s="59">
        <f t="shared" si="144"/>
        <v>297.50513563712764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0.79044470209644235</v>
      </c>
      <c r="AV152" s="21">
        <f>EXP(-LN(2)/25)*AV151+(1-EXP(-LN(2)/25))/(LN(2)/25)*Calculateur!AQ152*Calculateur!AS152*VLOOKUP('Données projet'!$B$10,Paramètres!$A$1:$I$89,3,0)*0.475*44/12</f>
        <v>1.0285659137611196</v>
      </c>
      <c r="AW152" s="21">
        <f>EXP(-LN(2)/2)*AW151+(1-EXP(-LN(2)/2))/(LN(2)/2)*AQ152*AT152*VLOOKUP('Données projet'!$B$10,Paramètres!$A$1:$I$89,3,0)*0.475*44/12</f>
        <v>2.9931348583567745E-17</v>
      </c>
      <c r="AX152" s="21">
        <f t="shared" si="114"/>
        <v>1.8190106158575619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-5.1159076974727213E-13</v>
      </c>
      <c r="BE152" s="13">
        <f>BD152*VLOOKUP('Données projet'!$B$11,Paramètres!$A$1:$I$89,3,0)*VLOOKUP('Données projet'!$B$11,Paramètres!$A$1:$I$89,5,0)</f>
        <v>-4.0702161641092972E-13</v>
      </c>
      <c r="BF152" s="13" t="e">
        <f t="shared" si="145"/>
        <v>#NUM!</v>
      </c>
      <c r="BG152" s="20" t="e">
        <f t="shared" si="115"/>
        <v>#NUM!</v>
      </c>
      <c r="BH152" s="59" t="e">
        <f t="shared" si="116"/>
        <v>#NUM!</v>
      </c>
      <c r="BI152" s="59">
        <f ca="1">AVERAGE(OFFSET($BH$3,0,0,'Données projet'!$E$11+1,1))-AVERAGE(OFFSET($H$3,0,0,'Données projet'!$E$11+1,1))</f>
        <v>260.20517190557814</v>
      </c>
      <c r="BJ152" s="59">
        <f t="shared" si="146"/>
        <v>307.22009971147133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0.30911053671393007</v>
      </c>
      <c r="BQ152" s="21">
        <f>EXP(-LN(2)/25)*BQ151+(1-EXP(-LN(2)/25))/(LN(2)/25)*Calculateur!BL152*Calculateur!BN152*VLOOKUP('Données projet'!$B$11,Paramètres!$A$1:$I$89,3,0)*0.475*44/12</f>
        <v>0.75729688229483294</v>
      </c>
      <c r="BR152" s="21">
        <f>EXP(-LN(2)/2)*BR151+(1-EXP(-LN(2)/2))/(LN(2)/2)*BL152*BO152*VLOOKUP('Données projet'!$B$11,Paramètres!$A$1:$I$89,3,0)*0.475*44/12</f>
        <v>2.9487114370543104E-17</v>
      </c>
      <c r="BS152" s="22">
        <f t="shared" si="117"/>
        <v>1.0664074190087631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268.00000000000017</v>
      </c>
      <c r="BZ152" s="13">
        <f>BY152*VLOOKUP('Données projet'!$B$12,Paramètres!$A$1:$I$89,3,0)*VLOOKUP('Données projet'!$B$12,Paramètres!$A$1:$I$89,5,0)</f>
        <v>175.59360000000012</v>
      </c>
      <c r="CA152" s="13">
        <f t="shared" si="147"/>
        <v>44.340433728638573</v>
      </c>
      <c r="CB152" s="20">
        <f t="shared" si="118"/>
        <v>383.05177541071242</v>
      </c>
      <c r="CC152" s="59">
        <f t="shared" si="119"/>
        <v>676.38510874404574</v>
      </c>
      <c r="CD152" s="59">
        <f ca="1">AVERAGE(OFFSET($CC$3,0,0,'Données projet'!$E$12+1,1))-AVERAGE(OFFSET($H$3,0,0,'Données projet'!$E$12+1,1))</f>
        <v>185.21927898775016</v>
      </c>
      <c r="CE152" s="59">
        <f t="shared" si="148"/>
        <v>240.82467772396944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0.14752223172806855</v>
      </c>
      <c r="CL152" s="21">
        <f>EXP(-LN(2)/25)*CL151+(1-EXP(-LN(2)/25))/(LN(2)/25)*Calculateur!CG152*Calculateur!CI152*VLOOKUP('Données projet'!$B$12,Paramètres!$A$1:$I$89,3,0)*0.475*44/12</f>
        <v>0.29665167337656723</v>
      </c>
      <c r="CM152" s="21">
        <f>EXP(-LN(2)/2)*CM151+(1-EXP(-LN(2)/2))/(LN(2)/2)*CG152*CJ152*VLOOKUP('Données projet'!$B$12,Paramètres!$A$1:$I$89,3,0)*0.475*44/12</f>
        <v>1.7168480177972742E-17</v>
      </c>
      <c r="CN152" s="22">
        <f t="shared" si="120"/>
        <v>0.44417390510463578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133.38000000000017</v>
      </c>
      <c r="D153" s="11">
        <f t="shared" si="140"/>
        <v>34.776207535549027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1298.0479178182745</v>
      </c>
      <c r="H153" s="67">
        <f t="shared" si="110"/>
        <v>586.20539479108152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-2.2737367544323206E-13</v>
      </c>
      <c r="O153" s="13">
        <f>N153*VLOOKUP('Données projet'!$B$9,Paramètres!$A$1:$I$89,3,0)*VLOOKUP('Données projet'!$B$9,Paramètres!$A$1:$I$89,5,0)</f>
        <v>-1.2710188457276673E-13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255.5374979188561</v>
      </c>
      <c r="T153" s="59">
        <f t="shared" si="142"/>
        <v>343.10418468620901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0.28698644069873402</v>
      </c>
      <c r="AA153" s="21">
        <f>EXP(-LN(2)/25)*AA152+(1-EXP(-LN(2)/25))/(LN(2)/25)*Calculateur!V153*Calculateur!X153*VLOOKUP('Données projet'!$B$9,Paramètres!$A$1:$I$89,3,0)*0.475*44/12</f>
        <v>0.57292260650829085</v>
      </c>
      <c r="AB153" s="21">
        <f>EXP(-LN(2)/2)*AB152+(1-EXP(-LN(2)/2))/(LN(2)/2)*V153*Y153*VLOOKUP('Données projet'!$B$9,Paramètres!$A$1:$I$89,3,0)*0.475*44/12</f>
        <v>1.4681416494449641E-18</v>
      </c>
      <c r="AC153" s="22">
        <f t="shared" si="111"/>
        <v>0.85990904720702488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0</v>
      </c>
      <c r="AJ153" s="13">
        <f>AI153*VLOOKUP('Données projet'!$B$10,Paramètres!$A$1:$I$89,3,0)*VLOOKUP('Données projet'!$B$10,Paramètres!$A$1:$I$89,5,0)</f>
        <v>0</v>
      </c>
      <c r="AK153" s="13" t="e">
        <f t="shared" si="143"/>
        <v>#NUM!</v>
      </c>
      <c r="AL153" s="20" t="e">
        <f t="shared" si="112"/>
        <v>#NUM!</v>
      </c>
      <c r="AM153" s="59" t="e">
        <f t="shared" si="113"/>
        <v>#NUM!</v>
      </c>
      <c r="AN153" s="59">
        <f ca="1">AVERAGE(OFFSET($AM$3,0,0,'Données projet'!$E$10+1,1))-AVERAGE(OFFSET($H$3,0,0,'Données projet'!$E$10+1,1))</f>
        <v>255.41017495879987</v>
      </c>
      <c r="AO153" s="59">
        <f t="shared" si="144"/>
        <v>297.50513563712764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0.7749445636119936</v>
      </c>
      <c r="AV153" s="21">
        <f>EXP(-LN(2)/25)*AV152+(1-EXP(-LN(2)/25))/(LN(2)/25)*Calculateur!AQ153*Calculateur!AS153*VLOOKUP('Données projet'!$B$10,Paramètres!$A$1:$I$89,3,0)*0.475*44/12</f>
        <v>1.0004397247593912</v>
      </c>
      <c r="AW153" s="21">
        <f>EXP(-LN(2)/2)*AW152+(1-EXP(-LN(2)/2))/(LN(2)/2)*AQ153*AT153*VLOOKUP('Données projet'!$B$10,Paramètres!$A$1:$I$89,3,0)*0.475*44/12</f>
        <v>2.1164659553499117E-17</v>
      </c>
      <c r="AX153" s="21">
        <f t="shared" si="114"/>
        <v>1.7753842883713848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-5.1159076974727213E-13</v>
      </c>
      <c r="BE153" s="13">
        <f>BD153*VLOOKUP('Données projet'!$B$11,Paramètres!$A$1:$I$89,3,0)*VLOOKUP('Données projet'!$B$11,Paramètres!$A$1:$I$89,5,0)</f>
        <v>-4.0702161641092972E-13</v>
      </c>
      <c r="BF153" s="13" t="e">
        <f t="shared" si="145"/>
        <v>#NUM!</v>
      </c>
      <c r="BG153" s="20" t="e">
        <f t="shared" si="115"/>
        <v>#NUM!</v>
      </c>
      <c r="BH153" s="59" t="e">
        <f t="shared" si="116"/>
        <v>#NUM!</v>
      </c>
      <c r="BI153" s="59">
        <f ca="1">AVERAGE(OFFSET($BH$3,0,0,'Données projet'!$E$11+1,1))-AVERAGE(OFFSET($H$3,0,0,'Données projet'!$E$11+1,1))</f>
        <v>260.20517190557814</v>
      </c>
      <c r="BJ153" s="59">
        <f t="shared" si="146"/>
        <v>307.22009971147133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0.30304906762778067</v>
      </c>
      <c r="BQ153" s="21">
        <f>EXP(-LN(2)/25)*BQ152+(1-EXP(-LN(2)/25))/(LN(2)/25)*Calculateur!BL153*Calculateur!BN153*VLOOKUP('Données projet'!$B$11,Paramètres!$A$1:$I$89,3,0)*0.475*44/12</f>
        <v>0.73658855922396849</v>
      </c>
      <c r="BR153" s="21">
        <f>EXP(-LN(2)/2)*BR152+(1-EXP(-LN(2)/2))/(LN(2)/2)*BL153*BO153*VLOOKUP('Données projet'!$B$11,Paramètres!$A$1:$I$89,3,0)*0.475*44/12</f>
        <v>2.0850538529034324E-17</v>
      </c>
      <c r="BS153" s="22">
        <f t="shared" si="117"/>
        <v>1.0396376268517491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268.00000000000017</v>
      </c>
      <c r="BZ153" s="13">
        <f>BY153*VLOOKUP('Données projet'!$B$12,Paramètres!$A$1:$I$89,3,0)*VLOOKUP('Données projet'!$B$12,Paramètres!$A$1:$I$89,5,0)</f>
        <v>175.59360000000012</v>
      </c>
      <c r="CA153" s="13">
        <f t="shared" si="147"/>
        <v>44.340433728638573</v>
      </c>
      <c r="CB153" s="20">
        <f t="shared" si="118"/>
        <v>383.05177541071242</v>
      </c>
      <c r="CC153" s="59">
        <f t="shared" si="119"/>
        <v>676.38510874404574</v>
      </c>
      <c r="CD153" s="59">
        <f ca="1">AVERAGE(OFFSET($CC$3,0,0,'Données projet'!$E$12+1,1))-AVERAGE(OFFSET($H$3,0,0,'Données projet'!$E$12+1,1))</f>
        <v>185.21927898775016</v>
      </c>
      <c r="CE153" s="59">
        <f t="shared" si="148"/>
        <v>240.82467772396944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0.14462941074355773</v>
      </c>
      <c r="CL153" s="21">
        <f>EXP(-LN(2)/25)*CL152+(1-EXP(-LN(2)/25))/(LN(2)/25)*Calculateur!CG153*Calculateur!CI153*VLOOKUP('Données projet'!$B$12,Paramètres!$A$1:$I$89,3,0)*0.475*44/12</f>
        <v>0.28853971776785148</v>
      </c>
      <c r="CM153" s="21">
        <f>EXP(-LN(2)/2)*CM152+(1-EXP(-LN(2)/2))/(LN(2)/2)*CG153*CJ153*VLOOKUP('Données projet'!$B$12,Paramètres!$A$1:$I$89,3,0)*0.475*44/12</f>
        <v>1.213994875651135E-17</v>
      </c>
      <c r="CN153" s="22">
        <f t="shared" si="120"/>
        <v>0.43316912851140921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134.26920000000015</v>
      </c>
      <c r="D154" s="11">
        <f t="shared" si="140"/>
        <v>34.980983294811438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1306.492642977493</v>
      </c>
      <c r="H154" s="67">
        <f t="shared" si="110"/>
        <v>588.11073590513013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-2.2737367544323206E-13</v>
      </c>
      <c r="O154" s="13">
        <f>N154*VLOOKUP('Données projet'!$B$9,Paramètres!$A$1:$I$89,3,0)*VLOOKUP('Données projet'!$B$9,Paramètres!$A$1:$I$89,5,0)</f>
        <v>-1.2710188457276673E-13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255.5374979188561</v>
      </c>
      <c r="T154" s="59">
        <f t="shared" si="142"/>
        <v>343.10418468620901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0.28135881164107646</v>
      </c>
      <c r="AA154" s="21">
        <f>EXP(-LN(2)/25)*AA153+(1-EXP(-LN(2)/25))/(LN(2)/25)*Calculateur!V154*Calculateur!X154*VLOOKUP('Données projet'!$B$9,Paramètres!$A$1:$I$89,3,0)*0.475*44/12</f>
        <v>0.55725600770463124</v>
      </c>
      <c r="AB154" s="21">
        <f>EXP(-LN(2)/2)*AB153+(1-EXP(-LN(2)/2))/(LN(2)/2)*V154*Y154*VLOOKUP('Données projet'!$B$9,Paramètres!$A$1:$I$89,3,0)*0.475*44/12</f>
        <v>1.0381329160649371E-18</v>
      </c>
      <c r="AC154" s="22">
        <f t="shared" ref="AC154:AC203" si="163">SUM(Z154:AB154)</f>
        <v>0.8386148193457077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0</v>
      </c>
      <c r="AJ154" s="13">
        <f>AI154*VLOOKUP('Données projet'!$B$10,Paramètres!$A$1:$I$89,3,0)*VLOOKUP('Données projet'!$B$10,Paramètres!$A$1:$I$89,5,0)</f>
        <v>0</v>
      </c>
      <c r="AK154" s="13" t="e">
        <f t="shared" ref="AK154:AK203" si="164">EXP(-1.0587+0.8836*LN(AJ154)+0.284)</f>
        <v>#NUM!</v>
      </c>
      <c r="AL154" s="20" t="e">
        <f t="shared" ref="AL154:AL203" si="165">(AJ154+AK154)*0.475*44/12</f>
        <v>#NUM!</v>
      </c>
      <c r="AM154" s="59" t="e">
        <f t="shared" si="113"/>
        <v>#NUM!</v>
      </c>
      <c r="AN154" s="59">
        <f ca="1">AVERAGE(OFFSET($AM$3,0,0,'Données projet'!$E$10+1,1))-AVERAGE(OFFSET($H$3,0,0,'Données projet'!$E$10+1,1))</f>
        <v>255.41017495879987</v>
      </c>
      <c r="AO154" s="59">
        <f t="shared" si="144"/>
        <v>297.50513563712764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0.75974837338907397</v>
      </c>
      <c r="AV154" s="21">
        <f>EXP(-LN(2)/25)*AV153+(1-EXP(-LN(2)/25))/(LN(2)/25)*Calculateur!AQ154*Calculateur!AS154*VLOOKUP('Données projet'!$B$10,Paramètres!$A$1:$I$89,3,0)*0.475*44/12</f>
        <v>0.97308264787500709</v>
      </c>
      <c r="AW154" s="21">
        <f>EXP(-LN(2)/2)*AW153+(1-EXP(-LN(2)/2))/(LN(2)/2)*AQ154*AT154*VLOOKUP('Données projet'!$B$10,Paramètres!$A$1:$I$89,3,0)*0.475*44/12</f>
        <v>1.4965674291783872E-17</v>
      </c>
      <c r="AX154" s="21">
        <f t="shared" ref="AX154:AX203" si="166">SUM(AU154:AW154)</f>
        <v>1.7328310212640812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-5.1159076974727213E-13</v>
      </c>
      <c r="BE154" s="13">
        <f>BD154*VLOOKUP('Données projet'!$B$11,Paramètres!$A$1:$I$89,3,0)*VLOOKUP('Données projet'!$B$11,Paramètres!$A$1:$I$89,5,0)</f>
        <v>-4.0702161641092972E-13</v>
      </c>
      <c r="BF154" s="13" t="e">
        <f t="shared" ref="BF154:BF203" si="167">EXP(-1.0587+0.8836*LN(BE154)+0.284)</f>
        <v>#NUM!</v>
      </c>
      <c r="BG154" s="20" t="e">
        <f t="shared" ref="BG154:BG203" si="168">(BE154+BF154)*0.475*44/12</f>
        <v>#NUM!</v>
      </c>
      <c r="BH154" s="59" t="e">
        <f t="shared" si="116"/>
        <v>#NUM!</v>
      </c>
      <c r="BI154" s="59">
        <f ca="1">AVERAGE(OFFSET($BH$3,0,0,'Données projet'!$E$11+1,1))-AVERAGE(OFFSET($H$3,0,0,'Données projet'!$E$11+1,1))</f>
        <v>260.20517190557814</v>
      </c>
      <c r="BJ154" s="59">
        <f t="shared" si="146"/>
        <v>307.22009971147133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0.29710646025327953</v>
      </c>
      <c r="BQ154" s="21">
        <f>EXP(-LN(2)/25)*BQ153+(1-EXP(-LN(2)/25))/(LN(2)/25)*Calculateur!BL154*Calculateur!BN154*VLOOKUP('Données projet'!$B$11,Paramètres!$A$1:$I$89,3,0)*0.475*44/12</f>
        <v>0.71644650633648022</v>
      </c>
      <c r="BR154" s="21">
        <f>EXP(-LN(2)/2)*BR153+(1-EXP(-LN(2)/2))/(LN(2)/2)*BL154*BO154*VLOOKUP('Données projet'!$B$11,Paramètres!$A$1:$I$89,3,0)*0.475*44/12</f>
        <v>1.4743557185271552E-17</v>
      </c>
      <c r="BS154" s="22">
        <f t="shared" ref="BS154:BS203" si="169">SUM(BP154:BR154)</f>
        <v>1.0135529665897598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268.00000000000017</v>
      </c>
      <c r="BZ154" s="13">
        <f>BY154*VLOOKUP('Données projet'!$B$12,Paramètres!$A$1:$I$89,3,0)*VLOOKUP('Données projet'!$B$12,Paramètres!$A$1:$I$89,5,0)</f>
        <v>175.59360000000012</v>
      </c>
      <c r="CA154" s="13">
        <f t="shared" ref="CA154:CA203" si="170">EXP(-1.0587+0.8836*LN(BZ154)+0.284)</f>
        <v>44.340433728638573</v>
      </c>
      <c r="CB154" s="20">
        <f t="shared" ref="CB154:CB203" si="171">(BZ154+CA154)*0.475*44/12</f>
        <v>383.05177541071242</v>
      </c>
      <c r="CC154" s="59">
        <f t="shared" si="119"/>
        <v>676.38510874404574</v>
      </c>
      <c r="CD154" s="59">
        <f ca="1">AVERAGE(OFFSET($CC$3,0,0,'Données projet'!$E$12+1,1))-AVERAGE(OFFSET($H$3,0,0,'Données projet'!$E$12+1,1))</f>
        <v>185.21927898775016</v>
      </c>
      <c r="CE154" s="59">
        <f t="shared" si="148"/>
        <v>240.82467772396944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0.1417933162141066</v>
      </c>
      <c r="CL154" s="21">
        <f>EXP(-LN(2)/25)*CL153+(1-EXP(-LN(2)/25))/(LN(2)/25)*Calculateur!CG154*Calculateur!CI154*VLOOKUP('Données projet'!$B$12,Paramètres!$A$1:$I$89,3,0)*0.475*44/12</f>
        <v>0.28064958401184531</v>
      </c>
      <c r="CM154" s="21">
        <f>EXP(-LN(2)/2)*CM153+(1-EXP(-LN(2)/2))/(LN(2)/2)*CG154*CJ154*VLOOKUP('Données projet'!$B$12,Paramètres!$A$1:$I$89,3,0)*0.475*44/12</f>
        <v>8.5842400889863711E-18</v>
      </c>
      <c r="CN154" s="22">
        <f t="shared" ref="CN154:CN203" si="172">SUM(CK154:CM154)</f>
        <v>0.42244290022595188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135.15840000000014</v>
      </c>
      <c r="D155" s="11">
        <f t="shared" si="140"/>
        <v>35.185601260048031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1314.9361500775651</v>
      </c>
      <c r="H155" s="67">
        <f t="shared" si="110"/>
        <v>590.0158021945839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-2.2737367544323206E-13</v>
      </c>
      <c r="O155" s="13">
        <f>N155*VLOOKUP('Données projet'!$B$9,Paramètres!$A$1:$I$89,3,0)*VLOOKUP('Données projet'!$B$9,Paramètres!$A$1:$I$89,5,0)</f>
        <v>-1.2710188457276673E-13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255.5374979188561</v>
      </c>
      <c r="T155" s="59">
        <f t="shared" si="142"/>
        <v>343.10418468620901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0.27584153695672475</v>
      </c>
      <c r="AA155" s="21">
        <f>EXP(-LN(2)/25)*AA154+(1-EXP(-LN(2)/25))/(LN(2)/25)*Calculateur!V155*Calculateur!X155*VLOOKUP('Données projet'!$B$9,Paramètres!$A$1:$I$89,3,0)*0.475*44/12</f>
        <v>0.54201781286912831</v>
      </c>
      <c r="AB155" s="21">
        <f>EXP(-LN(2)/2)*AB154+(1-EXP(-LN(2)/2))/(LN(2)/2)*V155*Y155*VLOOKUP('Données projet'!$B$9,Paramètres!$A$1:$I$89,3,0)*0.475*44/12</f>
        <v>7.3407082472248203E-19</v>
      </c>
      <c r="AC155" s="22">
        <f t="shared" si="163"/>
        <v>0.81785934982585307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0</v>
      </c>
      <c r="AJ155" s="13">
        <f>AI155*VLOOKUP('Données projet'!$B$10,Paramètres!$A$1:$I$89,3,0)*VLOOKUP('Données projet'!$B$10,Paramètres!$A$1:$I$89,5,0)</f>
        <v>0</v>
      </c>
      <c r="AK155" s="13" t="e">
        <f t="shared" si="164"/>
        <v>#NUM!</v>
      </c>
      <c r="AL155" s="20" t="e">
        <f t="shared" si="165"/>
        <v>#NUM!</v>
      </c>
      <c r="AM155" s="59" t="e">
        <f t="shared" si="113"/>
        <v>#NUM!</v>
      </c>
      <c r="AN155" s="59">
        <f ca="1">AVERAGE(OFFSET($AM$3,0,0,'Données projet'!$E$10+1,1))-AVERAGE(OFFSET($H$3,0,0,'Données projet'!$E$10+1,1))</f>
        <v>255.41017495879987</v>
      </c>
      <c r="AO155" s="59">
        <f t="shared" si="144"/>
        <v>297.50513563712764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0.74485017118766494</v>
      </c>
      <c r="AV155" s="21">
        <f>EXP(-LN(2)/25)*AV154+(1-EXP(-LN(2)/25))/(LN(2)/25)*Calculateur!AQ155*Calculateur!AS155*VLOOKUP('Données projet'!$B$10,Paramètres!$A$1:$I$89,3,0)*0.475*44/12</f>
        <v>0.94647365169667252</v>
      </c>
      <c r="AW155" s="21">
        <f>EXP(-LN(2)/2)*AW154+(1-EXP(-LN(2)/2))/(LN(2)/2)*AQ155*AT155*VLOOKUP('Données projet'!$B$10,Paramètres!$A$1:$I$89,3,0)*0.475*44/12</f>
        <v>1.0582329776749558E-17</v>
      </c>
      <c r="AX155" s="21">
        <f t="shared" si="166"/>
        <v>1.6913238228843375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-5.1159076974727213E-13</v>
      </c>
      <c r="BE155" s="13">
        <f>BD155*VLOOKUP('Données projet'!$B$11,Paramètres!$A$1:$I$89,3,0)*VLOOKUP('Données projet'!$B$11,Paramètres!$A$1:$I$89,5,0)</f>
        <v>-4.0702161641092972E-13</v>
      </c>
      <c r="BF155" s="13" t="e">
        <f t="shared" si="167"/>
        <v>#NUM!</v>
      </c>
      <c r="BG155" s="20" t="e">
        <f t="shared" si="168"/>
        <v>#NUM!</v>
      </c>
      <c r="BH155" s="59" t="e">
        <f t="shared" si="116"/>
        <v>#NUM!</v>
      </c>
      <c r="BI155" s="59">
        <f ca="1">AVERAGE(OFFSET($BH$3,0,0,'Données projet'!$E$11+1,1))-AVERAGE(OFFSET($H$3,0,0,'Données projet'!$E$11+1,1))</f>
        <v>260.20517190557814</v>
      </c>
      <c r="BJ155" s="59">
        <f t="shared" si="146"/>
        <v>307.22009971147133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0.29128038378475979</v>
      </c>
      <c r="BQ155" s="21">
        <f>EXP(-LN(2)/25)*BQ154+(1-EXP(-LN(2)/25))/(LN(2)/25)*Calculateur!BL155*Calculateur!BN155*VLOOKUP('Données projet'!$B$11,Paramètres!$A$1:$I$89,3,0)*0.475*44/12</f>
        <v>0.6968552389444248</v>
      </c>
      <c r="BR155" s="21">
        <f>EXP(-LN(2)/2)*BR154+(1-EXP(-LN(2)/2))/(LN(2)/2)*BL155*BO155*VLOOKUP('Données projet'!$B$11,Paramètres!$A$1:$I$89,3,0)*0.475*44/12</f>
        <v>1.0425269264517162E-17</v>
      </c>
      <c r="BS155" s="22">
        <f t="shared" si="169"/>
        <v>0.98813562272918465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268.00000000000017</v>
      </c>
      <c r="BZ155" s="13">
        <f>BY155*VLOOKUP('Données projet'!$B$12,Paramètres!$A$1:$I$89,3,0)*VLOOKUP('Données projet'!$B$12,Paramètres!$A$1:$I$89,5,0)</f>
        <v>175.59360000000012</v>
      </c>
      <c r="CA155" s="13">
        <f t="shared" si="170"/>
        <v>44.340433728638573</v>
      </c>
      <c r="CB155" s="20">
        <f t="shared" si="171"/>
        <v>383.05177541071242</v>
      </c>
      <c r="CC155" s="59">
        <f t="shared" si="119"/>
        <v>676.38510874404574</v>
      </c>
      <c r="CD155" s="59">
        <f ca="1">AVERAGE(OFFSET($CC$3,0,0,'Données projet'!$E$12+1,1))-AVERAGE(OFFSET($H$3,0,0,'Données projet'!$E$12+1,1))</f>
        <v>185.21927898775016</v>
      </c>
      <c r="CE155" s="59">
        <f t="shared" si="148"/>
        <v>240.82467772396944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0.13901283576853113</v>
      </c>
      <c r="CL155" s="21">
        <f>EXP(-LN(2)/25)*CL154+(1-EXP(-LN(2)/25))/(LN(2)/25)*Calculateur!CG155*Calculateur!CI155*VLOOKUP('Données projet'!$B$12,Paramètres!$A$1:$I$89,3,0)*0.475*44/12</f>
        <v>0.27297520637832123</v>
      </c>
      <c r="CM155" s="21">
        <f>EXP(-LN(2)/2)*CM154+(1-EXP(-LN(2)/2))/(LN(2)/2)*CG155*CJ155*VLOOKUP('Données projet'!$B$12,Paramètres!$A$1:$I$89,3,0)*0.475*44/12</f>
        <v>6.0699743782556752E-18</v>
      </c>
      <c r="CN155" s="22">
        <f t="shared" si="172"/>
        <v>0.41198804214685236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136.04760000000013</v>
      </c>
      <c r="D156" s="11">
        <f t="shared" si="140"/>
        <v>35.390062589787611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1323.3784480615195</v>
      </c>
      <c r="H156" s="67">
        <f t="shared" si="110"/>
        <v>591.92059567721367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-2.2737367544323206E-13</v>
      </c>
      <c r="O156" s="13">
        <f>N156*VLOOKUP('Données projet'!$B$9,Paramètres!$A$1:$I$89,3,0)*VLOOKUP('Données projet'!$B$9,Paramètres!$A$1:$I$89,5,0)</f>
        <v>-1.2710188457276673E-13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255.5374979188561</v>
      </c>
      <c r="T156" s="59">
        <f t="shared" si="142"/>
        <v>343.10418468620901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0.27043245266372795</v>
      </c>
      <c r="AA156" s="21">
        <f>EXP(-LN(2)/25)*AA155+(1-EXP(-LN(2)/25))/(LN(2)/25)*Calculateur!V156*Calculateur!X156*VLOOKUP('Données projet'!$B$9,Paramètres!$A$1:$I$89,3,0)*0.475*44/12</f>
        <v>0.52719630727274402</v>
      </c>
      <c r="AB156" s="21">
        <f>EXP(-LN(2)/2)*AB155+(1-EXP(-LN(2)/2))/(LN(2)/2)*V156*Y156*VLOOKUP('Données projet'!$B$9,Paramètres!$A$1:$I$89,3,0)*0.475*44/12</f>
        <v>5.1906645803246857E-19</v>
      </c>
      <c r="AC156" s="22">
        <f t="shared" si="163"/>
        <v>0.79762875993647198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0</v>
      </c>
      <c r="AJ156" s="13">
        <f>AI156*VLOOKUP('Données projet'!$B$10,Paramètres!$A$1:$I$89,3,0)*VLOOKUP('Données projet'!$B$10,Paramètres!$A$1:$I$89,5,0)</f>
        <v>0</v>
      </c>
      <c r="AK156" s="13" t="e">
        <f t="shared" si="164"/>
        <v>#NUM!</v>
      </c>
      <c r="AL156" s="20" t="e">
        <f t="shared" si="165"/>
        <v>#NUM!</v>
      </c>
      <c r="AM156" s="59" t="e">
        <f t="shared" si="113"/>
        <v>#NUM!</v>
      </c>
      <c r="AN156" s="59">
        <f ca="1">AVERAGE(OFFSET($AM$3,0,0,'Données projet'!$E$10+1,1))-AVERAGE(OFFSET($H$3,0,0,'Données projet'!$E$10+1,1))</f>
        <v>255.41017495879987</v>
      </c>
      <c r="AO156" s="59">
        <f t="shared" si="144"/>
        <v>297.50513563712764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0.73024411364441955</v>
      </c>
      <c r="AV156" s="21">
        <f>EXP(-LN(2)/25)*AV155+(1-EXP(-LN(2)/25))/(LN(2)/25)*Calculateur!AQ156*Calculateur!AS156*VLOOKUP('Données projet'!$B$10,Paramètres!$A$1:$I$89,3,0)*0.475*44/12</f>
        <v>0.92059227991814085</v>
      </c>
      <c r="AW156" s="21">
        <f>EXP(-LN(2)/2)*AW155+(1-EXP(-LN(2)/2))/(LN(2)/2)*AQ156*AT156*VLOOKUP('Données projet'!$B$10,Paramètres!$A$1:$I$89,3,0)*0.475*44/12</f>
        <v>7.4828371458919362E-18</v>
      </c>
      <c r="AX156" s="21">
        <f t="shared" si="166"/>
        <v>1.6508363935625603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-5.1159076974727213E-13</v>
      </c>
      <c r="BE156" s="13">
        <f>BD156*VLOOKUP('Données projet'!$B$11,Paramètres!$A$1:$I$89,3,0)*VLOOKUP('Données projet'!$B$11,Paramètres!$A$1:$I$89,5,0)</f>
        <v>-4.0702161641092972E-13</v>
      </c>
      <c r="BF156" s="13" t="e">
        <f t="shared" si="167"/>
        <v>#NUM!</v>
      </c>
      <c r="BG156" s="20" t="e">
        <f t="shared" si="168"/>
        <v>#NUM!</v>
      </c>
      <c r="BH156" s="59" t="e">
        <f t="shared" si="116"/>
        <v>#NUM!</v>
      </c>
      <c r="BI156" s="59">
        <f ca="1">AVERAGE(OFFSET($BH$3,0,0,'Données projet'!$E$11+1,1))-AVERAGE(OFFSET($H$3,0,0,'Données projet'!$E$11+1,1))</f>
        <v>260.20517190557814</v>
      </c>
      <c r="BJ156" s="59">
        <f t="shared" si="146"/>
        <v>307.22009971147133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0.28556855312223195</v>
      </c>
      <c r="BQ156" s="21">
        <f>EXP(-LN(2)/25)*BQ155+(1-EXP(-LN(2)/25))/(LN(2)/25)*Calculateur!BL156*Calculateur!BN156*VLOOKUP('Données projet'!$B$11,Paramètres!$A$1:$I$89,3,0)*0.475*44/12</f>
        <v>0.6777996957894652</v>
      </c>
      <c r="BR156" s="21">
        <f>EXP(-LN(2)/2)*BR155+(1-EXP(-LN(2)/2))/(LN(2)/2)*BL156*BO156*VLOOKUP('Données projet'!$B$11,Paramètres!$A$1:$I$89,3,0)*0.475*44/12</f>
        <v>7.3717785926357759E-18</v>
      </c>
      <c r="BS156" s="22">
        <f t="shared" si="169"/>
        <v>0.96336824891169714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268.00000000000017</v>
      </c>
      <c r="BZ156" s="13">
        <f>BY156*VLOOKUP('Données projet'!$B$12,Paramètres!$A$1:$I$89,3,0)*VLOOKUP('Données projet'!$B$12,Paramètres!$A$1:$I$89,5,0)</f>
        <v>175.59360000000012</v>
      </c>
      <c r="CA156" s="13">
        <f t="shared" si="170"/>
        <v>44.340433728638573</v>
      </c>
      <c r="CB156" s="20">
        <f t="shared" si="171"/>
        <v>383.05177541071242</v>
      </c>
      <c r="CC156" s="59">
        <f t="shared" si="119"/>
        <v>676.38510874404574</v>
      </c>
      <c r="CD156" s="59">
        <f ca="1">AVERAGE(OFFSET($CC$3,0,0,'Données projet'!$E$12+1,1))-AVERAGE(OFFSET($H$3,0,0,'Données projet'!$E$12+1,1))</f>
        <v>185.21927898775016</v>
      </c>
      <c r="CE156" s="59">
        <f t="shared" si="148"/>
        <v>240.82467772396944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0.1362868788485678</v>
      </c>
      <c r="CL156" s="21">
        <f>EXP(-LN(2)/25)*CL155+(1-EXP(-LN(2)/25))/(LN(2)/25)*Calculateur!CG156*Calculateur!CI156*VLOOKUP('Données projet'!$B$12,Paramètres!$A$1:$I$89,3,0)*0.475*44/12</f>
        <v>0.26551068500476382</v>
      </c>
      <c r="CM156" s="21">
        <f>EXP(-LN(2)/2)*CM155+(1-EXP(-LN(2)/2))/(LN(2)/2)*CG156*CJ156*VLOOKUP('Données projet'!$B$12,Paramètres!$A$1:$I$89,3,0)*0.475*44/12</f>
        <v>4.2921200444931856E-18</v>
      </c>
      <c r="CN156" s="22">
        <f t="shared" si="172"/>
        <v>0.40179756385333165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136.93680000000012</v>
      </c>
      <c r="D157" s="11">
        <f t="shared" si="140"/>
        <v>35.594368426539035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1331.8195457487234</v>
      </c>
      <c r="H157" s="67">
        <f t="shared" si="110"/>
        <v>593.82511834288903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-2.2737367544323206E-13</v>
      </c>
      <c r="O157" s="13">
        <f>N157*VLOOKUP('Données projet'!$B$9,Paramètres!$A$1:$I$89,3,0)*VLOOKUP('Données projet'!$B$9,Paramètres!$A$1:$I$89,5,0)</f>
        <v>-1.2710188457276673E-13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255.5374979188561</v>
      </c>
      <c r="T157" s="59">
        <f t="shared" si="142"/>
        <v>343.10418468620901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0.26512943721450116</v>
      </c>
      <c r="AA157" s="21">
        <f>EXP(-LN(2)/25)*AA156+(1-EXP(-LN(2)/25))/(LN(2)/25)*Calculateur!V157*Calculateur!X157*VLOOKUP('Données projet'!$B$9,Paramètres!$A$1:$I$89,3,0)*0.475*44/12</f>
        <v>0.51278009652632195</v>
      </c>
      <c r="AB157" s="21">
        <f>EXP(-LN(2)/2)*AB156+(1-EXP(-LN(2)/2))/(LN(2)/2)*V157*Y157*VLOOKUP('Données projet'!$B$9,Paramètres!$A$1:$I$89,3,0)*0.475*44/12</f>
        <v>3.6703541236124101E-19</v>
      </c>
      <c r="AC157" s="22">
        <f t="shared" si="163"/>
        <v>0.77790953374082306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0</v>
      </c>
      <c r="AJ157" s="13">
        <f>AI157*VLOOKUP('Données projet'!$B$10,Paramètres!$A$1:$I$89,3,0)*VLOOKUP('Données projet'!$B$10,Paramètres!$A$1:$I$89,5,0)</f>
        <v>0</v>
      </c>
      <c r="AK157" s="13" t="e">
        <f t="shared" si="164"/>
        <v>#NUM!</v>
      </c>
      <c r="AL157" s="20" t="e">
        <f t="shared" si="165"/>
        <v>#NUM!</v>
      </c>
      <c r="AM157" s="59" t="e">
        <f t="shared" si="113"/>
        <v>#NUM!</v>
      </c>
      <c r="AN157" s="59">
        <f ca="1">AVERAGE(OFFSET($AM$3,0,0,'Données projet'!$E$10+1,1))-AVERAGE(OFFSET($H$3,0,0,'Données projet'!$E$10+1,1))</f>
        <v>255.41017495879987</v>
      </c>
      <c r="AO157" s="59">
        <f t="shared" si="144"/>
        <v>297.50513563712764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0.71592447198078168</v>
      </c>
      <c r="AV157" s="21">
        <f>EXP(-LN(2)/25)*AV156+(1-EXP(-LN(2)/25))/(LN(2)/25)*Calculateur!AQ157*Calculateur!AS157*VLOOKUP('Données projet'!$B$10,Paramètres!$A$1:$I$89,3,0)*0.475*44/12</f>
        <v>0.89541863561193535</v>
      </c>
      <c r="AW157" s="21">
        <f>EXP(-LN(2)/2)*AW156+(1-EXP(-LN(2)/2))/(LN(2)/2)*AQ157*AT157*VLOOKUP('Données projet'!$B$10,Paramètres!$A$1:$I$89,3,0)*0.475*44/12</f>
        <v>5.2911648883747792E-18</v>
      </c>
      <c r="AX157" s="21">
        <f t="shared" si="166"/>
        <v>1.6113431075927171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-5.1159076974727213E-13</v>
      </c>
      <c r="BE157" s="13">
        <f>BD157*VLOOKUP('Données projet'!$B$11,Paramètres!$A$1:$I$89,3,0)*VLOOKUP('Données projet'!$B$11,Paramètres!$A$1:$I$89,5,0)</f>
        <v>-4.0702161641092972E-13</v>
      </c>
      <c r="BF157" s="13" t="e">
        <f t="shared" si="167"/>
        <v>#NUM!</v>
      </c>
      <c r="BG157" s="20" t="e">
        <f t="shared" si="168"/>
        <v>#NUM!</v>
      </c>
      <c r="BH157" s="59" t="e">
        <f t="shared" si="116"/>
        <v>#NUM!</v>
      </c>
      <c r="BI157" s="59">
        <f ca="1">AVERAGE(OFFSET($BH$3,0,0,'Données projet'!$E$11+1,1))-AVERAGE(OFFSET($H$3,0,0,'Données projet'!$E$11+1,1))</f>
        <v>260.20517190557814</v>
      </c>
      <c r="BJ157" s="59">
        <f t="shared" si="146"/>
        <v>307.22009971147133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0.27996872797512357</v>
      </c>
      <c r="BQ157" s="21">
        <f>EXP(-LN(2)/25)*BQ156+(1-EXP(-LN(2)/25))/(LN(2)/25)*Calculateur!BL157*Calculateur!BN157*VLOOKUP('Données projet'!$B$11,Paramètres!$A$1:$I$89,3,0)*0.475*44/12</f>
        <v>0.65926522746416538</v>
      </c>
      <c r="BR157" s="21">
        <f>EXP(-LN(2)/2)*BR156+(1-EXP(-LN(2)/2))/(LN(2)/2)*BL157*BO157*VLOOKUP('Données projet'!$B$11,Paramètres!$A$1:$I$89,3,0)*0.475*44/12</f>
        <v>5.2126346322585809E-18</v>
      </c>
      <c r="BS157" s="22">
        <f t="shared" si="169"/>
        <v>0.939233955439289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268.00000000000017</v>
      </c>
      <c r="BZ157" s="13">
        <f>BY157*VLOOKUP('Données projet'!$B$12,Paramètres!$A$1:$I$89,3,0)*VLOOKUP('Données projet'!$B$12,Paramètres!$A$1:$I$89,5,0)</f>
        <v>175.59360000000012</v>
      </c>
      <c r="CA157" s="13">
        <f t="shared" si="170"/>
        <v>44.340433728638573</v>
      </c>
      <c r="CB157" s="20">
        <f t="shared" si="171"/>
        <v>383.05177541071242</v>
      </c>
      <c r="CC157" s="59">
        <f t="shared" si="119"/>
        <v>676.38510874404574</v>
      </c>
      <c r="CD157" s="59">
        <f ca="1">AVERAGE(OFFSET($CC$3,0,0,'Données projet'!$E$12+1,1))-AVERAGE(OFFSET($H$3,0,0,'Données projet'!$E$12+1,1))</f>
        <v>185.21927898775016</v>
      </c>
      <c r="CE157" s="59">
        <f t="shared" si="148"/>
        <v>240.82467772396944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0.1336143762811354</v>
      </c>
      <c r="CL157" s="21">
        <f>EXP(-LN(2)/25)*CL156+(1-EXP(-LN(2)/25))/(LN(2)/25)*Calculateur!CG157*Calculateur!CI157*VLOOKUP('Données projet'!$B$12,Paramètres!$A$1:$I$89,3,0)*0.475*44/12</f>
        <v>0.25825028136070849</v>
      </c>
      <c r="CM157" s="21">
        <f>EXP(-LN(2)/2)*CM156+(1-EXP(-LN(2)/2))/(LN(2)/2)*CG157*CJ157*VLOOKUP('Données projet'!$B$12,Paramètres!$A$1:$I$89,3,0)*0.475*44/12</f>
        <v>3.0349871891278376E-18</v>
      </c>
      <c r="CN157" s="22">
        <f t="shared" si="172"/>
        <v>0.39186465764184386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137.82600000000011</v>
      </c>
      <c r="D158" s="11">
        <f t="shared" si="140"/>
        <v>35.798519897115533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1340.2594518373839</v>
      </c>
      <c r="H158" s="67">
        <f t="shared" si="110"/>
        <v>595.72937215414299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-2.2737367544323206E-13</v>
      </c>
      <c r="O158" s="13">
        <f>N158*VLOOKUP('Données projet'!$B$9,Paramètres!$A$1:$I$89,3,0)*VLOOKUP('Données projet'!$B$9,Paramètres!$A$1:$I$89,5,0)</f>
        <v>-1.2710188457276673E-13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255.5374979188561</v>
      </c>
      <c r="T158" s="59">
        <f t="shared" si="142"/>
        <v>343.10418468620901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0.25993041066371364</v>
      </c>
      <c r="AA158" s="21">
        <f>EXP(-LN(2)/25)*AA157+(1-EXP(-LN(2)/25))/(LN(2)/25)*Calculateur!V158*Calculateur!X158*VLOOKUP('Données projet'!$B$9,Paramètres!$A$1:$I$89,3,0)*0.475*44/12</f>
        <v>0.49875809782087638</v>
      </c>
      <c r="AB158" s="21">
        <f>EXP(-LN(2)/2)*AB157+(1-EXP(-LN(2)/2))/(LN(2)/2)*V158*Y158*VLOOKUP('Données projet'!$B$9,Paramètres!$A$1:$I$89,3,0)*0.475*44/12</f>
        <v>2.5953322901623428E-19</v>
      </c>
      <c r="AC158" s="22">
        <f t="shared" si="163"/>
        <v>0.75868850848459002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0</v>
      </c>
      <c r="AJ158" s="13">
        <f>AI158*VLOOKUP('Données projet'!$B$10,Paramètres!$A$1:$I$89,3,0)*VLOOKUP('Données projet'!$B$10,Paramètres!$A$1:$I$89,5,0)</f>
        <v>0</v>
      </c>
      <c r="AK158" s="13" t="e">
        <f t="shared" si="164"/>
        <v>#NUM!</v>
      </c>
      <c r="AL158" s="20" t="e">
        <f t="shared" si="165"/>
        <v>#NUM!</v>
      </c>
      <c r="AM158" s="59" t="e">
        <f t="shared" si="113"/>
        <v>#NUM!</v>
      </c>
      <c r="AN158" s="59">
        <f ca="1">AVERAGE(OFFSET($AM$3,0,0,'Données projet'!$E$10+1,1))-AVERAGE(OFFSET($H$3,0,0,'Données projet'!$E$10+1,1))</f>
        <v>255.41017495879987</v>
      </c>
      <c r="AO158" s="59">
        <f t="shared" si="144"/>
        <v>297.50513563712764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0.70188562975604885</v>
      </c>
      <c r="AV158" s="21">
        <f>EXP(-LN(2)/25)*AV157+(1-EXP(-LN(2)/25))/(LN(2)/25)*Calculateur!AQ158*Calculateur!AS158*VLOOKUP('Données projet'!$B$10,Paramètres!$A$1:$I$89,3,0)*0.475*44/12</f>
        <v>0.87093336593310744</v>
      </c>
      <c r="AW158" s="21">
        <f>EXP(-LN(2)/2)*AW157+(1-EXP(-LN(2)/2))/(LN(2)/2)*AQ158*AT158*VLOOKUP('Données projet'!$B$10,Paramètres!$A$1:$I$89,3,0)*0.475*44/12</f>
        <v>3.7414185729459681E-18</v>
      </c>
      <c r="AX158" s="21">
        <f t="shared" si="166"/>
        <v>1.5728189956891563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-5.1159076974727213E-13</v>
      </c>
      <c r="BE158" s="13">
        <f>BD158*VLOOKUP('Données projet'!$B$11,Paramètres!$A$1:$I$89,3,0)*VLOOKUP('Données projet'!$B$11,Paramètres!$A$1:$I$89,5,0)</f>
        <v>-4.0702161641092972E-13</v>
      </c>
      <c r="BF158" s="13" t="e">
        <f t="shared" si="167"/>
        <v>#NUM!</v>
      </c>
      <c r="BG158" s="20" t="e">
        <f t="shared" si="168"/>
        <v>#NUM!</v>
      </c>
      <c r="BH158" s="59" t="e">
        <f t="shared" si="116"/>
        <v>#NUM!</v>
      </c>
      <c r="BI158" s="59">
        <f ca="1">AVERAGE(OFFSET($BH$3,0,0,'Données projet'!$E$11+1,1))-AVERAGE(OFFSET($H$3,0,0,'Données projet'!$E$11+1,1))</f>
        <v>260.20517190557814</v>
      </c>
      <c r="BJ158" s="59">
        <f t="shared" si="146"/>
        <v>307.22009971147133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0.27447871198359391</v>
      </c>
      <c r="BQ158" s="21">
        <f>EXP(-LN(2)/25)*BQ157+(1-EXP(-LN(2)/25))/(LN(2)/25)*Calculateur!BL158*Calculateur!BN158*VLOOKUP('Données projet'!$B$11,Paramètres!$A$1:$I$89,3,0)*0.475*44/12</f>
        <v>0.64123758514990625</v>
      </c>
      <c r="BR158" s="21">
        <f>EXP(-LN(2)/2)*BR157+(1-EXP(-LN(2)/2))/(LN(2)/2)*BL158*BO158*VLOOKUP('Données projet'!$B$11,Paramètres!$A$1:$I$89,3,0)*0.475*44/12</f>
        <v>3.6858892963178879E-18</v>
      </c>
      <c r="BS158" s="22">
        <f t="shared" si="169"/>
        <v>0.91571629713350022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268.00000000000017</v>
      </c>
      <c r="BZ158" s="13">
        <f>BY158*VLOOKUP('Données projet'!$B$12,Paramètres!$A$1:$I$89,3,0)*VLOOKUP('Données projet'!$B$12,Paramètres!$A$1:$I$89,5,0)</f>
        <v>175.59360000000012</v>
      </c>
      <c r="CA158" s="13">
        <f t="shared" si="170"/>
        <v>44.340433728638573</v>
      </c>
      <c r="CB158" s="20">
        <f t="shared" si="171"/>
        <v>383.05177541071242</v>
      </c>
      <c r="CC158" s="59">
        <f t="shared" si="119"/>
        <v>676.38510874404574</v>
      </c>
      <c r="CD158" s="59">
        <f ca="1">AVERAGE(OFFSET($CC$3,0,0,'Données projet'!$E$12+1,1))-AVERAGE(OFFSET($H$3,0,0,'Données projet'!$E$12+1,1))</f>
        <v>185.21927898775016</v>
      </c>
      <c r="CE158" s="59">
        <f t="shared" si="148"/>
        <v>240.82467772396944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0.13099427985898474</v>
      </c>
      <c r="CL158" s="21">
        <f>EXP(-LN(2)/25)*CL157+(1-EXP(-LN(2)/25))/(LN(2)/25)*Calculateur!CG158*Calculateur!CI158*VLOOKUP('Données projet'!$B$12,Paramètres!$A$1:$I$89,3,0)*0.475*44/12</f>
        <v>0.25118841383610785</v>
      </c>
      <c r="CM158" s="21">
        <f>EXP(-LN(2)/2)*CM157+(1-EXP(-LN(2)/2))/(LN(2)/2)*CG158*CJ158*VLOOKUP('Données projet'!$B$12,Paramètres!$A$1:$I$89,3,0)*0.475*44/12</f>
        <v>2.1460600222465928E-18</v>
      </c>
      <c r="CN158" s="22">
        <f t="shared" si="172"/>
        <v>0.38218269369509261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138.7152000000001</v>
      </c>
      <c r="D159" s="11">
        <f t="shared" si="140"/>
        <v>36.002518112950014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1348.6981749069832</v>
      </c>
      <c r="H159" s="67">
        <f t="shared" si="110"/>
        <v>597.63335904672135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-2.2737367544323206E-13</v>
      </c>
      <c r="O159" s="13">
        <f>N159*VLOOKUP('Données projet'!$B$9,Paramètres!$A$1:$I$89,3,0)*VLOOKUP('Données projet'!$B$9,Paramètres!$A$1:$I$89,5,0)</f>
        <v>-1.2710188457276673E-13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255.5374979188561</v>
      </c>
      <c r="T159" s="59">
        <f t="shared" si="142"/>
        <v>343.10418468620901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0.25483333385249402</v>
      </c>
      <c r="AA159" s="21">
        <f>EXP(-LN(2)/25)*AA158+(1-EXP(-LN(2)/25))/(LN(2)/25)*Calculateur!V159*Calculateur!X159*VLOOKUP('Données projet'!$B$9,Paramètres!$A$1:$I$89,3,0)*0.475*44/12</f>
        <v>0.48511953140741609</v>
      </c>
      <c r="AB159" s="21">
        <f>EXP(-LN(2)/2)*AB158+(1-EXP(-LN(2)/2))/(LN(2)/2)*V159*Y159*VLOOKUP('Données projet'!$B$9,Paramètres!$A$1:$I$89,3,0)*0.475*44/12</f>
        <v>1.8351770618062051E-19</v>
      </c>
      <c r="AC159" s="22">
        <f t="shared" si="163"/>
        <v>0.73995286525991011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0</v>
      </c>
      <c r="AJ159" s="13">
        <f>AI159*VLOOKUP('Données projet'!$B$10,Paramètres!$A$1:$I$89,3,0)*VLOOKUP('Données projet'!$B$10,Paramètres!$A$1:$I$89,5,0)</f>
        <v>0</v>
      </c>
      <c r="AK159" s="13" t="e">
        <f t="shared" si="164"/>
        <v>#NUM!</v>
      </c>
      <c r="AL159" s="20" t="e">
        <f t="shared" si="165"/>
        <v>#NUM!</v>
      </c>
      <c r="AM159" s="59" t="e">
        <f t="shared" si="113"/>
        <v>#NUM!</v>
      </c>
      <c r="AN159" s="59">
        <f ca="1">AVERAGE(OFFSET($AM$3,0,0,'Données projet'!$E$10+1,1))-AVERAGE(OFFSET($H$3,0,0,'Données projet'!$E$10+1,1))</f>
        <v>255.41017495879987</v>
      </c>
      <c r="AO159" s="59">
        <f t="shared" si="144"/>
        <v>297.50513563712764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0.68812208066449476</v>
      </c>
      <c r="AV159" s="21">
        <f>EXP(-LN(2)/25)*AV158+(1-EXP(-LN(2)/25))/(LN(2)/25)*Calculateur!AQ159*Calculateur!AS159*VLOOKUP('Données projet'!$B$10,Paramètres!$A$1:$I$89,3,0)*0.475*44/12</f>
        <v>0.84711764724127148</v>
      </c>
      <c r="AW159" s="21">
        <f>EXP(-LN(2)/2)*AW158+(1-EXP(-LN(2)/2))/(LN(2)/2)*AQ159*AT159*VLOOKUP('Données projet'!$B$10,Paramètres!$A$1:$I$89,3,0)*0.475*44/12</f>
        <v>2.6455824441873896E-18</v>
      </c>
      <c r="AX159" s="21">
        <f t="shared" si="166"/>
        <v>1.5352397279057661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-5.1159076974727213E-13</v>
      </c>
      <c r="BE159" s="13">
        <f>BD159*VLOOKUP('Données projet'!$B$11,Paramètres!$A$1:$I$89,3,0)*VLOOKUP('Données projet'!$B$11,Paramètres!$A$1:$I$89,5,0)</f>
        <v>-4.0702161641092972E-13</v>
      </c>
      <c r="BF159" s="13" t="e">
        <f t="shared" si="167"/>
        <v>#NUM!</v>
      </c>
      <c r="BG159" s="20" t="e">
        <f t="shared" si="168"/>
        <v>#NUM!</v>
      </c>
      <c r="BH159" s="59" t="e">
        <f t="shared" si="116"/>
        <v>#NUM!</v>
      </c>
      <c r="BI159" s="59">
        <f ca="1">AVERAGE(OFFSET($BH$3,0,0,'Données projet'!$E$11+1,1))-AVERAGE(OFFSET($H$3,0,0,'Données projet'!$E$11+1,1))</f>
        <v>260.20517190557814</v>
      </c>
      <c r="BJ159" s="59">
        <f t="shared" si="146"/>
        <v>307.22009971147133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0.26909635185707903</v>
      </c>
      <c r="BQ159" s="21">
        <f>EXP(-LN(2)/25)*BQ158+(1-EXP(-LN(2)/25))/(LN(2)/25)*Calculateur!BL159*Calculateur!BN159*VLOOKUP('Données projet'!$B$11,Paramètres!$A$1:$I$89,3,0)*0.475*44/12</f>
        <v>0.62370290966276298</v>
      </c>
      <c r="BR159" s="21">
        <f>EXP(-LN(2)/2)*BR158+(1-EXP(-LN(2)/2))/(LN(2)/2)*BL159*BO159*VLOOKUP('Données projet'!$B$11,Paramètres!$A$1:$I$89,3,0)*0.475*44/12</f>
        <v>2.6063173161292904E-18</v>
      </c>
      <c r="BS159" s="22">
        <f t="shared" si="169"/>
        <v>0.89279926151984201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268.00000000000017</v>
      </c>
      <c r="BZ159" s="13">
        <f>BY159*VLOOKUP('Données projet'!$B$12,Paramètres!$A$1:$I$89,3,0)*VLOOKUP('Données projet'!$B$12,Paramètres!$A$1:$I$89,5,0)</f>
        <v>175.59360000000012</v>
      </c>
      <c r="CA159" s="13">
        <f t="shared" si="170"/>
        <v>44.340433728638573</v>
      </c>
      <c r="CB159" s="20">
        <f t="shared" si="171"/>
        <v>383.05177541071242</v>
      </c>
      <c r="CC159" s="59">
        <f t="shared" si="119"/>
        <v>676.38510874404574</v>
      </c>
      <c r="CD159" s="59">
        <f ca="1">AVERAGE(OFFSET($CC$3,0,0,'Données projet'!$E$12+1,1))-AVERAGE(OFFSET($H$3,0,0,'Données projet'!$E$12+1,1))</f>
        <v>185.21927898775016</v>
      </c>
      <c r="CE159" s="59">
        <f t="shared" si="148"/>
        <v>240.82467772396944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0.12842556192957141</v>
      </c>
      <c r="CL159" s="21">
        <f>EXP(-LN(2)/25)*CL158+(1-EXP(-LN(2)/25))/(LN(2)/25)*Calculateur!CG159*Calculateur!CI159*VLOOKUP('Données projet'!$B$12,Paramètres!$A$1:$I$89,3,0)*0.475*44/12</f>
        <v>0.24431965345033491</v>
      </c>
      <c r="CM159" s="21">
        <f>EXP(-LN(2)/2)*CM158+(1-EXP(-LN(2)/2))/(LN(2)/2)*CG159*CJ159*VLOOKUP('Données projet'!$B$12,Paramètres!$A$1:$I$89,3,0)*0.475*44/12</f>
        <v>1.5174935945639188E-18</v>
      </c>
      <c r="CN159" s="22">
        <f t="shared" si="172"/>
        <v>0.37274521537990635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139.60440000000008</v>
      </c>
      <c r="D160" s="11">
        <f t="shared" si="140"/>
        <v>36.206364170402217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1357.1357234206496</v>
      </c>
      <c r="H160" s="67">
        <f t="shared" si="110"/>
        <v>599.53708093011733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-2.2737367544323206E-13</v>
      </c>
      <c r="O160" s="13">
        <f>N160*VLOOKUP('Données projet'!$B$9,Paramètres!$A$1:$I$89,3,0)*VLOOKUP('Données projet'!$B$9,Paramètres!$A$1:$I$89,5,0)</f>
        <v>-1.2710188457276673E-13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255.5374979188561</v>
      </c>
      <c r="T160" s="59">
        <f t="shared" si="142"/>
        <v>343.10418468620901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0.24983620760863254</v>
      </c>
      <c r="AA160" s="21">
        <f>EXP(-LN(2)/25)*AA159+(1-EXP(-LN(2)/25))/(LN(2)/25)*Calculateur!V160*Calculateur!X160*VLOOKUP('Données projet'!$B$9,Paramètres!$A$1:$I$89,3,0)*0.475*44/12</f>
        <v>0.47185391230975288</v>
      </c>
      <c r="AB160" s="21">
        <f>EXP(-LN(2)/2)*AB159+(1-EXP(-LN(2)/2))/(LN(2)/2)*V160*Y160*VLOOKUP('Données projet'!$B$9,Paramètres!$A$1:$I$89,3,0)*0.475*44/12</f>
        <v>1.2976661450811714E-19</v>
      </c>
      <c r="AC160" s="22">
        <f t="shared" si="163"/>
        <v>0.72169011991838539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0</v>
      </c>
      <c r="AJ160" s="13">
        <f>AI160*VLOOKUP('Données projet'!$B$10,Paramètres!$A$1:$I$89,3,0)*VLOOKUP('Données projet'!$B$10,Paramètres!$A$1:$I$89,5,0)</f>
        <v>0</v>
      </c>
      <c r="AK160" s="13" t="e">
        <f t="shared" si="164"/>
        <v>#NUM!</v>
      </c>
      <c r="AL160" s="20" t="e">
        <f t="shared" si="165"/>
        <v>#NUM!</v>
      </c>
      <c r="AM160" s="59" t="e">
        <f t="shared" si="113"/>
        <v>#NUM!</v>
      </c>
      <c r="AN160" s="59">
        <f ca="1">AVERAGE(OFFSET($AM$3,0,0,'Données projet'!$E$10+1,1))-AVERAGE(OFFSET($H$3,0,0,'Données projet'!$E$10+1,1))</f>
        <v>255.41017495879987</v>
      </c>
      <c r="AO160" s="59">
        <f t="shared" si="144"/>
        <v>297.50513563712764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0.67462842637568998</v>
      </c>
      <c r="AV160" s="21">
        <f>EXP(-LN(2)/25)*AV159+(1-EXP(-LN(2)/25))/(LN(2)/25)*Calculateur!AQ160*Calculateur!AS160*VLOOKUP('Données projet'!$B$10,Paramètres!$A$1:$I$89,3,0)*0.475*44/12</f>
        <v>0.82395317062947793</v>
      </c>
      <c r="AW160" s="21">
        <f>EXP(-LN(2)/2)*AW159+(1-EXP(-LN(2)/2))/(LN(2)/2)*AQ160*AT160*VLOOKUP('Données projet'!$B$10,Paramètres!$A$1:$I$89,3,0)*0.475*44/12</f>
        <v>1.8707092864729841E-18</v>
      </c>
      <c r="AX160" s="21">
        <f t="shared" si="166"/>
        <v>1.4985815970051679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-5.1159076974727213E-13</v>
      </c>
      <c r="BE160" s="13">
        <f>BD160*VLOOKUP('Données projet'!$B$11,Paramètres!$A$1:$I$89,3,0)*VLOOKUP('Données projet'!$B$11,Paramètres!$A$1:$I$89,5,0)</f>
        <v>-4.0702161641092972E-13</v>
      </c>
      <c r="BF160" s="13" t="e">
        <f t="shared" si="167"/>
        <v>#NUM!</v>
      </c>
      <c r="BG160" s="20" t="e">
        <f t="shared" si="168"/>
        <v>#NUM!</v>
      </c>
      <c r="BH160" s="59" t="e">
        <f t="shared" si="116"/>
        <v>#NUM!</v>
      </c>
      <c r="BI160" s="59">
        <f ca="1">AVERAGE(OFFSET($BH$3,0,0,'Données projet'!$E$11+1,1))-AVERAGE(OFFSET($H$3,0,0,'Données projet'!$E$11+1,1))</f>
        <v>260.20517190557814</v>
      </c>
      <c r="BJ160" s="59">
        <f t="shared" si="146"/>
        <v>307.22009971147133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0.26381953652972961</v>
      </c>
      <c r="BQ160" s="21">
        <f>EXP(-LN(2)/25)*BQ159+(1-EXP(-LN(2)/25))/(LN(2)/25)*Calculateur!BL160*Calculateur!BN160*VLOOKUP('Données projet'!$B$11,Paramètres!$A$1:$I$89,3,0)*0.475*44/12</f>
        <v>0.60664772079892415</v>
      </c>
      <c r="BR160" s="21">
        <f>EXP(-LN(2)/2)*BR159+(1-EXP(-LN(2)/2))/(LN(2)/2)*BL160*BO160*VLOOKUP('Données projet'!$B$11,Paramètres!$A$1:$I$89,3,0)*0.475*44/12</f>
        <v>1.842944648158944E-18</v>
      </c>
      <c r="BS160" s="22">
        <f t="shared" si="169"/>
        <v>0.87046725732865382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268.00000000000017</v>
      </c>
      <c r="BZ160" s="13">
        <f>BY160*VLOOKUP('Données projet'!$B$12,Paramètres!$A$1:$I$89,3,0)*VLOOKUP('Données projet'!$B$12,Paramètres!$A$1:$I$89,5,0)</f>
        <v>175.59360000000012</v>
      </c>
      <c r="CA160" s="13">
        <f t="shared" si="170"/>
        <v>44.340433728638573</v>
      </c>
      <c r="CB160" s="20">
        <f t="shared" si="171"/>
        <v>383.05177541071242</v>
      </c>
      <c r="CC160" s="59">
        <f t="shared" si="119"/>
        <v>676.38510874404574</v>
      </c>
      <c r="CD160" s="59">
        <f ca="1">AVERAGE(OFFSET($CC$3,0,0,'Données projet'!$E$12+1,1))-AVERAGE(OFFSET($H$3,0,0,'Données projet'!$E$12+1,1))</f>
        <v>185.21927898775016</v>
      </c>
      <c r="CE160" s="59">
        <f t="shared" si="148"/>
        <v>240.82467772396944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0.12590721499199067</v>
      </c>
      <c r="CL160" s="21">
        <f>EXP(-LN(2)/25)*CL159+(1-EXP(-LN(2)/25))/(LN(2)/25)*Calculateur!CG160*Calculateur!CI160*VLOOKUP('Données projet'!$B$12,Paramètres!$A$1:$I$89,3,0)*0.475*44/12</f>
        <v>0.23763871967852332</v>
      </c>
      <c r="CM160" s="21">
        <f>EXP(-LN(2)/2)*CM159+(1-EXP(-LN(2)/2))/(LN(2)/2)*CG160*CJ160*VLOOKUP('Données projet'!$B$12,Paramètres!$A$1:$I$89,3,0)*0.475*44/12</f>
        <v>1.0730300111232964E-18</v>
      </c>
      <c r="CN160" s="22">
        <f t="shared" si="172"/>
        <v>0.36354593467051399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140.49360000000007</v>
      </c>
      <c r="D161" s="11">
        <f t="shared" si="140"/>
        <v>36.410059151057943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1365.5721057274657</v>
      </c>
      <c r="H161" s="67">
        <f t="shared" si="110"/>
        <v>601.44053968809271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-2.2737367544323206E-13</v>
      </c>
      <c r="O161" s="13">
        <f>N161*VLOOKUP('Données projet'!$B$9,Paramètres!$A$1:$I$89,3,0)*VLOOKUP('Données projet'!$B$9,Paramètres!$A$1:$I$89,5,0)</f>
        <v>-1.2710188457276673E-13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255.5374979188561</v>
      </c>
      <c r="T161" s="59">
        <f t="shared" si="142"/>
        <v>343.10418468620901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0.24493707196246711</v>
      </c>
      <c r="AA161" s="21">
        <f>EXP(-LN(2)/25)*AA160+(1-EXP(-LN(2)/25))/(LN(2)/25)*Calculateur!V161*Calculateur!X161*VLOOKUP('Données projet'!$B$9,Paramètres!$A$1:$I$89,3,0)*0.475*44/12</f>
        <v>0.45895104226392386</v>
      </c>
      <c r="AB161" s="21">
        <f>EXP(-LN(2)/2)*AB160+(1-EXP(-LN(2)/2))/(LN(2)/2)*V161*Y161*VLOOKUP('Données projet'!$B$9,Paramètres!$A$1:$I$89,3,0)*0.475*44/12</f>
        <v>9.1758853090310253E-20</v>
      </c>
      <c r="AC161" s="22">
        <f t="shared" si="163"/>
        <v>0.70388811422639097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0</v>
      </c>
      <c r="AJ161" s="13">
        <f>AI161*VLOOKUP('Données projet'!$B$10,Paramètres!$A$1:$I$89,3,0)*VLOOKUP('Données projet'!$B$10,Paramètres!$A$1:$I$89,5,0)</f>
        <v>0</v>
      </c>
      <c r="AK161" s="13" t="e">
        <f t="shared" si="164"/>
        <v>#NUM!</v>
      </c>
      <c r="AL161" s="20" t="e">
        <f t="shared" si="165"/>
        <v>#NUM!</v>
      </c>
      <c r="AM161" s="59" t="e">
        <f t="shared" si="113"/>
        <v>#NUM!</v>
      </c>
      <c r="AN161" s="59">
        <f ca="1">AVERAGE(OFFSET($AM$3,0,0,'Données projet'!$E$10+1,1))-AVERAGE(OFFSET($H$3,0,0,'Données projet'!$E$10+1,1))</f>
        <v>255.41017495879987</v>
      </c>
      <c r="AO161" s="59">
        <f t="shared" si="144"/>
        <v>297.50513563712764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0.66139937441717223</v>
      </c>
      <c r="AV161" s="21">
        <f>EXP(-LN(2)/25)*AV160+(1-EXP(-LN(2)/25))/(LN(2)/25)*Calculateur!AQ161*Calculateur!AS161*VLOOKUP('Données projet'!$B$10,Paramètres!$A$1:$I$89,3,0)*0.475*44/12</f>
        <v>0.80142212784880074</v>
      </c>
      <c r="AW161" s="21">
        <f>EXP(-LN(2)/2)*AW160+(1-EXP(-LN(2)/2))/(LN(2)/2)*AQ161*AT161*VLOOKUP('Données projet'!$B$10,Paramètres!$A$1:$I$89,3,0)*0.475*44/12</f>
        <v>1.3227912220936948E-18</v>
      </c>
      <c r="AX161" s="21">
        <f t="shared" si="166"/>
        <v>1.462821502265973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-5.1159076974727213E-13</v>
      </c>
      <c r="BE161" s="13">
        <f>BD161*VLOOKUP('Données projet'!$B$11,Paramètres!$A$1:$I$89,3,0)*VLOOKUP('Données projet'!$B$11,Paramètres!$A$1:$I$89,5,0)</f>
        <v>-4.0702161641092972E-13</v>
      </c>
      <c r="BF161" s="13" t="e">
        <f t="shared" si="167"/>
        <v>#NUM!</v>
      </c>
      <c r="BG161" s="20" t="e">
        <f t="shared" si="168"/>
        <v>#NUM!</v>
      </c>
      <c r="BH161" s="59" t="e">
        <f t="shared" si="116"/>
        <v>#NUM!</v>
      </c>
      <c r="BI161" s="59">
        <f ca="1">AVERAGE(OFFSET($BH$3,0,0,'Données projet'!$E$11+1,1))-AVERAGE(OFFSET($H$3,0,0,'Données projet'!$E$11+1,1))</f>
        <v>260.20517190557814</v>
      </c>
      <c r="BJ161" s="59">
        <f t="shared" si="146"/>
        <v>307.22009971147133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0.25864619633240998</v>
      </c>
      <c r="BQ161" s="21">
        <f>EXP(-LN(2)/25)*BQ160+(1-EXP(-LN(2)/25))/(LN(2)/25)*Calculateur!BL161*Calculateur!BN161*VLOOKUP('Données projet'!$B$11,Paramètres!$A$1:$I$89,3,0)*0.475*44/12</f>
        <v>0.59005890697146046</v>
      </c>
      <c r="BR161" s="21">
        <f>EXP(-LN(2)/2)*BR160+(1-EXP(-LN(2)/2))/(LN(2)/2)*BL161*BO161*VLOOKUP('Données projet'!$B$11,Paramètres!$A$1:$I$89,3,0)*0.475*44/12</f>
        <v>1.3031586580646452E-18</v>
      </c>
      <c r="BS161" s="22">
        <f t="shared" si="169"/>
        <v>0.84870510330387039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268.00000000000017</v>
      </c>
      <c r="BZ161" s="13">
        <f>BY161*VLOOKUP('Données projet'!$B$12,Paramètres!$A$1:$I$89,3,0)*VLOOKUP('Données projet'!$B$12,Paramètres!$A$1:$I$89,5,0)</f>
        <v>175.59360000000012</v>
      </c>
      <c r="CA161" s="13">
        <f t="shared" si="170"/>
        <v>44.340433728638573</v>
      </c>
      <c r="CB161" s="20">
        <f t="shared" si="171"/>
        <v>383.05177541071242</v>
      </c>
      <c r="CC161" s="59">
        <f t="shared" si="119"/>
        <v>676.38510874404574</v>
      </c>
      <c r="CD161" s="59">
        <f ca="1">AVERAGE(OFFSET($CC$3,0,0,'Données projet'!$E$12+1,1))-AVERAGE(OFFSET($H$3,0,0,'Données projet'!$E$12+1,1))</f>
        <v>185.21927898775016</v>
      </c>
      <c r="CE161" s="59">
        <f t="shared" si="148"/>
        <v>240.82467772396944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0.12343825130181592</v>
      </c>
      <c r="CL161" s="21">
        <f>EXP(-LN(2)/25)*CL160+(1-EXP(-LN(2)/25))/(LN(2)/25)*Calculateur!CG161*Calculateur!CI161*VLOOKUP('Données projet'!$B$12,Paramètres!$A$1:$I$89,3,0)*0.475*44/12</f>
        <v>0.23114047639203697</v>
      </c>
      <c r="CM161" s="21">
        <f>EXP(-LN(2)/2)*CM160+(1-EXP(-LN(2)/2))/(LN(2)/2)*CG161*CJ161*VLOOKUP('Données projet'!$B$12,Paramètres!$A$1:$I$89,3,0)*0.475*44/12</f>
        <v>7.587467972819594E-19</v>
      </c>
      <c r="CN161" s="22">
        <f t="shared" si="172"/>
        <v>0.3545787276938529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141.38280000000006</v>
      </c>
      <c r="D162" s="11">
        <f t="shared" si="140"/>
        <v>36.613604122020263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1374.0073300647182</v>
      </c>
      <c r="H162" s="67">
        <f t="shared" si="110"/>
        <v>603.34373717918538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-2.2737367544323206E-13</v>
      </c>
      <c r="O162" s="13">
        <f>N162*VLOOKUP('Données projet'!$B$9,Paramètres!$A$1:$I$89,3,0)*VLOOKUP('Données projet'!$B$9,Paramètres!$A$1:$I$89,5,0)</f>
        <v>-1.2710188457276673E-13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255.5374979188561</v>
      </c>
      <c r="T162" s="59">
        <f t="shared" si="142"/>
        <v>343.10418468620901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0.2401340053781453</v>
      </c>
      <c r="AA162" s="21">
        <f>EXP(-LN(2)/25)*AA161+(1-EXP(-LN(2)/25))/(LN(2)/25)*Calculateur!V162*Calculateur!X162*VLOOKUP('Données projet'!$B$9,Paramètres!$A$1:$I$89,3,0)*0.475*44/12</f>
        <v>0.4464010018780305</v>
      </c>
      <c r="AB162" s="21">
        <f>EXP(-LN(2)/2)*AB161+(1-EXP(-LN(2)/2))/(LN(2)/2)*V162*Y162*VLOOKUP('Données projet'!$B$9,Paramètres!$A$1:$I$89,3,0)*0.475*44/12</f>
        <v>6.4883307254058571E-20</v>
      </c>
      <c r="AC162" s="22">
        <f t="shared" si="163"/>
        <v>0.68653500725617578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0</v>
      </c>
      <c r="AJ162" s="13">
        <f>AI162*VLOOKUP('Données projet'!$B$10,Paramètres!$A$1:$I$89,3,0)*VLOOKUP('Données projet'!$B$10,Paramètres!$A$1:$I$89,5,0)</f>
        <v>0</v>
      </c>
      <c r="AK162" s="13" t="e">
        <f t="shared" si="164"/>
        <v>#NUM!</v>
      </c>
      <c r="AL162" s="20" t="e">
        <f t="shared" si="165"/>
        <v>#NUM!</v>
      </c>
      <c r="AM162" s="59" t="e">
        <f t="shared" si="113"/>
        <v>#NUM!</v>
      </c>
      <c r="AN162" s="59">
        <f ca="1">AVERAGE(OFFSET($AM$3,0,0,'Données projet'!$E$10+1,1))-AVERAGE(OFFSET($H$3,0,0,'Données projet'!$E$10+1,1))</f>
        <v>255.41017495879987</v>
      </c>
      <c r="AO162" s="59">
        <f t="shared" si="144"/>
        <v>297.50513563712764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0.64842973609863608</v>
      </c>
      <c r="AV162" s="21">
        <f>EXP(-LN(2)/25)*AV161+(1-EXP(-LN(2)/25))/(LN(2)/25)*Calculateur!AQ162*Calculateur!AS162*VLOOKUP('Données projet'!$B$10,Paramètres!$A$1:$I$89,3,0)*0.475*44/12</f>
        <v>0.77950719761781728</v>
      </c>
      <c r="AW162" s="21">
        <f>EXP(-LN(2)/2)*AW161+(1-EXP(-LN(2)/2))/(LN(2)/2)*AQ162*AT162*VLOOKUP('Données projet'!$B$10,Paramètres!$A$1:$I$89,3,0)*0.475*44/12</f>
        <v>9.3535464323649203E-19</v>
      </c>
      <c r="AX162" s="21">
        <f t="shared" si="166"/>
        <v>1.4279369337164534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-5.1159076974727213E-13</v>
      </c>
      <c r="BE162" s="13">
        <f>BD162*VLOOKUP('Données projet'!$B$11,Paramètres!$A$1:$I$89,3,0)*VLOOKUP('Données projet'!$B$11,Paramètres!$A$1:$I$89,5,0)</f>
        <v>-4.0702161641092972E-13</v>
      </c>
      <c r="BF162" s="13" t="e">
        <f t="shared" si="167"/>
        <v>#NUM!</v>
      </c>
      <c r="BG162" s="20" t="e">
        <f t="shared" si="168"/>
        <v>#NUM!</v>
      </c>
      <c r="BH162" s="59" t="e">
        <f t="shared" si="116"/>
        <v>#NUM!</v>
      </c>
      <c r="BI162" s="59">
        <f ca="1">AVERAGE(OFFSET($BH$3,0,0,'Données projet'!$E$11+1,1))-AVERAGE(OFFSET($H$3,0,0,'Données projet'!$E$11+1,1))</f>
        <v>260.20517190557814</v>
      </c>
      <c r="BJ162" s="59">
        <f t="shared" si="146"/>
        <v>307.22009971147133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0.2535743021809338</v>
      </c>
      <c r="BQ162" s="21">
        <f>EXP(-LN(2)/25)*BQ161+(1-EXP(-LN(2)/25))/(LN(2)/25)*Calculateur!BL162*Calculateur!BN162*VLOOKUP('Données projet'!$B$11,Paramètres!$A$1:$I$89,3,0)*0.475*44/12</f>
        <v>0.57392371513047657</v>
      </c>
      <c r="BR162" s="21">
        <f>EXP(-LN(2)/2)*BR161+(1-EXP(-LN(2)/2))/(LN(2)/2)*BL162*BO162*VLOOKUP('Données projet'!$B$11,Paramètres!$A$1:$I$89,3,0)*0.475*44/12</f>
        <v>9.2147232407947199E-19</v>
      </c>
      <c r="BS162" s="22">
        <f t="shared" si="169"/>
        <v>0.82749801731141037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268.00000000000017</v>
      </c>
      <c r="BZ162" s="13">
        <f>BY162*VLOOKUP('Données projet'!$B$12,Paramètres!$A$1:$I$89,3,0)*VLOOKUP('Données projet'!$B$12,Paramètres!$A$1:$I$89,5,0)</f>
        <v>175.59360000000012</v>
      </c>
      <c r="CA162" s="13">
        <f t="shared" si="170"/>
        <v>44.340433728638573</v>
      </c>
      <c r="CB162" s="20">
        <f t="shared" si="171"/>
        <v>383.05177541071242</v>
      </c>
      <c r="CC162" s="59">
        <f t="shared" si="119"/>
        <v>676.38510874404574</v>
      </c>
      <c r="CD162" s="59">
        <f ca="1">AVERAGE(OFFSET($CC$3,0,0,'Données projet'!$E$12+1,1))-AVERAGE(OFFSET($H$3,0,0,'Données projet'!$E$12+1,1))</f>
        <v>185.21927898775016</v>
      </c>
      <c r="CE162" s="59">
        <f t="shared" si="148"/>
        <v>240.82467772396944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0.12101770248368635</v>
      </c>
      <c r="CL162" s="21">
        <f>EXP(-LN(2)/25)*CL161+(1-EXP(-LN(2)/25))/(LN(2)/25)*Calculateur!CG162*Calculateur!CI162*VLOOKUP('Données projet'!$B$12,Paramètres!$A$1:$I$89,3,0)*0.475*44/12</f>
        <v>0.22481992790994734</v>
      </c>
      <c r="CM162" s="21">
        <f>EXP(-LN(2)/2)*CM161+(1-EXP(-LN(2)/2))/(LN(2)/2)*CG162*CJ162*VLOOKUP('Données projet'!$B$12,Paramètres!$A$1:$I$89,3,0)*0.475*44/12</f>
        <v>5.365150055616482E-19</v>
      </c>
      <c r="CN162" s="22">
        <f t="shared" si="172"/>
        <v>0.34583763039363369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142.27200000000005</v>
      </c>
      <c r="D163" s="11">
        <f t="shared" si="140"/>
        <v>36.817000136193258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1382.4414045600888</v>
      </c>
      <c r="H163" s="67">
        <f t="shared" si="110"/>
        <v>605.24667523720336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-2.2737367544323206E-13</v>
      </c>
      <c r="O163" s="13">
        <f>N163*VLOOKUP('Données projet'!$B$9,Paramètres!$A$1:$I$89,3,0)*VLOOKUP('Données projet'!$B$9,Paramètres!$A$1:$I$89,5,0)</f>
        <v>-1.2710188457276673E-13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255.5374979188561</v>
      </c>
      <c r="T163" s="59">
        <f t="shared" si="142"/>
        <v>343.10418468620901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0.23542512399996071</v>
      </c>
      <c r="AA163" s="21">
        <f>EXP(-LN(2)/25)*AA162+(1-EXP(-LN(2)/25))/(LN(2)/25)*Calculateur!V163*Calculateur!X163*VLOOKUP('Données projet'!$B$9,Paramètres!$A$1:$I$89,3,0)*0.475*44/12</f>
        <v>0.43419414300646736</v>
      </c>
      <c r="AB163" s="21">
        <f>EXP(-LN(2)/2)*AB162+(1-EXP(-LN(2)/2))/(LN(2)/2)*V163*Y163*VLOOKUP('Données projet'!$B$9,Paramètres!$A$1:$I$89,3,0)*0.475*44/12</f>
        <v>4.5879426545155127E-20</v>
      </c>
      <c r="AC163" s="22">
        <f t="shared" si="163"/>
        <v>0.66961926700642804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0</v>
      </c>
      <c r="AJ163" s="13">
        <f>AI163*VLOOKUP('Données projet'!$B$10,Paramètres!$A$1:$I$89,3,0)*VLOOKUP('Données projet'!$B$10,Paramètres!$A$1:$I$89,5,0)</f>
        <v>0</v>
      </c>
      <c r="AK163" s="13" t="e">
        <f t="shared" si="164"/>
        <v>#NUM!</v>
      </c>
      <c r="AL163" s="20" t="e">
        <f t="shared" si="165"/>
        <v>#NUM!</v>
      </c>
      <c r="AM163" s="59" t="e">
        <f t="shared" si="113"/>
        <v>#NUM!</v>
      </c>
      <c r="AN163" s="59">
        <f ca="1">AVERAGE(OFFSET($AM$3,0,0,'Données projet'!$E$10+1,1))-AVERAGE(OFFSET($H$3,0,0,'Données projet'!$E$10+1,1))</f>
        <v>255.41017495879987</v>
      </c>
      <c r="AO163" s="59">
        <f t="shared" si="144"/>
        <v>297.50513563712764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0.63571442447682813</v>
      </c>
      <c r="AV163" s="21">
        <f>EXP(-LN(2)/25)*AV162+(1-EXP(-LN(2)/25))/(LN(2)/25)*Calculateur!AQ163*Calculateur!AS163*VLOOKUP('Données projet'!$B$10,Paramètres!$A$1:$I$89,3,0)*0.475*44/12</f>
        <v>0.75819153230645608</v>
      </c>
      <c r="AW163" s="21">
        <f>EXP(-LN(2)/2)*AW162+(1-EXP(-LN(2)/2))/(LN(2)/2)*AQ163*AT163*VLOOKUP('Données projet'!$B$10,Paramètres!$A$1:$I$89,3,0)*0.475*44/12</f>
        <v>6.613956110468474E-19</v>
      </c>
      <c r="AX163" s="21">
        <f t="shared" si="166"/>
        <v>1.3939059567832843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-5.1159076974727213E-13</v>
      </c>
      <c r="BE163" s="13">
        <f>BD163*VLOOKUP('Données projet'!$B$11,Paramètres!$A$1:$I$89,3,0)*VLOOKUP('Données projet'!$B$11,Paramètres!$A$1:$I$89,5,0)</f>
        <v>-4.0702161641092972E-13</v>
      </c>
      <c r="BF163" s="13" t="e">
        <f t="shared" si="167"/>
        <v>#NUM!</v>
      </c>
      <c r="BG163" s="20" t="e">
        <f t="shared" si="168"/>
        <v>#NUM!</v>
      </c>
      <c r="BH163" s="59" t="e">
        <f t="shared" si="116"/>
        <v>#NUM!</v>
      </c>
      <c r="BI163" s="59">
        <f ca="1">AVERAGE(OFFSET($BH$3,0,0,'Données projet'!$E$11+1,1))-AVERAGE(OFFSET($H$3,0,0,'Données projet'!$E$11+1,1))</f>
        <v>260.20517190557814</v>
      </c>
      <c r="BJ163" s="59">
        <f t="shared" si="146"/>
        <v>307.22009971147133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0.24860186478021812</v>
      </c>
      <c r="BQ163" s="21">
        <f>EXP(-LN(2)/25)*BQ162+(1-EXP(-LN(2)/25))/(LN(2)/25)*Calculateur!BL163*Calculateur!BN163*VLOOKUP('Données projet'!$B$11,Paramètres!$A$1:$I$89,3,0)*0.475*44/12</f>
        <v>0.55822974095889721</v>
      </c>
      <c r="BR163" s="21">
        <f>EXP(-LN(2)/2)*BR162+(1-EXP(-LN(2)/2))/(LN(2)/2)*BL163*BO163*VLOOKUP('Données projet'!$B$11,Paramètres!$A$1:$I$89,3,0)*0.475*44/12</f>
        <v>6.5157932903232261E-19</v>
      </c>
      <c r="BS163" s="22">
        <f t="shared" si="169"/>
        <v>0.80683160573911539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268.00000000000017</v>
      </c>
      <c r="BZ163" s="13">
        <f>BY163*VLOOKUP('Données projet'!$B$12,Paramètres!$A$1:$I$89,3,0)*VLOOKUP('Données projet'!$B$12,Paramètres!$A$1:$I$89,5,0)</f>
        <v>175.59360000000012</v>
      </c>
      <c r="CA163" s="13">
        <f t="shared" si="170"/>
        <v>44.340433728638573</v>
      </c>
      <c r="CB163" s="20">
        <f t="shared" si="171"/>
        <v>383.05177541071242</v>
      </c>
      <c r="CC163" s="59">
        <f t="shared" si="119"/>
        <v>676.38510874404574</v>
      </c>
      <c r="CD163" s="59">
        <f ca="1">AVERAGE(OFFSET($CC$3,0,0,'Données projet'!$E$12+1,1))-AVERAGE(OFFSET($H$3,0,0,'Données projet'!$E$12+1,1))</f>
        <v>185.21927898775016</v>
      </c>
      <c r="CE163" s="59">
        <f t="shared" si="148"/>
        <v>240.82467772396944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0.1186446191514913</v>
      </c>
      <c r="CL163" s="21">
        <f>EXP(-LN(2)/25)*CL162+(1-EXP(-LN(2)/25))/(LN(2)/25)*Calculateur!CG163*Calculateur!CI163*VLOOKUP('Données projet'!$B$12,Paramètres!$A$1:$I$89,3,0)*0.475*44/12</f>
        <v>0.21867221515848365</v>
      </c>
      <c r="CM163" s="21">
        <f>EXP(-LN(2)/2)*CM162+(1-EXP(-LN(2)/2))/(LN(2)/2)*CG163*CJ163*VLOOKUP('Données projet'!$B$12,Paramètres!$A$1:$I$89,3,0)*0.475*44/12</f>
        <v>3.793733986409797E-19</v>
      </c>
      <c r="CN163" s="22">
        <f t="shared" si="172"/>
        <v>0.33731683430997494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143.16120000000004</v>
      </c>
      <c r="D164" s="11">
        <f t="shared" si="140"/>
        <v>37.020248232558458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1390.8743372337849</v>
      </c>
      <c r="H164" s="67">
        <f t="shared" si="110"/>
        <v>607.14935567170596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-2.2737367544323206E-13</v>
      </c>
      <c r="O164" s="13">
        <f>N164*VLOOKUP('Données projet'!$B$9,Paramètres!$A$1:$I$89,3,0)*VLOOKUP('Données projet'!$B$9,Paramètres!$A$1:$I$89,5,0)</f>
        <v>-1.2710188457276673E-13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255.5374979188561</v>
      </c>
      <c r="T164" s="59">
        <f t="shared" si="142"/>
        <v>343.10418468620901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0.23080858091346829</v>
      </c>
      <c r="AA164" s="21">
        <f>EXP(-LN(2)/25)*AA163+(1-EXP(-LN(2)/25))/(LN(2)/25)*Calculateur!V164*Calculateur!X164*VLOOKUP('Données projet'!$B$9,Paramètres!$A$1:$I$89,3,0)*0.475*44/12</f>
        <v>0.42232108133267787</v>
      </c>
      <c r="AB164" s="21">
        <f>EXP(-LN(2)/2)*AB163+(1-EXP(-LN(2)/2))/(LN(2)/2)*V164*Y164*VLOOKUP('Données projet'!$B$9,Paramètres!$A$1:$I$89,3,0)*0.475*44/12</f>
        <v>3.2441653627029286E-20</v>
      </c>
      <c r="AC164" s="22">
        <f t="shared" si="163"/>
        <v>0.65312966224614621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0</v>
      </c>
      <c r="AJ164" s="13">
        <f>AI164*VLOOKUP('Données projet'!$B$10,Paramètres!$A$1:$I$89,3,0)*VLOOKUP('Données projet'!$B$10,Paramètres!$A$1:$I$89,5,0)</f>
        <v>0</v>
      </c>
      <c r="AK164" s="13" t="e">
        <f t="shared" si="164"/>
        <v>#NUM!</v>
      </c>
      <c r="AL164" s="20" t="e">
        <f t="shared" si="165"/>
        <v>#NUM!</v>
      </c>
      <c r="AM164" s="59" t="e">
        <f t="shared" si="113"/>
        <v>#NUM!</v>
      </c>
      <c r="AN164" s="59">
        <f ca="1">AVERAGE(OFFSET($AM$3,0,0,'Données projet'!$E$10+1,1))-AVERAGE(OFFSET($H$3,0,0,'Données projet'!$E$10+1,1))</f>
        <v>255.41017495879987</v>
      </c>
      <c r="AO164" s="59">
        <f t="shared" si="144"/>
        <v>297.50513563712764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0.62324845236034954</v>
      </c>
      <c r="AV164" s="21">
        <f>EXP(-LN(2)/25)*AV163+(1-EXP(-LN(2)/25))/(LN(2)/25)*Calculateur!AQ164*Calculateur!AS164*VLOOKUP('Données projet'!$B$10,Paramètres!$A$1:$I$89,3,0)*0.475*44/12</f>
        <v>0.73745874498397623</v>
      </c>
      <c r="AW164" s="21">
        <f>EXP(-LN(2)/2)*AW163+(1-EXP(-LN(2)/2))/(LN(2)/2)*AQ164*AT164*VLOOKUP('Données projet'!$B$10,Paramètres!$A$1:$I$89,3,0)*0.475*44/12</f>
        <v>4.6767732161824601E-19</v>
      </c>
      <c r="AX164" s="21">
        <f t="shared" si="166"/>
        <v>1.3607071973443259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-5.1159076974727213E-13</v>
      </c>
      <c r="BE164" s="13">
        <f>BD164*VLOOKUP('Données projet'!$B$11,Paramètres!$A$1:$I$89,3,0)*VLOOKUP('Données projet'!$B$11,Paramètres!$A$1:$I$89,5,0)</f>
        <v>-4.0702161641092972E-13</v>
      </c>
      <c r="BF164" s="13" t="e">
        <f t="shared" si="167"/>
        <v>#NUM!</v>
      </c>
      <c r="BG164" s="20" t="e">
        <f t="shared" si="168"/>
        <v>#NUM!</v>
      </c>
      <c r="BH164" s="59" t="e">
        <f t="shared" si="116"/>
        <v>#NUM!</v>
      </c>
      <c r="BI164" s="59">
        <f ca="1">AVERAGE(OFFSET($BH$3,0,0,'Données projet'!$E$11+1,1))-AVERAGE(OFFSET($H$3,0,0,'Données projet'!$E$11+1,1))</f>
        <v>260.20517190557814</v>
      </c>
      <c r="BJ164" s="59">
        <f t="shared" si="146"/>
        <v>307.22009971147133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0.24372693384404312</v>
      </c>
      <c r="BQ164" s="21">
        <f>EXP(-LN(2)/25)*BQ163+(1-EXP(-LN(2)/25))/(LN(2)/25)*Calculateur!BL164*Calculateur!BN164*VLOOKUP('Données projet'!$B$11,Paramètres!$A$1:$I$89,3,0)*0.475*44/12</f>
        <v>0.54296491933634994</v>
      </c>
      <c r="BR164" s="21">
        <f>EXP(-LN(2)/2)*BR163+(1-EXP(-LN(2)/2))/(LN(2)/2)*BL164*BO164*VLOOKUP('Données projet'!$B$11,Paramètres!$A$1:$I$89,3,0)*0.475*44/12</f>
        <v>4.6073616203973599E-19</v>
      </c>
      <c r="BS164" s="22">
        <f t="shared" si="169"/>
        <v>0.78669185318039303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268.00000000000017</v>
      </c>
      <c r="BZ164" s="13">
        <f>BY164*VLOOKUP('Données projet'!$B$12,Paramètres!$A$1:$I$89,3,0)*VLOOKUP('Données projet'!$B$12,Paramètres!$A$1:$I$89,5,0)</f>
        <v>175.59360000000012</v>
      </c>
      <c r="CA164" s="13">
        <f t="shared" si="170"/>
        <v>44.340433728638573</v>
      </c>
      <c r="CB164" s="20">
        <f t="shared" si="171"/>
        <v>383.05177541071242</v>
      </c>
      <c r="CC164" s="59">
        <f t="shared" si="119"/>
        <v>676.38510874404574</v>
      </c>
      <c r="CD164" s="59">
        <f ca="1">AVERAGE(OFFSET($CC$3,0,0,'Données projet'!$E$12+1,1))-AVERAGE(OFFSET($H$3,0,0,'Données projet'!$E$12+1,1))</f>
        <v>185.21927898775016</v>
      </c>
      <c r="CE164" s="59">
        <f t="shared" si="148"/>
        <v>240.82467772396944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0.11631807053600268</v>
      </c>
      <c r="CL164" s="21">
        <f>EXP(-LN(2)/25)*CL163+(1-EXP(-LN(2)/25))/(LN(2)/25)*Calculateur!CG164*Calculateur!CI164*VLOOKUP('Données projet'!$B$12,Paramètres!$A$1:$I$89,3,0)*0.475*44/12</f>
        <v>0.2126926119355029</v>
      </c>
      <c r="CM164" s="21">
        <f>EXP(-LN(2)/2)*CM163+(1-EXP(-LN(2)/2))/(LN(2)/2)*CG164*CJ164*VLOOKUP('Données projet'!$B$12,Paramètres!$A$1:$I$89,3,0)*0.475*44/12</f>
        <v>2.682575027808241E-19</v>
      </c>
      <c r="CN164" s="22">
        <f t="shared" si="172"/>
        <v>0.32901068247150556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144.05040000000002</v>
      </c>
      <c r="D165" s="11">
        <f t="shared" si="140"/>
        <v>37.223349436444416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1399.3061360006238</v>
      </c>
      <c r="H165" s="67">
        <f t="shared" si="110"/>
        <v>609.05178026847398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-2.2737367544323206E-13</v>
      </c>
      <c r="O165" s="13">
        <f>N165*VLOOKUP('Données projet'!$B$9,Paramètres!$A$1:$I$89,3,0)*VLOOKUP('Données projet'!$B$9,Paramètres!$A$1:$I$89,5,0)</f>
        <v>-1.2710188457276673E-13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255.5374979188561</v>
      </c>
      <c r="T165" s="59">
        <f t="shared" si="142"/>
        <v>343.10418468620901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0.22628256542108874</v>
      </c>
      <c r="AA165" s="21">
        <f>EXP(-LN(2)/25)*AA164+(1-EXP(-LN(2)/25))/(LN(2)/25)*Calculateur!V165*Calculateur!X165*VLOOKUP('Données projet'!$B$9,Paramètres!$A$1:$I$89,3,0)*0.475*44/12</f>
        <v>0.41077268915473536</v>
      </c>
      <c r="AB165" s="21">
        <f>EXP(-LN(2)/2)*AB164+(1-EXP(-LN(2)/2))/(LN(2)/2)*V165*Y165*VLOOKUP('Données projet'!$B$9,Paramètres!$A$1:$I$89,3,0)*0.475*44/12</f>
        <v>2.2939713272577563E-20</v>
      </c>
      <c r="AC165" s="22">
        <f t="shared" si="163"/>
        <v>0.63705525457582413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0</v>
      </c>
      <c r="AJ165" s="13">
        <f>AI165*VLOOKUP('Données projet'!$B$10,Paramètres!$A$1:$I$89,3,0)*VLOOKUP('Données projet'!$B$10,Paramètres!$A$1:$I$89,5,0)</f>
        <v>0</v>
      </c>
      <c r="AK165" s="13" t="e">
        <f t="shared" si="164"/>
        <v>#NUM!</v>
      </c>
      <c r="AL165" s="20" t="e">
        <f t="shared" si="165"/>
        <v>#NUM!</v>
      </c>
      <c r="AM165" s="59" t="e">
        <f t="shared" si="113"/>
        <v>#NUM!</v>
      </c>
      <c r="AN165" s="59">
        <f ca="1">AVERAGE(OFFSET($AM$3,0,0,'Données projet'!$E$10+1,1))-AVERAGE(OFFSET($H$3,0,0,'Données projet'!$E$10+1,1))</f>
        <v>255.41017495879987</v>
      </c>
      <c r="AO165" s="59">
        <f t="shared" si="144"/>
        <v>297.50513563712764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0.61102693035358291</v>
      </c>
      <c r="AV165" s="21">
        <f>EXP(-LN(2)/25)*AV164+(1-EXP(-LN(2)/25))/(LN(2)/25)*Calculateur!AQ165*Calculateur!AS165*VLOOKUP('Données projet'!$B$10,Paramètres!$A$1:$I$89,3,0)*0.475*44/12</f>
        <v>0.71729289682111952</v>
      </c>
      <c r="AW165" s="21">
        <f>EXP(-LN(2)/2)*AW164+(1-EXP(-LN(2)/2))/(LN(2)/2)*AQ165*AT165*VLOOKUP('Données projet'!$B$10,Paramètres!$A$1:$I$89,3,0)*0.475*44/12</f>
        <v>3.306978055234237E-19</v>
      </c>
      <c r="AX165" s="21">
        <f t="shared" si="166"/>
        <v>1.3283198271747025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-5.1159076974727213E-13</v>
      </c>
      <c r="BE165" s="13">
        <f>BD165*VLOOKUP('Données projet'!$B$11,Paramètres!$A$1:$I$89,3,0)*VLOOKUP('Données projet'!$B$11,Paramètres!$A$1:$I$89,5,0)</f>
        <v>-4.0702161641092972E-13</v>
      </c>
      <c r="BF165" s="13" t="e">
        <f t="shared" si="167"/>
        <v>#NUM!</v>
      </c>
      <c r="BG165" s="20" t="e">
        <f t="shared" si="168"/>
        <v>#NUM!</v>
      </c>
      <c r="BH165" s="59" t="e">
        <f t="shared" si="116"/>
        <v>#NUM!</v>
      </c>
      <c r="BI165" s="59">
        <f ca="1">AVERAGE(OFFSET($BH$3,0,0,'Données projet'!$E$11+1,1))-AVERAGE(OFFSET($H$3,0,0,'Données projet'!$E$11+1,1))</f>
        <v>260.20517190557814</v>
      </c>
      <c r="BJ165" s="59">
        <f t="shared" si="146"/>
        <v>307.22009971147133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0.23894759733011225</v>
      </c>
      <c r="BQ165" s="21">
        <f>EXP(-LN(2)/25)*BQ164+(1-EXP(-LN(2)/25))/(LN(2)/25)*Calculateur!BL165*Calculateur!BN165*VLOOKUP('Données projet'!$B$11,Paramètres!$A$1:$I$89,3,0)*0.475*44/12</f>
        <v>0.52811751506381333</v>
      </c>
      <c r="BR165" s="21">
        <f>EXP(-LN(2)/2)*BR164+(1-EXP(-LN(2)/2))/(LN(2)/2)*BL165*BO165*VLOOKUP('Données projet'!$B$11,Paramètres!$A$1:$I$89,3,0)*0.475*44/12</f>
        <v>3.2578966451616131E-19</v>
      </c>
      <c r="BS165" s="22">
        <f t="shared" si="169"/>
        <v>0.76706511239392561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268.00000000000017</v>
      </c>
      <c r="BZ165" s="13">
        <f>BY165*VLOOKUP('Données projet'!$B$12,Paramètres!$A$1:$I$89,3,0)*VLOOKUP('Données projet'!$B$12,Paramètres!$A$1:$I$89,5,0)</f>
        <v>175.59360000000012</v>
      </c>
      <c r="CA165" s="13">
        <f t="shared" si="170"/>
        <v>44.340433728638573</v>
      </c>
      <c r="CB165" s="20">
        <f t="shared" si="171"/>
        <v>383.05177541071242</v>
      </c>
      <c r="CC165" s="59">
        <f t="shared" si="119"/>
        <v>676.38510874404574</v>
      </c>
      <c r="CD165" s="59">
        <f ca="1">AVERAGE(OFFSET($CC$3,0,0,'Données projet'!$E$12+1,1))-AVERAGE(OFFSET($H$3,0,0,'Données projet'!$E$12+1,1))</f>
        <v>185.21927898775016</v>
      </c>
      <c r="CE165" s="59">
        <f t="shared" si="148"/>
        <v>240.82467772396944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0.11403714411980927</v>
      </c>
      <c r="CL165" s="21">
        <f>EXP(-LN(2)/25)*CL164+(1-EXP(-LN(2)/25))/(LN(2)/25)*Calculateur!CG165*Calculateur!CI165*VLOOKUP('Données projet'!$B$12,Paramètres!$A$1:$I$89,3,0)*0.475*44/12</f>
        <v>0.20687652127710823</v>
      </c>
      <c r="CM165" s="21">
        <f>EXP(-LN(2)/2)*CM164+(1-EXP(-LN(2)/2))/(LN(2)/2)*CG165*CJ165*VLOOKUP('Données projet'!$B$12,Paramètres!$A$1:$I$89,3,0)*0.475*44/12</f>
        <v>1.8968669932048985E-19</v>
      </c>
      <c r="CN165" s="22">
        <f t="shared" si="172"/>
        <v>0.32091366539691751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144.93960000000001</v>
      </c>
      <c r="D166" s="11">
        <f t="shared" si="140"/>
        <v>37.426304759789126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1407.7368086720564</v>
      </c>
      <c r="H166" s="67">
        <f t="shared" si="110"/>
        <v>610.95395078996603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-2.2737367544323206E-13</v>
      </c>
      <c r="O166" s="13">
        <f>N166*VLOOKUP('Données projet'!$B$9,Paramètres!$A$1:$I$89,3,0)*VLOOKUP('Données projet'!$B$9,Paramètres!$A$1:$I$89,5,0)</f>
        <v>-1.2710188457276673E-13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255.5374979188561</v>
      </c>
      <c r="T166" s="59">
        <f t="shared" si="142"/>
        <v>343.10418468620901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0.22184530233191788</v>
      </c>
      <c r="AA166" s="21">
        <f>EXP(-LN(2)/25)*AA165+(1-EXP(-LN(2)/25))/(LN(2)/25)*Calculateur!V166*Calculateur!X166*VLOOKUP('Données projet'!$B$9,Paramètres!$A$1:$I$89,3,0)*0.475*44/12</f>
        <v>0.39954008836820221</v>
      </c>
      <c r="AB166" s="21">
        <f>EXP(-LN(2)/2)*AB165+(1-EXP(-LN(2)/2))/(LN(2)/2)*V166*Y166*VLOOKUP('Données projet'!$B$9,Paramètres!$A$1:$I$89,3,0)*0.475*44/12</f>
        <v>1.6220826813514643E-20</v>
      </c>
      <c r="AC166" s="22">
        <f t="shared" si="163"/>
        <v>0.62138539070012011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0</v>
      </c>
      <c r="AJ166" s="13">
        <f>AI166*VLOOKUP('Données projet'!$B$10,Paramètres!$A$1:$I$89,3,0)*VLOOKUP('Données projet'!$B$10,Paramètres!$A$1:$I$89,5,0)</f>
        <v>0</v>
      </c>
      <c r="AK166" s="13" t="e">
        <f t="shared" si="164"/>
        <v>#NUM!</v>
      </c>
      <c r="AL166" s="20" t="e">
        <f t="shared" si="165"/>
        <v>#NUM!</v>
      </c>
      <c r="AM166" s="59" t="e">
        <f t="shared" si="113"/>
        <v>#NUM!</v>
      </c>
      <c r="AN166" s="59">
        <f ca="1">AVERAGE(OFFSET($AM$3,0,0,'Données projet'!$E$10+1,1))-AVERAGE(OFFSET($H$3,0,0,'Données projet'!$E$10+1,1))</f>
        <v>255.41017495879987</v>
      </c>
      <c r="AO166" s="59">
        <f t="shared" si="144"/>
        <v>297.50513563712764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0.59904506493897658</v>
      </c>
      <c r="AV166" s="21">
        <f>EXP(-LN(2)/25)*AV165+(1-EXP(-LN(2)/25))/(LN(2)/25)*Calculateur!AQ166*Calculateur!AS166*VLOOKUP('Données projet'!$B$10,Paramètres!$A$1:$I$89,3,0)*0.475*44/12</f>
        <v>0.69767848483675199</v>
      </c>
      <c r="AW166" s="21">
        <f>EXP(-LN(2)/2)*AW165+(1-EXP(-LN(2)/2))/(LN(2)/2)*AQ166*AT166*VLOOKUP('Données projet'!$B$10,Paramètres!$A$1:$I$89,3,0)*0.475*44/12</f>
        <v>2.3383866080912301E-19</v>
      </c>
      <c r="AX166" s="21">
        <f t="shared" si="166"/>
        <v>1.2967235497757286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-5.1159076974727213E-13</v>
      </c>
      <c r="BE166" s="13">
        <f>BD166*VLOOKUP('Données projet'!$B$11,Paramètres!$A$1:$I$89,3,0)*VLOOKUP('Données projet'!$B$11,Paramètres!$A$1:$I$89,5,0)</f>
        <v>-4.0702161641092972E-13</v>
      </c>
      <c r="BF166" s="13" t="e">
        <f t="shared" si="167"/>
        <v>#NUM!</v>
      </c>
      <c r="BG166" s="20" t="e">
        <f t="shared" si="168"/>
        <v>#NUM!</v>
      </c>
      <c r="BH166" s="59" t="e">
        <f t="shared" si="116"/>
        <v>#NUM!</v>
      </c>
      <c r="BI166" s="59">
        <f ca="1">AVERAGE(OFFSET($BH$3,0,0,'Données projet'!$E$11+1,1))-AVERAGE(OFFSET($H$3,0,0,'Données projet'!$E$11+1,1))</f>
        <v>260.20517190557814</v>
      </c>
      <c r="BJ166" s="59">
        <f t="shared" si="146"/>
        <v>307.22009971147133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0.23426198069011214</v>
      </c>
      <c r="BQ166" s="21">
        <f>EXP(-LN(2)/25)*BQ165+(1-EXP(-LN(2)/25))/(LN(2)/25)*Calculateur!BL166*Calculateur!BN166*VLOOKUP('Données projet'!$B$11,Paramètres!$A$1:$I$89,3,0)*0.475*44/12</f>
        <v>0.51367611384190026</v>
      </c>
      <c r="BR166" s="21">
        <f>EXP(-LN(2)/2)*BR165+(1-EXP(-LN(2)/2))/(LN(2)/2)*BL166*BO166*VLOOKUP('Données projet'!$B$11,Paramètres!$A$1:$I$89,3,0)*0.475*44/12</f>
        <v>2.30368081019868E-19</v>
      </c>
      <c r="BS166" s="22">
        <f t="shared" si="169"/>
        <v>0.74793809453201243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268.00000000000017</v>
      </c>
      <c r="BZ166" s="13">
        <f>BY166*VLOOKUP('Données projet'!$B$12,Paramètres!$A$1:$I$89,3,0)*VLOOKUP('Données projet'!$B$12,Paramètres!$A$1:$I$89,5,0)</f>
        <v>175.59360000000012</v>
      </c>
      <c r="CA166" s="13">
        <f t="shared" si="170"/>
        <v>44.340433728638573</v>
      </c>
      <c r="CB166" s="20">
        <f t="shared" si="171"/>
        <v>383.05177541071242</v>
      </c>
      <c r="CC166" s="59">
        <f t="shared" si="119"/>
        <v>676.38510874404574</v>
      </c>
      <c r="CD166" s="59">
        <f ca="1">AVERAGE(OFFSET($CC$3,0,0,'Données projet'!$E$12+1,1))-AVERAGE(OFFSET($H$3,0,0,'Données projet'!$E$12+1,1))</f>
        <v>185.21927898775016</v>
      </c>
      <c r="CE166" s="59">
        <f t="shared" si="148"/>
        <v>240.82467772396944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0.11180094527940966</v>
      </c>
      <c r="CL166" s="21">
        <f>EXP(-LN(2)/25)*CL165+(1-EXP(-LN(2)/25))/(LN(2)/25)*Calculateur!CG166*Calculateur!CI166*VLOOKUP('Données projet'!$B$12,Paramètres!$A$1:$I$89,3,0)*0.475*44/12</f>
        <v>0.20121947192362227</v>
      </c>
      <c r="CM166" s="21">
        <f>EXP(-LN(2)/2)*CM165+(1-EXP(-LN(2)/2))/(LN(2)/2)*CG166*CJ166*VLOOKUP('Données projet'!$B$12,Paramètres!$A$1:$I$89,3,0)*0.475*44/12</f>
        <v>1.3412875139041205E-19</v>
      </c>
      <c r="CN166" s="22">
        <f t="shared" si="172"/>
        <v>0.31302041720303192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145.8288</v>
      </c>
      <c r="D167" s="11">
        <f t="shared" si="140"/>
        <v>37.629115201395898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1416.1663629581437</v>
      </c>
      <c r="H167" s="67">
        <f t="shared" si="110"/>
        <v>612.85586897576445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-2.2737367544323206E-13</v>
      </c>
      <c r="O167" s="13">
        <f>N167*VLOOKUP('Données projet'!$B$9,Paramètres!$A$1:$I$89,3,0)*VLOOKUP('Données projet'!$B$9,Paramètres!$A$1:$I$89,5,0)</f>
        <v>-1.2710188457276673E-13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255.5374979188561</v>
      </c>
      <c r="T167" s="59">
        <f t="shared" si="142"/>
        <v>343.10418468620901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0.21749505126546242</v>
      </c>
      <c r="AA167" s="21">
        <f>EXP(-LN(2)/25)*AA166+(1-EXP(-LN(2)/25))/(LN(2)/25)*Calculateur!V167*Calculateur!X167*VLOOKUP('Données projet'!$B$9,Paramètres!$A$1:$I$89,3,0)*0.475*44/12</f>
        <v>0.38861464364087361</v>
      </c>
      <c r="AB167" s="21">
        <f>EXP(-LN(2)/2)*AB166+(1-EXP(-LN(2)/2))/(LN(2)/2)*V167*Y167*VLOOKUP('Données projet'!$B$9,Paramètres!$A$1:$I$89,3,0)*0.475*44/12</f>
        <v>1.1469856636288782E-20</v>
      </c>
      <c r="AC167" s="22">
        <f t="shared" si="163"/>
        <v>0.60610969490633604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0</v>
      </c>
      <c r="AJ167" s="13">
        <f>AI167*VLOOKUP('Données projet'!$B$10,Paramètres!$A$1:$I$89,3,0)*VLOOKUP('Données projet'!$B$10,Paramètres!$A$1:$I$89,5,0)</f>
        <v>0</v>
      </c>
      <c r="AK167" s="13" t="e">
        <f t="shared" si="164"/>
        <v>#NUM!</v>
      </c>
      <c r="AL167" s="20" t="e">
        <f t="shared" si="165"/>
        <v>#NUM!</v>
      </c>
      <c r="AM167" s="59" t="e">
        <f t="shared" si="113"/>
        <v>#NUM!</v>
      </c>
      <c r="AN167" s="59">
        <f ca="1">AVERAGE(OFFSET($AM$3,0,0,'Données projet'!$E$10+1,1))-AVERAGE(OFFSET($H$3,0,0,'Données projet'!$E$10+1,1))</f>
        <v>255.41017495879987</v>
      </c>
      <c r="AO167" s="59">
        <f t="shared" si="144"/>
        <v>297.50513563712764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0.58729815659693441</v>
      </c>
      <c r="AV167" s="21">
        <f>EXP(-LN(2)/25)*AV166+(1-EXP(-LN(2)/25))/(LN(2)/25)*Calculateur!AQ167*Calculateur!AS167*VLOOKUP('Données projet'!$B$10,Paramètres!$A$1:$I$89,3,0)*0.475*44/12</f>
        <v>0.67860042997957404</v>
      </c>
      <c r="AW167" s="21">
        <f>EXP(-LN(2)/2)*AW166+(1-EXP(-LN(2)/2))/(LN(2)/2)*AQ167*AT167*VLOOKUP('Données projet'!$B$10,Paramètres!$A$1:$I$89,3,0)*0.475*44/12</f>
        <v>1.6534890276171185E-19</v>
      </c>
      <c r="AX167" s="21">
        <f t="shared" si="166"/>
        <v>1.2658985865765084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-5.1159076974727213E-13</v>
      </c>
      <c r="BE167" s="13">
        <f>BD167*VLOOKUP('Données projet'!$B$11,Paramètres!$A$1:$I$89,3,0)*VLOOKUP('Données projet'!$B$11,Paramètres!$A$1:$I$89,5,0)</f>
        <v>-4.0702161641092972E-13</v>
      </c>
      <c r="BF167" s="13" t="e">
        <f t="shared" si="167"/>
        <v>#NUM!</v>
      </c>
      <c r="BG167" s="20" t="e">
        <f t="shared" si="168"/>
        <v>#NUM!</v>
      </c>
      <c r="BH167" s="59" t="e">
        <f t="shared" si="116"/>
        <v>#NUM!</v>
      </c>
      <c r="BI167" s="59">
        <f ca="1">AVERAGE(OFFSET($BH$3,0,0,'Données projet'!$E$11+1,1))-AVERAGE(OFFSET($H$3,0,0,'Données projet'!$E$11+1,1))</f>
        <v>260.20517190557814</v>
      </c>
      <c r="BJ167" s="59">
        <f t="shared" si="146"/>
        <v>307.22009971147133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0.22966824613447848</v>
      </c>
      <c r="BQ167" s="21">
        <f>EXP(-LN(2)/25)*BQ166+(1-EXP(-LN(2)/25))/(LN(2)/25)*Calculateur!BL167*Calculateur!BN167*VLOOKUP('Données projet'!$B$11,Paramètres!$A$1:$I$89,3,0)*0.475*44/12</f>
        <v>0.49962961349584067</v>
      </c>
      <c r="BR167" s="21">
        <f>EXP(-LN(2)/2)*BR166+(1-EXP(-LN(2)/2))/(LN(2)/2)*BL167*BO167*VLOOKUP('Données projet'!$B$11,Paramètres!$A$1:$I$89,3,0)*0.475*44/12</f>
        <v>1.6289483225808065E-19</v>
      </c>
      <c r="BS167" s="22">
        <f t="shared" si="169"/>
        <v>0.72929785963031912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268.00000000000017</v>
      </c>
      <c r="BZ167" s="13">
        <f>BY167*VLOOKUP('Données projet'!$B$12,Paramètres!$A$1:$I$89,3,0)*VLOOKUP('Données projet'!$B$12,Paramètres!$A$1:$I$89,5,0)</f>
        <v>175.59360000000012</v>
      </c>
      <c r="CA167" s="13">
        <f t="shared" si="170"/>
        <v>44.340433728638573</v>
      </c>
      <c r="CB167" s="20">
        <f t="shared" si="171"/>
        <v>383.05177541071242</v>
      </c>
      <c r="CC167" s="59">
        <f t="shared" si="119"/>
        <v>676.38510874404574</v>
      </c>
      <c r="CD167" s="59">
        <f ca="1">AVERAGE(OFFSET($CC$3,0,0,'Données projet'!$E$12+1,1))-AVERAGE(OFFSET($H$3,0,0,'Données projet'!$E$12+1,1))</f>
        <v>185.21927898775016</v>
      </c>
      <c r="CE167" s="59">
        <f t="shared" si="148"/>
        <v>240.82467772396944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0.10960859693432368</v>
      </c>
      <c r="CL167" s="21">
        <f>EXP(-LN(2)/25)*CL166+(1-EXP(-LN(2)/25))/(LN(2)/25)*Calculateur!CG167*Calculateur!CI167*VLOOKUP('Données projet'!$B$12,Paramètres!$A$1:$I$89,3,0)*0.475*44/12</f>
        <v>0.19571711488219867</v>
      </c>
      <c r="CM167" s="21">
        <f>EXP(-LN(2)/2)*CM166+(1-EXP(-LN(2)/2))/(LN(2)/2)*CG167*CJ167*VLOOKUP('Données projet'!$B$12,Paramètres!$A$1:$I$89,3,0)*0.475*44/12</f>
        <v>9.4843349660244925E-20</v>
      </c>
      <c r="CN167" s="22">
        <f t="shared" si="172"/>
        <v>0.30532571181652235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146.71799999999999</v>
      </c>
      <c r="D168" s="11">
        <f t="shared" si="140"/>
        <v>37.831781747183037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1424.594806469483</v>
      </c>
      <c r="H168" s="67">
        <f t="shared" si="110"/>
        <v>614.75753654301047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-2.2737367544323206E-13</v>
      </c>
      <c r="O168" s="13">
        <f>N168*VLOOKUP('Données projet'!$B$9,Paramètres!$A$1:$I$89,3,0)*VLOOKUP('Données projet'!$B$9,Paramètres!$A$1:$I$89,5,0)</f>
        <v>-1.2710188457276673E-13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255.5374979188561</v>
      </c>
      <c r="T168" s="59">
        <f t="shared" si="142"/>
        <v>343.10418468620901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0.213230105969029</v>
      </c>
      <c r="AA168" s="21">
        <f>EXP(-LN(2)/25)*AA167+(1-EXP(-LN(2)/25))/(LN(2)/25)*Calculateur!V168*Calculateur!X168*VLOOKUP('Données projet'!$B$9,Paramètres!$A$1:$I$89,3,0)*0.475*44/12</f>
        <v>0.377987955774158</v>
      </c>
      <c r="AB168" s="21">
        <f>EXP(-LN(2)/2)*AB167+(1-EXP(-LN(2)/2))/(LN(2)/2)*V168*Y168*VLOOKUP('Données projet'!$B$9,Paramètres!$A$1:$I$89,3,0)*0.475*44/12</f>
        <v>8.1104134067573214E-21</v>
      </c>
      <c r="AC168" s="22">
        <f t="shared" si="163"/>
        <v>0.59121806174318703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0</v>
      </c>
      <c r="AJ168" s="13">
        <f>AI168*VLOOKUP('Données projet'!$B$10,Paramètres!$A$1:$I$89,3,0)*VLOOKUP('Données projet'!$B$10,Paramètres!$A$1:$I$89,5,0)</f>
        <v>0</v>
      </c>
      <c r="AK168" s="13" t="e">
        <f t="shared" si="164"/>
        <v>#NUM!</v>
      </c>
      <c r="AL168" s="20" t="e">
        <f t="shared" si="165"/>
        <v>#NUM!</v>
      </c>
      <c r="AM168" s="59" t="e">
        <f t="shared" si="113"/>
        <v>#NUM!</v>
      </c>
      <c r="AN168" s="59">
        <f ca="1">AVERAGE(OFFSET($AM$3,0,0,'Données projet'!$E$10+1,1))-AVERAGE(OFFSET($H$3,0,0,'Données projet'!$E$10+1,1))</f>
        <v>255.41017495879987</v>
      </c>
      <c r="AO168" s="59">
        <f t="shared" si="144"/>
        <v>297.50513563712764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0.57578159796257311</v>
      </c>
      <c r="AV168" s="21">
        <f>EXP(-LN(2)/25)*AV167+(1-EXP(-LN(2)/25))/(LN(2)/25)*Calculateur!AQ168*Calculateur!AS168*VLOOKUP('Données projet'!$B$10,Paramètres!$A$1:$I$89,3,0)*0.475*44/12</f>
        <v>0.66004406553573691</v>
      </c>
      <c r="AW168" s="21">
        <f>EXP(-LN(2)/2)*AW167+(1-EXP(-LN(2)/2))/(LN(2)/2)*AQ168*AT168*VLOOKUP('Données projet'!$B$10,Paramètres!$A$1:$I$89,3,0)*0.475*44/12</f>
        <v>1.169193304045615E-19</v>
      </c>
      <c r="AX168" s="21">
        <f t="shared" si="166"/>
        <v>1.23582566349831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-5.1159076974727213E-13</v>
      </c>
      <c r="BE168" s="13">
        <f>BD168*VLOOKUP('Données projet'!$B$11,Paramètres!$A$1:$I$89,3,0)*VLOOKUP('Données projet'!$B$11,Paramètres!$A$1:$I$89,5,0)</f>
        <v>-4.0702161641092972E-13</v>
      </c>
      <c r="BF168" s="13" t="e">
        <f t="shared" si="167"/>
        <v>#NUM!</v>
      </c>
      <c r="BG168" s="20" t="e">
        <f t="shared" si="168"/>
        <v>#NUM!</v>
      </c>
      <c r="BH168" s="59" t="e">
        <f t="shared" si="116"/>
        <v>#NUM!</v>
      </c>
      <c r="BI168" s="59">
        <f ca="1">AVERAGE(OFFSET($BH$3,0,0,'Données projet'!$E$11+1,1))-AVERAGE(OFFSET($H$3,0,0,'Données projet'!$E$11+1,1))</f>
        <v>260.20517190557814</v>
      </c>
      <c r="BJ168" s="59">
        <f t="shared" si="146"/>
        <v>307.22009971147133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0.22516459191157936</v>
      </c>
      <c r="BQ168" s="21">
        <f>EXP(-LN(2)/25)*BQ167+(1-EXP(-LN(2)/25))/(LN(2)/25)*Calculateur!BL168*Calculateur!BN168*VLOOKUP('Données projet'!$B$11,Paramètres!$A$1:$I$89,3,0)*0.475*44/12</f>
        <v>0.48596721544041743</v>
      </c>
      <c r="BR168" s="21">
        <f>EXP(-LN(2)/2)*BR167+(1-EXP(-LN(2)/2))/(LN(2)/2)*BL168*BO168*VLOOKUP('Données projet'!$B$11,Paramètres!$A$1:$I$89,3,0)*0.475*44/12</f>
        <v>1.15184040509934E-19</v>
      </c>
      <c r="BS168" s="22">
        <f t="shared" si="169"/>
        <v>0.71113180735199677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268.00000000000017</v>
      </c>
      <c r="BZ168" s="13">
        <f>BY168*VLOOKUP('Données projet'!$B$12,Paramètres!$A$1:$I$89,3,0)*VLOOKUP('Données projet'!$B$12,Paramètres!$A$1:$I$89,5,0)</f>
        <v>175.59360000000012</v>
      </c>
      <c r="CA168" s="13">
        <f t="shared" si="170"/>
        <v>44.340433728638573</v>
      </c>
      <c r="CB168" s="20">
        <f t="shared" si="171"/>
        <v>383.05177541071242</v>
      </c>
      <c r="CC168" s="59">
        <f t="shared" si="119"/>
        <v>676.38510874404574</v>
      </c>
      <c r="CD168" s="59">
        <f ca="1">AVERAGE(OFFSET($CC$3,0,0,'Données projet'!$E$12+1,1))-AVERAGE(OFFSET($H$3,0,0,'Données projet'!$E$12+1,1))</f>
        <v>185.21927898775016</v>
      </c>
      <c r="CE168" s="59">
        <f t="shared" si="148"/>
        <v>240.82467772396944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0.10745923920308437</v>
      </c>
      <c r="CL168" s="21">
        <f>EXP(-LN(2)/25)*CL167+(1-EXP(-LN(2)/25))/(LN(2)/25)*Calculateur!CG168*Calculateur!CI168*VLOOKUP('Données projet'!$B$12,Paramètres!$A$1:$I$89,3,0)*0.475*44/12</f>
        <v>0.19036522008342921</v>
      </c>
      <c r="CM168" s="21">
        <f>EXP(-LN(2)/2)*CM167+(1-EXP(-LN(2)/2))/(LN(2)/2)*CG168*CJ168*VLOOKUP('Données projet'!$B$12,Paramètres!$A$1:$I$89,3,0)*0.475*44/12</f>
        <v>6.7064375695206024E-20</v>
      </c>
      <c r="CN168" s="22">
        <f t="shared" si="172"/>
        <v>0.29782445928651358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147.60719999999998</v>
      </c>
      <c r="D169" s="11">
        <f t="shared" si="140"/>
        <v>38.034305370426985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1433.0221467190852</v>
      </c>
      <c r="H169" s="67">
        <f t="shared" si="110"/>
        <v>616.65895518682692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-2.2737367544323206E-13</v>
      </c>
      <c r="O169" s="13">
        <f>N169*VLOOKUP('Données projet'!$B$9,Paramètres!$A$1:$I$89,3,0)*VLOOKUP('Données projet'!$B$9,Paramètres!$A$1:$I$89,5,0)</f>
        <v>-1.2710188457276673E-13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255.5374979188561</v>
      </c>
      <c r="T169" s="59">
        <f t="shared" si="142"/>
        <v>343.10418468620901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0.20904879364849888</v>
      </c>
      <c r="AA169" s="21">
        <f>EXP(-LN(2)/25)*AA168+(1-EXP(-LN(2)/25))/(LN(2)/25)*Calculateur!V169*Calculateur!X169*VLOOKUP('Données projet'!$B$9,Paramètres!$A$1:$I$89,3,0)*0.475*44/12</f>
        <v>0.36765185524599098</v>
      </c>
      <c r="AB169" s="21">
        <f>EXP(-LN(2)/2)*AB168+(1-EXP(-LN(2)/2))/(LN(2)/2)*V169*Y169*VLOOKUP('Données projet'!$B$9,Paramètres!$A$1:$I$89,3,0)*0.475*44/12</f>
        <v>5.7349283181443908E-21</v>
      </c>
      <c r="AC169" s="22">
        <f t="shared" si="163"/>
        <v>0.57670064889448991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0</v>
      </c>
      <c r="AJ169" s="13">
        <f>AI169*VLOOKUP('Données projet'!$B$10,Paramètres!$A$1:$I$89,3,0)*VLOOKUP('Données projet'!$B$10,Paramètres!$A$1:$I$89,5,0)</f>
        <v>0</v>
      </c>
      <c r="AK169" s="13" t="e">
        <f t="shared" si="164"/>
        <v>#NUM!</v>
      </c>
      <c r="AL169" s="20" t="e">
        <f t="shared" si="165"/>
        <v>#NUM!</v>
      </c>
      <c r="AM169" s="59" t="e">
        <f t="shared" si="113"/>
        <v>#NUM!</v>
      </c>
      <c r="AN169" s="59">
        <f ca="1">AVERAGE(OFFSET($AM$3,0,0,'Données projet'!$E$10+1,1))-AVERAGE(OFFSET($H$3,0,0,'Données projet'!$E$10+1,1))</f>
        <v>255.41017495879987</v>
      </c>
      <c r="AO169" s="59">
        <f t="shared" si="144"/>
        <v>297.50513563712764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0.56449087201862447</v>
      </c>
      <c r="AV169" s="21">
        <f>EXP(-LN(2)/25)*AV168+(1-EXP(-LN(2)/25))/(LN(2)/25)*Calculateur!AQ169*Calculateur!AS169*VLOOKUP('Données projet'!$B$10,Paramètres!$A$1:$I$89,3,0)*0.475*44/12</f>
        <v>0.64199512585345331</v>
      </c>
      <c r="AW169" s="21">
        <f>EXP(-LN(2)/2)*AW168+(1-EXP(-LN(2)/2))/(LN(2)/2)*AQ169*AT169*VLOOKUP('Données projet'!$B$10,Paramètres!$A$1:$I$89,3,0)*0.475*44/12</f>
        <v>8.2674451380855925E-20</v>
      </c>
      <c r="AX169" s="21">
        <f t="shared" si="166"/>
        <v>1.2064859978720777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-5.1159076974727213E-13</v>
      </c>
      <c r="BE169" s="13">
        <f>BD169*VLOOKUP('Données projet'!$B$11,Paramètres!$A$1:$I$89,3,0)*VLOOKUP('Données projet'!$B$11,Paramètres!$A$1:$I$89,5,0)</f>
        <v>-4.0702161641092972E-13</v>
      </c>
      <c r="BF169" s="13" t="e">
        <f t="shared" si="167"/>
        <v>#NUM!</v>
      </c>
      <c r="BG169" s="20" t="e">
        <f t="shared" si="168"/>
        <v>#NUM!</v>
      </c>
      <c r="BH169" s="59" t="e">
        <f t="shared" si="116"/>
        <v>#NUM!</v>
      </c>
      <c r="BI169" s="59">
        <f ca="1">AVERAGE(OFFSET($BH$3,0,0,'Données projet'!$E$11+1,1))-AVERAGE(OFFSET($H$3,0,0,'Données projet'!$E$11+1,1))</f>
        <v>260.20517190557814</v>
      </c>
      <c r="BJ169" s="59">
        <f t="shared" si="146"/>
        <v>307.22009971147133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0.22074925160103348</v>
      </c>
      <c r="BQ169" s="21">
        <f>EXP(-LN(2)/25)*BQ168+(1-EXP(-LN(2)/25))/(LN(2)/25)*Calculateur!BL169*Calculateur!BN169*VLOOKUP('Données projet'!$B$11,Paramètres!$A$1:$I$89,3,0)*0.475*44/12</f>
        <v>0.47267841637829405</v>
      </c>
      <c r="BR169" s="21">
        <f>EXP(-LN(2)/2)*BR168+(1-EXP(-LN(2)/2))/(LN(2)/2)*BL169*BO169*VLOOKUP('Données projet'!$B$11,Paramètres!$A$1:$I$89,3,0)*0.475*44/12</f>
        <v>8.1447416129040326E-20</v>
      </c>
      <c r="BS169" s="22">
        <f t="shared" si="169"/>
        <v>0.69342766797932753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268.00000000000017</v>
      </c>
      <c r="BZ169" s="13">
        <f>BY169*VLOOKUP('Données projet'!$B$12,Paramètres!$A$1:$I$89,3,0)*VLOOKUP('Données projet'!$B$12,Paramètres!$A$1:$I$89,5,0)</f>
        <v>175.59360000000012</v>
      </c>
      <c r="CA169" s="13">
        <f t="shared" si="170"/>
        <v>44.340433728638573</v>
      </c>
      <c r="CB169" s="20">
        <f t="shared" si="171"/>
        <v>383.05177541071242</v>
      </c>
      <c r="CC169" s="59">
        <f t="shared" si="119"/>
        <v>676.38510874404574</v>
      </c>
      <c r="CD169" s="59">
        <f ca="1">AVERAGE(OFFSET($CC$3,0,0,'Données projet'!$E$12+1,1))-AVERAGE(OFFSET($H$3,0,0,'Données projet'!$E$12+1,1))</f>
        <v>185.21927898775016</v>
      </c>
      <c r="CE169" s="59">
        <f t="shared" si="148"/>
        <v>240.82467772396944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0.10535202906597589</v>
      </c>
      <c r="CL169" s="21">
        <f>EXP(-LN(2)/25)*CL168+(1-EXP(-LN(2)/25))/(LN(2)/25)*Calculateur!CG169*Calculateur!CI169*VLOOKUP('Données projet'!$B$12,Paramètres!$A$1:$I$89,3,0)*0.475*44/12</f>
        <v>0.18515967312937601</v>
      </c>
      <c r="CM169" s="21">
        <f>EXP(-LN(2)/2)*CM168+(1-EXP(-LN(2)/2))/(LN(2)/2)*CG169*CJ169*VLOOKUP('Données projet'!$B$12,Paramètres!$A$1:$I$89,3,0)*0.475*44/12</f>
        <v>4.7421674830122463E-20</v>
      </c>
      <c r="CN169" s="22">
        <f t="shared" si="172"/>
        <v>0.29051170219535188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148.49639999999997</v>
      </c>
      <c r="D170" s="11">
        <f t="shared" si="140"/>
        <v>38.23668703199958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1441.4483911242071</v>
      </c>
      <c r="H170" s="67">
        <f t="shared" si="110"/>
        <v>618.56012658073257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-2.2737367544323206E-13</v>
      </c>
      <c r="O170" s="13">
        <f>N170*VLOOKUP('Données projet'!$B$9,Paramètres!$A$1:$I$89,3,0)*VLOOKUP('Données projet'!$B$9,Paramètres!$A$1:$I$89,5,0)</f>
        <v>-1.2710188457276673E-13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255.5374979188561</v>
      </c>
      <c r="T170" s="59">
        <f t="shared" si="142"/>
        <v>343.10418468620901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0.20494947431222565</v>
      </c>
      <c r="AA170" s="21">
        <f>EXP(-LN(2)/25)*AA169+(1-EXP(-LN(2)/25))/(LN(2)/25)*Calculateur!V170*Calculateur!X170*VLOOKUP('Données projet'!$B$9,Paramètres!$A$1:$I$89,3,0)*0.475*44/12</f>
        <v>0.35759839593031856</v>
      </c>
      <c r="AB170" s="21">
        <f>EXP(-LN(2)/2)*AB169+(1-EXP(-LN(2)/2))/(LN(2)/2)*V170*Y170*VLOOKUP('Données projet'!$B$9,Paramètres!$A$1:$I$89,3,0)*0.475*44/12</f>
        <v>4.0552067033786607E-21</v>
      </c>
      <c r="AC170" s="22">
        <f t="shared" si="163"/>
        <v>0.56254787024254416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0</v>
      </c>
      <c r="AJ170" s="13">
        <f>AI170*VLOOKUP('Données projet'!$B$10,Paramètres!$A$1:$I$89,3,0)*VLOOKUP('Données projet'!$B$10,Paramètres!$A$1:$I$89,5,0)</f>
        <v>0</v>
      </c>
      <c r="AK170" s="13" t="e">
        <f t="shared" si="164"/>
        <v>#NUM!</v>
      </c>
      <c r="AL170" s="20" t="e">
        <f t="shared" si="165"/>
        <v>#NUM!</v>
      </c>
      <c r="AM170" s="59" t="e">
        <f t="shared" si="113"/>
        <v>#NUM!</v>
      </c>
      <c r="AN170" s="59">
        <f ca="1">AVERAGE(OFFSET($AM$3,0,0,'Données projet'!$E$10+1,1))-AVERAGE(OFFSET($H$3,0,0,'Données projet'!$E$10+1,1))</f>
        <v>255.41017495879987</v>
      </c>
      <c r="AO170" s="59">
        <f t="shared" si="144"/>
        <v>297.50513563712764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0.55342155032377383</v>
      </c>
      <c r="AV170" s="21">
        <f>EXP(-LN(2)/25)*AV169+(1-EXP(-LN(2)/25))/(LN(2)/25)*Calculateur!AQ170*Calculateur!AS170*VLOOKUP('Données projet'!$B$10,Paramètres!$A$1:$I$89,3,0)*0.475*44/12</f>
        <v>0.62443973537593422</v>
      </c>
      <c r="AW170" s="21">
        <f>EXP(-LN(2)/2)*AW169+(1-EXP(-LN(2)/2))/(LN(2)/2)*AQ170*AT170*VLOOKUP('Données projet'!$B$10,Paramètres!$A$1:$I$89,3,0)*0.475*44/12</f>
        <v>5.8459665202280752E-20</v>
      </c>
      <c r="AX170" s="21">
        <f t="shared" si="166"/>
        <v>1.1778612856997079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-5.1159076974727213E-13</v>
      </c>
      <c r="BE170" s="13">
        <f>BD170*VLOOKUP('Données projet'!$B$11,Paramètres!$A$1:$I$89,3,0)*VLOOKUP('Données projet'!$B$11,Paramètres!$A$1:$I$89,5,0)</f>
        <v>-4.0702161641092972E-13</v>
      </c>
      <c r="BF170" s="13" t="e">
        <f t="shared" si="167"/>
        <v>#NUM!</v>
      </c>
      <c r="BG170" s="20" t="e">
        <f t="shared" si="168"/>
        <v>#NUM!</v>
      </c>
      <c r="BH170" s="59" t="e">
        <f t="shared" si="116"/>
        <v>#NUM!</v>
      </c>
      <c r="BI170" s="59">
        <f ca="1">AVERAGE(OFFSET($BH$3,0,0,'Données projet'!$E$11+1,1))-AVERAGE(OFFSET($H$3,0,0,'Données projet'!$E$11+1,1))</f>
        <v>260.20517190557814</v>
      </c>
      <c r="BJ170" s="59">
        <f t="shared" si="146"/>
        <v>307.22009971147133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0.21642049342088573</v>
      </c>
      <c r="BQ170" s="21">
        <f>EXP(-LN(2)/25)*BQ169+(1-EXP(-LN(2)/25))/(LN(2)/25)*Calculateur!BL170*Calculateur!BN170*VLOOKUP('Données projet'!$B$11,Paramètres!$A$1:$I$89,3,0)*0.475*44/12</f>
        <v>0.45975300022535198</v>
      </c>
      <c r="BR170" s="21">
        <f>EXP(-LN(2)/2)*BR169+(1-EXP(-LN(2)/2))/(LN(2)/2)*BL170*BO170*VLOOKUP('Données projet'!$B$11,Paramètres!$A$1:$I$89,3,0)*0.475*44/12</f>
        <v>5.7592020254966999E-20</v>
      </c>
      <c r="BS170" s="22">
        <f t="shared" si="169"/>
        <v>0.67617349364623769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268.00000000000017</v>
      </c>
      <c r="BZ170" s="13">
        <f>BY170*VLOOKUP('Données projet'!$B$12,Paramètres!$A$1:$I$89,3,0)*VLOOKUP('Données projet'!$B$12,Paramètres!$A$1:$I$89,5,0)</f>
        <v>175.59360000000012</v>
      </c>
      <c r="CA170" s="13">
        <f t="shared" si="170"/>
        <v>44.340433728638573</v>
      </c>
      <c r="CB170" s="20">
        <f t="shared" si="171"/>
        <v>383.05177541071242</v>
      </c>
      <c r="CC170" s="59">
        <f t="shared" si="119"/>
        <v>676.38510874404574</v>
      </c>
      <c r="CD170" s="59">
        <f ca="1">AVERAGE(OFFSET($CC$3,0,0,'Données projet'!$E$12+1,1))-AVERAGE(OFFSET($H$3,0,0,'Données projet'!$E$12+1,1))</f>
        <v>185.21927898775016</v>
      </c>
      <c r="CE170" s="59">
        <f t="shared" si="148"/>
        <v>240.82467772396944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0.10328614003438484</v>
      </c>
      <c r="CL170" s="21">
        <f>EXP(-LN(2)/25)*CL169+(1-EXP(-LN(2)/25))/(LN(2)/25)*Calculateur!CG170*Calculateur!CI170*VLOOKUP('Données projet'!$B$12,Paramètres!$A$1:$I$89,3,0)*0.475*44/12</f>
        <v>0.18009647213052921</v>
      </c>
      <c r="CM170" s="21">
        <f>EXP(-LN(2)/2)*CM169+(1-EXP(-LN(2)/2))/(LN(2)/2)*CG170*CJ170*VLOOKUP('Données projet'!$B$12,Paramètres!$A$1:$I$89,3,0)*0.475*44/12</f>
        <v>3.3532187847603012E-20</v>
      </c>
      <c r="CN170" s="22">
        <f t="shared" si="172"/>
        <v>0.28338261216491406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149.38559999999995</v>
      </c>
      <c r="D171" s="11">
        <f t="shared" si="140"/>
        <v>38.438927680599591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1449.8735470081367</v>
      </c>
      <c r="H171" s="67">
        <f t="shared" si="110"/>
        <v>620.46105237704421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-2.2737367544323206E-13</v>
      </c>
      <c r="O171" s="13">
        <f>N171*VLOOKUP('Données projet'!$B$9,Paramètres!$A$1:$I$89,3,0)*VLOOKUP('Données projet'!$B$9,Paramètres!$A$1:$I$89,5,0)</f>
        <v>-1.2710188457276673E-13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255.5374979188561</v>
      </c>
      <c r="T171" s="59">
        <f t="shared" si="142"/>
        <v>343.10418468620901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0.20093054012779885</v>
      </c>
      <c r="AA171" s="21">
        <f>EXP(-LN(2)/25)*AA170+(1-EXP(-LN(2)/25))/(LN(2)/25)*Calculateur!V171*Calculateur!X171*VLOOKUP('Données projet'!$B$9,Paramètres!$A$1:$I$89,3,0)*0.475*44/12</f>
        <v>0.34781984898832163</v>
      </c>
      <c r="AB171" s="21">
        <f>EXP(-LN(2)/2)*AB170+(1-EXP(-LN(2)/2))/(LN(2)/2)*V171*Y171*VLOOKUP('Données projet'!$B$9,Paramètres!$A$1:$I$89,3,0)*0.475*44/12</f>
        <v>2.8674641590721954E-21</v>
      </c>
      <c r="AC171" s="22">
        <f t="shared" si="163"/>
        <v>0.54875038911612051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0</v>
      </c>
      <c r="AJ171" s="13">
        <f>AI171*VLOOKUP('Données projet'!$B$10,Paramètres!$A$1:$I$89,3,0)*VLOOKUP('Données projet'!$B$10,Paramètres!$A$1:$I$89,5,0)</f>
        <v>0</v>
      </c>
      <c r="AK171" s="13" t="e">
        <f t="shared" si="164"/>
        <v>#NUM!</v>
      </c>
      <c r="AL171" s="20" t="e">
        <f t="shared" si="165"/>
        <v>#NUM!</v>
      </c>
      <c r="AM171" s="59" t="e">
        <f t="shared" si="113"/>
        <v>#NUM!</v>
      </c>
      <c r="AN171" s="59">
        <f ca="1">AVERAGE(OFFSET($AM$3,0,0,'Données projet'!$E$10+1,1))-AVERAGE(OFFSET($H$3,0,0,'Données projet'!$E$10+1,1))</f>
        <v>255.41017495879987</v>
      </c>
      <c r="AO171" s="59">
        <f t="shared" si="144"/>
        <v>297.50513563712764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0.54256929127573961</v>
      </c>
      <c r="AV171" s="21">
        <f>EXP(-LN(2)/25)*AV170+(1-EXP(-LN(2)/25))/(LN(2)/25)*Calculateur!AQ171*Calculateur!AS171*VLOOKUP('Données projet'!$B$10,Paramètres!$A$1:$I$89,3,0)*0.475*44/12</f>
        <v>0.60736439797422082</v>
      </c>
      <c r="AW171" s="21">
        <f>EXP(-LN(2)/2)*AW170+(1-EXP(-LN(2)/2))/(LN(2)/2)*AQ171*AT171*VLOOKUP('Données projet'!$B$10,Paramètres!$A$1:$I$89,3,0)*0.475*44/12</f>
        <v>4.1337225690427963E-20</v>
      </c>
      <c r="AX171" s="21">
        <f t="shared" si="166"/>
        <v>1.1499336892499605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-5.1159076974727213E-13</v>
      </c>
      <c r="BE171" s="13">
        <f>BD171*VLOOKUP('Données projet'!$B$11,Paramètres!$A$1:$I$89,3,0)*VLOOKUP('Données projet'!$B$11,Paramètres!$A$1:$I$89,5,0)</f>
        <v>-4.0702161641092972E-13</v>
      </c>
      <c r="BF171" s="13" t="e">
        <f t="shared" si="167"/>
        <v>#NUM!</v>
      </c>
      <c r="BG171" s="20" t="e">
        <f t="shared" si="168"/>
        <v>#NUM!</v>
      </c>
      <c r="BH171" s="59" t="e">
        <f t="shared" si="116"/>
        <v>#NUM!</v>
      </c>
      <c r="BI171" s="59">
        <f ca="1">AVERAGE(OFFSET($BH$3,0,0,'Données projet'!$E$11+1,1))-AVERAGE(OFFSET($H$3,0,0,'Données projet'!$E$11+1,1))</f>
        <v>260.20517190557814</v>
      </c>
      <c r="BJ171" s="59">
        <f t="shared" si="146"/>
        <v>307.22009971147133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0.21217661954836889</v>
      </c>
      <c r="BQ171" s="21">
        <f>EXP(-LN(2)/25)*BQ170+(1-EXP(-LN(2)/25))/(LN(2)/25)*Calculateur!BL171*Calculateur!BN171*VLOOKUP('Données projet'!$B$11,Paramètres!$A$1:$I$89,3,0)*0.475*44/12</f>
        <v>0.4471810302568302</v>
      </c>
      <c r="BR171" s="21">
        <f>EXP(-LN(2)/2)*BR170+(1-EXP(-LN(2)/2))/(LN(2)/2)*BL171*BO171*VLOOKUP('Données projet'!$B$11,Paramètres!$A$1:$I$89,3,0)*0.475*44/12</f>
        <v>4.0723708064520163E-20</v>
      </c>
      <c r="BS171" s="22">
        <f t="shared" si="169"/>
        <v>0.65935764980519906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268.00000000000017</v>
      </c>
      <c r="BZ171" s="13">
        <f>BY171*VLOOKUP('Données projet'!$B$12,Paramètres!$A$1:$I$89,3,0)*VLOOKUP('Données projet'!$B$12,Paramètres!$A$1:$I$89,5,0)</f>
        <v>175.59360000000012</v>
      </c>
      <c r="CA171" s="13">
        <f t="shared" si="170"/>
        <v>44.340433728638573</v>
      </c>
      <c r="CB171" s="20">
        <f t="shared" si="171"/>
        <v>383.05177541071242</v>
      </c>
      <c r="CC171" s="59">
        <f t="shared" si="119"/>
        <v>676.38510874404574</v>
      </c>
      <c r="CD171" s="59">
        <f ca="1">AVERAGE(OFFSET($CC$3,0,0,'Données projet'!$E$12+1,1))-AVERAGE(OFFSET($H$3,0,0,'Données projet'!$E$12+1,1))</f>
        <v>185.21927898775016</v>
      </c>
      <c r="CE171" s="59">
        <f t="shared" si="148"/>
        <v>240.82467772396944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0.1012607618266354</v>
      </c>
      <c r="CL171" s="21">
        <f>EXP(-LN(2)/25)*CL170+(1-EXP(-LN(2)/25))/(LN(2)/25)*Calculateur!CG171*Calculateur!CI171*VLOOKUP('Données projet'!$B$12,Paramètres!$A$1:$I$89,3,0)*0.475*44/12</f>
        <v>0.17517172462925804</v>
      </c>
      <c r="CM171" s="21">
        <f>EXP(-LN(2)/2)*CM170+(1-EXP(-LN(2)/2))/(LN(2)/2)*CG171*CJ171*VLOOKUP('Données projet'!$B$12,Paramètres!$A$1:$I$89,3,0)*0.475*44/12</f>
        <v>2.3710837415061231E-20</v>
      </c>
      <c r="CN171" s="22">
        <f t="shared" si="172"/>
        <v>0.27643248645589347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150.27479999999994</v>
      </c>
      <c r="D172" s="11">
        <f t="shared" si="140"/>
        <v>38.641028252978323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1458.2976216019376</v>
      </c>
      <c r="H172" s="67">
        <f t="shared" si="110"/>
        <v>622.36173420727039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-2.2737367544323206E-13</v>
      </c>
      <c r="O172" s="13">
        <f>N172*VLOOKUP('Données projet'!$B$9,Paramètres!$A$1:$I$89,3,0)*VLOOKUP('Données projet'!$B$9,Paramètres!$A$1:$I$89,5,0)</f>
        <v>-1.2710188457276673E-13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255.5374979188561</v>
      </c>
      <c r="T172" s="59">
        <f t="shared" si="142"/>
        <v>343.10418468620901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0.19699041479142085</v>
      </c>
      <c r="AA172" s="21">
        <f>EXP(-LN(2)/25)*AA171+(1-EXP(-LN(2)/25))/(LN(2)/25)*Calculateur!V172*Calculateur!X172*VLOOKUP('Données projet'!$B$9,Paramètres!$A$1:$I$89,3,0)*0.475*44/12</f>
        <v>0.33830869692668508</v>
      </c>
      <c r="AB172" s="21">
        <f>EXP(-LN(2)/2)*AB171+(1-EXP(-LN(2)/2))/(LN(2)/2)*V172*Y172*VLOOKUP('Données projet'!$B$9,Paramètres!$A$1:$I$89,3,0)*0.475*44/12</f>
        <v>2.0276033516893304E-21</v>
      </c>
      <c r="AC172" s="22">
        <f t="shared" si="163"/>
        <v>0.53529911171810596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0</v>
      </c>
      <c r="AJ172" s="13">
        <f>AI172*VLOOKUP('Données projet'!$B$10,Paramètres!$A$1:$I$89,3,0)*VLOOKUP('Données projet'!$B$10,Paramètres!$A$1:$I$89,5,0)</f>
        <v>0</v>
      </c>
      <c r="AK172" s="13" t="e">
        <f t="shared" si="164"/>
        <v>#NUM!</v>
      </c>
      <c r="AL172" s="20" t="e">
        <f t="shared" si="165"/>
        <v>#NUM!</v>
      </c>
      <c r="AM172" s="59" t="e">
        <f t="shared" si="113"/>
        <v>#NUM!</v>
      </c>
      <c r="AN172" s="59">
        <f ca="1">AVERAGE(OFFSET($AM$3,0,0,'Données projet'!$E$10+1,1))-AVERAGE(OFFSET($H$3,0,0,'Données projet'!$E$10+1,1))</f>
        <v>255.41017495879987</v>
      </c>
      <c r="AO172" s="59">
        <f t="shared" si="144"/>
        <v>297.50513563712764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0.5319298384084129</v>
      </c>
      <c r="AV172" s="21">
        <f>EXP(-LN(2)/25)*AV171+(1-EXP(-LN(2)/25))/(LN(2)/25)*Calculateur!AQ172*Calculateur!AS172*VLOOKUP('Données projet'!$B$10,Paramètres!$A$1:$I$89,3,0)*0.475*44/12</f>
        <v>0.59075598657171025</v>
      </c>
      <c r="AW172" s="21">
        <f>EXP(-LN(2)/2)*AW171+(1-EXP(-LN(2)/2))/(LN(2)/2)*AQ172*AT172*VLOOKUP('Données projet'!$B$10,Paramètres!$A$1:$I$89,3,0)*0.475*44/12</f>
        <v>2.9229832601140376E-20</v>
      </c>
      <c r="AX172" s="21">
        <f t="shared" si="166"/>
        <v>1.122685824980123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-5.1159076974727213E-13</v>
      </c>
      <c r="BE172" s="13">
        <f>BD172*VLOOKUP('Données projet'!$B$11,Paramètres!$A$1:$I$89,3,0)*VLOOKUP('Données projet'!$B$11,Paramètres!$A$1:$I$89,5,0)</f>
        <v>-4.0702161641092972E-13</v>
      </c>
      <c r="BF172" s="13" t="e">
        <f t="shared" si="167"/>
        <v>#NUM!</v>
      </c>
      <c r="BG172" s="20" t="e">
        <f t="shared" si="168"/>
        <v>#NUM!</v>
      </c>
      <c r="BH172" s="59" t="e">
        <f t="shared" si="116"/>
        <v>#NUM!</v>
      </c>
      <c r="BI172" s="59">
        <f ca="1">AVERAGE(OFFSET($BH$3,0,0,'Données projet'!$E$11+1,1))-AVERAGE(OFFSET($H$3,0,0,'Données projet'!$E$11+1,1))</f>
        <v>260.20517190557814</v>
      </c>
      <c r="BJ172" s="59">
        <f t="shared" si="146"/>
        <v>307.22009971147133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0.20801596545398462</v>
      </c>
      <c r="BQ172" s="21">
        <f>EXP(-LN(2)/25)*BQ171+(1-EXP(-LN(2)/25))/(LN(2)/25)*Calculateur!BL172*Calculateur!BN172*VLOOKUP('Données projet'!$B$11,Paramètres!$A$1:$I$89,3,0)*0.475*44/12</f>
        <v>0.43495284146822882</v>
      </c>
      <c r="BR172" s="21">
        <f>EXP(-LN(2)/2)*BR171+(1-EXP(-LN(2)/2))/(LN(2)/2)*BL172*BO172*VLOOKUP('Données projet'!$B$11,Paramètres!$A$1:$I$89,3,0)*0.475*44/12</f>
        <v>2.87960101274835E-20</v>
      </c>
      <c r="BS172" s="22">
        <f t="shared" si="169"/>
        <v>0.64296880692221348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268.00000000000017</v>
      </c>
      <c r="BZ172" s="13">
        <f>BY172*VLOOKUP('Données projet'!$B$12,Paramètres!$A$1:$I$89,3,0)*VLOOKUP('Données projet'!$B$12,Paramètres!$A$1:$I$89,5,0)</f>
        <v>175.59360000000012</v>
      </c>
      <c r="CA172" s="13">
        <f t="shared" si="170"/>
        <v>44.340433728638573</v>
      </c>
      <c r="CB172" s="20">
        <f t="shared" si="171"/>
        <v>383.05177541071242</v>
      </c>
      <c r="CC172" s="59">
        <f t="shared" si="119"/>
        <v>676.38510874404574</v>
      </c>
      <c r="CD172" s="59">
        <f ca="1">AVERAGE(OFFSET($CC$3,0,0,'Données projet'!$E$12+1,1))-AVERAGE(OFFSET($H$3,0,0,'Données projet'!$E$12+1,1))</f>
        <v>185.21927898775016</v>
      </c>
      <c r="CE172" s="59">
        <f t="shared" si="148"/>
        <v>240.82467772396944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9.9275100050181211E-2</v>
      </c>
      <c r="CL172" s="21">
        <f>EXP(-LN(2)/25)*CL171+(1-EXP(-LN(2)/25))/(LN(2)/25)*Calculateur!CG172*Calculateur!CI172*VLOOKUP('Données projet'!$B$12,Paramètres!$A$1:$I$89,3,0)*0.475*44/12</f>
        <v>0.17038164460739033</v>
      </c>
      <c r="CM172" s="21">
        <f>EXP(-LN(2)/2)*CM171+(1-EXP(-LN(2)/2))/(LN(2)/2)*CG172*CJ172*VLOOKUP('Données projet'!$B$12,Paramètres!$A$1:$I$89,3,0)*0.475*44/12</f>
        <v>1.6766093923801506E-20</v>
      </c>
      <c r="CN172" s="22">
        <f t="shared" si="172"/>
        <v>0.26965674465757156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151.16399999999993</v>
      </c>
      <c r="D173" s="11">
        <f t="shared" si="140"/>
        <v>38.842989674159945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1466.7206220461464</v>
      </c>
      <c r="H173" s="67">
        <f t="shared" si="110"/>
        <v>624.26217368249513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-2.2737367544323206E-13</v>
      </c>
      <c r="O173" s="13">
        <f>N173*VLOOKUP('Données projet'!$B$9,Paramètres!$A$1:$I$89,3,0)*VLOOKUP('Données projet'!$B$9,Paramètres!$A$1:$I$89,5,0)</f>
        <v>-1.2710188457276673E-13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255.5374979188561</v>
      </c>
      <c r="T173" s="59">
        <f t="shared" si="142"/>
        <v>343.10418468620901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0.19312755290965006</v>
      </c>
      <c r="AA173" s="21">
        <f>EXP(-LN(2)/25)*AA172+(1-EXP(-LN(2)/25))/(LN(2)/25)*Calculateur!V173*Calculateur!X173*VLOOKUP('Données projet'!$B$9,Paramètres!$A$1:$I$89,3,0)*0.475*44/12</f>
        <v>0.32905762781834375</v>
      </c>
      <c r="AB173" s="21">
        <f>EXP(-LN(2)/2)*AB172+(1-EXP(-LN(2)/2))/(LN(2)/2)*V173*Y173*VLOOKUP('Données projet'!$B$9,Paramètres!$A$1:$I$89,3,0)*0.475*44/12</f>
        <v>1.4337320795360977E-21</v>
      </c>
      <c r="AC173" s="22">
        <f t="shared" si="163"/>
        <v>0.5221851807279938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0</v>
      </c>
      <c r="AJ173" s="13">
        <f>AI173*VLOOKUP('Données projet'!$B$10,Paramètres!$A$1:$I$89,3,0)*VLOOKUP('Données projet'!$B$10,Paramètres!$A$1:$I$89,5,0)</f>
        <v>0</v>
      </c>
      <c r="AK173" s="13" t="e">
        <f t="shared" si="164"/>
        <v>#NUM!</v>
      </c>
      <c r="AL173" s="20" t="e">
        <f t="shared" si="165"/>
        <v>#NUM!</v>
      </c>
      <c r="AM173" s="59" t="e">
        <f t="shared" si="113"/>
        <v>#NUM!</v>
      </c>
      <c r="AN173" s="59">
        <f ca="1">AVERAGE(OFFSET($AM$3,0,0,'Données projet'!$E$10+1,1))-AVERAGE(OFFSET($H$3,0,0,'Données projet'!$E$10+1,1))</f>
        <v>255.41017495879987</v>
      </c>
      <c r="AO173" s="59">
        <f t="shared" si="144"/>
        <v>297.50513563712764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0.52149901872238902</v>
      </c>
      <c r="AV173" s="21">
        <f>EXP(-LN(2)/25)*AV172+(1-EXP(-LN(2)/25))/(LN(2)/25)*Calculateur!AQ173*Calculateur!AS173*VLOOKUP('Données projet'!$B$10,Paramètres!$A$1:$I$89,3,0)*0.475*44/12</f>
        <v>0.5746017330523997</v>
      </c>
      <c r="AW173" s="21">
        <f>EXP(-LN(2)/2)*AW172+(1-EXP(-LN(2)/2))/(LN(2)/2)*AQ173*AT173*VLOOKUP('Données projet'!$B$10,Paramètres!$A$1:$I$89,3,0)*0.475*44/12</f>
        <v>2.0668612845213981E-20</v>
      </c>
      <c r="AX173" s="21">
        <f t="shared" si="166"/>
        <v>1.0961007517747887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-5.1159076974727213E-13</v>
      </c>
      <c r="BE173" s="13">
        <f>BD173*VLOOKUP('Données projet'!$B$11,Paramètres!$A$1:$I$89,3,0)*VLOOKUP('Données projet'!$B$11,Paramètres!$A$1:$I$89,5,0)</f>
        <v>-4.0702161641092972E-13</v>
      </c>
      <c r="BF173" s="13" t="e">
        <f t="shared" si="167"/>
        <v>#NUM!</v>
      </c>
      <c r="BG173" s="20" t="e">
        <f t="shared" si="168"/>
        <v>#NUM!</v>
      </c>
      <c r="BH173" s="59" t="e">
        <f t="shared" si="116"/>
        <v>#NUM!</v>
      </c>
      <c r="BI173" s="59">
        <f ca="1">AVERAGE(OFFSET($BH$3,0,0,'Données projet'!$E$11+1,1))-AVERAGE(OFFSET($H$3,0,0,'Données projet'!$E$11+1,1))</f>
        <v>260.20517190557814</v>
      </c>
      <c r="BJ173" s="59">
        <f t="shared" si="146"/>
        <v>307.22009971147133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0.20393689924864283</v>
      </c>
      <c r="BQ173" s="21">
        <f>EXP(-LN(2)/25)*BQ172+(1-EXP(-LN(2)/25))/(LN(2)/25)*Calculateur!BL173*Calculateur!BN173*VLOOKUP('Données projet'!$B$11,Paramètres!$A$1:$I$89,3,0)*0.475*44/12</f>
        <v>0.42305903314510429</v>
      </c>
      <c r="BR173" s="21">
        <f>EXP(-LN(2)/2)*BR172+(1-EXP(-LN(2)/2))/(LN(2)/2)*BL173*BO173*VLOOKUP('Données projet'!$B$11,Paramètres!$A$1:$I$89,3,0)*0.475*44/12</f>
        <v>2.0361854032260082E-20</v>
      </c>
      <c r="BS173" s="22">
        <f t="shared" si="169"/>
        <v>0.62699593239374707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268.00000000000017</v>
      </c>
      <c r="BZ173" s="13">
        <f>BY173*VLOOKUP('Données projet'!$B$12,Paramètres!$A$1:$I$89,3,0)*VLOOKUP('Données projet'!$B$12,Paramètres!$A$1:$I$89,5,0)</f>
        <v>175.59360000000012</v>
      </c>
      <c r="CA173" s="13">
        <f t="shared" si="170"/>
        <v>44.340433728638573</v>
      </c>
      <c r="CB173" s="20">
        <f t="shared" si="171"/>
        <v>383.05177541071242</v>
      </c>
      <c r="CC173" s="59">
        <f t="shared" si="119"/>
        <v>676.38510874404574</v>
      </c>
      <c r="CD173" s="59">
        <f ca="1">AVERAGE(OFFSET($CC$3,0,0,'Données projet'!$E$12+1,1))-AVERAGE(OFFSET($H$3,0,0,'Données projet'!$E$12+1,1))</f>
        <v>185.21927898775016</v>
      </c>
      <c r="CE173" s="59">
        <f t="shared" si="148"/>
        <v>240.82467772396944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9.7328375890029198E-2</v>
      </c>
      <c r="CL173" s="21">
        <f>EXP(-LN(2)/25)*CL172+(1-EXP(-LN(2)/25))/(LN(2)/25)*Calculateur!CG173*Calculateur!CI173*VLOOKUP('Données projet'!$B$12,Paramètres!$A$1:$I$89,3,0)*0.475*44/12</f>
        <v>0.16572254957561997</v>
      </c>
      <c r="CM173" s="21">
        <f>EXP(-LN(2)/2)*CM172+(1-EXP(-LN(2)/2))/(LN(2)/2)*CG173*CJ173*VLOOKUP('Données projet'!$B$12,Paramètres!$A$1:$I$89,3,0)*0.475*44/12</f>
        <v>1.1855418707530616E-20</v>
      </c>
      <c r="CN173" s="22">
        <f t="shared" si="172"/>
        <v>0.26305092546564918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152.05319999999992</v>
      </c>
      <c r="D174" s="11">
        <f t="shared" si="140"/>
        <v>39.044812857656339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1475.1425553924346</v>
      </c>
      <c r="H174" s="67">
        <f t="shared" si="110"/>
        <v>626.1623723937513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-2.2737367544323206E-13</v>
      </c>
      <c r="O174" s="13">
        <f>N174*VLOOKUP('Données projet'!$B$9,Paramètres!$A$1:$I$89,3,0)*VLOOKUP('Données projet'!$B$9,Paramètres!$A$1:$I$89,5,0)</f>
        <v>-1.2710188457276673E-13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255.5374979188561</v>
      </c>
      <c r="T174" s="59">
        <f t="shared" si="142"/>
        <v>343.10418468620901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0.1893404393932677</v>
      </c>
      <c r="AA174" s="21">
        <f>EXP(-LN(2)/25)*AA173+(1-EXP(-LN(2)/25))/(LN(2)/25)*Calculateur!V174*Calculateur!X174*VLOOKUP('Données projet'!$B$9,Paramètres!$A$1:$I$89,3,0)*0.475*44/12</f>
        <v>0.32005952968126256</v>
      </c>
      <c r="AB174" s="21">
        <f>EXP(-LN(2)/2)*AB173+(1-EXP(-LN(2)/2))/(LN(2)/2)*V174*Y174*VLOOKUP('Données projet'!$B$9,Paramètres!$A$1:$I$89,3,0)*0.475*44/12</f>
        <v>1.0138016758446652E-21</v>
      </c>
      <c r="AC174" s="22">
        <f t="shared" si="163"/>
        <v>0.50939996907453022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0</v>
      </c>
      <c r="AJ174" s="13">
        <f>AI174*VLOOKUP('Données projet'!$B$10,Paramètres!$A$1:$I$89,3,0)*VLOOKUP('Données projet'!$B$10,Paramètres!$A$1:$I$89,5,0)</f>
        <v>0</v>
      </c>
      <c r="AK174" s="13" t="e">
        <f t="shared" si="164"/>
        <v>#NUM!</v>
      </c>
      <c r="AL174" s="20" t="e">
        <f t="shared" si="165"/>
        <v>#NUM!</v>
      </c>
      <c r="AM174" s="59" t="e">
        <f t="shared" si="113"/>
        <v>#NUM!</v>
      </c>
      <c r="AN174" s="59">
        <f ca="1">AVERAGE(OFFSET($AM$3,0,0,'Données projet'!$E$10+1,1))-AVERAGE(OFFSET($H$3,0,0,'Données projet'!$E$10+1,1))</f>
        <v>255.41017495879987</v>
      </c>
      <c r="AO174" s="59">
        <f t="shared" si="144"/>
        <v>297.50513563712764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0.51127274104823628</v>
      </c>
      <c r="AV174" s="21">
        <f>EXP(-LN(2)/25)*AV173+(1-EXP(-LN(2)/25))/(LN(2)/25)*Calculateur!AQ174*Calculateur!AS174*VLOOKUP('Données projet'!$B$10,Paramètres!$A$1:$I$89,3,0)*0.475*44/12</f>
        <v>0.55888921844508999</v>
      </c>
      <c r="AW174" s="21">
        <f>EXP(-LN(2)/2)*AW173+(1-EXP(-LN(2)/2))/(LN(2)/2)*AQ174*AT174*VLOOKUP('Données projet'!$B$10,Paramètres!$A$1:$I$89,3,0)*0.475*44/12</f>
        <v>1.4614916300570188E-20</v>
      </c>
      <c r="AX174" s="21">
        <f t="shared" si="166"/>
        <v>1.0701619594933263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-5.1159076974727213E-13</v>
      </c>
      <c r="BE174" s="13">
        <f>BD174*VLOOKUP('Données projet'!$B$11,Paramètres!$A$1:$I$89,3,0)*VLOOKUP('Données projet'!$B$11,Paramètres!$A$1:$I$89,5,0)</f>
        <v>-4.0702161641092972E-13</v>
      </c>
      <c r="BF174" s="13" t="e">
        <f t="shared" si="167"/>
        <v>#NUM!</v>
      </c>
      <c r="BG174" s="20" t="e">
        <f t="shared" si="168"/>
        <v>#NUM!</v>
      </c>
      <c r="BH174" s="59" t="e">
        <f t="shared" si="116"/>
        <v>#NUM!</v>
      </c>
      <c r="BI174" s="59">
        <f ca="1">AVERAGE(OFFSET($BH$3,0,0,'Données projet'!$E$11+1,1))-AVERAGE(OFFSET($H$3,0,0,'Données projet'!$E$11+1,1))</f>
        <v>260.20517190557814</v>
      </c>
      <c r="BJ174" s="59">
        <f t="shared" si="146"/>
        <v>307.22009971147133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0.19993782104360308</v>
      </c>
      <c r="BQ174" s="21">
        <f>EXP(-LN(2)/25)*BQ173+(1-EXP(-LN(2)/25))/(LN(2)/25)*Calculateur!BL174*Calculateur!BN174*VLOOKUP('Données projet'!$B$11,Paramètres!$A$1:$I$89,3,0)*0.475*44/12</f>
        <v>0.4114904616360438</v>
      </c>
      <c r="BR174" s="21">
        <f>EXP(-LN(2)/2)*BR173+(1-EXP(-LN(2)/2))/(LN(2)/2)*BL174*BO174*VLOOKUP('Données projet'!$B$11,Paramètres!$A$1:$I$89,3,0)*0.475*44/12</f>
        <v>1.439800506374175E-20</v>
      </c>
      <c r="BS174" s="22">
        <f t="shared" si="169"/>
        <v>0.61142828267964688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268.00000000000017</v>
      </c>
      <c r="BZ174" s="13">
        <f>BY174*VLOOKUP('Données projet'!$B$12,Paramètres!$A$1:$I$89,3,0)*VLOOKUP('Données projet'!$B$12,Paramètres!$A$1:$I$89,5,0)</f>
        <v>175.59360000000012</v>
      </c>
      <c r="CA174" s="13">
        <f t="shared" si="170"/>
        <v>44.340433728638573</v>
      </c>
      <c r="CB174" s="20">
        <f t="shared" si="171"/>
        <v>383.05177541071242</v>
      </c>
      <c r="CC174" s="59">
        <f t="shared" si="119"/>
        <v>676.38510874404574</v>
      </c>
      <c r="CD174" s="59">
        <f ca="1">AVERAGE(OFFSET($CC$3,0,0,'Données projet'!$E$12+1,1))-AVERAGE(OFFSET($H$3,0,0,'Données projet'!$E$12+1,1))</f>
        <v>185.21927898775016</v>
      </c>
      <c r="CE174" s="59">
        <f t="shared" si="148"/>
        <v>240.82467772396944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9.5419825803273267E-2</v>
      </c>
      <c r="CL174" s="21">
        <f>EXP(-LN(2)/25)*CL173+(1-EXP(-LN(2)/25))/(LN(2)/25)*Calculateur!CG174*Calculateur!CI174*VLOOKUP('Données projet'!$B$12,Paramètres!$A$1:$I$89,3,0)*0.475*44/12</f>
        <v>0.16119085774250452</v>
      </c>
      <c r="CM174" s="21">
        <f>EXP(-LN(2)/2)*CM173+(1-EXP(-LN(2)/2))/(LN(2)/2)*CG174*CJ174*VLOOKUP('Données projet'!$B$12,Paramètres!$A$1:$I$89,3,0)*0.475*44/12</f>
        <v>8.3830469619007531E-21</v>
      </c>
      <c r="CN174" s="22">
        <f t="shared" si="172"/>
        <v>0.25661068354577776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152.94239999999991</v>
      </c>
      <c r="D175" s="11">
        <f t="shared" si="140"/>
        <v>39.246498705676842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1483.5634286052243</v>
      </c>
      <c r="H175" s="67">
        <f t="shared" si="110"/>
        <v>628.06233191238698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-2.2737367544323206E-13</v>
      </c>
      <c r="O175" s="13">
        <f>N175*VLOOKUP('Données projet'!$B$9,Paramètres!$A$1:$I$89,3,0)*VLOOKUP('Données projet'!$B$9,Paramètres!$A$1:$I$89,5,0)</f>
        <v>-1.2710188457276673E-13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255.5374979188561</v>
      </c>
      <c r="T175" s="59">
        <f t="shared" si="142"/>
        <v>343.10418468620901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0.18562758886303043</v>
      </c>
      <c r="AA175" s="21">
        <f>EXP(-LN(2)/25)*AA174+(1-EXP(-LN(2)/25))/(LN(2)/25)*Calculateur!V175*Calculateur!X175*VLOOKUP('Données projet'!$B$9,Paramètres!$A$1:$I$89,3,0)*0.475*44/12</f>
        <v>0.31130748501092925</v>
      </c>
      <c r="AB175" s="21">
        <f>EXP(-LN(2)/2)*AB174+(1-EXP(-LN(2)/2))/(LN(2)/2)*V175*Y175*VLOOKUP('Données projet'!$B$9,Paramètres!$A$1:$I$89,3,0)*0.475*44/12</f>
        <v>7.1686603976804885E-22</v>
      </c>
      <c r="AC175" s="22">
        <f t="shared" si="163"/>
        <v>0.49693507387395969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0</v>
      </c>
      <c r="AJ175" s="13">
        <f>AI175*VLOOKUP('Données projet'!$B$10,Paramètres!$A$1:$I$89,3,0)*VLOOKUP('Données projet'!$B$10,Paramètres!$A$1:$I$89,5,0)</f>
        <v>0</v>
      </c>
      <c r="AK175" s="13" t="e">
        <f t="shared" si="164"/>
        <v>#NUM!</v>
      </c>
      <c r="AL175" s="20" t="e">
        <f t="shared" si="165"/>
        <v>#NUM!</v>
      </c>
      <c r="AM175" s="59" t="e">
        <f t="shared" si="113"/>
        <v>#NUM!</v>
      </c>
      <c r="AN175" s="59">
        <f ca="1">AVERAGE(OFFSET($AM$3,0,0,'Données projet'!$E$10+1,1))-AVERAGE(OFFSET($H$3,0,0,'Données projet'!$E$10+1,1))</f>
        <v>255.41017495879987</v>
      </c>
      <c r="AO175" s="59">
        <f t="shared" si="144"/>
        <v>297.50513563712764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0.50124699444186016</v>
      </c>
      <c r="AV175" s="21">
        <f>EXP(-LN(2)/25)*AV174+(1-EXP(-LN(2)/25))/(LN(2)/25)*Calculateur!AQ175*Calculateur!AS175*VLOOKUP('Données projet'!$B$10,Paramètres!$A$1:$I$89,3,0)*0.475*44/12</f>
        <v>0.54360636337600232</v>
      </c>
      <c r="AW175" s="21">
        <f>EXP(-LN(2)/2)*AW174+(1-EXP(-LN(2)/2))/(LN(2)/2)*AQ175*AT175*VLOOKUP('Données projet'!$B$10,Paramètres!$A$1:$I$89,3,0)*0.475*44/12</f>
        <v>1.0334306422606991E-20</v>
      </c>
      <c r="AX175" s="21">
        <f t="shared" si="166"/>
        <v>1.0448533578178625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-5.1159076974727213E-13</v>
      </c>
      <c r="BE175" s="13">
        <f>BD175*VLOOKUP('Données projet'!$B$11,Paramètres!$A$1:$I$89,3,0)*VLOOKUP('Données projet'!$B$11,Paramètres!$A$1:$I$89,5,0)</f>
        <v>-4.0702161641092972E-13</v>
      </c>
      <c r="BF175" s="13" t="e">
        <f t="shared" si="167"/>
        <v>#NUM!</v>
      </c>
      <c r="BG175" s="20" t="e">
        <f t="shared" si="168"/>
        <v>#NUM!</v>
      </c>
      <c r="BH175" s="59" t="e">
        <f t="shared" si="116"/>
        <v>#NUM!</v>
      </c>
      <c r="BI175" s="59">
        <f ca="1">AVERAGE(OFFSET($BH$3,0,0,'Données projet'!$E$11+1,1))-AVERAGE(OFFSET($H$3,0,0,'Données projet'!$E$11+1,1))</f>
        <v>260.20517190557814</v>
      </c>
      <c r="BJ175" s="59">
        <f t="shared" si="146"/>
        <v>307.22009971147133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0.19601716232296729</v>
      </c>
      <c r="BQ175" s="21">
        <f>EXP(-LN(2)/25)*BQ174+(1-EXP(-LN(2)/25))/(LN(2)/25)*Calculateur!BL175*Calculateur!BN175*VLOOKUP('Données projet'!$B$11,Paramètres!$A$1:$I$89,3,0)*0.475*44/12</f>
        <v>0.4002382333232633</v>
      </c>
      <c r="BR175" s="21">
        <f>EXP(-LN(2)/2)*BR174+(1-EXP(-LN(2)/2))/(LN(2)/2)*BL175*BO175*VLOOKUP('Données projet'!$B$11,Paramètres!$A$1:$I$89,3,0)*0.475*44/12</f>
        <v>1.0180927016130041E-20</v>
      </c>
      <c r="BS175" s="22">
        <f t="shared" si="169"/>
        <v>0.59625539564623065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268.00000000000017</v>
      </c>
      <c r="BZ175" s="13">
        <f>BY175*VLOOKUP('Données projet'!$B$12,Paramètres!$A$1:$I$89,3,0)*VLOOKUP('Données projet'!$B$12,Paramètres!$A$1:$I$89,5,0)</f>
        <v>175.59360000000012</v>
      </c>
      <c r="CA175" s="13">
        <f t="shared" si="170"/>
        <v>44.340433728638573</v>
      </c>
      <c r="CB175" s="20">
        <f t="shared" si="171"/>
        <v>383.05177541071242</v>
      </c>
      <c r="CC175" s="59">
        <f t="shared" si="119"/>
        <v>676.38510874404574</v>
      </c>
      <c r="CD175" s="59">
        <f ca="1">AVERAGE(OFFSET($CC$3,0,0,'Données projet'!$E$12+1,1))-AVERAGE(OFFSET($H$3,0,0,'Données projet'!$E$12+1,1))</f>
        <v>185.21927898775016</v>
      </c>
      <c r="CE175" s="59">
        <f t="shared" si="148"/>
        <v>240.82467772396944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9.3548701219618016E-2</v>
      </c>
      <c r="CL175" s="21">
        <f>EXP(-LN(2)/25)*CL174+(1-EXP(-LN(2)/25))/(LN(2)/25)*Calculateur!CG175*Calculateur!CI175*VLOOKUP('Données projet'!$B$12,Paramètres!$A$1:$I$89,3,0)*0.475*44/12</f>
        <v>0.15678308526087695</v>
      </c>
      <c r="CM175" s="21">
        <f>EXP(-LN(2)/2)*CM174+(1-EXP(-LN(2)/2))/(LN(2)/2)*CG175*CJ175*VLOOKUP('Données projet'!$B$12,Paramètres!$A$1:$I$89,3,0)*0.475*44/12</f>
        <v>5.9277093537653078E-21</v>
      </c>
      <c r="CN175" s="22">
        <f t="shared" si="172"/>
        <v>0.25033178648049498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153.8315999999999</v>
      </c>
      <c r="D176" s="11">
        <f t="shared" si="140"/>
        <v>39.448048109333072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1491.9832485632724</v>
      </c>
      <c r="H176" s="67">
        <f t="shared" si="110"/>
        <v>629.96205379042158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-2.2737367544323206E-13</v>
      </c>
      <c r="O176" s="13">
        <f>N176*VLOOKUP('Données projet'!$B$9,Paramètres!$A$1:$I$89,3,0)*VLOOKUP('Données projet'!$B$9,Paramètres!$A$1:$I$89,5,0)</f>
        <v>-1.2710188457276673E-13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255.5374979188561</v>
      </c>
      <c r="T176" s="59">
        <f t="shared" si="142"/>
        <v>343.10418468620901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0.1819875450670759</v>
      </c>
      <c r="AA176" s="21">
        <f>EXP(-LN(2)/25)*AA175+(1-EXP(-LN(2)/25))/(LN(2)/25)*Calculateur!V176*Calculateur!X176*VLOOKUP('Données projet'!$B$9,Paramètres!$A$1:$I$89,3,0)*0.475*44/12</f>
        <v>0.30279476546235629</v>
      </c>
      <c r="AB176" s="21">
        <f>EXP(-LN(2)/2)*AB175+(1-EXP(-LN(2)/2))/(LN(2)/2)*V176*Y176*VLOOKUP('Données projet'!$B$9,Paramètres!$A$1:$I$89,3,0)*0.475*44/12</f>
        <v>5.0690083792233259E-22</v>
      </c>
      <c r="AC176" s="22">
        <f t="shared" si="163"/>
        <v>0.48478231052943221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0</v>
      </c>
      <c r="AJ176" s="13">
        <f>AI176*VLOOKUP('Données projet'!$B$10,Paramètres!$A$1:$I$89,3,0)*VLOOKUP('Données projet'!$B$10,Paramètres!$A$1:$I$89,5,0)</f>
        <v>0</v>
      </c>
      <c r="AK176" s="13" t="e">
        <f t="shared" si="164"/>
        <v>#NUM!</v>
      </c>
      <c r="AL176" s="20" t="e">
        <f t="shared" si="165"/>
        <v>#NUM!</v>
      </c>
      <c r="AM176" s="59" t="e">
        <f t="shared" si="113"/>
        <v>#NUM!</v>
      </c>
      <c r="AN176" s="59">
        <f ca="1">AVERAGE(OFFSET($AM$3,0,0,'Données projet'!$E$10+1,1))-AVERAGE(OFFSET($H$3,0,0,'Données projet'!$E$10+1,1))</f>
        <v>255.41017495879987</v>
      </c>
      <c r="AO176" s="59">
        <f t="shared" si="144"/>
        <v>297.50513563712764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0.49141784661133353</v>
      </c>
      <c r="AV176" s="21">
        <f>EXP(-LN(2)/25)*AV175+(1-EXP(-LN(2)/25))/(LN(2)/25)*Calculateur!AQ176*Calculateur!AS176*VLOOKUP('Données projet'!$B$10,Paramètres!$A$1:$I$89,3,0)*0.475*44/12</f>
        <v>0.52874141878246927</v>
      </c>
      <c r="AW176" s="21">
        <f>EXP(-LN(2)/2)*AW175+(1-EXP(-LN(2)/2))/(LN(2)/2)*AQ176*AT176*VLOOKUP('Données projet'!$B$10,Paramètres!$A$1:$I$89,3,0)*0.475*44/12</f>
        <v>7.3074581502850939E-21</v>
      </c>
      <c r="AX176" s="21">
        <f t="shared" si="166"/>
        <v>1.0201592653938027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-5.1159076974727213E-13</v>
      </c>
      <c r="BE176" s="13">
        <f>BD176*VLOOKUP('Données projet'!$B$11,Paramètres!$A$1:$I$89,3,0)*VLOOKUP('Données projet'!$B$11,Paramètres!$A$1:$I$89,5,0)</f>
        <v>-4.0702161641092972E-13</v>
      </c>
      <c r="BF176" s="13" t="e">
        <f t="shared" si="167"/>
        <v>#NUM!</v>
      </c>
      <c r="BG176" s="20" t="e">
        <f t="shared" si="168"/>
        <v>#NUM!</v>
      </c>
      <c r="BH176" s="59" t="e">
        <f t="shared" si="116"/>
        <v>#NUM!</v>
      </c>
      <c r="BI176" s="59">
        <f ca="1">AVERAGE(OFFSET($BH$3,0,0,'Données projet'!$E$11+1,1))-AVERAGE(OFFSET($H$3,0,0,'Données projet'!$E$11+1,1))</f>
        <v>260.20517190557814</v>
      </c>
      <c r="BJ176" s="59">
        <f t="shared" si="146"/>
        <v>307.22009971147133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0.19217338532847747</v>
      </c>
      <c r="BQ176" s="21">
        <f>EXP(-LN(2)/25)*BQ175+(1-EXP(-LN(2)/25))/(LN(2)/25)*Calculateur!BL176*Calculateur!BN176*VLOOKUP('Données projet'!$B$11,Paramètres!$A$1:$I$89,3,0)*0.475*44/12</f>
        <v>0.38929369778542472</v>
      </c>
      <c r="BR176" s="21">
        <f>EXP(-LN(2)/2)*BR175+(1-EXP(-LN(2)/2))/(LN(2)/2)*BL176*BO176*VLOOKUP('Données projet'!$B$11,Paramètres!$A$1:$I$89,3,0)*0.475*44/12</f>
        <v>7.1990025318708749E-21</v>
      </c>
      <c r="BS176" s="22">
        <f t="shared" si="169"/>
        <v>0.58146708311390216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268.00000000000017</v>
      </c>
      <c r="BZ176" s="13">
        <f>BY176*VLOOKUP('Données projet'!$B$12,Paramètres!$A$1:$I$89,3,0)*VLOOKUP('Données projet'!$B$12,Paramètres!$A$1:$I$89,5,0)</f>
        <v>175.59360000000012</v>
      </c>
      <c r="CA176" s="13">
        <f t="shared" si="170"/>
        <v>44.340433728638573</v>
      </c>
      <c r="CB176" s="20">
        <f t="shared" si="171"/>
        <v>383.05177541071242</v>
      </c>
      <c r="CC176" s="59">
        <f t="shared" si="119"/>
        <v>676.38510874404574</v>
      </c>
      <c r="CD176" s="59">
        <f ca="1">AVERAGE(OFFSET($CC$3,0,0,'Données projet'!$E$12+1,1))-AVERAGE(OFFSET($H$3,0,0,'Données projet'!$E$12+1,1))</f>
        <v>185.21927898775016</v>
      </c>
      <c r="CE176" s="59">
        <f t="shared" si="148"/>
        <v>240.82467772396944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9.1714268247774941E-2</v>
      </c>
      <c r="CL176" s="21">
        <f>EXP(-LN(2)/25)*CL175+(1-EXP(-LN(2)/25))/(LN(2)/25)*Calculateur!CG176*Calculateur!CI176*VLOOKUP('Données projet'!$B$12,Paramètres!$A$1:$I$89,3,0)*0.475*44/12</f>
        <v>0.15249584354955414</v>
      </c>
      <c r="CM176" s="21">
        <f>EXP(-LN(2)/2)*CM175+(1-EXP(-LN(2)/2))/(LN(2)/2)*CG176*CJ176*VLOOKUP('Données projet'!$B$12,Paramètres!$A$1:$I$89,3,0)*0.475*44/12</f>
        <v>4.1915234809503765E-21</v>
      </c>
      <c r="CN176" s="22">
        <f t="shared" si="172"/>
        <v>0.2442101117973291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154.72079999999988</v>
      </c>
      <c r="D177" s="11">
        <f t="shared" si="140"/>
        <v>39.649461948838557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1500.4020220612092</v>
      </c>
      <c r="H177" s="67">
        <f t="shared" si="110"/>
        <v>631.86153956089356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-2.2737367544323206E-13</v>
      </c>
      <c r="O177" s="13">
        <f>N177*VLOOKUP('Données projet'!$B$9,Paramètres!$A$1:$I$89,3,0)*VLOOKUP('Données projet'!$B$9,Paramètres!$A$1:$I$89,5,0)</f>
        <v>-1.2710188457276673E-13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255.5374979188561</v>
      </c>
      <c r="T177" s="59">
        <f t="shared" si="142"/>
        <v>343.10418468620901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0.17841888030975256</v>
      </c>
      <c r="AA177" s="21">
        <f>EXP(-LN(2)/25)*AA176+(1-EXP(-LN(2)/25))/(LN(2)/25)*Calculateur!V177*Calculateur!X177*VLOOKUP('Données projet'!$B$9,Paramètres!$A$1:$I$89,3,0)*0.475*44/12</f>
        <v>0.29451482667750351</v>
      </c>
      <c r="AB177" s="21">
        <f>EXP(-LN(2)/2)*AB176+(1-EXP(-LN(2)/2))/(LN(2)/2)*V177*Y177*VLOOKUP('Données projet'!$B$9,Paramètres!$A$1:$I$89,3,0)*0.475*44/12</f>
        <v>3.5843301988402443E-22</v>
      </c>
      <c r="AC177" s="22">
        <f t="shared" si="163"/>
        <v>0.47293370698725606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0</v>
      </c>
      <c r="AJ177" s="13">
        <f>AI177*VLOOKUP('Données projet'!$B$10,Paramètres!$A$1:$I$89,3,0)*VLOOKUP('Données projet'!$B$10,Paramètres!$A$1:$I$89,5,0)</f>
        <v>0</v>
      </c>
      <c r="AK177" s="13" t="e">
        <f t="shared" si="164"/>
        <v>#NUM!</v>
      </c>
      <c r="AL177" s="20" t="e">
        <f t="shared" si="165"/>
        <v>#NUM!</v>
      </c>
      <c r="AM177" s="59" t="e">
        <f t="shared" si="113"/>
        <v>#NUM!</v>
      </c>
      <c r="AN177" s="59">
        <f ca="1">AVERAGE(OFFSET($AM$3,0,0,'Données projet'!$E$10+1,1))-AVERAGE(OFFSET($H$3,0,0,'Données projet'!$E$10+1,1))</f>
        <v>255.41017495879987</v>
      </c>
      <c r="AO177" s="59">
        <f t="shared" si="144"/>
        <v>297.50513563712764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0.48178144237457532</v>
      </c>
      <c r="AV177" s="21">
        <f>EXP(-LN(2)/25)*AV176+(1-EXP(-LN(2)/25))/(LN(2)/25)*Calculateur!AQ177*Calculateur!AS177*VLOOKUP('Données projet'!$B$10,Paramètres!$A$1:$I$89,3,0)*0.475*44/12</f>
        <v>0.51428295688055992</v>
      </c>
      <c r="AW177" s="21">
        <f>EXP(-LN(2)/2)*AW176+(1-EXP(-LN(2)/2))/(LN(2)/2)*AQ177*AT177*VLOOKUP('Données projet'!$B$10,Paramètres!$A$1:$I$89,3,0)*0.475*44/12</f>
        <v>5.1671532113034953E-21</v>
      </c>
      <c r="AX177" s="21">
        <f t="shared" si="166"/>
        <v>0.99606439925513524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-5.1159076974727213E-13</v>
      </c>
      <c r="BE177" s="13">
        <f>BD177*VLOOKUP('Données projet'!$B$11,Paramètres!$A$1:$I$89,3,0)*VLOOKUP('Données projet'!$B$11,Paramètres!$A$1:$I$89,5,0)</f>
        <v>-4.0702161641092972E-13</v>
      </c>
      <c r="BF177" s="13" t="e">
        <f t="shared" si="167"/>
        <v>#NUM!</v>
      </c>
      <c r="BG177" s="20" t="e">
        <f t="shared" si="168"/>
        <v>#NUM!</v>
      </c>
      <c r="BH177" s="59" t="e">
        <f t="shared" si="116"/>
        <v>#NUM!</v>
      </c>
      <c r="BI177" s="59">
        <f ca="1">AVERAGE(OFFSET($BH$3,0,0,'Données projet'!$E$11+1,1))-AVERAGE(OFFSET($H$3,0,0,'Données projet'!$E$11+1,1))</f>
        <v>260.20517190557814</v>
      </c>
      <c r="BJ177" s="59">
        <f t="shared" si="146"/>
        <v>307.22009971147133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0.18840498245637713</v>
      </c>
      <c r="BQ177" s="21">
        <f>EXP(-LN(2)/25)*BQ176+(1-EXP(-LN(2)/25))/(LN(2)/25)*Calculateur!BL177*Calculateur!BN177*VLOOKUP('Données projet'!$B$11,Paramètres!$A$1:$I$89,3,0)*0.475*44/12</f>
        <v>0.37864844114741647</v>
      </c>
      <c r="BR177" s="21">
        <f>EXP(-LN(2)/2)*BR176+(1-EXP(-LN(2)/2))/(LN(2)/2)*BL177*BO177*VLOOKUP('Données projet'!$B$11,Paramètres!$A$1:$I$89,3,0)*0.475*44/12</f>
        <v>5.0904635080650204E-21</v>
      </c>
      <c r="BS177" s="22">
        <f t="shared" si="169"/>
        <v>0.56705342360379363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268.00000000000017</v>
      </c>
      <c r="BZ177" s="13">
        <f>BY177*VLOOKUP('Données projet'!$B$12,Paramètres!$A$1:$I$89,3,0)*VLOOKUP('Données projet'!$B$12,Paramètres!$A$1:$I$89,5,0)</f>
        <v>175.59360000000012</v>
      </c>
      <c r="CA177" s="13">
        <f t="shared" si="170"/>
        <v>44.340433728638573</v>
      </c>
      <c r="CB177" s="20">
        <f t="shared" si="171"/>
        <v>383.05177541071242</v>
      </c>
      <c r="CC177" s="59">
        <f t="shared" si="119"/>
        <v>676.38510874404574</v>
      </c>
      <c r="CD177" s="59">
        <f ca="1">AVERAGE(OFFSET($CC$3,0,0,'Données projet'!$E$12+1,1))-AVERAGE(OFFSET($H$3,0,0,'Données projet'!$E$12+1,1))</f>
        <v>185.21927898775016</v>
      </c>
      <c r="CE177" s="59">
        <f t="shared" si="148"/>
        <v>240.82467772396944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8.9915807387616078E-2</v>
      </c>
      <c r="CL177" s="21">
        <f>EXP(-LN(2)/25)*CL176+(1-EXP(-LN(2)/25))/(LN(2)/25)*Calculateur!CG177*Calculateur!CI177*VLOOKUP('Données projet'!$B$12,Paramètres!$A$1:$I$89,3,0)*0.475*44/12</f>
        <v>0.1483258366882837</v>
      </c>
      <c r="CM177" s="21">
        <f>EXP(-LN(2)/2)*CM176+(1-EXP(-LN(2)/2))/(LN(2)/2)*CG177*CJ177*VLOOKUP('Données projet'!$B$12,Paramètres!$A$1:$I$89,3,0)*0.475*44/12</f>
        <v>2.9638546768826539E-21</v>
      </c>
      <c r="CN177" s="22">
        <f t="shared" si="172"/>
        <v>0.23824164407589976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155.60999999999987</v>
      </c>
      <c r="D178" s="11">
        <f t="shared" si="140"/>
        <v>39.850741093704151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1508.8197558110487</v>
      </c>
      <c r="H178" s="67">
        <f t="shared" si="110"/>
        <v>633.76079073820119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-2.2737367544323206E-13</v>
      </c>
      <c r="O178" s="13">
        <f>N178*VLOOKUP('Données projet'!$B$9,Paramètres!$A$1:$I$89,3,0)*VLOOKUP('Données projet'!$B$9,Paramètres!$A$1:$I$89,5,0)</f>
        <v>-1.2710188457276673E-13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255.5374979188561</v>
      </c>
      <c r="T178" s="59">
        <f t="shared" si="142"/>
        <v>343.10418468620901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0.17492019489164976</v>
      </c>
      <c r="AA178" s="21">
        <f>EXP(-LN(2)/25)*AA177+(1-EXP(-LN(2)/25))/(LN(2)/25)*Calculateur!V178*Calculateur!X178*VLOOKUP('Données projet'!$B$9,Paramètres!$A$1:$I$89,3,0)*0.475*44/12</f>
        <v>0.28646130325414554</v>
      </c>
      <c r="AB178" s="21">
        <f>EXP(-LN(2)/2)*AB177+(1-EXP(-LN(2)/2))/(LN(2)/2)*V178*Y178*VLOOKUP('Données projet'!$B$9,Paramètres!$A$1:$I$89,3,0)*0.475*44/12</f>
        <v>2.5345041896116629E-22</v>
      </c>
      <c r="AC178" s="22">
        <f t="shared" si="163"/>
        <v>0.46138149814579532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0</v>
      </c>
      <c r="AJ178" s="13">
        <f>AI178*VLOOKUP('Données projet'!$B$10,Paramètres!$A$1:$I$89,3,0)*VLOOKUP('Données projet'!$B$10,Paramètres!$A$1:$I$89,5,0)</f>
        <v>0</v>
      </c>
      <c r="AK178" s="13" t="e">
        <f t="shared" si="164"/>
        <v>#NUM!</v>
      </c>
      <c r="AL178" s="20" t="e">
        <f t="shared" si="165"/>
        <v>#NUM!</v>
      </c>
      <c r="AM178" s="59" t="e">
        <f t="shared" si="113"/>
        <v>#NUM!</v>
      </c>
      <c r="AN178" s="59">
        <f ca="1">AVERAGE(OFFSET($AM$3,0,0,'Données projet'!$E$10+1,1))-AVERAGE(OFFSET($H$3,0,0,'Données projet'!$E$10+1,1))</f>
        <v>255.41017495879987</v>
      </c>
      <c r="AO178" s="59">
        <f t="shared" si="144"/>
        <v>297.50513563712764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0.47233400214727372</v>
      </c>
      <c r="AV178" s="21">
        <f>EXP(-LN(2)/25)*AV177+(1-EXP(-LN(2)/25))/(LN(2)/25)*Calculateur!AQ178*Calculateur!AS178*VLOOKUP('Données projet'!$B$10,Paramètres!$A$1:$I$89,3,0)*0.475*44/12</f>
        <v>0.50021986237969573</v>
      </c>
      <c r="AW178" s="21">
        <f>EXP(-LN(2)/2)*AW177+(1-EXP(-LN(2)/2))/(LN(2)/2)*AQ178*AT178*VLOOKUP('Données projet'!$B$10,Paramètres!$A$1:$I$89,3,0)*0.475*44/12</f>
        <v>3.653729075142547E-21</v>
      </c>
      <c r="AX178" s="21">
        <f t="shared" si="166"/>
        <v>0.97255386452696946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-5.1159076974727213E-13</v>
      </c>
      <c r="BE178" s="13">
        <f>BD178*VLOOKUP('Données projet'!$B$11,Paramètres!$A$1:$I$89,3,0)*VLOOKUP('Données projet'!$B$11,Paramètres!$A$1:$I$89,5,0)</f>
        <v>-4.0702161641092972E-13</v>
      </c>
      <c r="BF178" s="13" t="e">
        <f t="shared" si="167"/>
        <v>#NUM!</v>
      </c>
      <c r="BG178" s="20" t="e">
        <f t="shared" si="168"/>
        <v>#NUM!</v>
      </c>
      <c r="BH178" s="59" t="e">
        <f t="shared" si="116"/>
        <v>#NUM!</v>
      </c>
      <c r="BI178" s="59">
        <f ca="1">AVERAGE(OFFSET($BH$3,0,0,'Données projet'!$E$11+1,1))-AVERAGE(OFFSET($H$3,0,0,'Données projet'!$E$11+1,1))</f>
        <v>260.20517190557814</v>
      </c>
      <c r="BJ178" s="59">
        <f t="shared" si="146"/>
        <v>307.22009971147133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0.18471047566609988</v>
      </c>
      <c r="BQ178" s="21">
        <f>EXP(-LN(2)/25)*BQ177+(1-EXP(-LN(2)/25))/(LN(2)/25)*Calculateur!BL178*Calculateur!BN178*VLOOKUP('Données projet'!$B$11,Paramètres!$A$1:$I$89,3,0)*0.475*44/12</f>
        <v>0.36829427961198424</v>
      </c>
      <c r="BR178" s="21">
        <f>EXP(-LN(2)/2)*BR177+(1-EXP(-LN(2)/2))/(LN(2)/2)*BL178*BO178*VLOOKUP('Données projet'!$B$11,Paramètres!$A$1:$I$89,3,0)*0.475*44/12</f>
        <v>3.5995012659354375E-21</v>
      </c>
      <c r="BS178" s="22">
        <f t="shared" si="169"/>
        <v>0.55300475527808413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268.00000000000017</v>
      </c>
      <c r="BZ178" s="13">
        <f>BY178*VLOOKUP('Données projet'!$B$12,Paramètres!$A$1:$I$89,3,0)*VLOOKUP('Données projet'!$B$12,Paramètres!$A$1:$I$89,5,0)</f>
        <v>175.59360000000012</v>
      </c>
      <c r="CA178" s="13">
        <f t="shared" si="170"/>
        <v>44.340433728638573</v>
      </c>
      <c r="CB178" s="20">
        <f t="shared" si="171"/>
        <v>383.05177541071242</v>
      </c>
      <c r="CC178" s="59">
        <f t="shared" si="119"/>
        <v>676.38510874404574</v>
      </c>
      <c r="CD178" s="59">
        <f ca="1">AVERAGE(OFFSET($CC$3,0,0,'Données projet'!$E$12+1,1))-AVERAGE(OFFSET($H$3,0,0,'Données projet'!$E$12+1,1))</f>
        <v>185.21927898775016</v>
      </c>
      <c r="CE178" s="59">
        <f t="shared" si="148"/>
        <v>240.82467772396944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8.815261324797212E-2</v>
      </c>
      <c r="CL178" s="21">
        <f>EXP(-LN(2)/25)*CL177+(1-EXP(-LN(2)/25))/(LN(2)/25)*Calculateur!CG178*Calculateur!CI178*VLOOKUP('Données projet'!$B$12,Paramètres!$A$1:$I$89,3,0)*0.475*44/12</f>
        <v>0.14426985888392582</v>
      </c>
      <c r="CM178" s="21">
        <f>EXP(-LN(2)/2)*CM177+(1-EXP(-LN(2)/2))/(LN(2)/2)*CG178*CJ178*VLOOKUP('Données projet'!$B$12,Paramètres!$A$1:$I$89,3,0)*0.475*44/12</f>
        <v>2.0957617404751883E-21</v>
      </c>
      <c r="CN178" s="22">
        <f t="shared" si="172"/>
        <v>0.23242247213189793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156.49919999999986</v>
      </c>
      <c r="D179" s="11">
        <f t="shared" si="140"/>
        <v>40.051886402928353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1517.2364564436564</v>
      </c>
      <c r="H179" s="67">
        <f t="shared" si="110"/>
        <v>635.65980881843325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-2.2737367544323206E-13</v>
      </c>
      <c r="O179" s="13">
        <f>N179*VLOOKUP('Données projet'!$B$9,Paramètres!$A$1:$I$89,3,0)*VLOOKUP('Données projet'!$B$9,Paramètres!$A$1:$I$89,5,0)</f>
        <v>-1.2710188457276673E-13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255.5374979188561</v>
      </c>
      <c r="T179" s="59">
        <f t="shared" si="142"/>
        <v>343.10418468620901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0.17149011656060856</v>
      </c>
      <c r="AA179" s="21">
        <f>EXP(-LN(2)/25)*AA178+(1-EXP(-LN(2)/25))/(LN(2)/25)*Calculateur!V179*Calculateur!X179*VLOOKUP('Données projet'!$B$9,Paramètres!$A$1:$I$89,3,0)*0.475*44/12</f>
        <v>0.27862800385231573</v>
      </c>
      <c r="AB179" s="21">
        <f>EXP(-LN(2)/2)*AB178+(1-EXP(-LN(2)/2))/(LN(2)/2)*V179*Y179*VLOOKUP('Données projet'!$B$9,Paramètres!$A$1:$I$89,3,0)*0.475*44/12</f>
        <v>1.7921650994201221E-22</v>
      </c>
      <c r="AC179" s="22">
        <f t="shared" si="163"/>
        <v>0.45011812041292432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0</v>
      </c>
      <c r="AJ179" s="13">
        <f>AI179*VLOOKUP('Données projet'!$B$10,Paramètres!$A$1:$I$89,3,0)*VLOOKUP('Données projet'!$B$10,Paramètres!$A$1:$I$89,5,0)</f>
        <v>0</v>
      </c>
      <c r="AK179" s="13" t="e">
        <f t="shared" si="164"/>
        <v>#NUM!</v>
      </c>
      <c r="AL179" s="20" t="e">
        <f t="shared" si="165"/>
        <v>#NUM!</v>
      </c>
      <c r="AM179" s="59" t="e">
        <f t="shared" si="113"/>
        <v>#NUM!</v>
      </c>
      <c r="AN179" s="59">
        <f ca="1">AVERAGE(OFFSET($AM$3,0,0,'Données projet'!$E$10+1,1))-AVERAGE(OFFSET($H$3,0,0,'Données projet'!$E$10+1,1))</f>
        <v>255.41017495879987</v>
      </c>
      <c r="AO179" s="59">
        <f t="shared" si="144"/>
        <v>297.50513563712764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0.46307182046045997</v>
      </c>
      <c r="AV179" s="21">
        <f>EXP(-LN(2)/25)*AV178+(1-EXP(-LN(2)/25))/(LN(2)/25)*Calculateur!AQ179*Calculateur!AS179*VLOOKUP('Données projet'!$B$10,Paramètres!$A$1:$I$89,3,0)*0.475*44/12</f>
        <v>0.48654132393750366</v>
      </c>
      <c r="AW179" s="21">
        <f>EXP(-LN(2)/2)*AW178+(1-EXP(-LN(2)/2))/(LN(2)/2)*AQ179*AT179*VLOOKUP('Données projet'!$B$10,Paramètres!$A$1:$I$89,3,0)*0.475*44/12</f>
        <v>2.5835766056517477E-21</v>
      </c>
      <c r="AX179" s="21">
        <f t="shared" si="166"/>
        <v>0.94961314439796363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-5.1159076974727213E-13</v>
      </c>
      <c r="BE179" s="13">
        <f>BD179*VLOOKUP('Données projet'!$B$11,Paramètres!$A$1:$I$89,3,0)*VLOOKUP('Données projet'!$B$11,Paramètres!$A$1:$I$89,5,0)</f>
        <v>-4.0702161641092972E-13</v>
      </c>
      <c r="BF179" s="13" t="e">
        <f t="shared" si="167"/>
        <v>#NUM!</v>
      </c>
      <c r="BG179" s="20" t="e">
        <f t="shared" si="168"/>
        <v>#NUM!</v>
      </c>
      <c r="BH179" s="59" t="e">
        <f t="shared" si="116"/>
        <v>#NUM!</v>
      </c>
      <c r="BI179" s="59">
        <f ca="1">AVERAGE(OFFSET($BH$3,0,0,'Données projet'!$E$11+1,1))-AVERAGE(OFFSET($H$3,0,0,'Données projet'!$E$11+1,1))</f>
        <v>260.20517190557814</v>
      </c>
      <c r="BJ179" s="59">
        <f t="shared" si="146"/>
        <v>307.22009971147133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0.18108841590055336</v>
      </c>
      <c r="BQ179" s="21">
        <f>EXP(-LN(2)/25)*BQ178+(1-EXP(-LN(2)/25))/(LN(2)/25)*Calculateur!BL179*Calculateur!BN179*VLOOKUP('Données projet'!$B$11,Paramètres!$A$1:$I$89,3,0)*0.475*44/12</f>
        <v>0.35822325316824011</v>
      </c>
      <c r="BR179" s="21">
        <f>EXP(-LN(2)/2)*BR178+(1-EXP(-LN(2)/2))/(LN(2)/2)*BL179*BO179*VLOOKUP('Données projet'!$B$11,Paramètres!$A$1:$I$89,3,0)*0.475*44/12</f>
        <v>2.5452317540325102E-21</v>
      </c>
      <c r="BS179" s="22">
        <f t="shared" si="169"/>
        <v>0.53931166906879346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268.00000000000017</v>
      </c>
      <c r="BZ179" s="13">
        <f>BY179*VLOOKUP('Données projet'!$B$12,Paramètres!$A$1:$I$89,3,0)*VLOOKUP('Données projet'!$B$12,Paramètres!$A$1:$I$89,5,0)</f>
        <v>175.59360000000012</v>
      </c>
      <c r="CA179" s="13">
        <f t="shared" si="170"/>
        <v>44.340433728638573</v>
      </c>
      <c r="CB179" s="20">
        <f t="shared" si="171"/>
        <v>383.05177541071242</v>
      </c>
      <c r="CC179" s="59">
        <f t="shared" si="119"/>
        <v>676.38510874404574</v>
      </c>
      <c r="CD179" s="59">
        <f ca="1">AVERAGE(OFFSET($CC$3,0,0,'Données projet'!$E$12+1,1))-AVERAGE(OFFSET($H$3,0,0,'Données projet'!$E$12+1,1))</f>
        <v>185.21927898775016</v>
      </c>
      <c r="CE179" s="59">
        <f t="shared" si="148"/>
        <v>240.82467772396944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8.6423994269964347E-2</v>
      </c>
      <c r="CL179" s="21">
        <f>EXP(-LN(2)/25)*CL178+(1-EXP(-LN(2)/25))/(LN(2)/25)*Calculateur!CG179*Calculateur!CI179*VLOOKUP('Données projet'!$B$12,Paramètres!$A$1:$I$89,3,0)*0.475*44/12</f>
        <v>0.14032479200592274</v>
      </c>
      <c r="CM179" s="21">
        <f>EXP(-LN(2)/2)*CM178+(1-EXP(-LN(2)/2))/(LN(2)/2)*CG179*CJ179*VLOOKUP('Données projet'!$B$12,Paramètres!$A$1:$I$89,3,0)*0.475*44/12</f>
        <v>1.481927338441327E-21</v>
      </c>
      <c r="CN179" s="22">
        <f t="shared" si="172"/>
        <v>0.22674878627588707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157.38839999999985</v>
      </c>
      <c r="D180" s="11">
        <f t="shared" si="140"/>
        <v>40.252898725183421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1525.6521305101869</v>
      </c>
      <c r="H180" s="67">
        <f t="shared" si="110"/>
        <v>637.55859527969415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-2.2737367544323206E-13</v>
      </c>
      <c r="O180" s="13">
        <f>N180*VLOOKUP('Données projet'!$B$9,Paramètres!$A$1:$I$89,3,0)*VLOOKUP('Données projet'!$B$9,Paramètres!$A$1:$I$89,5,0)</f>
        <v>-1.2710188457276673E-13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255.5374979188561</v>
      </c>
      <c r="T180" s="59">
        <f t="shared" si="142"/>
        <v>343.10418468620901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0.16812729997349787</v>
      </c>
      <c r="AA180" s="21">
        <f>EXP(-LN(2)/25)*AA179+(1-EXP(-LN(2)/25))/(LN(2)/25)*Calculateur!V180*Calculateur!X180*VLOOKUP('Données projet'!$B$9,Paramètres!$A$1:$I$89,3,0)*0.475*44/12</f>
        <v>0.27100890643456427</v>
      </c>
      <c r="AB180" s="21">
        <f>EXP(-LN(2)/2)*AB179+(1-EXP(-LN(2)/2))/(LN(2)/2)*V180*Y180*VLOOKUP('Données projet'!$B$9,Paramètres!$A$1:$I$89,3,0)*0.475*44/12</f>
        <v>1.2672520948058315E-22</v>
      </c>
      <c r="AC180" s="22">
        <f t="shared" si="163"/>
        <v>0.43913620640806217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0</v>
      </c>
      <c r="AJ180" s="13">
        <f>AI180*VLOOKUP('Données projet'!$B$10,Paramètres!$A$1:$I$89,3,0)*VLOOKUP('Données projet'!$B$10,Paramètres!$A$1:$I$89,5,0)</f>
        <v>0</v>
      </c>
      <c r="AK180" s="13" t="e">
        <f t="shared" si="164"/>
        <v>#NUM!</v>
      </c>
      <c r="AL180" s="20" t="e">
        <f t="shared" si="165"/>
        <v>#NUM!</v>
      </c>
      <c r="AM180" s="59" t="e">
        <f t="shared" si="113"/>
        <v>#NUM!</v>
      </c>
      <c r="AN180" s="59">
        <f ca="1">AVERAGE(OFFSET($AM$3,0,0,'Données projet'!$E$10+1,1))-AVERAGE(OFFSET($H$3,0,0,'Données projet'!$E$10+1,1))</f>
        <v>255.41017495879987</v>
      </c>
      <c r="AO180" s="59">
        <f t="shared" si="144"/>
        <v>297.50513563712764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0.4539912645071516</v>
      </c>
      <c r="AV180" s="21">
        <f>EXP(-LN(2)/25)*AV179+(1-EXP(-LN(2)/25))/(LN(2)/25)*Calculateur!AQ180*Calculateur!AS180*VLOOKUP('Données projet'!$B$10,Paramètres!$A$1:$I$89,3,0)*0.475*44/12</f>
        <v>0.47323682584833637</v>
      </c>
      <c r="AW180" s="21">
        <f>EXP(-LN(2)/2)*AW179+(1-EXP(-LN(2)/2))/(LN(2)/2)*AQ180*AT180*VLOOKUP('Données projet'!$B$10,Paramètres!$A$1:$I$89,3,0)*0.475*44/12</f>
        <v>1.8268645375712735E-21</v>
      </c>
      <c r="AX180" s="21">
        <f t="shared" si="166"/>
        <v>0.92722809035548792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-5.1159076974727213E-13</v>
      </c>
      <c r="BE180" s="13">
        <f>BD180*VLOOKUP('Données projet'!$B$11,Paramètres!$A$1:$I$89,3,0)*VLOOKUP('Données projet'!$B$11,Paramètres!$A$1:$I$89,5,0)</f>
        <v>-4.0702161641092972E-13</v>
      </c>
      <c r="BF180" s="13" t="e">
        <f t="shared" si="167"/>
        <v>#NUM!</v>
      </c>
      <c r="BG180" s="20" t="e">
        <f t="shared" si="168"/>
        <v>#NUM!</v>
      </c>
      <c r="BH180" s="59" t="e">
        <f t="shared" si="116"/>
        <v>#NUM!</v>
      </c>
      <c r="BI180" s="59">
        <f ca="1">AVERAGE(OFFSET($BH$3,0,0,'Données projet'!$E$11+1,1))-AVERAGE(OFFSET($H$3,0,0,'Données projet'!$E$11+1,1))</f>
        <v>260.20517190557814</v>
      </c>
      <c r="BJ180" s="59">
        <f t="shared" si="146"/>
        <v>307.22009971147133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0.17753738251777088</v>
      </c>
      <c r="BQ180" s="21">
        <f>EXP(-LN(2)/25)*BQ179+(1-EXP(-LN(2)/25))/(LN(2)/25)*Calculateur!BL180*Calculateur!BN180*VLOOKUP('Données projet'!$B$11,Paramètres!$A$1:$I$89,3,0)*0.475*44/12</f>
        <v>0.3484276194722124</v>
      </c>
      <c r="BR180" s="21">
        <f>EXP(-LN(2)/2)*BR179+(1-EXP(-LN(2)/2))/(LN(2)/2)*BL180*BO180*VLOOKUP('Données projet'!$B$11,Paramètres!$A$1:$I$89,3,0)*0.475*44/12</f>
        <v>1.7997506329677187E-21</v>
      </c>
      <c r="BS180" s="22">
        <f t="shared" si="169"/>
        <v>0.52596500198998331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268.00000000000017</v>
      </c>
      <c r="BZ180" s="13">
        <f>BY180*VLOOKUP('Données projet'!$B$12,Paramètres!$A$1:$I$89,3,0)*VLOOKUP('Données projet'!$B$12,Paramètres!$A$1:$I$89,5,0)</f>
        <v>175.59360000000012</v>
      </c>
      <c r="CA180" s="13">
        <f t="shared" si="170"/>
        <v>44.340433728638573</v>
      </c>
      <c r="CB180" s="20">
        <f t="shared" si="171"/>
        <v>383.05177541071242</v>
      </c>
      <c r="CC180" s="59">
        <f t="shared" si="119"/>
        <v>676.38510874404574</v>
      </c>
      <c r="CD180" s="59">
        <f ca="1">AVERAGE(OFFSET($CC$3,0,0,'Données projet'!$E$12+1,1))-AVERAGE(OFFSET($H$3,0,0,'Données projet'!$E$12+1,1))</f>
        <v>185.21927898775016</v>
      </c>
      <c r="CE180" s="59">
        <f t="shared" si="148"/>
        <v>240.82467772396944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8.4729272455761825E-2</v>
      </c>
      <c r="CL180" s="21">
        <f>EXP(-LN(2)/25)*CL179+(1-EXP(-LN(2)/25))/(LN(2)/25)*Calculateur!CG180*Calculateur!CI180*VLOOKUP('Données projet'!$B$12,Paramètres!$A$1:$I$89,3,0)*0.475*44/12</f>
        <v>0.13648760318916067</v>
      </c>
      <c r="CM180" s="21">
        <f>EXP(-LN(2)/2)*CM179+(1-EXP(-LN(2)/2))/(LN(2)/2)*CG180*CJ180*VLOOKUP('Données projet'!$B$12,Paramètres!$A$1:$I$89,3,0)*0.475*44/12</f>
        <v>1.0478808702375941E-21</v>
      </c>
      <c r="CN180" s="22">
        <f t="shared" si="172"/>
        <v>0.22121687564492248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158.27759999999984</v>
      </c>
      <c r="D181" s="11">
        <f t="shared" si="140"/>
        <v>40.45377889899725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1534.0667844834863</v>
      </c>
      <c r="H181" s="67">
        <f t="shared" si="110"/>
        <v>639.4571515824199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-2.2737367544323206E-13</v>
      </c>
      <c r="O181" s="13">
        <f>N181*VLOOKUP('Données projet'!$B$9,Paramètres!$A$1:$I$89,3,0)*VLOOKUP('Données projet'!$B$9,Paramètres!$A$1:$I$89,5,0)</f>
        <v>-1.2710188457276673E-13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255.5374979188561</v>
      </c>
      <c r="T181" s="59">
        <f t="shared" si="142"/>
        <v>343.10418468620901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0.16483042616854485</v>
      </c>
      <c r="AA181" s="21">
        <f>EXP(-LN(2)/25)*AA180+(1-EXP(-LN(2)/25))/(LN(2)/25)*Calculateur!V181*Calculateur!X181*VLOOKUP('Données projet'!$B$9,Paramètres!$A$1:$I$89,3,0)*0.475*44/12</f>
        <v>0.26359815363637212</v>
      </c>
      <c r="AB181" s="21">
        <f>EXP(-LN(2)/2)*AB180+(1-EXP(-LN(2)/2))/(LN(2)/2)*V181*Y181*VLOOKUP('Données projet'!$B$9,Paramètres!$A$1:$I$89,3,0)*0.475*44/12</f>
        <v>8.9608254971006107E-23</v>
      </c>
      <c r="AC181" s="22">
        <f t="shared" si="163"/>
        <v>0.428428579804917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0</v>
      </c>
      <c r="AJ181" s="13">
        <f>AI181*VLOOKUP('Données projet'!$B$10,Paramètres!$A$1:$I$89,3,0)*VLOOKUP('Données projet'!$B$10,Paramètres!$A$1:$I$89,5,0)</f>
        <v>0</v>
      </c>
      <c r="AK181" s="13" t="e">
        <f t="shared" si="164"/>
        <v>#NUM!</v>
      </c>
      <c r="AL181" s="20" t="e">
        <f t="shared" si="165"/>
        <v>#NUM!</v>
      </c>
      <c r="AM181" s="59" t="e">
        <f t="shared" si="113"/>
        <v>#NUM!</v>
      </c>
      <c r="AN181" s="59">
        <f ca="1">AVERAGE(OFFSET($AM$3,0,0,'Données projet'!$E$10+1,1))-AVERAGE(OFFSET($H$3,0,0,'Données projet'!$E$10+1,1))</f>
        <v>255.41017495879987</v>
      </c>
      <c r="AO181" s="59">
        <f t="shared" si="144"/>
        <v>297.50513563712764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0.44508877271749536</v>
      </c>
      <c r="AV181" s="21">
        <f>EXP(-LN(2)/25)*AV180+(1-EXP(-LN(2)/25))/(LN(2)/25)*Calculateur!AQ181*Calculateur!AS181*VLOOKUP('Données projet'!$B$10,Paramètres!$A$1:$I$89,3,0)*0.475*44/12</f>
        <v>0.46029613995907054</v>
      </c>
      <c r="AW181" s="21">
        <f>EXP(-LN(2)/2)*AW180+(1-EXP(-LN(2)/2))/(LN(2)/2)*AQ181*AT181*VLOOKUP('Données projet'!$B$10,Paramètres!$A$1:$I$89,3,0)*0.475*44/12</f>
        <v>1.2917883028258738E-21</v>
      </c>
      <c r="AX181" s="21">
        <f t="shared" si="166"/>
        <v>0.90538491267656585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-5.1159076974727213E-13</v>
      </c>
      <c r="BE181" s="13">
        <f>BD181*VLOOKUP('Données projet'!$B$11,Paramètres!$A$1:$I$89,3,0)*VLOOKUP('Données projet'!$B$11,Paramètres!$A$1:$I$89,5,0)</f>
        <v>-4.0702161641092972E-13</v>
      </c>
      <c r="BF181" s="13" t="e">
        <f t="shared" si="167"/>
        <v>#NUM!</v>
      </c>
      <c r="BG181" s="20" t="e">
        <f t="shared" si="168"/>
        <v>#NUM!</v>
      </c>
      <c r="BH181" s="59" t="e">
        <f t="shared" si="116"/>
        <v>#NUM!</v>
      </c>
      <c r="BI181" s="59">
        <f ca="1">AVERAGE(OFFSET($BH$3,0,0,'Données projet'!$E$11+1,1))-AVERAGE(OFFSET($H$3,0,0,'Données projet'!$E$11+1,1))</f>
        <v>260.20517190557814</v>
      </c>
      <c r="BJ181" s="59">
        <f t="shared" si="146"/>
        <v>307.22009971147133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0.17405598273370826</v>
      </c>
      <c r="BQ181" s="21">
        <f>EXP(-LN(2)/25)*BQ180+(1-EXP(-LN(2)/25))/(LN(2)/25)*Calculateur!BL181*Calculateur!BN181*VLOOKUP('Données projet'!$B$11,Paramètres!$A$1:$I$89,3,0)*0.475*44/12</f>
        <v>0.3388998478947326</v>
      </c>
      <c r="BR181" s="21">
        <f>EXP(-LN(2)/2)*BR180+(1-EXP(-LN(2)/2))/(LN(2)/2)*BL181*BO181*VLOOKUP('Données projet'!$B$11,Paramètres!$A$1:$I$89,3,0)*0.475*44/12</f>
        <v>1.2726158770162551E-21</v>
      </c>
      <c r="BS181" s="22">
        <f t="shared" si="169"/>
        <v>0.51295583062844086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268.00000000000017</v>
      </c>
      <c r="BZ181" s="13">
        <f>BY181*VLOOKUP('Données projet'!$B$12,Paramètres!$A$1:$I$89,3,0)*VLOOKUP('Données projet'!$B$12,Paramètres!$A$1:$I$89,5,0)</f>
        <v>175.59360000000012</v>
      </c>
      <c r="CA181" s="13">
        <f t="shared" si="170"/>
        <v>44.340433728638573</v>
      </c>
      <c r="CB181" s="20">
        <f t="shared" si="171"/>
        <v>383.05177541071242</v>
      </c>
      <c r="CC181" s="59">
        <f t="shared" si="119"/>
        <v>676.38510874404574</v>
      </c>
      <c r="CD181" s="59">
        <f ca="1">AVERAGE(OFFSET($CC$3,0,0,'Données projet'!$E$12+1,1))-AVERAGE(OFFSET($H$3,0,0,'Données projet'!$E$12+1,1))</f>
        <v>185.21927898775016</v>
      </c>
      <c r="CE181" s="59">
        <f t="shared" si="148"/>
        <v>240.82467772396944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8.3067783102657583E-2</v>
      </c>
      <c r="CL181" s="21">
        <f>EXP(-LN(2)/25)*CL180+(1-EXP(-LN(2)/25))/(LN(2)/25)*Calculateur!CG181*Calculateur!CI181*VLOOKUP('Données projet'!$B$12,Paramètres!$A$1:$I$89,3,0)*0.475*44/12</f>
        <v>0.13275534250238197</v>
      </c>
      <c r="CM181" s="21">
        <f>EXP(-LN(2)/2)*CM180+(1-EXP(-LN(2)/2))/(LN(2)/2)*CG181*CJ181*VLOOKUP('Données projet'!$B$12,Paramètres!$A$1:$I$89,3,0)*0.475*44/12</f>
        <v>7.4096366922066348E-22</v>
      </c>
      <c r="CN181" s="22">
        <f t="shared" si="172"/>
        <v>0.21582312560503955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159.16679999999982</v>
      </c>
      <c r="D182" s="11">
        <f t="shared" si="140"/>
        <v>40.654527752930711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1542.4804247594639</v>
      </c>
      <c r="H182" s="67">
        <f t="shared" si="110"/>
        <v>641.35547916968733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-2.2737367544323206E-13</v>
      </c>
      <c r="O182" s="13">
        <f>N182*VLOOKUP('Données projet'!$B$9,Paramètres!$A$1:$I$89,3,0)*VLOOKUP('Données projet'!$B$9,Paramètres!$A$1:$I$89,5,0)</f>
        <v>-1.2710188457276673E-13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255.5374979188561</v>
      </c>
      <c r="T182" s="59">
        <f t="shared" si="142"/>
        <v>343.10418468620901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0.16159820204801248</v>
      </c>
      <c r="AA182" s="21">
        <f>EXP(-LN(2)/25)*AA181+(1-EXP(-LN(2)/25))/(LN(2)/25)*Calculateur!V182*Calculateur!X182*VLOOKUP('Données projet'!$B$9,Paramètres!$A$1:$I$89,3,0)*0.475*44/12</f>
        <v>0.25639004826316109</v>
      </c>
      <c r="AB182" s="21">
        <f>EXP(-LN(2)/2)*AB181+(1-EXP(-LN(2)/2))/(LN(2)/2)*V182*Y182*VLOOKUP('Données projet'!$B$9,Paramètres!$A$1:$I$89,3,0)*0.475*44/12</f>
        <v>6.3362604740291573E-23</v>
      </c>
      <c r="AC182" s="22">
        <f t="shared" si="163"/>
        <v>0.41798825031117359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0</v>
      </c>
      <c r="AJ182" s="13">
        <f>AI182*VLOOKUP('Données projet'!$B$10,Paramètres!$A$1:$I$89,3,0)*VLOOKUP('Données projet'!$B$10,Paramètres!$A$1:$I$89,5,0)</f>
        <v>0</v>
      </c>
      <c r="AK182" s="13" t="e">
        <f t="shared" si="164"/>
        <v>#NUM!</v>
      </c>
      <c r="AL182" s="20" t="e">
        <f t="shared" si="165"/>
        <v>#NUM!</v>
      </c>
      <c r="AM182" s="59" t="e">
        <f t="shared" si="113"/>
        <v>#NUM!</v>
      </c>
      <c r="AN182" s="59">
        <f ca="1">AVERAGE(OFFSET($AM$3,0,0,'Données projet'!$E$10+1,1))-AVERAGE(OFFSET($H$3,0,0,'Données projet'!$E$10+1,1))</f>
        <v>255.41017495879987</v>
      </c>
      <c r="AO182" s="59">
        <f t="shared" si="144"/>
        <v>297.50513563712764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0.43636085336185049</v>
      </c>
      <c r="AV182" s="21">
        <f>EXP(-LN(2)/25)*AV181+(1-EXP(-LN(2)/25))/(LN(2)/25)*Calculateur!AQ182*Calculateur!AS182*VLOOKUP('Données projet'!$B$10,Paramètres!$A$1:$I$89,3,0)*0.475*44/12</f>
        <v>0.44770931780596779</v>
      </c>
      <c r="AW182" s="21">
        <f>EXP(-LN(2)/2)*AW181+(1-EXP(-LN(2)/2))/(LN(2)/2)*AQ182*AT182*VLOOKUP('Données projet'!$B$10,Paramètres!$A$1:$I$89,3,0)*0.475*44/12</f>
        <v>9.1343226878563674E-22</v>
      </c>
      <c r="AX182" s="21">
        <f t="shared" si="166"/>
        <v>0.88407017116781828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-5.1159076974727213E-13</v>
      </c>
      <c r="BE182" s="13">
        <f>BD182*VLOOKUP('Données projet'!$B$11,Paramètres!$A$1:$I$89,3,0)*VLOOKUP('Données projet'!$B$11,Paramètres!$A$1:$I$89,5,0)</f>
        <v>-4.0702161641092972E-13</v>
      </c>
      <c r="BF182" s="13" t="e">
        <f t="shared" si="167"/>
        <v>#NUM!</v>
      </c>
      <c r="BG182" s="20" t="e">
        <f t="shared" si="168"/>
        <v>#NUM!</v>
      </c>
      <c r="BH182" s="59" t="e">
        <f t="shared" si="116"/>
        <v>#NUM!</v>
      </c>
      <c r="BI182" s="59">
        <f ca="1">AVERAGE(OFFSET($BH$3,0,0,'Données projet'!$E$11+1,1))-AVERAGE(OFFSET($H$3,0,0,'Données projet'!$E$11+1,1))</f>
        <v>260.20517190557814</v>
      </c>
      <c r="BJ182" s="59">
        <f t="shared" si="146"/>
        <v>307.22009971147133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0.17064285107596691</v>
      </c>
      <c r="BQ182" s="21">
        <f>EXP(-LN(2)/25)*BQ181+(1-EXP(-LN(2)/25))/(LN(2)/25)*Calculateur!BL182*Calculateur!BN182*VLOOKUP('Données projet'!$B$11,Paramètres!$A$1:$I$89,3,0)*0.475*44/12</f>
        <v>0.32963261373208269</v>
      </c>
      <c r="BR182" s="21">
        <f>EXP(-LN(2)/2)*BR181+(1-EXP(-LN(2)/2))/(LN(2)/2)*BL182*BO182*VLOOKUP('Données projet'!$B$11,Paramètres!$A$1:$I$89,3,0)*0.475*44/12</f>
        <v>8.9987531648385936E-22</v>
      </c>
      <c r="BS182" s="22">
        <f t="shared" si="169"/>
        <v>0.50027546480804963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268.00000000000017</v>
      </c>
      <c r="BZ182" s="13">
        <f>BY182*VLOOKUP('Données projet'!$B$12,Paramètres!$A$1:$I$89,3,0)*VLOOKUP('Données projet'!$B$12,Paramètres!$A$1:$I$89,5,0)</f>
        <v>175.59360000000012</v>
      </c>
      <c r="CA182" s="13">
        <f t="shared" si="170"/>
        <v>44.340433728638573</v>
      </c>
      <c r="CB182" s="20">
        <f t="shared" si="171"/>
        <v>383.05177541071242</v>
      </c>
      <c r="CC182" s="59">
        <f t="shared" si="119"/>
        <v>676.38510874404574</v>
      </c>
      <c r="CD182" s="59">
        <f ca="1">AVERAGE(OFFSET($CC$3,0,0,'Données projet'!$E$12+1,1))-AVERAGE(OFFSET($H$3,0,0,'Données projet'!$E$12+1,1))</f>
        <v>185.21927898775016</v>
      </c>
      <c r="CE182" s="59">
        <f t="shared" si="148"/>
        <v>240.82467772396944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8.1438874542359277E-2</v>
      </c>
      <c r="CL182" s="21">
        <f>EXP(-LN(2)/25)*CL181+(1-EXP(-LN(2)/25))/(LN(2)/25)*Calculateur!CG182*Calculateur!CI182*VLOOKUP('Données projet'!$B$12,Paramètres!$A$1:$I$89,3,0)*0.475*44/12</f>
        <v>0.1291251406803543</v>
      </c>
      <c r="CM182" s="21">
        <f>EXP(-LN(2)/2)*CM181+(1-EXP(-LN(2)/2))/(LN(2)/2)*CG182*CJ182*VLOOKUP('Données projet'!$B$12,Paramètres!$A$1:$I$89,3,0)*0.475*44/12</f>
        <v>5.2394043511879707E-22</v>
      </c>
      <c r="CN182" s="22">
        <f t="shared" si="172"/>
        <v>0.21056401522271356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160.05599999999981</v>
      </c>
      <c r="D183" s="11">
        <f t="shared" si="140"/>
        <v>40.855146105751388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1550.8930576584305</v>
      </c>
      <c r="H183" s="67">
        <f t="shared" si="110"/>
        <v>643.2535794675166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-2.2737367544323206E-13</v>
      </c>
      <c r="O183" s="13">
        <f>N183*VLOOKUP('Données projet'!$B$9,Paramètres!$A$1:$I$89,3,0)*VLOOKUP('Données projet'!$B$9,Paramètres!$A$1:$I$89,5,0)</f>
        <v>-1.2710188457276673E-13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255.5374979188561</v>
      </c>
      <c r="T183" s="59">
        <f t="shared" si="142"/>
        <v>343.10418468620901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0.15842935987102169</v>
      </c>
      <c r="AA183" s="21">
        <f>EXP(-LN(2)/25)*AA182+(1-EXP(-LN(2)/25))/(LN(2)/25)*Calculateur!V183*Calculateur!X183*VLOOKUP('Données projet'!$B$9,Paramètres!$A$1:$I$89,3,0)*0.475*44/12</f>
        <v>0.2493790489104383</v>
      </c>
      <c r="AB183" s="21">
        <f>EXP(-LN(2)/2)*AB182+(1-EXP(-LN(2)/2))/(LN(2)/2)*V183*Y183*VLOOKUP('Données projet'!$B$9,Paramètres!$A$1:$I$89,3,0)*0.475*44/12</f>
        <v>4.4804127485503053E-23</v>
      </c>
      <c r="AC183" s="22">
        <f t="shared" si="163"/>
        <v>0.40780840878145996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0</v>
      </c>
      <c r="AJ183" s="13">
        <f>AI183*VLOOKUP('Données projet'!$B$10,Paramètres!$A$1:$I$89,3,0)*VLOOKUP('Données projet'!$B$10,Paramètres!$A$1:$I$89,5,0)</f>
        <v>0</v>
      </c>
      <c r="AK183" s="13" t="e">
        <f t="shared" si="164"/>
        <v>#NUM!</v>
      </c>
      <c r="AL183" s="20" t="e">
        <f t="shared" si="165"/>
        <v>#NUM!</v>
      </c>
      <c r="AM183" s="59" t="e">
        <f t="shared" si="113"/>
        <v>#NUM!</v>
      </c>
      <c r="AN183" s="59">
        <f ca="1">AVERAGE(OFFSET($AM$3,0,0,'Données projet'!$E$10+1,1))-AVERAGE(OFFSET($H$3,0,0,'Données projet'!$E$10+1,1))</f>
        <v>255.41017495879987</v>
      </c>
      <c r="AO183" s="59">
        <f t="shared" si="144"/>
        <v>297.50513563712764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0.42780408318126462</v>
      </c>
      <c r="AV183" s="21">
        <f>EXP(-LN(2)/25)*AV182+(1-EXP(-LN(2)/25))/(LN(2)/25)*Calculateur!AQ183*Calculateur!AS183*VLOOKUP('Données projet'!$B$10,Paramètres!$A$1:$I$89,3,0)*0.475*44/12</f>
        <v>0.43546668296655383</v>
      </c>
      <c r="AW183" s="21">
        <f>EXP(-LN(2)/2)*AW182+(1-EXP(-LN(2)/2))/(LN(2)/2)*AQ183*AT183*VLOOKUP('Données projet'!$B$10,Paramètres!$A$1:$I$89,3,0)*0.475*44/12</f>
        <v>6.4589415141293692E-22</v>
      </c>
      <c r="AX183" s="21">
        <f t="shared" si="166"/>
        <v>0.8632707661478185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-5.1159076974727213E-13</v>
      </c>
      <c r="BE183" s="13">
        <f>BD183*VLOOKUP('Données projet'!$B$11,Paramètres!$A$1:$I$89,3,0)*VLOOKUP('Données projet'!$B$11,Paramètres!$A$1:$I$89,5,0)</f>
        <v>-4.0702161641092972E-13</v>
      </c>
      <c r="BF183" s="13" t="e">
        <f t="shared" si="167"/>
        <v>#NUM!</v>
      </c>
      <c r="BG183" s="20" t="e">
        <f t="shared" si="168"/>
        <v>#NUM!</v>
      </c>
      <c r="BH183" s="59" t="e">
        <f t="shared" si="116"/>
        <v>#NUM!</v>
      </c>
      <c r="BI183" s="59">
        <f ca="1">AVERAGE(OFFSET($BH$3,0,0,'Données projet'!$E$11+1,1))-AVERAGE(OFFSET($H$3,0,0,'Données projet'!$E$11+1,1))</f>
        <v>260.20517190557814</v>
      </c>
      <c r="BJ183" s="59">
        <f t="shared" si="146"/>
        <v>307.22009971147133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0.16729664884822912</v>
      </c>
      <c r="BQ183" s="21">
        <f>EXP(-LN(2)/25)*BQ182+(1-EXP(-LN(2)/25))/(LN(2)/25)*Calculateur!BL183*Calculateur!BN183*VLOOKUP('Données projet'!$B$11,Paramètres!$A$1:$I$89,3,0)*0.475*44/12</f>
        <v>0.32061879257495313</v>
      </c>
      <c r="BR183" s="21">
        <f>EXP(-LN(2)/2)*BR182+(1-EXP(-LN(2)/2))/(LN(2)/2)*BL183*BO183*VLOOKUP('Données projet'!$B$11,Paramètres!$A$1:$I$89,3,0)*0.475*44/12</f>
        <v>6.3630793850812755E-22</v>
      </c>
      <c r="BS183" s="22">
        <f t="shared" si="169"/>
        <v>0.48791544142318222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268.00000000000017</v>
      </c>
      <c r="BZ183" s="13">
        <f>BY183*VLOOKUP('Données projet'!$B$12,Paramètres!$A$1:$I$89,3,0)*VLOOKUP('Données projet'!$B$12,Paramètres!$A$1:$I$89,5,0)</f>
        <v>175.59360000000012</v>
      </c>
      <c r="CA183" s="13">
        <f t="shared" si="170"/>
        <v>44.340433728638573</v>
      </c>
      <c r="CB183" s="20">
        <f t="shared" si="171"/>
        <v>383.05177541071242</v>
      </c>
      <c r="CC183" s="59">
        <f t="shared" si="119"/>
        <v>676.38510874404574</v>
      </c>
      <c r="CD183" s="59">
        <f ca="1">AVERAGE(OFFSET($CC$3,0,0,'Données projet'!$E$12+1,1))-AVERAGE(OFFSET($H$3,0,0,'Données projet'!$E$12+1,1))</f>
        <v>185.21927898775016</v>
      </c>
      <c r="CE183" s="59">
        <f t="shared" si="148"/>
        <v>240.82467772396944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7.9841907885392305E-2</v>
      </c>
      <c r="CL183" s="21">
        <f>EXP(-LN(2)/25)*CL182+(1-EXP(-LN(2)/25))/(LN(2)/25)*Calculateur!CG183*Calculateur!CI183*VLOOKUP('Données projet'!$B$12,Paramètres!$A$1:$I$89,3,0)*0.475*44/12</f>
        <v>0.12559420691805398</v>
      </c>
      <c r="CM183" s="21">
        <f>EXP(-LN(2)/2)*CM182+(1-EXP(-LN(2)/2))/(LN(2)/2)*CG183*CJ183*VLOOKUP('Données projet'!$B$12,Paramètres!$A$1:$I$89,3,0)*0.475*44/12</f>
        <v>3.7048183461033174E-22</v>
      </c>
      <c r="CN183" s="22">
        <f t="shared" si="172"/>
        <v>0.20543611480344628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160.9451999999998</v>
      </c>
      <c r="D184" s="11">
        <f t="shared" si="140"/>
        <v>41.055634766602871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1559.3046894264069</v>
      </c>
      <c r="H184" s="67">
        <f t="shared" si="110"/>
        <v>645.15145388516635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-2.2737367544323206E-13</v>
      </c>
      <c r="O184" s="13">
        <f>N184*VLOOKUP('Données projet'!$B$9,Paramètres!$A$1:$I$89,3,0)*VLOOKUP('Données projet'!$B$9,Paramètres!$A$1:$I$89,5,0)</f>
        <v>-1.2710188457276673E-13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255.5374979188561</v>
      </c>
      <c r="T184" s="59">
        <f t="shared" si="142"/>
        <v>343.10418468620901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0.15532265675631882</v>
      </c>
      <c r="AA184" s="21">
        <f>EXP(-LN(2)/25)*AA183+(1-EXP(-LN(2)/25))/(LN(2)/25)*Calculateur!V184*Calculateur!X184*VLOOKUP('Données projet'!$B$9,Paramètres!$A$1:$I$89,3,0)*0.475*44/12</f>
        <v>0.24255976570370816</v>
      </c>
      <c r="AB184" s="21">
        <f>EXP(-LN(2)/2)*AB183+(1-EXP(-LN(2)/2))/(LN(2)/2)*V184*Y184*VLOOKUP('Données projet'!$B$9,Paramètres!$A$1:$I$89,3,0)*0.475*44/12</f>
        <v>3.1681302370145787E-23</v>
      </c>
      <c r="AC184" s="22">
        <f t="shared" si="163"/>
        <v>0.39788242246002697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0</v>
      </c>
      <c r="AJ184" s="13">
        <f>AI184*VLOOKUP('Données projet'!$B$10,Paramètres!$A$1:$I$89,3,0)*VLOOKUP('Données projet'!$B$10,Paramètres!$A$1:$I$89,5,0)</f>
        <v>0</v>
      </c>
      <c r="AK184" s="13" t="e">
        <f t="shared" si="164"/>
        <v>#NUM!</v>
      </c>
      <c r="AL184" s="20" t="e">
        <f t="shared" si="165"/>
        <v>#NUM!</v>
      </c>
      <c r="AM184" s="59" t="e">
        <f t="shared" si="113"/>
        <v>#NUM!</v>
      </c>
      <c r="AN184" s="59">
        <f ca="1">AVERAGE(OFFSET($AM$3,0,0,'Données projet'!$E$10+1,1))-AVERAGE(OFFSET($H$3,0,0,'Données projet'!$E$10+1,1))</f>
        <v>255.41017495879987</v>
      </c>
      <c r="AO184" s="59">
        <f t="shared" si="144"/>
        <v>297.50513563712764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0.41941510604480559</v>
      </c>
      <c r="AV184" s="21">
        <f>EXP(-LN(2)/25)*AV183+(1-EXP(-LN(2)/25))/(LN(2)/25)*Calculateur!AQ184*Calculateur!AS184*VLOOKUP('Données projet'!$B$10,Paramètres!$A$1:$I$89,3,0)*0.475*44/12</f>
        <v>0.42355882362063585</v>
      </c>
      <c r="AW184" s="21">
        <f>EXP(-LN(2)/2)*AW183+(1-EXP(-LN(2)/2))/(LN(2)/2)*AQ184*AT184*VLOOKUP('Données projet'!$B$10,Paramètres!$A$1:$I$89,3,0)*0.475*44/12</f>
        <v>4.5671613439281837E-22</v>
      </c>
      <c r="AX184" s="21">
        <f t="shared" si="166"/>
        <v>0.84297392966544149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-5.1159076974727213E-13</v>
      </c>
      <c r="BE184" s="13">
        <f>BD184*VLOOKUP('Données projet'!$B$11,Paramètres!$A$1:$I$89,3,0)*VLOOKUP('Données projet'!$B$11,Paramètres!$A$1:$I$89,5,0)</f>
        <v>-4.0702161641092972E-13</v>
      </c>
      <c r="BF184" s="13" t="e">
        <f t="shared" si="167"/>
        <v>#NUM!</v>
      </c>
      <c r="BG184" s="20" t="e">
        <f t="shared" si="168"/>
        <v>#NUM!</v>
      </c>
      <c r="BH184" s="59" t="e">
        <f t="shared" si="116"/>
        <v>#NUM!</v>
      </c>
      <c r="BI184" s="59">
        <f ca="1">AVERAGE(OFFSET($BH$3,0,0,'Données projet'!$E$11+1,1))-AVERAGE(OFFSET($H$3,0,0,'Données projet'!$E$11+1,1))</f>
        <v>260.20517190557814</v>
      </c>
      <c r="BJ184" s="59">
        <f t="shared" si="146"/>
        <v>307.22009971147133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0.16401606360519544</v>
      </c>
      <c r="BQ184" s="21">
        <f>EXP(-LN(2)/25)*BQ183+(1-EXP(-LN(2)/25))/(LN(2)/25)*Calculateur!BL184*Calculateur!BN184*VLOOKUP('Données projet'!$B$11,Paramètres!$A$1:$I$89,3,0)*0.475*44/12</f>
        <v>0.31185145483138149</v>
      </c>
      <c r="BR184" s="21">
        <f>EXP(-LN(2)/2)*BR183+(1-EXP(-LN(2)/2))/(LN(2)/2)*BL184*BO184*VLOOKUP('Données projet'!$B$11,Paramètres!$A$1:$I$89,3,0)*0.475*44/12</f>
        <v>4.4993765824192968E-22</v>
      </c>
      <c r="BS184" s="22">
        <f t="shared" si="169"/>
        <v>0.47586751843657693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268.00000000000017</v>
      </c>
      <c r="BZ184" s="13">
        <f>BY184*VLOOKUP('Données projet'!$B$12,Paramètres!$A$1:$I$89,3,0)*VLOOKUP('Données projet'!$B$12,Paramètres!$A$1:$I$89,5,0)</f>
        <v>175.59360000000012</v>
      </c>
      <c r="CA184" s="13">
        <f t="shared" si="170"/>
        <v>44.340433728638573</v>
      </c>
      <c r="CB184" s="20">
        <f t="shared" si="171"/>
        <v>383.05177541071242</v>
      </c>
      <c r="CC184" s="59">
        <f t="shared" si="119"/>
        <v>676.38510874404574</v>
      </c>
      <c r="CD184" s="59">
        <f ca="1">AVERAGE(OFFSET($CC$3,0,0,'Données projet'!$E$12+1,1))-AVERAGE(OFFSET($H$3,0,0,'Données projet'!$E$12+1,1))</f>
        <v>185.21927898775016</v>
      </c>
      <c r="CE184" s="59">
        <f t="shared" si="148"/>
        <v>240.82467772396944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7.8276256770514974E-2</v>
      </c>
      <c r="CL184" s="21">
        <f>EXP(-LN(2)/25)*CL183+(1-EXP(-LN(2)/25))/(LN(2)/25)*Calculateur!CG184*Calculateur!CI184*VLOOKUP('Données projet'!$B$12,Paramètres!$A$1:$I$89,3,0)*0.475*44/12</f>
        <v>0.12215982672516749</v>
      </c>
      <c r="CM184" s="21">
        <f>EXP(-LN(2)/2)*CM183+(1-EXP(-LN(2)/2))/(LN(2)/2)*CG184*CJ184*VLOOKUP('Données projet'!$B$12,Paramètres!$A$1:$I$89,3,0)*0.475*44/12</f>
        <v>2.6197021755939853E-22</v>
      </c>
      <c r="CN184" s="22">
        <f t="shared" si="172"/>
        <v>0.20043608349568248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161.83439999999979</v>
      </c>
      <c r="D185" s="11">
        <f t="shared" si="140"/>
        <v>41.255994535170444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1567.7153262364018</v>
      </c>
      <c r="H185" s="67">
        <f t="shared" si="110"/>
        <v>647.0491038154214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-2.2737367544323206E-13</v>
      </c>
      <c r="O185" s="13">
        <f>N185*VLOOKUP('Données projet'!$B$9,Paramètres!$A$1:$I$89,3,0)*VLOOKUP('Données projet'!$B$9,Paramètres!$A$1:$I$89,5,0)</f>
        <v>-1.2710188457276673E-13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255.5374979188561</v>
      </c>
      <c r="T185" s="59">
        <f t="shared" si="142"/>
        <v>343.10418468620901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0.15227687419479347</v>
      </c>
      <c r="AA185" s="21">
        <f>EXP(-LN(2)/25)*AA184+(1-EXP(-LN(2)/25))/(LN(2)/25)*Calculateur!V185*Calculateur!X185*VLOOKUP('Données projet'!$B$9,Paramètres!$A$1:$I$89,3,0)*0.475*44/12</f>
        <v>0.23592695615487655</v>
      </c>
      <c r="AB185" s="21">
        <f>EXP(-LN(2)/2)*AB184+(1-EXP(-LN(2)/2))/(LN(2)/2)*V185*Y185*VLOOKUP('Données projet'!$B$9,Paramètres!$A$1:$I$89,3,0)*0.475*44/12</f>
        <v>2.2402063742751527E-23</v>
      </c>
      <c r="AC185" s="22">
        <f t="shared" si="163"/>
        <v>0.38820383034966999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0</v>
      </c>
      <c r="AJ185" s="13">
        <f>AI185*VLOOKUP('Données projet'!$B$10,Paramètres!$A$1:$I$89,3,0)*VLOOKUP('Données projet'!$B$10,Paramètres!$A$1:$I$89,5,0)</f>
        <v>0</v>
      </c>
      <c r="AK185" s="13" t="e">
        <f t="shared" si="164"/>
        <v>#NUM!</v>
      </c>
      <c r="AL185" s="20" t="e">
        <f t="shared" si="165"/>
        <v>#NUM!</v>
      </c>
      <c r="AM185" s="59" t="e">
        <f t="shared" si="113"/>
        <v>#NUM!</v>
      </c>
      <c r="AN185" s="59">
        <f ca="1">AVERAGE(OFFSET($AM$3,0,0,'Données projet'!$E$10+1,1))-AVERAGE(OFFSET($H$3,0,0,'Données projet'!$E$10+1,1))</f>
        <v>255.41017495879987</v>
      </c>
      <c r="AO185" s="59">
        <f t="shared" si="144"/>
        <v>297.50513563712764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0.41119063163322173</v>
      </c>
      <c r="AV185" s="21">
        <f>EXP(-LN(2)/25)*AV184+(1-EXP(-LN(2)/25))/(LN(2)/25)*Calculateur!AQ185*Calculateur!AS185*VLOOKUP('Données projet'!$B$10,Paramètres!$A$1:$I$89,3,0)*0.475*44/12</f>
        <v>0.41197658531473907</v>
      </c>
      <c r="AW185" s="21">
        <f>EXP(-LN(2)/2)*AW184+(1-EXP(-LN(2)/2))/(LN(2)/2)*AQ185*AT185*VLOOKUP('Données projet'!$B$10,Paramètres!$A$1:$I$89,3,0)*0.475*44/12</f>
        <v>3.2294707570646846E-22</v>
      </c>
      <c r="AX185" s="21">
        <f t="shared" si="166"/>
        <v>0.8231672169479608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-5.1159076974727213E-13</v>
      </c>
      <c r="BE185" s="13">
        <f>BD185*VLOOKUP('Données projet'!$B$11,Paramètres!$A$1:$I$89,3,0)*VLOOKUP('Données projet'!$B$11,Paramètres!$A$1:$I$89,5,0)</f>
        <v>-4.0702161641092972E-13</v>
      </c>
      <c r="BF185" s="13" t="e">
        <f t="shared" si="167"/>
        <v>#NUM!</v>
      </c>
      <c r="BG185" s="20" t="e">
        <f t="shared" si="168"/>
        <v>#NUM!</v>
      </c>
      <c r="BH185" s="59" t="e">
        <f t="shared" si="116"/>
        <v>#NUM!</v>
      </c>
      <c r="BI185" s="59">
        <f ca="1">AVERAGE(OFFSET($BH$3,0,0,'Données projet'!$E$11+1,1))-AVERAGE(OFFSET($H$3,0,0,'Données projet'!$E$11+1,1))</f>
        <v>260.20517190557814</v>
      </c>
      <c r="BJ185" s="59">
        <f t="shared" si="146"/>
        <v>307.22009971147133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0.16079980863781823</v>
      </c>
      <c r="BQ185" s="21">
        <f>EXP(-LN(2)/25)*BQ184+(1-EXP(-LN(2)/25))/(LN(2)/25)*Calculateur!BL185*Calculateur!BN185*VLOOKUP('Données projet'!$B$11,Paramètres!$A$1:$I$89,3,0)*0.475*44/12</f>
        <v>0.30332386039946208</v>
      </c>
      <c r="BR185" s="21">
        <f>EXP(-LN(2)/2)*BR184+(1-EXP(-LN(2)/2))/(LN(2)/2)*BL185*BO185*VLOOKUP('Données projet'!$B$11,Paramètres!$A$1:$I$89,3,0)*0.475*44/12</f>
        <v>3.1815396925406377E-22</v>
      </c>
      <c r="BS185" s="22">
        <f t="shared" si="169"/>
        <v>0.46412366903728031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268.00000000000017</v>
      </c>
      <c r="BZ185" s="13">
        <f>BY185*VLOOKUP('Données projet'!$B$12,Paramètres!$A$1:$I$89,3,0)*VLOOKUP('Données projet'!$B$12,Paramètres!$A$1:$I$89,5,0)</f>
        <v>175.59360000000012</v>
      </c>
      <c r="CA185" s="13">
        <f t="shared" si="170"/>
        <v>44.340433728638573</v>
      </c>
      <c r="CB185" s="20">
        <f t="shared" si="171"/>
        <v>383.05177541071242</v>
      </c>
      <c r="CC185" s="59">
        <f t="shared" si="119"/>
        <v>676.38510874404574</v>
      </c>
      <c r="CD185" s="59">
        <f ca="1">AVERAGE(OFFSET($CC$3,0,0,'Données projet'!$E$12+1,1))-AVERAGE(OFFSET($H$3,0,0,'Données projet'!$E$12+1,1))</f>
        <v>185.21927898775016</v>
      </c>
      <c r="CE185" s="59">
        <f t="shared" si="148"/>
        <v>240.82467772396944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7.6741307119047503E-2</v>
      </c>
      <c r="CL185" s="21">
        <f>EXP(-LN(2)/25)*CL184+(1-EXP(-LN(2)/25))/(LN(2)/25)*Calculateur!CG185*Calculateur!CI185*VLOOKUP('Données projet'!$B$12,Paramètres!$A$1:$I$89,3,0)*0.475*44/12</f>
        <v>0.1188193598392617</v>
      </c>
      <c r="CM185" s="21">
        <f>EXP(-LN(2)/2)*CM184+(1-EXP(-LN(2)/2))/(LN(2)/2)*CG185*CJ185*VLOOKUP('Données projet'!$B$12,Paramètres!$A$1:$I$89,3,0)*0.475*44/12</f>
        <v>1.8524091730516587E-22</v>
      </c>
      <c r="CN185" s="22">
        <f t="shared" si="172"/>
        <v>0.1955606669583092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162.72359999999978</v>
      </c>
      <c r="D186" s="11">
        <f t="shared" si="140"/>
        <v>41.456226201843137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1576.1249741896645</v>
      </c>
      <c r="H186" s="67">
        <f t="shared" si="110"/>
        <v>648.94653063487635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-2.2737367544323206E-13</v>
      </c>
      <c r="O186" s="13">
        <f>N186*VLOOKUP('Données projet'!$B$9,Paramètres!$A$1:$I$89,3,0)*VLOOKUP('Données projet'!$B$9,Paramètres!$A$1:$I$89,5,0)</f>
        <v>-1.2710188457276673E-13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255.5374979188561</v>
      </c>
      <c r="T186" s="59">
        <f t="shared" si="142"/>
        <v>343.10418468620901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0.14929081757155571</v>
      </c>
      <c r="AA186" s="21">
        <f>EXP(-LN(2)/25)*AA185+(1-EXP(-LN(2)/25))/(LN(2)/25)*Calculateur!V186*Calculateur!X186*VLOOKUP('Données projet'!$B$9,Paramètres!$A$1:$I$89,3,0)*0.475*44/12</f>
        <v>0.22947552113196204</v>
      </c>
      <c r="AB186" s="21">
        <f>EXP(-LN(2)/2)*AB185+(1-EXP(-LN(2)/2))/(LN(2)/2)*V186*Y186*VLOOKUP('Données projet'!$B$9,Paramètres!$A$1:$I$89,3,0)*0.475*44/12</f>
        <v>1.5840651185072893E-23</v>
      </c>
      <c r="AC186" s="22">
        <f t="shared" si="163"/>
        <v>0.37876633870351772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0</v>
      </c>
      <c r="AJ186" s="13">
        <f>AI186*VLOOKUP('Données projet'!$B$10,Paramètres!$A$1:$I$89,3,0)*VLOOKUP('Données projet'!$B$10,Paramètres!$A$1:$I$89,5,0)</f>
        <v>0</v>
      </c>
      <c r="AK186" s="13" t="e">
        <f t="shared" si="164"/>
        <v>#NUM!</v>
      </c>
      <c r="AL186" s="20" t="e">
        <f t="shared" si="165"/>
        <v>#NUM!</v>
      </c>
      <c r="AM186" s="59" t="e">
        <f t="shared" si="113"/>
        <v>#NUM!</v>
      </c>
      <c r="AN186" s="59">
        <f ca="1">AVERAGE(OFFSET($AM$3,0,0,'Données projet'!$E$10+1,1))-AVERAGE(OFFSET($H$3,0,0,'Données projet'!$E$10+1,1))</f>
        <v>255.41017495879987</v>
      </c>
      <c r="AO186" s="59">
        <f t="shared" si="144"/>
        <v>297.50513563712764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0.40312743414841495</v>
      </c>
      <c r="AV186" s="21">
        <f>EXP(-LN(2)/25)*AV185+(1-EXP(-LN(2)/25))/(LN(2)/25)*Calculateur!AQ186*Calculateur!AS186*VLOOKUP('Données projet'!$B$10,Paramètres!$A$1:$I$89,3,0)*0.475*44/12</f>
        <v>0.40071106392440048</v>
      </c>
      <c r="AW186" s="21">
        <f>EXP(-LN(2)/2)*AW185+(1-EXP(-LN(2)/2))/(LN(2)/2)*AQ186*AT186*VLOOKUP('Données projet'!$B$10,Paramètres!$A$1:$I$89,3,0)*0.475*44/12</f>
        <v>2.2835806719640919E-22</v>
      </c>
      <c r="AX186" s="21">
        <f t="shared" si="166"/>
        <v>0.80383849807281549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-5.1159076974727213E-13</v>
      </c>
      <c r="BE186" s="13">
        <f>BD186*VLOOKUP('Données projet'!$B$11,Paramètres!$A$1:$I$89,3,0)*VLOOKUP('Données projet'!$B$11,Paramètres!$A$1:$I$89,5,0)</f>
        <v>-4.0702161641092972E-13</v>
      </c>
      <c r="BF186" s="13" t="e">
        <f t="shared" si="167"/>
        <v>#NUM!</v>
      </c>
      <c r="BG186" s="20" t="e">
        <f t="shared" si="168"/>
        <v>#NUM!</v>
      </c>
      <c r="BH186" s="59" t="e">
        <f t="shared" si="116"/>
        <v>#NUM!</v>
      </c>
      <c r="BI186" s="59">
        <f ca="1">AVERAGE(OFFSET($BH$3,0,0,'Données projet'!$E$11+1,1))-AVERAGE(OFFSET($H$3,0,0,'Données projet'!$E$11+1,1))</f>
        <v>260.20517190557814</v>
      </c>
      <c r="BJ186" s="59">
        <f t="shared" si="146"/>
        <v>307.22009971147133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0.15764662246862945</v>
      </c>
      <c r="BQ186" s="21">
        <f>EXP(-LN(2)/25)*BQ185+(1-EXP(-LN(2)/25))/(LN(2)/25)*Calculateur!BL186*Calculateur!BN186*VLOOKUP('Données projet'!$B$11,Paramètres!$A$1:$I$89,3,0)*0.475*44/12</f>
        <v>0.29502945348573023</v>
      </c>
      <c r="BR186" s="21">
        <f>EXP(-LN(2)/2)*BR185+(1-EXP(-LN(2)/2))/(LN(2)/2)*BL186*BO186*VLOOKUP('Données projet'!$B$11,Paramètres!$A$1:$I$89,3,0)*0.475*44/12</f>
        <v>2.2496882912096484E-22</v>
      </c>
      <c r="BS186" s="22">
        <f t="shared" si="169"/>
        <v>0.45267607595435966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268.00000000000017</v>
      </c>
      <c r="BZ186" s="13">
        <f>BY186*VLOOKUP('Données projet'!$B$12,Paramètres!$A$1:$I$89,3,0)*VLOOKUP('Données projet'!$B$12,Paramètres!$A$1:$I$89,5,0)</f>
        <v>175.59360000000012</v>
      </c>
      <c r="CA186" s="13">
        <f t="shared" si="170"/>
        <v>44.340433728638573</v>
      </c>
      <c r="CB186" s="20">
        <f t="shared" si="171"/>
        <v>383.05177541071242</v>
      </c>
      <c r="CC186" s="59">
        <f t="shared" si="119"/>
        <v>676.38510874404574</v>
      </c>
      <c r="CD186" s="59">
        <f ca="1">AVERAGE(OFFSET($CC$3,0,0,'Données projet'!$E$12+1,1))-AVERAGE(OFFSET($H$3,0,0,'Données projet'!$E$12+1,1))</f>
        <v>185.21927898775016</v>
      </c>
      <c r="CE186" s="59">
        <f t="shared" si="148"/>
        <v>240.82467772396944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7.5236456894018464E-2</v>
      </c>
      <c r="CL186" s="21">
        <f>EXP(-LN(2)/25)*CL185+(1-EXP(-LN(2)/25))/(LN(2)/25)*Calculateur!CG186*Calculateur!CI186*VLOOKUP('Données projet'!$B$12,Paramètres!$A$1:$I$89,3,0)*0.475*44/12</f>
        <v>0.11557023819601853</v>
      </c>
      <c r="CM186" s="21">
        <f>EXP(-LN(2)/2)*CM185+(1-EXP(-LN(2)/2))/(LN(2)/2)*CG186*CJ186*VLOOKUP('Données projet'!$B$12,Paramètres!$A$1:$I$89,3,0)*0.475*44/12</f>
        <v>1.3098510877969927E-22</v>
      </c>
      <c r="CN186" s="22">
        <f t="shared" si="172"/>
        <v>0.190806695090037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163.61279999999977</v>
      </c>
      <c r="D187" s="11">
        <f t="shared" si="140"/>
        <v>41.656330547871768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1584.533639316903</v>
      </c>
      <c r="H187" s="67">
        <f t="shared" si="110"/>
        <v>650.84373570420951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-2.2737367544323206E-13</v>
      </c>
      <c r="O187" s="13">
        <f>N187*VLOOKUP('Données projet'!$B$9,Paramètres!$A$1:$I$89,3,0)*VLOOKUP('Données projet'!$B$9,Paramètres!$A$1:$I$89,5,0)</f>
        <v>-1.2710188457276673E-13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255.5374979188561</v>
      </c>
      <c r="T187" s="59">
        <f t="shared" si="142"/>
        <v>343.10418468620901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0.14636331569738495</v>
      </c>
      <c r="AA187" s="21">
        <f>EXP(-LN(2)/25)*AA186+(1-EXP(-LN(2)/25))/(LN(2)/25)*Calculateur!V187*Calculateur!X187*VLOOKUP('Données projet'!$B$9,Paramètres!$A$1:$I$89,3,0)*0.475*44/12</f>
        <v>0.22320050093901536</v>
      </c>
      <c r="AB187" s="21">
        <f>EXP(-LN(2)/2)*AB186+(1-EXP(-LN(2)/2))/(LN(2)/2)*V187*Y187*VLOOKUP('Données projet'!$B$9,Paramètres!$A$1:$I$89,3,0)*0.475*44/12</f>
        <v>1.1201031871375763E-23</v>
      </c>
      <c r="AC187" s="22">
        <f t="shared" si="163"/>
        <v>0.36956381663640031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0</v>
      </c>
      <c r="AJ187" s="13">
        <f>AI187*VLOOKUP('Données projet'!$B$10,Paramètres!$A$1:$I$89,3,0)*VLOOKUP('Données projet'!$B$10,Paramètres!$A$1:$I$89,5,0)</f>
        <v>0</v>
      </c>
      <c r="AK187" s="13" t="e">
        <f t="shared" si="164"/>
        <v>#NUM!</v>
      </c>
      <c r="AL187" s="20" t="e">
        <f t="shared" si="165"/>
        <v>#NUM!</v>
      </c>
      <c r="AM187" s="59" t="e">
        <f t="shared" si="113"/>
        <v>#NUM!</v>
      </c>
      <c r="AN187" s="59">
        <f ca="1">AVERAGE(OFFSET($AM$3,0,0,'Données projet'!$E$10+1,1))-AVERAGE(OFFSET($H$3,0,0,'Données projet'!$E$10+1,1))</f>
        <v>255.41017495879987</v>
      </c>
      <c r="AO187" s="59">
        <f t="shared" si="144"/>
        <v>297.50513563712764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0.3952223510482204</v>
      </c>
      <c r="AV187" s="21">
        <f>EXP(-LN(2)/25)*AV186+(1-EXP(-LN(2)/25))/(LN(2)/25)*Calculateur!AQ187*Calculateur!AS187*VLOOKUP('Données projet'!$B$10,Paramètres!$A$1:$I$89,3,0)*0.475*44/12</f>
        <v>0.38975359880890875</v>
      </c>
      <c r="AW187" s="21">
        <f>EXP(-LN(2)/2)*AW186+(1-EXP(-LN(2)/2))/(LN(2)/2)*AQ187*AT187*VLOOKUP('Données projet'!$B$10,Paramètres!$A$1:$I$89,3,0)*0.475*44/12</f>
        <v>1.6147353785323423E-22</v>
      </c>
      <c r="AX187" s="21">
        <f t="shared" si="166"/>
        <v>0.78497594985712915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-5.1159076974727213E-13</v>
      </c>
      <c r="BE187" s="13">
        <f>BD187*VLOOKUP('Données projet'!$B$11,Paramètres!$A$1:$I$89,3,0)*VLOOKUP('Données projet'!$B$11,Paramètres!$A$1:$I$89,5,0)</f>
        <v>-4.0702161641092972E-13</v>
      </c>
      <c r="BF187" s="13" t="e">
        <f t="shared" si="167"/>
        <v>#NUM!</v>
      </c>
      <c r="BG187" s="20" t="e">
        <f t="shared" si="168"/>
        <v>#NUM!</v>
      </c>
      <c r="BH187" s="59" t="e">
        <f t="shared" si="116"/>
        <v>#NUM!</v>
      </c>
      <c r="BI187" s="59">
        <f ca="1">AVERAGE(OFFSET($BH$3,0,0,'Données projet'!$E$11+1,1))-AVERAGE(OFFSET($H$3,0,0,'Données projet'!$E$11+1,1))</f>
        <v>260.20517190557814</v>
      </c>
      <c r="BJ187" s="59">
        <f t="shared" si="146"/>
        <v>307.22009971147133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0.15455526835696481</v>
      </c>
      <c r="BQ187" s="21">
        <f>EXP(-LN(2)/25)*BQ186+(1-EXP(-LN(2)/25))/(LN(2)/25)*Calculateur!BL187*Calculateur!BN187*VLOOKUP('Données projet'!$B$11,Paramètres!$A$1:$I$89,3,0)*0.475*44/12</f>
        <v>0.28696185756523829</v>
      </c>
      <c r="BR187" s="21">
        <f>EXP(-LN(2)/2)*BR186+(1-EXP(-LN(2)/2))/(LN(2)/2)*BL187*BO187*VLOOKUP('Données projet'!$B$11,Paramètres!$A$1:$I$89,3,0)*0.475*44/12</f>
        <v>1.5907698462703189E-22</v>
      </c>
      <c r="BS187" s="22">
        <f t="shared" si="169"/>
        <v>0.4415171259222031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268.00000000000017</v>
      </c>
      <c r="BZ187" s="13">
        <f>BY187*VLOOKUP('Données projet'!$B$12,Paramètres!$A$1:$I$89,3,0)*VLOOKUP('Données projet'!$B$12,Paramètres!$A$1:$I$89,5,0)</f>
        <v>175.59360000000012</v>
      </c>
      <c r="CA187" s="13">
        <f t="shared" si="170"/>
        <v>44.340433728638573</v>
      </c>
      <c r="CB187" s="20">
        <f t="shared" si="171"/>
        <v>383.05177541071242</v>
      </c>
      <c r="CC187" s="59">
        <f t="shared" si="119"/>
        <v>676.38510874404574</v>
      </c>
      <c r="CD187" s="59">
        <f ca="1">AVERAGE(OFFSET($CC$3,0,0,'Données projet'!$E$12+1,1))-AVERAGE(OFFSET($H$3,0,0,'Données projet'!$E$12+1,1))</f>
        <v>185.21927898775016</v>
      </c>
      <c r="CE187" s="59">
        <f t="shared" si="148"/>
        <v>240.82467772396944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7.3761115864034235E-2</v>
      </c>
      <c r="CL187" s="21">
        <f>EXP(-LN(2)/25)*CL186+(1-EXP(-LN(2)/25))/(LN(2)/25)*Calculateur!CG187*Calculateur!CI187*VLOOKUP('Données projet'!$B$12,Paramètres!$A$1:$I$89,3,0)*0.475*44/12</f>
        <v>0.11240996395497371</v>
      </c>
      <c r="CM187" s="21">
        <f>EXP(-LN(2)/2)*CM186+(1-EXP(-LN(2)/2))/(LN(2)/2)*CG187*CJ187*VLOOKUP('Données projet'!$B$12,Paramètres!$A$1:$I$89,3,0)*0.475*44/12</f>
        <v>9.2620458652582935E-23</v>
      </c>
      <c r="CN187" s="22">
        <f t="shared" si="172"/>
        <v>0.18617107981900793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164.50199999999975</v>
      </c>
      <c r="D188" s="11">
        <f t="shared" si="140"/>
        <v>41.856308345523843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1592.9413275794805</v>
      </c>
      <c r="H188" s="67">
        <f t="shared" si="110"/>
        <v>652.74072036845359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-2.2737367544323206E-13</v>
      </c>
      <c r="O188" s="13">
        <f>N188*VLOOKUP('Données projet'!$B$9,Paramètres!$A$1:$I$89,3,0)*VLOOKUP('Données projet'!$B$9,Paramètres!$A$1:$I$89,5,0)</f>
        <v>-1.2710188457276673E-13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255.5374979188561</v>
      </c>
      <c r="T188" s="59">
        <f t="shared" si="142"/>
        <v>343.10418468620901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0.14349322034936685</v>
      </c>
      <c r="AA188" s="21">
        <f>EXP(-LN(2)/25)*AA187+(1-EXP(-LN(2)/25))/(LN(2)/25)*Calculateur!V188*Calculateur!X188*VLOOKUP('Données projet'!$B$9,Paramètres!$A$1:$I$89,3,0)*0.475*44/12</f>
        <v>0.21709707150323376</v>
      </c>
      <c r="AB188" s="21">
        <f>EXP(-LN(2)/2)*AB187+(1-EXP(-LN(2)/2))/(LN(2)/2)*V188*Y188*VLOOKUP('Données projet'!$B$9,Paramètres!$A$1:$I$89,3,0)*0.475*44/12</f>
        <v>7.9203255925364467E-24</v>
      </c>
      <c r="AC188" s="22">
        <f t="shared" si="163"/>
        <v>0.36059029185260061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0</v>
      </c>
      <c r="AJ188" s="13">
        <f>AI188*VLOOKUP('Données projet'!$B$10,Paramètres!$A$1:$I$89,3,0)*VLOOKUP('Données projet'!$B$10,Paramètres!$A$1:$I$89,5,0)</f>
        <v>0</v>
      </c>
      <c r="AK188" s="13" t="e">
        <f t="shared" si="164"/>
        <v>#NUM!</v>
      </c>
      <c r="AL188" s="20" t="e">
        <f t="shared" si="165"/>
        <v>#NUM!</v>
      </c>
      <c r="AM188" s="59" t="e">
        <f t="shared" si="113"/>
        <v>#NUM!</v>
      </c>
      <c r="AN188" s="59">
        <f ca="1">AVERAGE(OFFSET($AM$3,0,0,'Données projet'!$E$10+1,1))-AVERAGE(OFFSET($H$3,0,0,'Données projet'!$E$10+1,1))</f>
        <v>255.41017495879987</v>
      </c>
      <c r="AO188" s="59">
        <f t="shared" si="144"/>
        <v>297.50513563712764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0.38747228180599608</v>
      </c>
      <c r="AV188" s="21">
        <f>EXP(-LN(2)/25)*AV187+(1-EXP(-LN(2)/25))/(LN(2)/25)*Calculateur!AQ188*Calculateur!AS188*VLOOKUP('Données projet'!$B$10,Paramètres!$A$1:$I$89,3,0)*0.475*44/12</f>
        <v>0.37909576615322815</v>
      </c>
      <c r="AW188" s="21">
        <f>EXP(-LN(2)/2)*AW187+(1-EXP(-LN(2)/2))/(LN(2)/2)*AQ188*AT188*VLOOKUP('Données projet'!$B$10,Paramètres!$A$1:$I$89,3,0)*0.475*44/12</f>
        <v>1.1417903359820459E-22</v>
      </c>
      <c r="AX188" s="21">
        <f t="shared" si="166"/>
        <v>0.76656804795922429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-5.1159076974727213E-13</v>
      </c>
      <c r="BE188" s="13">
        <f>BD188*VLOOKUP('Données projet'!$B$11,Paramètres!$A$1:$I$89,3,0)*VLOOKUP('Données projet'!$B$11,Paramètres!$A$1:$I$89,5,0)</f>
        <v>-4.0702161641092972E-13</v>
      </c>
      <c r="BF188" s="13" t="e">
        <f t="shared" si="167"/>
        <v>#NUM!</v>
      </c>
      <c r="BG188" s="20" t="e">
        <f t="shared" si="168"/>
        <v>#NUM!</v>
      </c>
      <c r="BH188" s="59" t="e">
        <f t="shared" si="116"/>
        <v>#NUM!</v>
      </c>
      <c r="BI188" s="59">
        <f ca="1">AVERAGE(OFFSET($BH$3,0,0,'Données projet'!$E$11+1,1))-AVERAGE(OFFSET($H$3,0,0,'Données projet'!$E$11+1,1))</f>
        <v>260.20517190557814</v>
      </c>
      <c r="BJ188" s="59">
        <f t="shared" si="146"/>
        <v>307.22009971147133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0.15152453381389011</v>
      </c>
      <c r="BQ188" s="21">
        <f>EXP(-LN(2)/25)*BQ187+(1-EXP(-LN(2)/25))/(LN(2)/25)*Calculateur!BL188*Calculateur!BN188*VLOOKUP('Données projet'!$B$11,Paramètres!$A$1:$I$89,3,0)*0.475*44/12</f>
        <v>0.27911487047944861</v>
      </c>
      <c r="BR188" s="21">
        <f>EXP(-LN(2)/2)*BR187+(1-EXP(-LN(2)/2))/(LN(2)/2)*BL188*BO188*VLOOKUP('Données projet'!$B$11,Paramètres!$A$1:$I$89,3,0)*0.475*44/12</f>
        <v>1.1248441456048242E-22</v>
      </c>
      <c r="BS188" s="22">
        <f t="shared" si="169"/>
        <v>0.43063940429333869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268.00000000000017</v>
      </c>
      <c r="BZ188" s="13">
        <f>BY188*VLOOKUP('Données projet'!$B$12,Paramètres!$A$1:$I$89,3,0)*VLOOKUP('Données projet'!$B$12,Paramètres!$A$1:$I$89,5,0)</f>
        <v>175.59360000000012</v>
      </c>
      <c r="CA188" s="13">
        <f t="shared" si="170"/>
        <v>44.340433728638573</v>
      </c>
      <c r="CB188" s="20">
        <f t="shared" si="171"/>
        <v>383.05177541071242</v>
      </c>
      <c r="CC188" s="59">
        <f t="shared" si="119"/>
        <v>676.38510874404574</v>
      </c>
      <c r="CD188" s="59">
        <f ca="1">AVERAGE(OFFSET($CC$3,0,0,'Données projet'!$E$12+1,1))-AVERAGE(OFFSET($H$3,0,0,'Données projet'!$E$12+1,1))</f>
        <v>185.21927898775016</v>
      </c>
      <c r="CE188" s="59">
        <f t="shared" si="148"/>
        <v>240.82467772396944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7.2314705371778823E-2</v>
      </c>
      <c r="CL188" s="21">
        <f>EXP(-LN(2)/25)*CL187+(1-EXP(-LN(2)/25))/(LN(2)/25)*Calculateur!CG188*Calculateur!CI188*VLOOKUP('Données projet'!$B$12,Paramètres!$A$1:$I$89,3,0)*0.475*44/12</f>
        <v>0.10933610757924186</v>
      </c>
      <c r="CM188" s="21">
        <f>EXP(-LN(2)/2)*CM187+(1-EXP(-LN(2)/2))/(LN(2)/2)*CG188*CJ188*VLOOKUP('Données projet'!$B$12,Paramètres!$A$1:$I$89,3,0)*0.475*44/12</f>
        <v>6.5492554389849633E-23</v>
      </c>
      <c r="CN188" s="22">
        <f t="shared" si="172"/>
        <v>0.1816508129510207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165.39119999999974</v>
      </c>
      <c r="D189" s="11">
        <f t="shared" si="140"/>
        <v>42.056160358234798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1601.3480448705823</v>
      </c>
      <c r="H189" s="67">
        <f t="shared" si="110"/>
        <v>654.63748595725838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-2.2737367544323206E-13</v>
      </c>
      <c r="O189" s="13">
        <f>N189*VLOOKUP('Données projet'!$B$9,Paramètres!$A$1:$I$89,3,0)*VLOOKUP('Données projet'!$B$9,Paramètres!$A$1:$I$89,5,0)</f>
        <v>-1.2710188457276673E-13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255.5374979188561</v>
      </c>
      <c r="T189" s="59">
        <f t="shared" si="142"/>
        <v>343.10418468620901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0.14067940582053806</v>
      </c>
      <c r="AA189" s="21">
        <f>EXP(-LN(2)/25)*AA188+(1-EXP(-LN(2)/25))/(LN(2)/25)*Calculateur!V189*Calculateur!X189*VLOOKUP('Données projet'!$B$9,Paramètres!$A$1:$I$89,3,0)*0.475*44/12</f>
        <v>0.21116054066633902</v>
      </c>
      <c r="AB189" s="21">
        <f>EXP(-LN(2)/2)*AB188+(1-EXP(-LN(2)/2))/(LN(2)/2)*V189*Y189*VLOOKUP('Données projet'!$B$9,Paramètres!$A$1:$I$89,3,0)*0.475*44/12</f>
        <v>5.6005159356878817E-24</v>
      </c>
      <c r="AC189" s="22">
        <f t="shared" si="163"/>
        <v>0.35183994648687711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0</v>
      </c>
      <c r="AJ189" s="13">
        <f>AI189*VLOOKUP('Données projet'!$B$10,Paramètres!$A$1:$I$89,3,0)*VLOOKUP('Données projet'!$B$10,Paramètres!$A$1:$I$89,5,0)</f>
        <v>0</v>
      </c>
      <c r="AK189" s="13" t="e">
        <f t="shared" si="164"/>
        <v>#NUM!</v>
      </c>
      <c r="AL189" s="20" t="e">
        <f t="shared" si="165"/>
        <v>#NUM!</v>
      </c>
      <c r="AM189" s="59" t="e">
        <f t="shared" si="113"/>
        <v>#NUM!</v>
      </c>
      <c r="AN189" s="59">
        <f ca="1">AVERAGE(OFFSET($AM$3,0,0,'Données projet'!$E$10+1,1))-AVERAGE(OFFSET($H$3,0,0,'Données projet'!$E$10+1,1))</f>
        <v>255.41017495879987</v>
      </c>
      <c r="AO189" s="59">
        <f t="shared" si="144"/>
        <v>297.50513563712764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0.37987418669453626</v>
      </c>
      <c r="AV189" s="21">
        <f>EXP(-LN(2)/25)*AV188+(1-EXP(-LN(2)/25))/(LN(2)/25)*Calculateur!AQ189*Calculateur!AS189*VLOOKUP('Données projet'!$B$10,Paramètres!$A$1:$I$89,3,0)*0.475*44/12</f>
        <v>0.36872937249198823</v>
      </c>
      <c r="AW189" s="21">
        <f>EXP(-LN(2)/2)*AW188+(1-EXP(-LN(2)/2))/(LN(2)/2)*AQ189*AT189*VLOOKUP('Données projet'!$B$10,Paramètres!$A$1:$I$89,3,0)*0.475*44/12</f>
        <v>8.0736768926617114E-23</v>
      </c>
      <c r="AX189" s="21">
        <f t="shared" si="166"/>
        <v>0.74860355918652455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-5.1159076974727213E-13</v>
      </c>
      <c r="BE189" s="13">
        <f>BD189*VLOOKUP('Données projet'!$B$11,Paramètres!$A$1:$I$89,3,0)*VLOOKUP('Données projet'!$B$11,Paramètres!$A$1:$I$89,5,0)</f>
        <v>-4.0702161641092972E-13</v>
      </c>
      <c r="BF189" s="13" t="e">
        <f t="shared" si="167"/>
        <v>#NUM!</v>
      </c>
      <c r="BG189" s="20" t="e">
        <f t="shared" si="168"/>
        <v>#NUM!</v>
      </c>
      <c r="BH189" s="59" t="e">
        <f t="shared" si="116"/>
        <v>#NUM!</v>
      </c>
      <c r="BI189" s="59">
        <f ca="1">AVERAGE(OFFSET($BH$3,0,0,'Données projet'!$E$11+1,1))-AVERAGE(OFFSET($H$3,0,0,'Données projet'!$E$11+1,1))</f>
        <v>260.20517190557814</v>
      </c>
      <c r="BJ189" s="59">
        <f t="shared" si="146"/>
        <v>307.22009971147133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0.14855323012663954</v>
      </c>
      <c r="BQ189" s="21">
        <f>EXP(-LN(2)/25)*BQ188+(1-EXP(-LN(2)/25))/(LN(2)/25)*Calculateur!BL189*Calculateur!BN189*VLOOKUP('Données projet'!$B$11,Paramètres!$A$1:$I$89,3,0)*0.475*44/12</f>
        <v>0.27148245966817497</v>
      </c>
      <c r="BR189" s="21">
        <f>EXP(-LN(2)/2)*BR188+(1-EXP(-LN(2)/2))/(LN(2)/2)*BL189*BO189*VLOOKUP('Données projet'!$B$11,Paramètres!$A$1:$I$89,3,0)*0.475*44/12</f>
        <v>7.9538492313515944E-23</v>
      </c>
      <c r="BS189" s="22">
        <f t="shared" si="169"/>
        <v>0.42003568979481454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268.00000000000017</v>
      </c>
      <c r="BZ189" s="13">
        <f>BY189*VLOOKUP('Données projet'!$B$12,Paramètres!$A$1:$I$89,3,0)*VLOOKUP('Données projet'!$B$12,Paramètres!$A$1:$I$89,5,0)</f>
        <v>175.59360000000012</v>
      </c>
      <c r="CA189" s="13">
        <f t="shared" si="170"/>
        <v>44.340433728638573</v>
      </c>
      <c r="CB189" s="20">
        <f t="shared" si="171"/>
        <v>383.05177541071242</v>
      </c>
      <c r="CC189" s="59">
        <f t="shared" si="119"/>
        <v>676.38510874404574</v>
      </c>
      <c r="CD189" s="59">
        <f ca="1">AVERAGE(OFFSET($CC$3,0,0,'Données projet'!$E$12+1,1))-AVERAGE(OFFSET($H$3,0,0,'Données projet'!$E$12+1,1))</f>
        <v>185.21927898775016</v>
      </c>
      <c r="CE189" s="59">
        <f t="shared" si="148"/>
        <v>240.82467772396944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7.0896658107053256E-2</v>
      </c>
      <c r="CL189" s="21">
        <f>EXP(-LN(2)/25)*CL188+(1-EXP(-LN(2)/25))/(LN(2)/25)*Calculateur!CG189*Calculateur!CI189*VLOOKUP('Données projet'!$B$12,Paramètres!$A$1:$I$89,3,0)*0.475*44/12</f>
        <v>0.10634630596775149</v>
      </c>
      <c r="CM189" s="21">
        <f>EXP(-LN(2)/2)*CM188+(1-EXP(-LN(2)/2))/(LN(2)/2)*CG189*CJ189*VLOOKUP('Données projet'!$B$12,Paramètres!$A$1:$I$89,3,0)*0.475*44/12</f>
        <v>4.6310229326291467E-23</v>
      </c>
      <c r="CN189" s="22">
        <f t="shared" si="172"/>
        <v>0.17724296407480475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166.28039999999973</v>
      </c>
      <c r="D190" s="11">
        <f t="shared" si="140"/>
        <v>42.255887340755834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1609.7537970163587</v>
      </c>
      <c r="H190" s="67">
        <f t="shared" si="110"/>
        <v>656.53403378514918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-2.2737367544323206E-13</v>
      </c>
      <c r="O190" s="13">
        <f>N190*VLOOKUP('Données projet'!$B$9,Paramètres!$A$1:$I$89,3,0)*VLOOKUP('Données projet'!$B$9,Paramètres!$A$1:$I$89,5,0)</f>
        <v>-1.2710188457276673E-13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255.5374979188561</v>
      </c>
      <c r="T190" s="59">
        <f t="shared" si="142"/>
        <v>343.10418468620901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0.13792076847836224</v>
      </c>
      <c r="AA190" s="21">
        <f>EXP(-LN(2)/25)*AA189+(1-EXP(-LN(2)/25))/(LN(2)/25)*Calculateur!V190*Calculateur!X190*VLOOKUP('Données projet'!$B$9,Paramètres!$A$1:$I$89,3,0)*0.475*44/12</f>
        <v>0.20538634457736776</v>
      </c>
      <c r="AB190" s="21">
        <f>EXP(-LN(2)/2)*AB189+(1-EXP(-LN(2)/2))/(LN(2)/2)*V190*Y190*VLOOKUP('Données projet'!$B$9,Paramètres!$A$1:$I$89,3,0)*0.475*44/12</f>
        <v>3.9601627962682233E-24</v>
      </c>
      <c r="AC190" s="22">
        <f t="shared" si="163"/>
        <v>0.34330711305573003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0</v>
      </c>
      <c r="AJ190" s="13">
        <f>AI190*VLOOKUP('Données projet'!$B$10,Paramètres!$A$1:$I$89,3,0)*VLOOKUP('Données projet'!$B$10,Paramètres!$A$1:$I$89,5,0)</f>
        <v>0</v>
      </c>
      <c r="AK190" s="13" t="e">
        <f t="shared" si="164"/>
        <v>#NUM!</v>
      </c>
      <c r="AL190" s="20" t="e">
        <f t="shared" si="165"/>
        <v>#NUM!</v>
      </c>
      <c r="AM190" s="59" t="e">
        <f t="shared" si="113"/>
        <v>#NUM!</v>
      </c>
      <c r="AN190" s="59">
        <f ca="1">AVERAGE(OFFSET($AM$3,0,0,'Données projet'!$E$10+1,1))-AVERAGE(OFFSET($H$3,0,0,'Données projet'!$E$10+1,1))</f>
        <v>255.41017495879987</v>
      </c>
      <c r="AO190" s="59">
        <f t="shared" si="144"/>
        <v>297.50513563712764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0.37242508559383181</v>
      </c>
      <c r="AV190" s="21">
        <f>EXP(-LN(2)/25)*AV189+(1-EXP(-LN(2)/25))/(LN(2)/25)*Calculateur!AQ190*Calculateur!AS190*VLOOKUP('Données projet'!$B$10,Paramètres!$A$1:$I$89,3,0)*0.475*44/12</f>
        <v>0.35864644841055987</v>
      </c>
      <c r="AW190" s="21">
        <f>EXP(-LN(2)/2)*AW189+(1-EXP(-LN(2)/2))/(LN(2)/2)*AQ190*AT190*VLOOKUP('Données projet'!$B$10,Paramètres!$A$1:$I$89,3,0)*0.475*44/12</f>
        <v>5.7089516799102296E-23</v>
      </c>
      <c r="AX190" s="21">
        <f t="shared" si="166"/>
        <v>0.73107153400439162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-5.1159076974727213E-13</v>
      </c>
      <c r="BE190" s="13">
        <f>BD190*VLOOKUP('Données projet'!$B$11,Paramètres!$A$1:$I$89,3,0)*VLOOKUP('Données projet'!$B$11,Paramètres!$A$1:$I$89,5,0)</f>
        <v>-4.0702161641092972E-13</v>
      </c>
      <c r="BF190" s="13" t="e">
        <f t="shared" si="167"/>
        <v>#NUM!</v>
      </c>
      <c r="BG190" s="20" t="e">
        <f t="shared" si="168"/>
        <v>#NUM!</v>
      </c>
      <c r="BH190" s="59" t="e">
        <f t="shared" si="116"/>
        <v>#NUM!</v>
      </c>
      <c r="BI190" s="59">
        <f ca="1">AVERAGE(OFFSET($BH$3,0,0,'Données projet'!$E$11+1,1))-AVERAGE(OFFSET($H$3,0,0,'Données projet'!$E$11+1,1))</f>
        <v>260.20517190557814</v>
      </c>
      <c r="BJ190" s="59">
        <f t="shared" si="146"/>
        <v>307.22009971147133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0.14564019189237967</v>
      </c>
      <c r="BQ190" s="21">
        <f>EXP(-LN(2)/25)*BQ189+(1-EXP(-LN(2)/25))/(LN(2)/25)*Calculateur!BL190*Calculateur!BN190*VLOOKUP('Données projet'!$B$11,Paramètres!$A$1:$I$89,3,0)*0.475*44/12</f>
        <v>0.26405875753190666</v>
      </c>
      <c r="BR190" s="21">
        <f>EXP(-LN(2)/2)*BR189+(1-EXP(-LN(2)/2))/(LN(2)/2)*BL190*BO190*VLOOKUP('Données projet'!$B$11,Paramètres!$A$1:$I$89,3,0)*0.475*44/12</f>
        <v>5.624220728024121E-23</v>
      </c>
      <c r="BS190" s="22">
        <f t="shared" si="169"/>
        <v>0.40969894942428631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268.00000000000017</v>
      </c>
      <c r="BZ190" s="13">
        <f>BY190*VLOOKUP('Données projet'!$B$12,Paramètres!$A$1:$I$89,3,0)*VLOOKUP('Données projet'!$B$12,Paramètres!$A$1:$I$89,5,0)</f>
        <v>175.59360000000012</v>
      </c>
      <c r="CA190" s="13">
        <f t="shared" si="170"/>
        <v>44.340433728638573</v>
      </c>
      <c r="CB190" s="20">
        <f t="shared" si="171"/>
        <v>383.05177541071242</v>
      </c>
      <c r="CC190" s="59">
        <f t="shared" si="119"/>
        <v>676.38510874404574</v>
      </c>
      <c r="CD190" s="59">
        <f ca="1">AVERAGE(OFFSET($CC$3,0,0,'Données projet'!$E$12+1,1))-AVERAGE(OFFSET($H$3,0,0,'Données projet'!$E$12+1,1))</f>
        <v>185.21927898775016</v>
      </c>
      <c r="CE190" s="59">
        <f t="shared" si="148"/>
        <v>240.82467772396944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6.9506417884265523E-2</v>
      </c>
      <c r="CL190" s="21">
        <f>EXP(-LN(2)/25)*CL189+(1-EXP(-LN(2)/25))/(LN(2)/25)*Calculateur!CG190*Calculateur!CI190*VLOOKUP('Données projet'!$B$12,Paramètres!$A$1:$I$89,3,0)*0.475*44/12</f>
        <v>0.10343826063855416</v>
      </c>
      <c r="CM190" s="21">
        <f>EXP(-LN(2)/2)*CM189+(1-EXP(-LN(2)/2))/(LN(2)/2)*CG190*CJ190*VLOOKUP('Données projet'!$B$12,Paramètres!$A$1:$I$89,3,0)*0.475*44/12</f>
        <v>3.2746277194924817E-23</v>
      </c>
      <c r="CN190" s="22">
        <f t="shared" si="172"/>
        <v>0.17294467852281969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167.16959999999972</v>
      </c>
      <c r="D191" s="11">
        <f t="shared" si="140"/>
        <v>42.455490039298816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1618.1585897770412</v>
      </c>
      <c r="H191" s="67">
        <f t="shared" si="110"/>
        <v>658.43036515177823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-2.2737367544323206E-13</v>
      </c>
      <c r="O191" s="13">
        <f>N191*VLOOKUP('Données projet'!$B$9,Paramètres!$A$1:$I$89,3,0)*VLOOKUP('Données projet'!$B$9,Paramètres!$A$1:$I$89,5,0)</f>
        <v>-1.2710188457276673E-13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255.5374979188561</v>
      </c>
      <c r="T191" s="59">
        <f t="shared" si="142"/>
        <v>343.10418468620901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0.13521622633186384</v>
      </c>
      <c r="AA191" s="21">
        <f>EXP(-LN(2)/25)*AA190+(1-EXP(-LN(2)/25))/(LN(2)/25)*Calculateur!V191*Calculateur!X191*VLOOKUP('Données projet'!$B$9,Paramètres!$A$1:$I$89,3,0)*0.475*44/12</f>
        <v>0.19977004418410119</v>
      </c>
      <c r="AB191" s="21">
        <f>EXP(-LN(2)/2)*AB190+(1-EXP(-LN(2)/2))/(LN(2)/2)*V191*Y191*VLOOKUP('Données projet'!$B$9,Paramètres!$A$1:$I$89,3,0)*0.475*44/12</f>
        <v>2.8002579678439408E-24</v>
      </c>
      <c r="AC191" s="22">
        <f t="shared" si="163"/>
        <v>0.33498627051596502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0</v>
      </c>
      <c r="AJ191" s="13">
        <f>AI191*VLOOKUP('Données projet'!$B$10,Paramètres!$A$1:$I$89,3,0)*VLOOKUP('Données projet'!$B$10,Paramètres!$A$1:$I$89,5,0)</f>
        <v>0</v>
      </c>
      <c r="AK191" s="13" t="e">
        <f t="shared" si="164"/>
        <v>#NUM!</v>
      </c>
      <c r="AL191" s="20" t="e">
        <f t="shared" si="165"/>
        <v>#NUM!</v>
      </c>
      <c r="AM191" s="59" t="e">
        <f t="shared" si="113"/>
        <v>#NUM!</v>
      </c>
      <c r="AN191" s="59">
        <f ca="1">AVERAGE(OFFSET($AM$3,0,0,'Données projet'!$E$10+1,1))-AVERAGE(OFFSET($H$3,0,0,'Données projet'!$E$10+1,1))</f>
        <v>255.41017495879987</v>
      </c>
      <c r="AO191" s="59">
        <f t="shared" si="144"/>
        <v>297.50513563712764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0.36512205682220911</v>
      </c>
      <c r="AV191" s="21">
        <f>EXP(-LN(2)/25)*AV190+(1-EXP(-LN(2)/25))/(LN(2)/25)*Calculateur!AQ191*Calculateur!AS191*VLOOKUP('Données projet'!$B$10,Paramètres!$A$1:$I$89,3,0)*0.475*44/12</f>
        <v>0.34883924241837611</v>
      </c>
      <c r="AW191" s="21">
        <f>EXP(-LN(2)/2)*AW190+(1-EXP(-LN(2)/2))/(LN(2)/2)*AQ191*AT191*VLOOKUP('Données projet'!$B$10,Paramètres!$A$1:$I$89,3,0)*0.475*44/12</f>
        <v>4.0368384463308557E-23</v>
      </c>
      <c r="AX191" s="21">
        <f t="shared" si="166"/>
        <v>0.71396129924058527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-5.1159076974727213E-13</v>
      </c>
      <c r="BE191" s="13">
        <f>BD191*VLOOKUP('Données projet'!$B$11,Paramètres!$A$1:$I$89,3,0)*VLOOKUP('Données projet'!$B$11,Paramètres!$A$1:$I$89,5,0)</f>
        <v>-4.0702161641092972E-13</v>
      </c>
      <c r="BF191" s="13" t="e">
        <f t="shared" si="167"/>
        <v>#NUM!</v>
      </c>
      <c r="BG191" s="20" t="e">
        <f t="shared" si="168"/>
        <v>#NUM!</v>
      </c>
      <c r="BH191" s="59" t="e">
        <f t="shared" si="116"/>
        <v>#NUM!</v>
      </c>
      <c r="BI191" s="59">
        <f ca="1">AVERAGE(OFFSET($BH$3,0,0,'Données projet'!$E$11+1,1))-AVERAGE(OFFSET($H$3,0,0,'Données projet'!$E$11+1,1))</f>
        <v>260.20517190557814</v>
      </c>
      <c r="BJ191" s="59">
        <f t="shared" si="146"/>
        <v>307.22009971147133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0.14278427656111575</v>
      </c>
      <c r="BQ191" s="21">
        <f>EXP(-LN(2)/25)*BQ190+(1-EXP(-LN(2)/25))/(LN(2)/25)*Calculateur!BL191*Calculateur!BN191*VLOOKUP('Données projet'!$B$11,Paramètres!$A$1:$I$89,3,0)*0.475*44/12</f>
        <v>0.25683805692095013</v>
      </c>
      <c r="BR191" s="21">
        <f>EXP(-LN(2)/2)*BR190+(1-EXP(-LN(2)/2))/(LN(2)/2)*BL191*BO191*VLOOKUP('Données projet'!$B$11,Paramètres!$A$1:$I$89,3,0)*0.475*44/12</f>
        <v>3.9769246156757972E-23</v>
      </c>
      <c r="BS191" s="22">
        <f t="shared" si="169"/>
        <v>0.39962233348206588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268.00000000000017</v>
      </c>
      <c r="BZ191" s="13">
        <f>BY191*VLOOKUP('Données projet'!$B$12,Paramètres!$A$1:$I$89,3,0)*VLOOKUP('Données projet'!$B$12,Paramètres!$A$1:$I$89,5,0)</f>
        <v>175.59360000000012</v>
      </c>
      <c r="CA191" s="13">
        <f t="shared" si="170"/>
        <v>44.340433728638573</v>
      </c>
      <c r="CB191" s="20">
        <f t="shared" si="171"/>
        <v>383.05177541071242</v>
      </c>
      <c r="CC191" s="59">
        <f t="shared" si="119"/>
        <v>676.38510874404574</v>
      </c>
      <c r="CD191" s="59">
        <f ca="1">AVERAGE(OFFSET($CC$3,0,0,'Données projet'!$E$12+1,1))-AVERAGE(OFFSET($H$3,0,0,'Données projet'!$E$12+1,1))</f>
        <v>185.21927898775016</v>
      </c>
      <c r="CE191" s="59">
        <f t="shared" si="148"/>
        <v>240.82467772396944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6.8143439424283858E-2</v>
      </c>
      <c r="CL191" s="21">
        <f>EXP(-LN(2)/25)*CL190+(1-EXP(-LN(2)/25))/(LN(2)/25)*Calculateur!CG191*Calculateur!CI191*VLOOKUP('Données projet'!$B$12,Paramètres!$A$1:$I$89,3,0)*0.475*44/12</f>
        <v>0.10060973596181118</v>
      </c>
      <c r="CM191" s="21">
        <f>EXP(-LN(2)/2)*CM190+(1-EXP(-LN(2)/2))/(LN(2)/2)*CG191*CJ191*VLOOKUP('Données projet'!$B$12,Paramètres!$A$1:$I$89,3,0)*0.475*44/12</f>
        <v>2.3155114663145734E-23</v>
      </c>
      <c r="CN191" s="22">
        <f t="shared" si="172"/>
        <v>0.16875317538609502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168.05879999999971</v>
      </c>
      <c r="D192" s="11">
        <f t="shared" si="140"/>
        <v>42.65496919167748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1626.5624288480346</v>
      </c>
      <c r="H192" s="67">
        <f t="shared" si="110"/>
        <v>660.32648134217106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-2.2737367544323206E-13</v>
      </c>
      <c r="O192" s="13">
        <f>N192*VLOOKUP('Données projet'!$B$9,Paramètres!$A$1:$I$89,3,0)*VLOOKUP('Données projet'!$B$9,Paramètres!$A$1:$I$89,5,0)</f>
        <v>-1.2710188457276673E-13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255.5374979188561</v>
      </c>
      <c r="T192" s="59">
        <f t="shared" si="142"/>
        <v>343.10418468620901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0.13256471860725044</v>
      </c>
      <c r="AA192" s="21">
        <f>EXP(-LN(2)/25)*AA191+(1-EXP(-LN(2)/25))/(LN(2)/25)*Calculateur!V192*Calculateur!X192*VLOOKUP('Données projet'!$B$9,Paramètres!$A$1:$I$89,3,0)*0.475*44/12</f>
        <v>0.19430732182043689</v>
      </c>
      <c r="AB192" s="21">
        <f>EXP(-LN(2)/2)*AB191+(1-EXP(-LN(2)/2))/(LN(2)/2)*V192*Y192*VLOOKUP('Données projet'!$B$9,Paramètres!$A$1:$I$89,3,0)*0.475*44/12</f>
        <v>1.9800813981341117E-24</v>
      </c>
      <c r="AC192" s="22">
        <f t="shared" si="163"/>
        <v>0.32687204042768736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0</v>
      </c>
      <c r="AJ192" s="13">
        <f>AI192*VLOOKUP('Données projet'!$B$10,Paramètres!$A$1:$I$89,3,0)*VLOOKUP('Données projet'!$B$10,Paramètres!$A$1:$I$89,5,0)</f>
        <v>0</v>
      </c>
      <c r="AK192" s="13" t="e">
        <f t="shared" si="164"/>
        <v>#NUM!</v>
      </c>
      <c r="AL192" s="20" t="e">
        <f t="shared" si="165"/>
        <v>#NUM!</v>
      </c>
      <c r="AM192" s="59" t="e">
        <f t="shared" si="113"/>
        <v>#NUM!</v>
      </c>
      <c r="AN192" s="59">
        <f ca="1">AVERAGE(OFFSET($AM$3,0,0,'Données projet'!$E$10+1,1))-AVERAGE(OFFSET($H$3,0,0,'Données projet'!$E$10+1,1))</f>
        <v>255.41017495879987</v>
      </c>
      <c r="AO192" s="59">
        <f t="shared" si="144"/>
        <v>297.50513563712764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0.35796223599039023</v>
      </c>
      <c r="AV192" s="21">
        <f>EXP(-LN(2)/25)*AV191+(1-EXP(-LN(2)/25))/(LN(2)/25)*Calculateur!AQ192*Calculateur!AS192*VLOOKUP('Données projet'!$B$10,Paramètres!$A$1:$I$89,3,0)*0.475*44/12</f>
        <v>0.33930021498978713</v>
      </c>
      <c r="AW192" s="21">
        <f>EXP(-LN(2)/2)*AW191+(1-EXP(-LN(2)/2))/(LN(2)/2)*AQ192*AT192*VLOOKUP('Données projet'!$B$10,Paramètres!$A$1:$I$89,3,0)*0.475*44/12</f>
        <v>2.8544758399551148E-23</v>
      </c>
      <c r="AX192" s="21">
        <f t="shared" si="166"/>
        <v>0.69726245098017736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-5.1159076974727213E-13</v>
      </c>
      <c r="BE192" s="13">
        <f>BD192*VLOOKUP('Données projet'!$B$11,Paramètres!$A$1:$I$89,3,0)*VLOOKUP('Données projet'!$B$11,Paramètres!$A$1:$I$89,5,0)</f>
        <v>-4.0702161641092972E-13</v>
      </c>
      <c r="BF192" s="13" t="e">
        <f t="shared" si="167"/>
        <v>#NUM!</v>
      </c>
      <c r="BG192" s="20" t="e">
        <f t="shared" si="168"/>
        <v>#NUM!</v>
      </c>
      <c r="BH192" s="59" t="e">
        <f t="shared" si="116"/>
        <v>#NUM!</v>
      </c>
      <c r="BI192" s="59">
        <f ca="1">AVERAGE(OFFSET($BH$3,0,0,'Données projet'!$E$11+1,1))-AVERAGE(OFFSET($H$3,0,0,'Données projet'!$E$11+1,1))</f>
        <v>260.20517190557814</v>
      </c>
      <c r="BJ192" s="59">
        <f t="shared" si="146"/>
        <v>307.22009971147133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0.13998436398756156</v>
      </c>
      <c r="BQ192" s="21">
        <f>EXP(-LN(2)/25)*BQ191+(1-EXP(-LN(2)/25))/(LN(2)/25)*Calculateur!BL192*Calculateur!BN192*VLOOKUP('Données projet'!$B$11,Paramètres!$A$1:$I$89,3,0)*0.475*44/12</f>
        <v>0.24981480674792034</v>
      </c>
      <c r="BR192" s="21">
        <f>EXP(-LN(2)/2)*BR191+(1-EXP(-LN(2)/2))/(LN(2)/2)*BL192*BO192*VLOOKUP('Données projet'!$B$11,Paramètres!$A$1:$I$89,3,0)*0.475*44/12</f>
        <v>2.8121103640120605E-23</v>
      </c>
      <c r="BS192" s="22">
        <f t="shared" si="169"/>
        <v>0.38979917073548187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268.00000000000017</v>
      </c>
      <c r="BZ192" s="13">
        <f>BY192*VLOOKUP('Données projet'!$B$12,Paramètres!$A$1:$I$89,3,0)*VLOOKUP('Données projet'!$B$12,Paramètres!$A$1:$I$89,5,0)</f>
        <v>175.59360000000012</v>
      </c>
      <c r="CA192" s="13">
        <f t="shared" si="170"/>
        <v>44.340433728638573</v>
      </c>
      <c r="CB192" s="20">
        <f t="shared" si="171"/>
        <v>383.05177541071242</v>
      </c>
      <c r="CC192" s="59">
        <f t="shared" si="119"/>
        <v>676.38510874404574</v>
      </c>
      <c r="CD192" s="59">
        <f ca="1">AVERAGE(OFFSET($CC$3,0,0,'Données projet'!$E$12+1,1))-AVERAGE(OFFSET($H$3,0,0,'Données projet'!$E$12+1,1))</f>
        <v>185.21927898775016</v>
      </c>
      <c r="CE192" s="59">
        <f t="shared" si="148"/>
        <v>240.82467772396944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6.6807188140567658E-2</v>
      </c>
      <c r="CL192" s="21">
        <f>EXP(-LN(2)/25)*CL191+(1-EXP(-LN(2)/25))/(LN(2)/25)*Calculateur!CG192*Calculateur!CI192*VLOOKUP('Données projet'!$B$12,Paramètres!$A$1:$I$89,3,0)*0.475*44/12</f>
        <v>9.7858557441099378E-2</v>
      </c>
      <c r="CM192" s="21">
        <f>EXP(-LN(2)/2)*CM191+(1-EXP(-LN(2)/2))/(LN(2)/2)*CG192*CJ192*VLOOKUP('Données projet'!$B$12,Paramètres!$A$1:$I$89,3,0)*0.475*44/12</f>
        <v>1.6373138597462408E-23</v>
      </c>
      <c r="CN192" s="22">
        <f t="shared" si="172"/>
        <v>0.16466574558166702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168.94799999999969</v>
      </c>
      <c r="D193" s="11">
        <f t="shared" si="140"/>
        <v>42.8543255274462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1634.965319860986</v>
      </c>
      <c r="H193" s="67">
        <f t="shared" si="110"/>
        <v>662.22238362696817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-2.2737367544323206E-13</v>
      </c>
      <c r="O193" s="13">
        <f>N193*VLOOKUP('Données projet'!$B$9,Paramètres!$A$1:$I$89,3,0)*VLOOKUP('Données projet'!$B$9,Paramètres!$A$1:$I$89,5,0)</f>
        <v>-1.2710188457276673E-13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255.5374979188561</v>
      </c>
      <c r="T193" s="59">
        <f t="shared" si="142"/>
        <v>343.10418468620901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0.12996520533185671</v>
      </c>
      <c r="AA193" s="21">
        <f>EXP(-LN(2)/25)*AA192+(1-EXP(-LN(2)/25))/(LN(2)/25)*Calculateur!V193*Calculateur!X193*VLOOKUP('Données projet'!$B$9,Paramètres!$A$1:$I$89,3,0)*0.475*44/12</f>
        <v>0.18899397788707908</v>
      </c>
      <c r="AB193" s="21">
        <f>EXP(-LN(2)/2)*AB192+(1-EXP(-LN(2)/2))/(LN(2)/2)*V193*Y193*VLOOKUP('Données projet'!$B$9,Paramètres!$A$1:$I$89,3,0)*0.475*44/12</f>
        <v>1.4001289839219704E-24</v>
      </c>
      <c r="AC193" s="22">
        <f t="shared" si="163"/>
        <v>0.31895918321893579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0</v>
      </c>
      <c r="AJ193" s="13">
        <f>AI193*VLOOKUP('Données projet'!$B$10,Paramètres!$A$1:$I$89,3,0)*VLOOKUP('Données projet'!$B$10,Paramètres!$A$1:$I$89,5,0)</f>
        <v>0</v>
      </c>
      <c r="AK193" s="13" t="e">
        <f t="shared" si="164"/>
        <v>#NUM!</v>
      </c>
      <c r="AL193" s="20" t="e">
        <f t="shared" si="165"/>
        <v>#NUM!</v>
      </c>
      <c r="AM193" s="59" t="e">
        <f t="shared" si="113"/>
        <v>#NUM!</v>
      </c>
      <c r="AN193" s="59">
        <f ca="1">AVERAGE(OFFSET($AM$3,0,0,'Données projet'!$E$10+1,1))-AVERAGE(OFFSET($H$3,0,0,'Données projet'!$E$10+1,1))</f>
        <v>255.41017495879987</v>
      </c>
      <c r="AO193" s="59">
        <f t="shared" si="144"/>
        <v>297.50513563712764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0.35094281487802381</v>
      </c>
      <c r="AV193" s="21">
        <f>EXP(-LN(2)/25)*AV192+(1-EXP(-LN(2)/25))/(LN(2)/25)*Calculateur!AQ193*Calculateur!AS193*VLOOKUP('Données projet'!$B$10,Paramètres!$A$1:$I$89,3,0)*0.475*44/12</f>
        <v>0.33002203276786857</v>
      </c>
      <c r="AW193" s="21">
        <f>EXP(-LN(2)/2)*AW192+(1-EXP(-LN(2)/2))/(LN(2)/2)*AQ193*AT193*VLOOKUP('Données projet'!$B$10,Paramètres!$A$1:$I$89,3,0)*0.475*44/12</f>
        <v>2.0184192231654279E-23</v>
      </c>
      <c r="AX193" s="21">
        <f t="shared" si="166"/>
        <v>0.68096484764589238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-5.1159076974727213E-13</v>
      </c>
      <c r="BE193" s="13">
        <f>BD193*VLOOKUP('Données projet'!$B$11,Paramètres!$A$1:$I$89,3,0)*VLOOKUP('Données projet'!$B$11,Paramètres!$A$1:$I$89,5,0)</f>
        <v>-4.0702161641092972E-13</v>
      </c>
      <c r="BF193" s="13" t="e">
        <f t="shared" si="167"/>
        <v>#NUM!</v>
      </c>
      <c r="BG193" s="20" t="e">
        <f t="shared" si="168"/>
        <v>#NUM!</v>
      </c>
      <c r="BH193" s="59" t="e">
        <f t="shared" si="116"/>
        <v>#NUM!</v>
      </c>
      <c r="BI193" s="59">
        <f ca="1">AVERAGE(OFFSET($BH$3,0,0,'Données projet'!$E$11+1,1))-AVERAGE(OFFSET($H$3,0,0,'Données projet'!$E$11+1,1))</f>
        <v>260.20517190557814</v>
      </c>
      <c r="BJ193" s="59">
        <f t="shared" si="146"/>
        <v>307.22009971147133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0.13723935599179674</v>
      </c>
      <c r="BQ193" s="21">
        <f>EXP(-LN(2)/25)*BQ192+(1-EXP(-LN(2)/25))/(LN(2)/25)*Calculateur!BL193*Calculateur!BN193*VLOOKUP('Données projet'!$B$11,Paramètres!$A$1:$I$89,3,0)*0.475*44/12</f>
        <v>0.24298360772020872</v>
      </c>
      <c r="BR193" s="21">
        <f>EXP(-LN(2)/2)*BR192+(1-EXP(-LN(2)/2))/(LN(2)/2)*BL193*BO193*VLOOKUP('Données projet'!$B$11,Paramètres!$A$1:$I$89,3,0)*0.475*44/12</f>
        <v>1.9884623078378986E-23</v>
      </c>
      <c r="BS193" s="22">
        <f t="shared" si="169"/>
        <v>0.38022296371200548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268.00000000000017</v>
      </c>
      <c r="BZ193" s="13">
        <f>BY193*VLOOKUP('Données projet'!$B$12,Paramètres!$A$1:$I$89,3,0)*VLOOKUP('Données projet'!$B$12,Paramètres!$A$1:$I$89,5,0)</f>
        <v>175.59360000000012</v>
      </c>
      <c r="CA193" s="13">
        <f t="shared" si="170"/>
        <v>44.340433728638573</v>
      </c>
      <c r="CB193" s="20">
        <f t="shared" si="171"/>
        <v>383.05177541071242</v>
      </c>
      <c r="CC193" s="59">
        <f t="shared" si="119"/>
        <v>676.38510874404574</v>
      </c>
      <c r="CD193" s="59">
        <f ca="1">AVERAGE(OFFSET($CC$3,0,0,'Données projet'!$E$12+1,1))-AVERAGE(OFFSET($H$3,0,0,'Données projet'!$E$12+1,1))</f>
        <v>185.21927898775016</v>
      </c>
      <c r="CE193" s="59">
        <f t="shared" si="148"/>
        <v>240.82467772396944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6.5497139929492326E-2</v>
      </c>
      <c r="CL193" s="21">
        <f>EXP(-LN(2)/25)*CL192+(1-EXP(-LN(2)/25))/(LN(2)/25)*Calculateur!CG193*Calculateur!CI193*VLOOKUP('Données projet'!$B$12,Paramètres!$A$1:$I$89,3,0)*0.475*44/12</f>
        <v>9.5182610041714633E-2</v>
      </c>
      <c r="CM193" s="21">
        <f>EXP(-LN(2)/2)*CM192+(1-EXP(-LN(2)/2))/(LN(2)/2)*CG193*CJ193*VLOOKUP('Données projet'!$B$12,Paramètres!$A$1:$I$89,3,0)*0.475*44/12</f>
        <v>1.1577557331572867E-23</v>
      </c>
      <c r="CN193" s="22">
        <f t="shared" si="172"/>
        <v>0.16067974997120696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169.83719999999968</v>
      </c>
      <c r="D194" s="11">
        <f t="shared" si="140"/>
        <v>43.053559768035143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1643.3672683848301</v>
      </c>
      <c r="H194" s="67">
        <f t="shared" si="110"/>
        <v>664.11807326266057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-2.2737367544323206E-13</v>
      </c>
      <c r="O194" s="13">
        <f>N194*VLOOKUP('Données projet'!$B$9,Paramètres!$A$1:$I$89,3,0)*VLOOKUP('Données projet'!$B$9,Paramètres!$A$1:$I$89,5,0)</f>
        <v>-1.2710188457276673E-13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255.5374979188561</v>
      </c>
      <c r="T194" s="59">
        <f t="shared" si="142"/>
        <v>343.10418468620901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0.1274166669262469</v>
      </c>
      <c r="AA194" s="21">
        <f>EXP(-LN(2)/25)*AA193+(1-EXP(-LN(2)/25))/(LN(2)/25)*Calculateur!V194*Calculateur!X194*VLOOKUP('Données projet'!$B$9,Paramètres!$A$1:$I$89,3,0)*0.475*44/12</f>
        <v>0.18382592762299557</v>
      </c>
      <c r="AB194" s="21">
        <f>EXP(-LN(2)/2)*AB193+(1-EXP(-LN(2)/2))/(LN(2)/2)*V194*Y194*VLOOKUP('Données projet'!$B$9,Paramètres!$A$1:$I$89,3,0)*0.475*44/12</f>
        <v>9.9004069906705584E-25</v>
      </c>
      <c r="AC194" s="22">
        <f t="shared" si="163"/>
        <v>0.31124259454924247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0</v>
      </c>
      <c r="AJ194" s="13">
        <f>AI194*VLOOKUP('Données projet'!$B$10,Paramètres!$A$1:$I$89,3,0)*VLOOKUP('Données projet'!$B$10,Paramètres!$A$1:$I$89,5,0)</f>
        <v>0</v>
      </c>
      <c r="AK194" s="13" t="e">
        <f t="shared" si="164"/>
        <v>#NUM!</v>
      </c>
      <c r="AL194" s="20" t="e">
        <f t="shared" si="165"/>
        <v>#NUM!</v>
      </c>
      <c r="AM194" s="59" t="e">
        <f t="shared" si="113"/>
        <v>#NUM!</v>
      </c>
      <c r="AN194" s="59">
        <f ca="1">AVERAGE(OFFSET($AM$3,0,0,'Données projet'!$E$10+1,1))-AVERAGE(OFFSET($H$3,0,0,'Données projet'!$E$10+1,1))</f>
        <v>255.41017495879987</v>
      </c>
      <c r="AO194" s="59">
        <f t="shared" si="144"/>
        <v>297.50513563712764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0.34406104033224677</v>
      </c>
      <c r="AV194" s="21">
        <f>EXP(-LN(2)/25)*AV193+(1-EXP(-LN(2)/25))/(LN(2)/25)*Calculateur!AQ194*Calculateur!AS194*VLOOKUP('Données projet'!$B$10,Paramètres!$A$1:$I$89,3,0)*0.475*44/12</f>
        <v>0.32099756292672676</v>
      </c>
      <c r="AW194" s="21">
        <f>EXP(-LN(2)/2)*AW193+(1-EXP(-LN(2)/2))/(LN(2)/2)*AQ194*AT194*VLOOKUP('Données projet'!$B$10,Paramètres!$A$1:$I$89,3,0)*0.475*44/12</f>
        <v>1.4272379199775574E-23</v>
      </c>
      <c r="AX194" s="21">
        <f t="shared" si="166"/>
        <v>0.66505860325897359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-5.1159076974727213E-13</v>
      </c>
      <c r="BE194" s="13">
        <f>BD194*VLOOKUP('Données projet'!$B$11,Paramètres!$A$1:$I$89,3,0)*VLOOKUP('Données projet'!$B$11,Paramètres!$A$1:$I$89,5,0)</f>
        <v>-4.0702161641092972E-13</v>
      </c>
      <c r="BF194" s="13" t="e">
        <f t="shared" si="167"/>
        <v>#NUM!</v>
      </c>
      <c r="BG194" s="20" t="e">
        <f t="shared" si="168"/>
        <v>#NUM!</v>
      </c>
      <c r="BH194" s="59" t="e">
        <f t="shared" si="116"/>
        <v>#NUM!</v>
      </c>
      <c r="BI194" s="59">
        <f ca="1">AVERAGE(OFFSET($BH$3,0,0,'Données projet'!$E$11+1,1))-AVERAGE(OFFSET($H$3,0,0,'Données projet'!$E$11+1,1))</f>
        <v>260.20517190557814</v>
      </c>
      <c r="BJ194" s="59">
        <f t="shared" si="146"/>
        <v>307.22009971147133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0.13454817592853929</v>
      </c>
      <c r="BQ194" s="21">
        <f>EXP(-LN(2)/25)*BQ193+(1-EXP(-LN(2)/25))/(LN(2)/25)*Calculateur!BL194*Calculateur!BN194*VLOOKUP('Données projet'!$B$11,Paramètres!$A$1:$I$89,3,0)*0.475*44/12</f>
        <v>0.23633920818914703</v>
      </c>
      <c r="BR194" s="21">
        <f>EXP(-LN(2)/2)*BR193+(1-EXP(-LN(2)/2))/(LN(2)/2)*BL194*BO194*VLOOKUP('Données projet'!$B$11,Paramètres!$A$1:$I$89,3,0)*0.475*44/12</f>
        <v>1.4060551820060303E-23</v>
      </c>
      <c r="BS194" s="22">
        <f t="shared" si="169"/>
        <v>0.37088738411768629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268.00000000000017</v>
      </c>
      <c r="BZ194" s="13">
        <f>BY194*VLOOKUP('Données projet'!$B$12,Paramètres!$A$1:$I$89,3,0)*VLOOKUP('Données projet'!$B$12,Paramètres!$A$1:$I$89,5,0)</f>
        <v>175.59360000000012</v>
      </c>
      <c r="CA194" s="13">
        <f t="shared" si="170"/>
        <v>44.340433728638573</v>
      </c>
      <c r="CB194" s="20">
        <f t="shared" si="171"/>
        <v>383.05177541071242</v>
      </c>
      <c r="CC194" s="59">
        <f t="shared" si="119"/>
        <v>676.38510874404574</v>
      </c>
      <c r="CD194" s="59">
        <f ca="1">AVERAGE(OFFSET($CC$3,0,0,'Données projet'!$E$12+1,1))-AVERAGE(OFFSET($H$3,0,0,'Données projet'!$E$12+1,1))</f>
        <v>185.21927898775016</v>
      </c>
      <c r="CE194" s="59">
        <f t="shared" si="148"/>
        <v>240.82467772396944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6.4212780964785665E-2</v>
      </c>
      <c r="CL194" s="21">
        <f>EXP(-LN(2)/25)*CL193+(1-EXP(-LN(2)/25))/(LN(2)/25)*Calculateur!CG194*Calculateur!CI194*VLOOKUP('Données projet'!$B$12,Paramètres!$A$1:$I$89,3,0)*0.475*44/12</f>
        <v>9.2579836564688031E-2</v>
      </c>
      <c r="CM194" s="21">
        <f>EXP(-LN(2)/2)*CM193+(1-EXP(-LN(2)/2))/(LN(2)/2)*CG194*CJ194*VLOOKUP('Données projet'!$B$12,Paramètres!$A$1:$I$89,3,0)*0.475*44/12</f>
        <v>8.1865692987312042E-24</v>
      </c>
      <c r="CN194" s="22">
        <f t="shared" si="172"/>
        <v>0.15679261752947371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170.72639999999967</v>
      </c>
      <c r="D195" s="11">
        <f t="shared" si="140"/>
        <v>43.252672626882983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1651.7682799268139</v>
      </c>
      <c r="H195" s="67">
        <f t="shared" si="110"/>
        <v>666.01355149182064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-2.2737367544323206E-13</v>
      </c>
      <c r="O195" s="13">
        <f>N195*VLOOKUP('Données projet'!$B$9,Paramètres!$A$1:$I$89,3,0)*VLOOKUP('Données projet'!$B$9,Paramètres!$A$1:$I$89,5,0)</f>
        <v>-1.2710188457276673E-13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255.5374979188561</v>
      </c>
      <c r="T195" s="59">
        <f t="shared" si="142"/>
        <v>343.10418468620901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0.12491810380431616</v>
      </c>
      <c r="AA195" s="21">
        <f>EXP(-LN(2)/25)*AA194+(1-EXP(-LN(2)/25))/(LN(2)/25)*Calculateur!V195*Calculateur!X195*VLOOKUP('Données projet'!$B$9,Paramètres!$A$1:$I$89,3,0)*0.475*44/12</f>
        <v>0.17879919796515936</v>
      </c>
      <c r="AB195" s="21">
        <f>EXP(-LN(2)/2)*AB194+(1-EXP(-LN(2)/2))/(LN(2)/2)*V195*Y195*VLOOKUP('Données projet'!$B$9,Paramètres!$A$1:$I$89,3,0)*0.475*44/12</f>
        <v>7.0006449196098521E-25</v>
      </c>
      <c r="AC195" s="22">
        <f t="shared" si="163"/>
        <v>0.30371730176947553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0</v>
      </c>
      <c r="AJ195" s="13">
        <f>AI195*VLOOKUP('Données projet'!$B$10,Paramètres!$A$1:$I$89,3,0)*VLOOKUP('Données projet'!$B$10,Paramètres!$A$1:$I$89,5,0)</f>
        <v>0</v>
      </c>
      <c r="AK195" s="13" t="e">
        <f t="shared" si="164"/>
        <v>#NUM!</v>
      </c>
      <c r="AL195" s="20" t="e">
        <f t="shared" si="165"/>
        <v>#NUM!</v>
      </c>
      <c r="AM195" s="59" t="e">
        <f t="shared" si="113"/>
        <v>#NUM!</v>
      </c>
      <c r="AN195" s="59">
        <f ca="1">AVERAGE(OFFSET($AM$3,0,0,'Données projet'!$E$10+1,1))-AVERAGE(OFFSET($H$3,0,0,'Données projet'!$E$10+1,1))</f>
        <v>255.41017495879987</v>
      </c>
      <c r="AO195" s="59">
        <f t="shared" si="144"/>
        <v>297.50513563712764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0.33731421318784438</v>
      </c>
      <c r="AV195" s="21">
        <f>EXP(-LN(2)/25)*AV194+(1-EXP(-LN(2)/25))/(LN(2)/25)*Calculateur!AQ195*Calculateur!AS195*VLOOKUP('Données projet'!$B$10,Paramètres!$A$1:$I$89,3,0)*0.475*44/12</f>
        <v>0.31221986768796722</v>
      </c>
      <c r="AW195" s="21">
        <f>EXP(-LN(2)/2)*AW194+(1-EXP(-LN(2)/2))/(LN(2)/2)*AQ195*AT195*VLOOKUP('Données projet'!$B$10,Paramètres!$A$1:$I$89,3,0)*0.475*44/12</f>
        <v>1.0092096115827139E-23</v>
      </c>
      <c r="AX195" s="21">
        <f t="shared" si="166"/>
        <v>0.64953408087581166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-5.1159076974727213E-13</v>
      </c>
      <c r="BE195" s="13">
        <f>BD195*VLOOKUP('Données projet'!$B$11,Paramètres!$A$1:$I$89,3,0)*VLOOKUP('Données projet'!$B$11,Paramètres!$A$1:$I$89,5,0)</f>
        <v>-4.0702161641092972E-13</v>
      </c>
      <c r="BF195" s="13" t="e">
        <f t="shared" si="167"/>
        <v>#NUM!</v>
      </c>
      <c r="BG195" s="20" t="e">
        <f t="shared" si="168"/>
        <v>#NUM!</v>
      </c>
      <c r="BH195" s="59" t="e">
        <f t="shared" si="116"/>
        <v>#NUM!</v>
      </c>
      <c r="BI195" s="59">
        <f ca="1">AVERAGE(OFFSET($BH$3,0,0,'Données projet'!$E$11+1,1))-AVERAGE(OFFSET($H$3,0,0,'Données projet'!$E$11+1,1))</f>
        <v>260.20517190557814</v>
      </c>
      <c r="BJ195" s="59">
        <f t="shared" si="146"/>
        <v>307.22009971147133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0.13190976826486459</v>
      </c>
      <c r="BQ195" s="21">
        <f>EXP(-LN(2)/25)*BQ194+(1-EXP(-LN(2)/25))/(LN(2)/25)*Calculateur!BL195*Calculateur!BN195*VLOOKUP('Données projet'!$B$11,Paramètres!$A$1:$I$89,3,0)*0.475*44/12</f>
        <v>0.22987650011267599</v>
      </c>
      <c r="BR195" s="21">
        <f>EXP(-LN(2)/2)*BR194+(1-EXP(-LN(2)/2))/(LN(2)/2)*BL195*BO195*VLOOKUP('Données projet'!$B$11,Paramètres!$A$1:$I$89,3,0)*0.475*44/12</f>
        <v>9.942311539189493E-24</v>
      </c>
      <c r="BS195" s="22">
        <f t="shared" si="169"/>
        <v>0.36178626837754058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268.00000000000017</v>
      </c>
      <c r="BZ195" s="13">
        <f>BY195*VLOOKUP('Données projet'!$B$12,Paramètres!$A$1:$I$89,3,0)*VLOOKUP('Données projet'!$B$12,Paramètres!$A$1:$I$89,5,0)</f>
        <v>175.59360000000012</v>
      </c>
      <c r="CA195" s="13">
        <f t="shared" si="170"/>
        <v>44.340433728638573</v>
      </c>
      <c r="CB195" s="20">
        <f t="shared" si="171"/>
        <v>383.05177541071242</v>
      </c>
      <c r="CC195" s="59">
        <f t="shared" si="119"/>
        <v>676.38510874404574</v>
      </c>
      <c r="CD195" s="59">
        <f ca="1">AVERAGE(OFFSET($CC$3,0,0,'Données projet'!$E$12+1,1))-AVERAGE(OFFSET($H$3,0,0,'Données projet'!$E$12+1,1))</f>
        <v>185.21927898775016</v>
      </c>
      <c r="CE195" s="59">
        <f t="shared" si="148"/>
        <v>240.82467772396944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6.2953607495995295E-2</v>
      </c>
      <c r="CL195" s="21">
        <f>EXP(-LN(2)/25)*CL194+(1-EXP(-LN(2)/25))/(LN(2)/25)*Calculateur!CG195*Calculateur!CI195*VLOOKUP('Données projet'!$B$12,Paramètres!$A$1:$I$89,3,0)*0.475*44/12</f>
        <v>9.0048236065264631E-2</v>
      </c>
      <c r="CM195" s="21">
        <f>EXP(-LN(2)/2)*CM194+(1-EXP(-LN(2)/2))/(LN(2)/2)*CG195*CJ195*VLOOKUP('Données projet'!$B$12,Paramètres!$A$1:$I$89,3,0)*0.475*44/12</f>
        <v>5.7887786657864334E-24</v>
      </c>
      <c r="CN195" s="22">
        <f t="shared" si="172"/>
        <v>0.15300184356125993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171.61559999999966</v>
      </c>
      <c r="D196" s="11">
        <f t="shared" si="140"/>
        <v>43.451664809566452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1660.1683599334929</v>
      </c>
      <c r="H196" s="67">
        <f t="shared" ref="H196:H203" si="192">(B196+E196+F196)*44/12+(C196+D196)*0.475*44/12</f>
        <v>667.90881954332758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-2.2737367544323206E-13</v>
      </c>
      <c r="O196" s="13">
        <f>N196*VLOOKUP('Données projet'!$B$9,Paramètres!$A$1:$I$89,3,0)*VLOOKUP('Données projet'!$B$9,Paramètres!$A$1:$I$89,5,0)</f>
        <v>-1.2710188457276673E-13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255.5374979188561</v>
      </c>
      <c r="T196" s="59">
        <f t="shared" si="142"/>
        <v>343.10418468620901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0.12246853598123346</v>
      </c>
      <c r="AA196" s="21">
        <f>EXP(-LN(2)/25)*AA195+(1-EXP(-LN(2)/25))/(LN(2)/25)*Calculateur!V196*Calculateur!X196*VLOOKUP('Données projet'!$B$9,Paramètres!$A$1:$I$89,3,0)*0.475*44/12</f>
        <v>0.1739099244941609</v>
      </c>
      <c r="AB196" s="21">
        <f>EXP(-LN(2)/2)*AB195+(1-EXP(-LN(2)/2))/(LN(2)/2)*V196*Y196*VLOOKUP('Données projet'!$B$9,Paramètres!$A$1:$I$89,3,0)*0.475*44/12</f>
        <v>4.9502034953352792E-25</v>
      </c>
      <c r="AC196" s="22">
        <f t="shared" si="163"/>
        <v>0.29637846047539435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0</v>
      </c>
      <c r="AJ196" s="13">
        <f>AI196*VLOOKUP('Données projet'!$B$10,Paramètres!$A$1:$I$89,3,0)*VLOOKUP('Données projet'!$B$10,Paramètres!$A$1:$I$89,5,0)</f>
        <v>0</v>
      </c>
      <c r="AK196" s="13" t="e">
        <f t="shared" si="164"/>
        <v>#NUM!</v>
      </c>
      <c r="AL196" s="20" t="e">
        <f t="shared" si="165"/>
        <v>#NUM!</v>
      </c>
      <c r="AM196" s="59" t="e">
        <f t="shared" ref="AM196:AM203" si="193">AL196+(AD196+AE196)*44/12</f>
        <v>#NUM!</v>
      </c>
      <c r="AN196" s="59">
        <f ca="1">AVERAGE(OFFSET($AM$3,0,0,'Données projet'!$E$10+1,1))-AVERAGE(OFFSET($H$3,0,0,'Données projet'!$E$10+1,1))</f>
        <v>255.41017495879987</v>
      </c>
      <c r="AO196" s="59">
        <f t="shared" si="144"/>
        <v>297.50513563712764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0.3306996872085855</v>
      </c>
      <c r="AV196" s="21">
        <f>EXP(-LN(2)/25)*AV195+(1-EXP(-LN(2)/25))/(LN(2)/25)*Calculateur!AQ196*Calculateur!AS196*VLOOKUP('Données projet'!$B$10,Paramètres!$A$1:$I$89,3,0)*0.475*44/12</f>
        <v>0.30368219898711052</v>
      </c>
      <c r="AW196" s="21">
        <f>EXP(-LN(2)/2)*AW195+(1-EXP(-LN(2)/2))/(LN(2)/2)*AQ196*AT196*VLOOKUP('Données projet'!$B$10,Paramètres!$A$1:$I$89,3,0)*0.475*44/12</f>
        <v>7.1361895998877871E-24</v>
      </c>
      <c r="AX196" s="21">
        <f t="shared" si="166"/>
        <v>0.63438188619569602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-5.1159076974727213E-13</v>
      </c>
      <c r="BE196" s="13">
        <f>BD196*VLOOKUP('Données projet'!$B$11,Paramètres!$A$1:$I$89,3,0)*VLOOKUP('Données projet'!$B$11,Paramètres!$A$1:$I$89,5,0)</f>
        <v>-4.0702161641092972E-13</v>
      </c>
      <c r="BF196" s="13" t="e">
        <f t="shared" si="167"/>
        <v>#NUM!</v>
      </c>
      <c r="BG196" s="20" t="e">
        <f t="shared" si="168"/>
        <v>#NUM!</v>
      </c>
      <c r="BH196" s="59" t="e">
        <f t="shared" ref="BH196:BH203" si="194">BG196+(AY196+AZ196)*44/12</f>
        <v>#NUM!</v>
      </c>
      <c r="BI196" s="59">
        <f ca="1">AVERAGE(OFFSET($BH$3,0,0,'Données projet'!$E$11+1,1))-AVERAGE(OFFSET($H$3,0,0,'Données projet'!$E$11+1,1))</f>
        <v>260.20517190557814</v>
      </c>
      <c r="BJ196" s="59">
        <f t="shared" si="146"/>
        <v>307.22009971147133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0.12932309816620477</v>
      </c>
      <c r="BQ196" s="21">
        <f>EXP(-LN(2)/25)*BQ195+(1-EXP(-LN(2)/25))/(LN(2)/25)*Calculateur!BL196*Calculateur!BN196*VLOOKUP('Données projet'!$B$11,Paramètres!$A$1:$I$89,3,0)*0.475*44/12</f>
        <v>0.2235905151284151</v>
      </c>
      <c r="BR196" s="21">
        <f>EXP(-LN(2)/2)*BR195+(1-EXP(-LN(2)/2))/(LN(2)/2)*BL196*BO196*VLOOKUP('Données projet'!$B$11,Paramètres!$A$1:$I$89,3,0)*0.475*44/12</f>
        <v>7.0302759100301513E-24</v>
      </c>
      <c r="BS196" s="22">
        <f t="shared" si="169"/>
        <v>0.3529136132946199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268.00000000000017</v>
      </c>
      <c r="BZ196" s="13">
        <f>BY196*VLOOKUP('Données projet'!$B$12,Paramètres!$A$1:$I$89,3,0)*VLOOKUP('Données projet'!$B$12,Paramètres!$A$1:$I$89,5,0)</f>
        <v>175.59360000000012</v>
      </c>
      <c r="CA196" s="13">
        <f t="shared" si="170"/>
        <v>44.340433728638573</v>
      </c>
      <c r="CB196" s="20">
        <f t="shared" si="171"/>
        <v>383.05177541071242</v>
      </c>
      <c r="CC196" s="59">
        <f t="shared" ref="CC196:CC203" si="195">CB196+(BT196+BU196)*44/12</f>
        <v>676.38510874404574</v>
      </c>
      <c r="CD196" s="59">
        <f ca="1">AVERAGE(OFFSET($CC$3,0,0,'Données projet'!$E$12+1,1))-AVERAGE(OFFSET($H$3,0,0,'Données projet'!$E$12+1,1))</f>
        <v>185.21927898775016</v>
      </c>
      <c r="CE196" s="59">
        <f t="shared" si="148"/>
        <v>240.82467772396944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6.1719125650907924E-2</v>
      </c>
      <c r="CL196" s="21">
        <f>EXP(-LN(2)/25)*CL195+(1-EXP(-LN(2)/25))/(LN(2)/25)*Calculateur!CG196*Calculateur!CI196*VLOOKUP('Données projet'!$B$12,Paramètres!$A$1:$I$89,3,0)*0.475*44/12</f>
        <v>8.7585862314629045E-2</v>
      </c>
      <c r="CM196" s="21">
        <f>EXP(-LN(2)/2)*CM195+(1-EXP(-LN(2)/2))/(LN(2)/2)*CG196*CJ196*VLOOKUP('Données projet'!$B$12,Paramètres!$A$1:$I$89,3,0)*0.475*44/12</f>
        <v>4.0932846493656021E-24</v>
      </c>
      <c r="CN196" s="22">
        <f t="shared" si="172"/>
        <v>0.14930498796553698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172.50479999999965</v>
      </c>
      <c r="D197" s="11">
        <f t="shared" ref="D197:D203" si="202">IFERROR(EXP(-1.0587+0.8836*LN(C197)+0.284),0)</f>
        <v>43.650537013927277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1668.5675137917167</v>
      </c>
      <c r="H197" s="67">
        <f t="shared" si="192"/>
        <v>669.80387863258932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-2.2737367544323206E-13</v>
      </c>
      <c r="O197" s="13">
        <f>N197*VLOOKUP('Données projet'!$B$9,Paramètres!$A$1:$I$89,3,0)*VLOOKUP('Données projet'!$B$9,Paramètres!$A$1:$I$89,5,0)</f>
        <v>-1.2710188457276673E-13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255.5374979188561</v>
      </c>
      <c r="T197" s="59">
        <f t="shared" ref="T197:T203" si="204">$T$3</f>
        <v>343.10418468620901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0.12006700268907256</v>
      </c>
      <c r="AA197" s="21">
        <f>EXP(-LN(2)/25)*AA196+(1-EXP(-LN(2)/25))/(LN(2)/25)*Calculateur!V197*Calculateur!X197*VLOOKUP('Données projet'!$B$9,Paramètres!$A$1:$I$89,3,0)*0.475*44/12</f>
        <v>0.16915434846334262</v>
      </c>
      <c r="AB197" s="21">
        <f>EXP(-LN(2)/2)*AB196+(1-EXP(-LN(2)/2))/(LN(2)/2)*V197*Y197*VLOOKUP('Données projet'!$B$9,Paramètres!$A$1:$I$89,3,0)*0.475*44/12</f>
        <v>3.500322459804926E-25</v>
      </c>
      <c r="AC197" s="22">
        <f t="shared" si="163"/>
        <v>0.28922135115241521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0</v>
      </c>
      <c r="AJ197" s="13">
        <f>AI197*VLOOKUP('Données projet'!$B$10,Paramètres!$A$1:$I$89,3,0)*VLOOKUP('Données projet'!$B$10,Paramètres!$A$1:$I$89,5,0)</f>
        <v>0</v>
      </c>
      <c r="AK197" s="13" t="e">
        <f t="shared" si="164"/>
        <v>#NUM!</v>
      </c>
      <c r="AL197" s="20" t="e">
        <f t="shared" si="165"/>
        <v>#NUM!</v>
      </c>
      <c r="AM197" s="59" t="e">
        <f t="shared" si="193"/>
        <v>#NUM!</v>
      </c>
      <c r="AN197" s="59">
        <f ca="1">AVERAGE(OFFSET($AM$3,0,0,'Données projet'!$E$10+1,1))-AVERAGE(OFFSET($H$3,0,0,'Données projet'!$E$10+1,1))</f>
        <v>255.41017495879987</v>
      </c>
      <c r="AO197" s="59">
        <f t="shared" ref="AO197:AO203" si="205">$AO$3</f>
        <v>297.50513563712764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0.32421486804931743</v>
      </c>
      <c r="AV197" s="21">
        <f>EXP(-LN(2)/25)*AV196+(1-EXP(-LN(2)/25))/(LN(2)/25)*Calculateur!AQ197*Calculateur!AS197*VLOOKUP('Données projet'!$B$10,Paramètres!$A$1:$I$89,3,0)*0.475*44/12</f>
        <v>0.29537799328585523</v>
      </c>
      <c r="AW197" s="21">
        <f>EXP(-LN(2)/2)*AW196+(1-EXP(-LN(2)/2))/(LN(2)/2)*AQ197*AT197*VLOOKUP('Données projet'!$B$10,Paramètres!$A$1:$I$89,3,0)*0.475*44/12</f>
        <v>5.0460480579135697E-24</v>
      </c>
      <c r="AX197" s="21">
        <f t="shared" si="166"/>
        <v>0.61959286133517266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-5.1159076974727213E-13</v>
      </c>
      <c r="BE197" s="13">
        <f>BD197*VLOOKUP('Données projet'!$B$11,Paramètres!$A$1:$I$89,3,0)*VLOOKUP('Données projet'!$B$11,Paramètres!$A$1:$I$89,5,0)</f>
        <v>-4.0702161641092972E-13</v>
      </c>
      <c r="BF197" s="13" t="e">
        <f t="shared" si="167"/>
        <v>#NUM!</v>
      </c>
      <c r="BG197" s="20" t="e">
        <f t="shared" si="168"/>
        <v>#NUM!</v>
      </c>
      <c r="BH197" s="59" t="e">
        <f t="shared" si="194"/>
        <v>#NUM!</v>
      </c>
      <c r="BI197" s="59">
        <f ca="1">AVERAGE(OFFSET($BH$3,0,0,'Données projet'!$E$11+1,1))-AVERAGE(OFFSET($H$3,0,0,'Données projet'!$E$11+1,1))</f>
        <v>260.20517190557814</v>
      </c>
      <c r="BJ197" s="59">
        <f t="shared" ref="BJ197:BJ203" si="206">$BJ$3</f>
        <v>307.22009971147133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0.1267871510904667</v>
      </c>
      <c r="BQ197" s="21">
        <f>EXP(-LN(2)/25)*BQ196+(1-EXP(-LN(2)/25))/(LN(2)/25)*Calculateur!BL197*Calculateur!BN197*VLOOKUP('Données projet'!$B$11,Paramètres!$A$1:$I$89,3,0)*0.475*44/12</f>
        <v>0.21747642073411441</v>
      </c>
      <c r="BR197" s="21">
        <f>EXP(-LN(2)/2)*BR196+(1-EXP(-LN(2)/2))/(LN(2)/2)*BL197*BO197*VLOOKUP('Données projet'!$B$11,Paramètres!$A$1:$I$89,3,0)*0.475*44/12</f>
        <v>4.9711557695947465E-24</v>
      </c>
      <c r="BS197" s="22">
        <f t="shared" si="169"/>
        <v>0.34426357182458112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268.00000000000017</v>
      </c>
      <c r="BZ197" s="13">
        <f>BY197*VLOOKUP('Données projet'!$B$12,Paramètres!$A$1:$I$89,3,0)*VLOOKUP('Données projet'!$B$12,Paramètres!$A$1:$I$89,5,0)</f>
        <v>175.59360000000012</v>
      </c>
      <c r="CA197" s="13">
        <f t="shared" si="170"/>
        <v>44.340433728638573</v>
      </c>
      <c r="CB197" s="20">
        <f t="shared" si="171"/>
        <v>383.05177541071242</v>
      </c>
      <c r="CC197" s="59">
        <f t="shared" si="195"/>
        <v>676.38510874404574</v>
      </c>
      <c r="CD197" s="59">
        <f ca="1">AVERAGE(OFFSET($CC$3,0,0,'Données projet'!$E$12+1,1))-AVERAGE(OFFSET($H$3,0,0,'Données projet'!$E$12+1,1))</f>
        <v>185.21927898775016</v>
      </c>
      <c r="CE197" s="59">
        <f t="shared" ref="CE197:CE203" si="207">$CE$3</f>
        <v>240.82467772396944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6.0508851241843138E-2</v>
      </c>
      <c r="CL197" s="21">
        <f>EXP(-LN(2)/25)*CL196+(1-EXP(-LN(2)/25))/(LN(2)/25)*Calculateur!CG197*Calculateur!CI197*VLOOKUP('Données projet'!$B$12,Paramètres!$A$1:$I$89,3,0)*0.475*44/12</f>
        <v>8.5190822303695193E-2</v>
      </c>
      <c r="CM197" s="21">
        <f>EXP(-LN(2)/2)*CM196+(1-EXP(-LN(2)/2))/(LN(2)/2)*CG197*CJ197*VLOOKUP('Données projet'!$B$12,Paramètres!$A$1:$I$89,3,0)*0.475*44/12</f>
        <v>2.8943893328932167E-24</v>
      </c>
      <c r="CN197" s="22">
        <f t="shared" si="172"/>
        <v>0.14569967354553834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173.39399999999964</v>
      </c>
      <c r="D198" s="11">
        <f t="shared" si="202"/>
        <v>43.849289930196555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1676.9657468295848</v>
      </c>
      <c r="H198" s="67">
        <f t="shared" si="192"/>
        <v>671.69872996175832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-2.2737367544323206E-13</v>
      </c>
      <c r="O198" s="13">
        <f>N198*VLOOKUP('Données projet'!$B$9,Paramètres!$A$1:$I$89,3,0)*VLOOKUP('Données projet'!$B$9,Paramètres!$A$1:$I$89,5,0)</f>
        <v>-1.2710188457276673E-13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255.5374979188561</v>
      </c>
      <c r="T198" s="59">
        <f t="shared" si="204"/>
        <v>343.10418468620901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0.11771256199998026</v>
      </c>
      <c r="AA198" s="21">
        <f>EXP(-LN(2)/25)*AA197+(1-EXP(-LN(2)/25))/(LN(2)/25)*Calculateur!V198*Calculateur!X198*VLOOKUP('Données projet'!$B$9,Paramètres!$A$1:$I$89,3,0)*0.475*44/12</f>
        <v>0.16452881390917193</v>
      </c>
      <c r="AB198" s="21">
        <f>EXP(-LN(2)/2)*AB197+(1-EXP(-LN(2)/2))/(LN(2)/2)*V198*Y198*VLOOKUP('Données projet'!$B$9,Paramètres!$A$1:$I$89,3,0)*0.475*44/12</f>
        <v>2.4751017476676396E-25</v>
      </c>
      <c r="AC198" s="22">
        <f t="shared" si="163"/>
        <v>0.28224137590915221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0</v>
      </c>
      <c r="AJ198" s="13">
        <f>AI198*VLOOKUP('Données projet'!$B$10,Paramètres!$A$1:$I$89,3,0)*VLOOKUP('Données projet'!$B$10,Paramètres!$A$1:$I$89,5,0)</f>
        <v>0</v>
      </c>
      <c r="AK198" s="13" t="e">
        <f t="shared" si="164"/>
        <v>#NUM!</v>
      </c>
      <c r="AL198" s="20" t="e">
        <f t="shared" si="165"/>
        <v>#NUM!</v>
      </c>
      <c r="AM198" s="59" t="e">
        <f t="shared" si="193"/>
        <v>#NUM!</v>
      </c>
      <c r="AN198" s="59">
        <f ca="1">AVERAGE(OFFSET($AM$3,0,0,'Données projet'!$E$10+1,1))-AVERAGE(OFFSET($H$3,0,0,'Données projet'!$E$10+1,1))</f>
        <v>255.41017495879987</v>
      </c>
      <c r="AO198" s="59">
        <f t="shared" si="205"/>
        <v>297.50513563712764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0.31785721223841346</v>
      </c>
      <c r="AV198" s="21">
        <f>EXP(-LN(2)/25)*AV197+(1-EXP(-LN(2)/25))/(LN(2)/25)*Calculateur!AQ198*Calculateur!AS198*VLOOKUP('Données projet'!$B$10,Paramètres!$A$1:$I$89,3,0)*0.475*44/12</f>
        <v>0.28730086652619996</v>
      </c>
      <c r="AW198" s="21">
        <f>EXP(-LN(2)/2)*AW197+(1-EXP(-LN(2)/2))/(LN(2)/2)*AQ198*AT198*VLOOKUP('Données projet'!$B$10,Paramètres!$A$1:$I$89,3,0)*0.475*44/12</f>
        <v>3.5680947999438935E-24</v>
      </c>
      <c r="AX198" s="21">
        <f t="shared" si="166"/>
        <v>0.60515807876461336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-5.1159076974727213E-13</v>
      </c>
      <c r="BE198" s="13">
        <f>BD198*VLOOKUP('Données projet'!$B$11,Paramètres!$A$1:$I$89,3,0)*VLOOKUP('Données projet'!$B$11,Paramètres!$A$1:$I$89,5,0)</f>
        <v>-4.0702161641092972E-13</v>
      </c>
      <c r="BF198" s="13" t="e">
        <f t="shared" si="167"/>
        <v>#NUM!</v>
      </c>
      <c r="BG198" s="20" t="e">
        <f t="shared" si="168"/>
        <v>#NUM!</v>
      </c>
      <c r="BH198" s="59" t="e">
        <f t="shared" si="194"/>
        <v>#NUM!</v>
      </c>
      <c r="BI198" s="59">
        <f ca="1">AVERAGE(OFFSET($BH$3,0,0,'Données projet'!$E$11+1,1))-AVERAGE(OFFSET($H$3,0,0,'Données projet'!$E$11+1,1))</f>
        <v>260.20517190557814</v>
      </c>
      <c r="BJ198" s="59">
        <f t="shared" si="206"/>
        <v>307.22009971147133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0.12430093239010886</v>
      </c>
      <c r="BQ198" s="21">
        <f>EXP(-LN(2)/25)*BQ197+(1-EXP(-LN(2)/25))/(LN(2)/25)*Calculateur!BL198*Calculateur!BN198*VLOOKUP('Données projet'!$B$11,Paramètres!$A$1:$I$89,3,0)*0.475*44/12</f>
        <v>0.21152951657255215</v>
      </c>
      <c r="BR198" s="21">
        <f>EXP(-LN(2)/2)*BR197+(1-EXP(-LN(2)/2))/(LN(2)/2)*BL198*BO198*VLOOKUP('Données projet'!$B$11,Paramètres!$A$1:$I$89,3,0)*0.475*44/12</f>
        <v>3.5151379550150756E-24</v>
      </c>
      <c r="BS198" s="22">
        <f t="shared" si="169"/>
        <v>0.33583044896266101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268.00000000000017</v>
      </c>
      <c r="BZ198" s="13">
        <f>BY198*VLOOKUP('Données projet'!$B$12,Paramètres!$A$1:$I$89,3,0)*VLOOKUP('Données projet'!$B$12,Paramètres!$A$1:$I$89,5,0)</f>
        <v>175.59360000000012</v>
      </c>
      <c r="CA198" s="13">
        <f t="shared" si="170"/>
        <v>44.340433728638573</v>
      </c>
      <c r="CB198" s="20">
        <f t="shared" si="171"/>
        <v>383.05177541071242</v>
      </c>
      <c r="CC198" s="59">
        <f t="shared" si="195"/>
        <v>676.38510874404574</v>
      </c>
      <c r="CD198" s="59">
        <f ca="1">AVERAGE(OFFSET($CC$3,0,0,'Données projet'!$E$12+1,1))-AVERAGE(OFFSET($H$3,0,0,'Données projet'!$E$12+1,1))</f>
        <v>185.21927898775016</v>
      </c>
      <c r="CE198" s="59">
        <f t="shared" si="207"/>
        <v>240.82467772396944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5.9322309575745615E-2</v>
      </c>
      <c r="CL198" s="21">
        <f>EXP(-LN(2)/25)*CL197+(1-EXP(-LN(2)/25))/(LN(2)/25)*Calculateur!CG198*Calculateur!CI198*VLOOKUP('Données projet'!$B$12,Paramètres!$A$1:$I$89,3,0)*0.475*44/12</f>
        <v>8.286127478781001E-2</v>
      </c>
      <c r="CM198" s="21">
        <f>EXP(-LN(2)/2)*CM197+(1-EXP(-LN(2)/2))/(LN(2)/2)*CG198*CJ198*VLOOKUP('Données projet'!$B$12,Paramètres!$A$1:$I$89,3,0)*0.475*44/12</f>
        <v>2.046642324682801E-24</v>
      </c>
      <c r="CN198" s="22">
        <f t="shared" si="172"/>
        <v>0.14218358436355563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174.28319999999962</v>
      </c>
      <c r="D199" s="11">
        <f t="shared" si="202"/>
        <v>44.047924241116036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1685.3630643173844</v>
      </c>
      <c r="H199" s="67">
        <f t="shared" si="192"/>
        <v>673.59337471994309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-2.2737367544323206E-13</v>
      </c>
      <c r="O199" s="13">
        <f>N199*VLOOKUP('Données projet'!$B$9,Paramètres!$A$1:$I$89,3,0)*VLOOKUP('Données projet'!$B$9,Paramètres!$A$1:$I$89,5,0)</f>
        <v>-1.2710188457276673E-13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255.5374979188561</v>
      </c>
      <c r="T199" s="59">
        <f t="shared" si="204"/>
        <v>343.10418468620901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0.11540429045673405</v>
      </c>
      <c r="AA199" s="21">
        <f>EXP(-LN(2)/25)*AA198+(1-EXP(-LN(2)/25))/(LN(2)/25)*Calculateur!V199*Calculateur!X199*VLOOKUP('Données projet'!$B$9,Paramètres!$A$1:$I$89,3,0)*0.475*44/12</f>
        <v>0.16002976484063133</v>
      </c>
      <c r="AB199" s="21">
        <f>EXP(-LN(2)/2)*AB198+(1-EXP(-LN(2)/2))/(LN(2)/2)*V199*Y199*VLOOKUP('Données projet'!$B$9,Paramètres!$A$1:$I$89,3,0)*0.475*44/12</f>
        <v>1.750161229902463E-25</v>
      </c>
      <c r="AC199" s="22">
        <f t="shared" si="163"/>
        <v>0.27543405529736537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0</v>
      </c>
      <c r="AJ199" s="13">
        <f>AI199*VLOOKUP('Données projet'!$B$10,Paramètres!$A$1:$I$89,3,0)*VLOOKUP('Données projet'!$B$10,Paramètres!$A$1:$I$89,5,0)</f>
        <v>0</v>
      </c>
      <c r="AK199" s="13" t="e">
        <f t="shared" si="164"/>
        <v>#NUM!</v>
      </c>
      <c r="AL199" s="20" t="e">
        <f t="shared" si="165"/>
        <v>#NUM!</v>
      </c>
      <c r="AM199" s="59" t="e">
        <f t="shared" si="193"/>
        <v>#NUM!</v>
      </c>
      <c r="AN199" s="59">
        <f ca="1">AVERAGE(OFFSET($AM$3,0,0,'Données projet'!$E$10+1,1))-AVERAGE(OFFSET($H$3,0,0,'Données projet'!$E$10+1,1))</f>
        <v>255.41017495879987</v>
      </c>
      <c r="AO199" s="59">
        <f t="shared" si="205"/>
        <v>297.50513563712764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0.31162422618017421</v>
      </c>
      <c r="AV199" s="21">
        <f>EXP(-LN(2)/25)*AV198+(1-EXP(-LN(2)/25))/(LN(2)/25)*Calculateur!AQ199*Calculateur!AS199*VLOOKUP('Données projet'!$B$10,Paramètres!$A$1:$I$89,3,0)*0.475*44/12</f>
        <v>0.2794446092225451</v>
      </c>
      <c r="AW199" s="21">
        <f>EXP(-LN(2)/2)*AW198+(1-EXP(-LN(2)/2))/(LN(2)/2)*AQ199*AT199*VLOOKUP('Données projet'!$B$10,Paramètres!$A$1:$I$89,3,0)*0.475*44/12</f>
        <v>2.5230240289567848E-24</v>
      </c>
      <c r="AX199" s="21">
        <f t="shared" si="166"/>
        <v>0.59106883540271937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-5.1159076974727213E-13</v>
      </c>
      <c r="BE199" s="13">
        <f>BD199*VLOOKUP('Données projet'!$B$11,Paramètres!$A$1:$I$89,3,0)*VLOOKUP('Données projet'!$B$11,Paramètres!$A$1:$I$89,5,0)</f>
        <v>-4.0702161641092972E-13</v>
      </c>
      <c r="BF199" s="13" t="e">
        <f t="shared" si="167"/>
        <v>#NUM!</v>
      </c>
      <c r="BG199" s="20" t="e">
        <f t="shared" si="168"/>
        <v>#NUM!</v>
      </c>
      <c r="BH199" s="59" t="e">
        <f t="shared" si="194"/>
        <v>#NUM!</v>
      </c>
      <c r="BI199" s="59">
        <f ca="1">AVERAGE(OFFSET($BH$3,0,0,'Données projet'!$E$11+1,1))-AVERAGE(OFFSET($H$3,0,0,'Données projet'!$E$11+1,1))</f>
        <v>260.20517190557814</v>
      </c>
      <c r="BJ199" s="59">
        <f t="shared" si="206"/>
        <v>307.22009971147133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0.12186346692202137</v>
      </c>
      <c r="BQ199" s="21">
        <f>EXP(-LN(2)/25)*BQ198+(1-EXP(-LN(2)/25))/(LN(2)/25)*Calculateur!BL199*Calculateur!BN199*VLOOKUP('Données projet'!$B$11,Paramètres!$A$1:$I$89,3,0)*0.475*44/12</f>
        <v>0.2057452308180219</v>
      </c>
      <c r="BR199" s="21">
        <f>EXP(-LN(2)/2)*BR198+(1-EXP(-LN(2)/2))/(LN(2)/2)*BL199*BO199*VLOOKUP('Données projet'!$B$11,Paramètres!$A$1:$I$89,3,0)*0.475*44/12</f>
        <v>2.4855778847973732E-24</v>
      </c>
      <c r="BS199" s="22">
        <f t="shared" si="169"/>
        <v>0.32760869774004325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268.00000000000017</v>
      </c>
      <c r="BZ199" s="13">
        <f>BY199*VLOOKUP('Données projet'!$B$12,Paramètres!$A$1:$I$89,3,0)*VLOOKUP('Données projet'!$B$12,Paramètres!$A$1:$I$89,5,0)</f>
        <v>175.59360000000012</v>
      </c>
      <c r="CA199" s="13">
        <f t="shared" si="170"/>
        <v>44.340433728638573</v>
      </c>
      <c r="CB199" s="20">
        <f t="shared" si="171"/>
        <v>383.05177541071242</v>
      </c>
      <c r="CC199" s="59">
        <f t="shared" si="195"/>
        <v>676.38510874404574</v>
      </c>
      <c r="CD199" s="59">
        <f ca="1">AVERAGE(OFFSET($CC$3,0,0,'Données projet'!$E$12+1,1))-AVERAGE(OFFSET($H$3,0,0,'Données projet'!$E$12+1,1))</f>
        <v>185.21927898775016</v>
      </c>
      <c r="CE199" s="59">
        <f t="shared" si="207"/>
        <v>240.82467772396944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5.8159035268001306E-2</v>
      </c>
      <c r="CL199" s="21">
        <f>EXP(-LN(2)/25)*CL198+(1-EXP(-LN(2)/25))/(LN(2)/25)*Calculateur!CG199*Calculateur!CI199*VLOOKUP('Données projet'!$B$12,Paramètres!$A$1:$I$89,3,0)*0.475*44/12</f>
        <v>8.0595428871252289E-2</v>
      </c>
      <c r="CM199" s="21">
        <f>EXP(-LN(2)/2)*CM198+(1-EXP(-LN(2)/2))/(LN(2)/2)*CG199*CJ199*VLOOKUP('Données projet'!$B$12,Paramètres!$A$1:$I$89,3,0)*0.475*44/12</f>
        <v>1.4471946664466084E-24</v>
      </c>
      <c r="CN199" s="22">
        <f t="shared" si="172"/>
        <v>0.1387544641392536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175.17239999999961</v>
      </c>
      <c r="D200" s="11">
        <f t="shared" si="202"/>
        <v>44.246440622057428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1693.7594714685104</v>
      </c>
      <c r="H200" s="67">
        <f t="shared" si="192"/>
        <v>675.48781408341597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-2.2737367544323206E-13</v>
      </c>
      <c r="O200" s="13">
        <f>N200*VLOOKUP('Données projet'!$B$9,Paramètres!$A$1:$I$89,3,0)*VLOOKUP('Données projet'!$B$9,Paramètres!$A$1:$I$89,5,0)</f>
        <v>-1.2710188457276673E-13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255.5374979188561</v>
      </c>
      <c r="T200" s="59">
        <f t="shared" si="204"/>
        <v>343.10418468620901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0.11314128271054427</v>
      </c>
      <c r="AA200" s="21">
        <f>EXP(-LN(2)/25)*AA199+(1-EXP(-LN(2)/25))/(LN(2)/25)*Calculateur!V200*Calculateur!X200*VLOOKUP('Données projet'!$B$9,Paramètres!$A$1:$I$89,3,0)*0.475*44/12</f>
        <v>0.15565374250546468</v>
      </c>
      <c r="AB200" s="21">
        <f>EXP(-LN(2)/2)*AB199+(1-EXP(-LN(2)/2))/(LN(2)/2)*V200*Y200*VLOOKUP('Données projet'!$B$9,Paramètres!$A$1:$I$89,3,0)*0.475*44/12</f>
        <v>1.2375508738338198E-25</v>
      </c>
      <c r="AC200" s="22">
        <f t="shared" si="163"/>
        <v>0.26879502521600895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0</v>
      </c>
      <c r="AJ200" s="13">
        <f>AI200*VLOOKUP('Données projet'!$B$10,Paramètres!$A$1:$I$89,3,0)*VLOOKUP('Données projet'!$B$10,Paramètres!$A$1:$I$89,5,0)</f>
        <v>0</v>
      </c>
      <c r="AK200" s="13" t="e">
        <f t="shared" si="164"/>
        <v>#NUM!</v>
      </c>
      <c r="AL200" s="20" t="e">
        <f t="shared" si="165"/>
        <v>#NUM!</v>
      </c>
      <c r="AM200" s="59" t="e">
        <f t="shared" si="193"/>
        <v>#NUM!</v>
      </c>
      <c r="AN200" s="59">
        <f ca="1">AVERAGE(OFFSET($AM$3,0,0,'Données projet'!$E$10+1,1))-AVERAGE(OFFSET($H$3,0,0,'Données projet'!$E$10+1,1))</f>
        <v>255.41017495879987</v>
      </c>
      <c r="AO200" s="59">
        <f t="shared" si="205"/>
        <v>297.50513563712764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0.3055134651767909</v>
      </c>
      <c r="AV200" s="21">
        <f>EXP(-LN(2)/25)*AV199+(1-EXP(-LN(2)/25))/(LN(2)/25)*Calculateur!AQ200*Calculateur!AS200*VLOOKUP('Données projet'!$B$10,Paramètres!$A$1:$I$89,3,0)*0.475*44/12</f>
        <v>0.27180318168800127</v>
      </c>
      <c r="AW200" s="21">
        <f>EXP(-LN(2)/2)*AW199+(1-EXP(-LN(2)/2))/(LN(2)/2)*AQ200*AT200*VLOOKUP('Données projet'!$B$10,Paramètres!$A$1:$I$89,3,0)*0.475*44/12</f>
        <v>1.7840473999719468E-24</v>
      </c>
      <c r="AX200" s="21">
        <f t="shared" si="166"/>
        <v>0.57731664686479212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-5.1159076974727213E-13</v>
      </c>
      <c r="BE200" s="13">
        <f>BD200*VLOOKUP('Données projet'!$B$11,Paramètres!$A$1:$I$89,3,0)*VLOOKUP('Données projet'!$B$11,Paramètres!$A$1:$I$89,5,0)</f>
        <v>-4.0702161641092972E-13</v>
      </c>
      <c r="BF200" s="13" t="e">
        <f t="shared" si="167"/>
        <v>#NUM!</v>
      </c>
      <c r="BG200" s="20" t="e">
        <f t="shared" si="168"/>
        <v>#NUM!</v>
      </c>
      <c r="BH200" s="59" t="e">
        <f t="shared" si="194"/>
        <v>#NUM!</v>
      </c>
      <c r="BI200" s="59">
        <f ca="1">AVERAGE(OFFSET($BH$3,0,0,'Données projet'!$E$11+1,1))-AVERAGE(OFFSET($H$3,0,0,'Données projet'!$E$11+1,1))</f>
        <v>260.20517190557814</v>
      </c>
      <c r="BJ200" s="59">
        <f t="shared" si="206"/>
        <v>307.22009971147133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0.11947379866505593</v>
      </c>
      <c r="BQ200" s="21">
        <f>EXP(-LN(2)/25)*BQ199+(1-EXP(-LN(2)/25))/(LN(2)/25)*Calculateur!BL200*Calculateur!BN200*VLOOKUP('Données projet'!$B$11,Paramètres!$A$1:$I$89,3,0)*0.475*44/12</f>
        <v>0.20011911666163165</v>
      </c>
      <c r="BR200" s="21">
        <f>EXP(-LN(2)/2)*BR199+(1-EXP(-LN(2)/2))/(LN(2)/2)*BL200*BO200*VLOOKUP('Données projet'!$B$11,Paramètres!$A$1:$I$89,3,0)*0.475*44/12</f>
        <v>1.7575689775075378E-24</v>
      </c>
      <c r="BS200" s="22">
        <f t="shared" si="169"/>
        <v>0.3195929153266876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268.00000000000017</v>
      </c>
      <c r="BZ200" s="13">
        <f>BY200*VLOOKUP('Données projet'!$B$12,Paramètres!$A$1:$I$89,3,0)*VLOOKUP('Données projet'!$B$12,Paramètres!$A$1:$I$89,5,0)</f>
        <v>175.59360000000012</v>
      </c>
      <c r="CA200" s="13">
        <f t="shared" si="170"/>
        <v>44.340433728638573</v>
      </c>
      <c r="CB200" s="20">
        <f t="shared" si="171"/>
        <v>383.05177541071242</v>
      </c>
      <c r="CC200" s="59">
        <f t="shared" si="195"/>
        <v>676.38510874404574</v>
      </c>
      <c r="CD200" s="59">
        <f ca="1">AVERAGE(OFFSET($CC$3,0,0,'Données projet'!$E$12+1,1))-AVERAGE(OFFSET($H$3,0,0,'Données projet'!$E$12+1,1))</f>
        <v>185.21927898775016</v>
      </c>
      <c r="CE200" s="59">
        <f t="shared" si="207"/>
        <v>240.82467772396944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5.7018572059904599E-2</v>
      </c>
      <c r="CL200" s="21">
        <f>EXP(-LN(2)/25)*CL199+(1-EXP(-LN(2)/25))/(LN(2)/25)*Calculateur!CG200*Calculateur!CI200*VLOOKUP('Données projet'!$B$12,Paramètres!$A$1:$I$89,3,0)*0.475*44/12</f>
        <v>7.8391542630438488E-2</v>
      </c>
      <c r="CM200" s="21">
        <f>EXP(-LN(2)/2)*CM199+(1-EXP(-LN(2)/2))/(LN(2)/2)*CG200*CJ200*VLOOKUP('Données projet'!$B$12,Paramètres!$A$1:$I$89,3,0)*0.475*44/12</f>
        <v>1.0233211623414005E-24</v>
      </c>
      <c r="CN200" s="22">
        <f t="shared" si="172"/>
        <v>0.13541011469034309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176.0615999999996</v>
      </c>
      <c r="D201" s="11">
        <f t="shared" si="202"/>
        <v>44.44483974113885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1702.154973440367</v>
      </c>
      <c r="H201" s="67">
        <f t="shared" si="192"/>
        <v>677.3820492158161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-2.2737367544323206E-13</v>
      </c>
      <c r="O201" s="13">
        <f>N201*VLOOKUP('Données projet'!$B$9,Paramètres!$A$1:$I$89,3,0)*VLOOKUP('Données projet'!$B$9,Paramètres!$A$1:$I$89,5,0)</f>
        <v>-1.2710188457276673E-13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255.5374979188561</v>
      </c>
      <c r="T201" s="59">
        <f t="shared" si="204"/>
        <v>343.10418468620901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0.11092265116595884</v>
      </c>
      <c r="AA201" s="21">
        <f>EXP(-LN(2)/25)*AA200+(1-EXP(-LN(2)/25))/(LN(2)/25)*Calculateur!V201*Calculateur!X201*VLOOKUP('Données projet'!$B$9,Paramètres!$A$1:$I$89,3,0)*0.475*44/12</f>
        <v>0.15139738273117817</v>
      </c>
      <c r="AB201" s="21">
        <f>EXP(-LN(2)/2)*AB200+(1-EXP(-LN(2)/2))/(LN(2)/2)*V201*Y201*VLOOKUP('Données projet'!$B$9,Paramètres!$A$1:$I$89,3,0)*0.475*44/12</f>
        <v>8.7508061495123151E-26</v>
      </c>
      <c r="AC201" s="22">
        <f t="shared" si="163"/>
        <v>0.26232003389713698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0</v>
      </c>
      <c r="AJ201" s="13">
        <f>AI201*VLOOKUP('Données projet'!$B$10,Paramètres!$A$1:$I$89,3,0)*VLOOKUP('Données projet'!$B$10,Paramètres!$A$1:$I$89,5,0)</f>
        <v>0</v>
      </c>
      <c r="AK201" s="13" t="e">
        <f t="shared" si="164"/>
        <v>#NUM!</v>
      </c>
      <c r="AL201" s="20" t="e">
        <f t="shared" si="165"/>
        <v>#NUM!</v>
      </c>
      <c r="AM201" s="59" t="e">
        <f t="shared" si="193"/>
        <v>#NUM!</v>
      </c>
      <c r="AN201" s="59">
        <f ca="1">AVERAGE(OFFSET($AM$3,0,0,'Données projet'!$E$10+1,1))-AVERAGE(OFFSET($H$3,0,0,'Données projet'!$E$10+1,1))</f>
        <v>255.41017495879987</v>
      </c>
      <c r="AO201" s="59">
        <f t="shared" si="205"/>
        <v>297.50513563712764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0.29952253246948779</v>
      </c>
      <c r="AV201" s="21">
        <f>EXP(-LN(2)/25)*AV200+(1-EXP(-LN(2)/25))/(LN(2)/25)*Calculateur!AQ201*Calculateur!AS201*VLOOKUP('Données projet'!$B$10,Paramètres!$A$1:$I$89,3,0)*0.475*44/12</f>
        <v>0.26437070939123475</v>
      </c>
      <c r="AW201" s="21">
        <f>EXP(-LN(2)/2)*AW200+(1-EXP(-LN(2)/2))/(LN(2)/2)*AQ201*AT201*VLOOKUP('Données projet'!$B$10,Paramètres!$A$1:$I$89,3,0)*0.475*44/12</f>
        <v>1.2615120144783924E-24</v>
      </c>
      <c r="AX201" s="21">
        <f t="shared" si="166"/>
        <v>0.56389324186072254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-5.1159076974727213E-13</v>
      </c>
      <c r="BE201" s="13">
        <f>BD201*VLOOKUP('Données projet'!$B$11,Paramètres!$A$1:$I$89,3,0)*VLOOKUP('Données projet'!$B$11,Paramètres!$A$1:$I$89,5,0)</f>
        <v>-4.0702161641092972E-13</v>
      </c>
      <c r="BF201" s="13" t="e">
        <f t="shared" si="167"/>
        <v>#NUM!</v>
      </c>
      <c r="BG201" s="20" t="e">
        <f t="shared" si="168"/>
        <v>#NUM!</v>
      </c>
      <c r="BH201" s="59" t="e">
        <f t="shared" si="194"/>
        <v>#NUM!</v>
      </c>
      <c r="BI201" s="59">
        <f ca="1">AVERAGE(OFFSET($BH$3,0,0,'Données projet'!$E$11+1,1))-AVERAGE(OFFSET($H$3,0,0,'Données projet'!$E$11+1,1))</f>
        <v>260.20517190557814</v>
      </c>
      <c r="BJ201" s="59">
        <f t="shared" si="206"/>
        <v>307.22009971147133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0.11713099034505588</v>
      </c>
      <c r="BQ201" s="21">
        <f>EXP(-LN(2)/25)*BQ200+(1-EXP(-LN(2)/25))/(LN(2)/25)*Calculateur!BL201*Calculateur!BN201*VLOOKUP('Données projet'!$B$11,Paramètres!$A$1:$I$89,3,0)*0.475*44/12</f>
        <v>0.19464684889271236</v>
      </c>
      <c r="BR201" s="21">
        <f>EXP(-LN(2)/2)*BR200+(1-EXP(-LN(2)/2))/(LN(2)/2)*BL201*BO201*VLOOKUP('Données projet'!$B$11,Paramètres!$A$1:$I$89,3,0)*0.475*44/12</f>
        <v>1.2427889423986866E-24</v>
      </c>
      <c r="BS201" s="22">
        <f t="shared" si="169"/>
        <v>0.31177783923776825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268.00000000000017</v>
      </c>
      <c r="BZ201" s="13">
        <f>BY201*VLOOKUP('Données projet'!$B$12,Paramètres!$A$1:$I$89,3,0)*VLOOKUP('Données projet'!$B$12,Paramètres!$A$1:$I$89,5,0)</f>
        <v>175.59360000000012</v>
      </c>
      <c r="CA201" s="13">
        <f t="shared" si="170"/>
        <v>44.340433728638573</v>
      </c>
      <c r="CB201" s="20">
        <f t="shared" si="171"/>
        <v>383.05177541071242</v>
      </c>
      <c r="CC201" s="59">
        <f t="shared" si="195"/>
        <v>676.38510874404574</v>
      </c>
      <c r="CD201" s="59">
        <f ca="1">AVERAGE(OFFSET($CC$3,0,0,'Données projet'!$E$12+1,1))-AVERAGE(OFFSET($H$3,0,0,'Données projet'!$E$12+1,1))</f>
        <v>185.21927898775016</v>
      </c>
      <c r="CE201" s="59">
        <f t="shared" si="207"/>
        <v>240.82467772396944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5.5900472639704796E-2</v>
      </c>
      <c r="CL201" s="21">
        <f>EXP(-LN(2)/25)*CL200+(1-EXP(-LN(2)/25))/(LN(2)/25)*Calculateur!CG201*Calculateur!CI201*VLOOKUP('Données projet'!$B$12,Paramètres!$A$1:$I$89,3,0)*0.475*44/12</f>
        <v>7.6247921774777086E-2</v>
      </c>
      <c r="CM201" s="21">
        <f>EXP(-LN(2)/2)*CM200+(1-EXP(-LN(2)/2))/(LN(2)/2)*CG201*CJ201*VLOOKUP('Données projet'!$B$12,Paramètres!$A$1:$I$89,3,0)*0.475*44/12</f>
        <v>7.2359733322330418E-25</v>
      </c>
      <c r="CN201" s="22">
        <f t="shared" si="172"/>
        <v>0.1321483944144819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176.95079999999959</v>
      </c>
      <c r="D202" s="11">
        <f t="shared" si="202"/>
        <v>44.643122259339037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1710.5495753352454</v>
      </c>
      <c r="H202" s="67">
        <f t="shared" si="192"/>
        <v>679.27608126834809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-2.2737367544323206E-13</v>
      </c>
      <c r="O202" s="13">
        <f>N202*VLOOKUP('Données projet'!$B$9,Paramètres!$A$1:$I$89,3,0)*VLOOKUP('Données projet'!$B$9,Paramètres!$A$1:$I$89,5,0)</f>
        <v>-1.2710188457276673E-13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255.5374979188561</v>
      </c>
      <c r="T202" s="59">
        <f t="shared" si="204"/>
        <v>343.10418468620901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0.10874752563273112</v>
      </c>
      <c r="AA202" s="21">
        <f>EXP(-LN(2)/25)*AA201+(1-EXP(-LN(2)/25))/(LN(2)/25)*Calculateur!V202*Calculateur!X202*VLOOKUP('Données projet'!$B$9,Paramètres!$A$1:$I$89,3,0)*0.475*44/12</f>
        <v>0.14725741333875178</v>
      </c>
      <c r="AB202" s="21">
        <f>EXP(-LN(2)/2)*AB201+(1-EXP(-LN(2)/2))/(LN(2)/2)*V202*Y202*VLOOKUP('Données projet'!$B$9,Paramètres!$A$1:$I$89,3,0)*0.475*44/12</f>
        <v>6.187754369169099E-26</v>
      </c>
      <c r="AC202" s="22">
        <f t="shared" si="163"/>
        <v>0.25600493897148291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0</v>
      </c>
      <c r="AJ202" s="13">
        <f>AI202*VLOOKUP('Données projet'!$B$10,Paramètres!$A$1:$I$89,3,0)*VLOOKUP('Données projet'!$B$10,Paramètres!$A$1:$I$89,5,0)</f>
        <v>0</v>
      </c>
      <c r="AK202" s="13" t="e">
        <f t="shared" si="164"/>
        <v>#NUM!</v>
      </c>
      <c r="AL202" s="20" t="e">
        <f t="shared" si="165"/>
        <v>#NUM!</v>
      </c>
      <c r="AM202" s="59" t="e">
        <f t="shared" si="193"/>
        <v>#NUM!</v>
      </c>
      <c r="AN202" s="59">
        <f ca="1">AVERAGE(OFFSET($AM$3,0,0,'Données projet'!$E$10+1,1))-AVERAGE(OFFSET($H$3,0,0,'Données projet'!$E$10+1,1))</f>
        <v>255.41017495879987</v>
      </c>
      <c r="AO202" s="59">
        <f t="shared" si="205"/>
        <v>297.50513563712764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0.29364907829846676</v>
      </c>
      <c r="AV202" s="21">
        <f>EXP(-LN(2)/25)*AV201+(1-EXP(-LN(2)/25))/(LN(2)/25)*Calculateur!AQ202*Calculateur!AS202*VLOOKUP('Données projet'!$B$10,Paramètres!$A$1:$I$89,3,0)*0.475*44/12</f>
        <v>0.25714147844028007</v>
      </c>
      <c r="AW202" s="21">
        <f>EXP(-LN(2)/2)*AW201+(1-EXP(-LN(2)/2))/(LN(2)/2)*AQ202*AT202*VLOOKUP('Données projet'!$B$10,Paramètres!$A$1:$I$89,3,0)*0.475*44/12</f>
        <v>8.9202369998597338E-25</v>
      </c>
      <c r="AX202" s="21">
        <f t="shared" si="166"/>
        <v>0.55079055673874677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-5.1159076974727213E-13</v>
      </c>
      <c r="BE202" s="13">
        <f>BD202*VLOOKUP('Données projet'!$B$11,Paramètres!$A$1:$I$89,3,0)*VLOOKUP('Données projet'!$B$11,Paramètres!$A$1:$I$89,5,0)</f>
        <v>-4.0702161641092972E-13</v>
      </c>
      <c r="BF202" s="13" t="e">
        <f t="shared" si="167"/>
        <v>#NUM!</v>
      </c>
      <c r="BG202" s="20" t="e">
        <f t="shared" si="168"/>
        <v>#NUM!</v>
      </c>
      <c r="BH202" s="59" t="e">
        <f t="shared" si="194"/>
        <v>#NUM!</v>
      </c>
      <c r="BI202" s="59">
        <f ca="1">AVERAGE(OFFSET($BH$3,0,0,'Données projet'!$E$11+1,1))-AVERAGE(OFFSET($H$3,0,0,'Données projet'!$E$11+1,1))</f>
        <v>260.20517190557814</v>
      </c>
      <c r="BJ202" s="59">
        <f t="shared" si="206"/>
        <v>307.22009971147133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0.11483412306723904</v>
      </c>
      <c r="BQ202" s="21">
        <f>EXP(-LN(2)/25)*BQ201+(1-EXP(-LN(2)/25))/(LN(2)/25)*Calculateur!BL202*Calculateur!BN202*VLOOKUP('Données projet'!$B$11,Paramètres!$A$1:$I$89,3,0)*0.475*44/12</f>
        <v>0.18932422057370824</v>
      </c>
      <c r="BR202" s="21">
        <f>EXP(-LN(2)/2)*BR201+(1-EXP(-LN(2)/2))/(LN(2)/2)*BL202*BO202*VLOOKUP('Données projet'!$B$11,Paramètres!$A$1:$I$89,3,0)*0.475*44/12</f>
        <v>8.7878448875376891E-25</v>
      </c>
      <c r="BS202" s="22">
        <f t="shared" si="169"/>
        <v>0.30415834364094729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268.00000000000017</v>
      </c>
      <c r="BZ202" s="13">
        <f>BY202*VLOOKUP('Données projet'!$B$12,Paramètres!$A$1:$I$89,3,0)*VLOOKUP('Données projet'!$B$12,Paramètres!$A$1:$I$89,5,0)</f>
        <v>175.59360000000012</v>
      </c>
      <c r="CA202" s="13">
        <f t="shared" si="170"/>
        <v>44.340433728638573</v>
      </c>
      <c r="CB202" s="20">
        <f t="shared" si="171"/>
        <v>383.05177541071242</v>
      </c>
      <c r="CC202" s="59">
        <f t="shared" si="195"/>
        <v>676.38510874404574</v>
      </c>
      <c r="CD202" s="59">
        <f ca="1">AVERAGE(OFFSET($CC$3,0,0,'Données projet'!$E$12+1,1))-AVERAGE(OFFSET($H$3,0,0,'Données projet'!$E$12+1,1))</f>
        <v>185.21927898775016</v>
      </c>
      <c r="CE202" s="59">
        <f t="shared" si="207"/>
        <v>240.82467772396944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5.4804298467161804E-2</v>
      </c>
      <c r="CL202" s="21">
        <f>EXP(-LN(2)/25)*CL201+(1-EXP(-LN(2)/25))/(LN(2)/25)*Calculateur!CG202*Calculateur!CI202*VLOOKUP('Données projet'!$B$12,Paramètres!$A$1:$I$89,3,0)*0.475*44/12</f>
        <v>7.4162918344141862E-2</v>
      </c>
      <c r="CM202" s="21">
        <f>EXP(-LN(2)/2)*CM201+(1-EXP(-LN(2)/2))/(LN(2)/2)*CG202*CJ202*VLOOKUP('Données projet'!$B$12,Paramètres!$A$1:$I$89,3,0)*0.475*44/12</f>
        <v>5.1166058117070026E-25</v>
      </c>
      <c r="CN202" s="22">
        <f t="shared" si="172"/>
        <v>0.12896721681130366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35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177.83999999999958</v>
      </c>
      <c r="D203" s="11">
        <f t="shared" si="202"/>
        <v>44.841288830609059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1718.9432822011897</v>
      </c>
      <c r="H203" s="67">
        <f t="shared" si="192"/>
        <v>681.16991137997661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-2.2737367544323206E-13</v>
      </c>
      <c r="O203" s="13">
        <f>N203*VLOOKUP('Données projet'!$B$9,Paramètres!$A$1:$I$89,3,0)*VLOOKUP('Données projet'!$B$9,Paramètres!$A$1:$I$89,5,0)</f>
        <v>-1.2710188457276673E-13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255.5374979188561</v>
      </c>
      <c r="T203" s="59">
        <f t="shared" si="204"/>
        <v>343.10418468620901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0.1066150529845144</v>
      </c>
      <c r="AA203" s="21">
        <f>EXP(-LN(2)/25)*AA202+(1-EXP(-LN(2)/25))/(LN(2)/25)*Calculateur!V203*Calculateur!X203*VLOOKUP('Données projet'!$B$9,Paramètres!$A$1:$I$89,3,0)*0.475*44/12</f>
        <v>0.1432306516270728</v>
      </c>
      <c r="AB203" s="21">
        <f>EXP(-LN(2)/2)*AB202+(1-EXP(-LN(2)/2))/(LN(2)/2)*V203*Y203*VLOOKUP('Données projet'!$B$9,Paramètres!$A$1:$I$89,3,0)*0.475*44/12</f>
        <v>4.3754030747561575E-26</v>
      </c>
      <c r="AC203" s="22">
        <f t="shared" si="163"/>
        <v>0.2498457046115872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0</v>
      </c>
      <c r="AJ203" s="13">
        <f>AI203*VLOOKUP('Données projet'!$B$10,Paramètres!$A$1:$I$89,3,0)*VLOOKUP('Données projet'!$B$10,Paramètres!$A$1:$I$89,5,0)</f>
        <v>0</v>
      </c>
      <c r="AK203" s="13" t="e">
        <f t="shared" si="164"/>
        <v>#NUM!</v>
      </c>
      <c r="AL203" s="20" t="e">
        <f t="shared" si="165"/>
        <v>#NUM!</v>
      </c>
      <c r="AM203" s="59" t="e">
        <f t="shared" si="193"/>
        <v>#NUM!</v>
      </c>
      <c r="AN203" s="59">
        <f ca="1">AVERAGE(OFFSET($AM$3,0,0,'Données projet'!$E$10+1,1))-AVERAGE(OFFSET($H$3,0,0,'Données projet'!$E$10+1,1))</f>
        <v>255.41017495879987</v>
      </c>
      <c r="AO203" s="59">
        <f t="shared" si="205"/>
        <v>297.50513563712764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0.28789079898128611</v>
      </c>
      <c r="AV203" s="21">
        <f>EXP(-LN(2)/25)*AV202+(1-EXP(-LN(2)/25))/(LN(2)/25)*Calculateur!AQ203*Calculateur!AS203*VLOOKUP('Données projet'!$B$10,Paramètres!$A$1:$I$89,3,0)*0.475*44/12</f>
        <v>0.25010993118984798</v>
      </c>
      <c r="AW203" s="21">
        <f>EXP(-LN(2)/2)*AW202+(1-EXP(-LN(2)/2))/(LN(2)/2)*AQ203*AT203*VLOOKUP('Données projet'!$B$10,Paramètres!$A$1:$I$89,3,0)*0.475*44/12</f>
        <v>6.3075600723919621E-25</v>
      </c>
      <c r="AX203" s="21">
        <f t="shared" si="166"/>
        <v>0.53800073017113403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-5.1159076974727213E-13</v>
      </c>
      <c r="BE203" s="13">
        <f>BD203*VLOOKUP('Données projet'!$B$11,Paramètres!$A$1:$I$89,3,0)*VLOOKUP('Données projet'!$B$11,Paramètres!$A$1:$I$89,5,0)</f>
        <v>-4.0702161641092972E-13</v>
      </c>
      <c r="BF203" s="13" t="e">
        <f t="shared" si="167"/>
        <v>#NUM!</v>
      </c>
      <c r="BG203" s="20" t="e">
        <f t="shared" si="168"/>
        <v>#NUM!</v>
      </c>
      <c r="BH203" s="59" t="e">
        <f t="shared" si="194"/>
        <v>#NUM!</v>
      </c>
      <c r="BI203" s="59">
        <f ca="1">AVERAGE(OFFSET($BH$3,0,0,'Données projet'!$E$11+1,1))-AVERAGE(OFFSET($H$3,0,0,'Données projet'!$E$11+1,1))</f>
        <v>260.20517190557814</v>
      </c>
      <c r="BJ203" s="59">
        <f t="shared" si="206"/>
        <v>307.22009971147133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0.11258229595578949</v>
      </c>
      <c r="BQ203" s="21">
        <f>EXP(-LN(2)/25)*BQ202+(1-EXP(-LN(2)/25))/(LN(2)/25)*Calculateur!BL203*Calculateur!BN203*VLOOKUP('Données projet'!$B$11,Paramètres!$A$1:$I$89,3,0)*0.475*44/12</f>
        <v>0.18414713980599212</v>
      </c>
      <c r="BR203" s="21">
        <f>EXP(-LN(2)/2)*BR202+(1-EXP(-LN(2)/2))/(LN(2)/2)*BL203*BO203*VLOOKUP('Données projet'!$B$11,Paramètres!$A$1:$I$89,3,0)*0.475*44/12</f>
        <v>6.2139447119934331E-25</v>
      </c>
      <c r="BS203" s="22">
        <f t="shared" si="169"/>
        <v>0.29672943576178162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268.00000000000017</v>
      </c>
      <c r="BZ203" s="13">
        <f>BY203*VLOOKUP('Données projet'!$B$12,Paramètres!$A$1:$I$89,3,0)*VLOOKUP('Données projet'!$B$12,Paramètres!$A$1:$I$89,5,0)</f>
        <v>175.59360000000012</v>
      </c>
      <c r="CA203" s="13">
        <f t="shared" si="170"/>
        <v>44.340433728638573</v>
      </c>
      <c r="CB203" s="20">
        <f t="shared" si="171"/>
        <v>383.05177541071242</v>
      </c>
      <c r="CC203" s="59">
        <f t="shared" si="195"/>
        <v>676.38510874404574</v>
      </c>
      <c r="CD203" s="59">
        <f ca="1">AVERAGE(OFFSET($CC$3,0,0,'Données projet'!$E$12+1,1))-AVERAGE(OFFSET($H$3,0,0,'Données projet'!$E$12+1,1))</f>
        <v>185.21927898775016</v>
      </c>
      <c r="CE203" s="59">
        <f t="shared" si="207"/>
        <v>240.82467772396944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5.3729619601542149E-2</v>
      </c>
      <c r="CL203" s="21">
        <f>EXP(-LN(2)/25)*CL202+(1-EXP(-LN(2)/25))/(LN(2)/25)*Calculateur!CG203*Calculateur!CI203*VLOOKUP('Données projet'!$B$12,Paramètres!$A$1:$I$89,3,0)*0.475*44/12</f>
        <v>7.2134929441962925E-2</v>
      </c>
      <c r="CM203" s="21">
        <f>EXP(-LN(2)/2)*CM202+(1-EXP(-LN(2)/2))/(LN(2)/2)*CG203*CJ203*VLOOKUP('Données projet'!$B$12,Paramètres!$A$1:$I$89,3,0)*0.475*44/12</f>
        <v>3.6179866661165209E-25</v>
      </c>
      <c r="CN203" s="22">
        <f t="shared" si="172"/>
        <v>0.12586454904350508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35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" thickBot="1" x14ac:dyDescent="0.35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1.3477630745024085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1.2880503926580862</v>
      </c>
      <c r="BA205" s="82">
        <f>EXP(LN('Données projet'!B88)/'Données projet'!A88)</f>
        <v>1.2709816152101407</v>
      </c>
      <c r="BV205" s="82">
        <f>EXP(LN('Données projet'!B114)/'Données projet'!A114)</f>
        <v>1.2720238538497415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4" bestFit="1" customWidth="1"/>
    <col min="2" max="2" width="27.6640625" style="4" bestFit="1" customWidth="1"/>
    <col min="3" max="3" width="11.88671875" style="4" bestFit="1" customWidth="1"/>
    <col min="4" max="4" width="40" style="4" bestFit="1" customWidth="1"/>
    <col min="5" max="5" width="11.88671875" style="4" bestFit="1" customWidth="1"/>
    <col min="6" max="6" width="13.6640625" style="4" bestFit="1" customWidth="1"/>
    <col min="7" max="7" width="11.44140625" style="4" bestFit="1" customWidth="1"/>
    <col min="8" max="8" width="39" style="4" bestFit="1" customWidth="1"/>
    <col min="9" max="9" width="16.6640625" style="4" customWidth="1"/>
    <col min="10" max="14" width="11.44140625" style="4"/>
    <col min="15" max="15" width="23.44140625" style="4" bestFit="1" customWidth="1"/>
    <col min="16" max="16384" width="11.44140625" style="4"/>
  </cols>
  <sheetData>
    <row r="1" spans="1:16" ht="43.8" thickBot="1" x14ac:dyDescent="0.35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3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1" t="s">
        <v>238</v>
      </c>
      <c r="P2" s="121">
        <v>0</v>
      </c>
    </row>
    <row r="3" spans="1:16" ht="15" thickBot="1" x14ac:dyDescent="0.35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5" thickBot="1" x14ac:dyDescent="0.35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3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1" t="s">
        <v>237</v>
      </c>
      <c r="P5" s="121">
        <v>0</v>
      </c>
    </row>
    <row r="6" spans="1:16" x14ac:dyDescent="0.3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 x14ac:dyDescent="0.3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5" thickBot="1" x14ac:dyDescent="0.35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5" thickBot="1" x14ac:dyDescent="0.35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3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1" t="s">
        <v>236</v>
      </c>
      <c r="P10" s="121">
        <v>0</v>
      </c>
    </row>
    <row r="11" spans="1:16" ht="15" thickBot="1" x14ac:dyDescent="0.35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 x14ac:dyDescent="0.3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3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3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3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3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3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3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3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3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3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3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3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3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3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3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3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3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3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3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3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3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3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3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3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3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3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3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3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3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3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3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3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3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3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3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3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3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3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3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3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3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3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3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3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3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3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3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3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3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3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3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3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3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3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3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3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3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3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3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3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3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3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3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3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3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3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3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3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3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3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3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3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3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3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3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3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3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" thickBot="1" x14ac:dyDescent="0.35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3">
      <c r="A93" s="122" t="s">
        <v>208</v>
      </c>
    </row>
    <row r="94" spans="1:14" x14ac:dyDescent="0.3">
      <c r="A94" s="122" t="s">
        <v>209</v>
      </c>
    </row>
    <row r="95" spans="1:14" x14ac:dyDescent="0.3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>
    <pageSetUpPr fitToPage="1"/>
  </sheetPr>
  <dimension ref="A1:BJ357"/>
  <sheetViews>
    <sheetView zoomScale="90" zoomScaleNormal="90" workbookViewId="0">
      <selection activeCell="O18" sqref="O18"/>
    </sheetView>
  </sheetViews>
  <sheetFormatPr baseColWidth="10" defaultColWidth="11.44140625" defaultRowHeight="14.4" x14ac:dyDescent="0.3"/>
  <cols>
    <col min="1" max="1" width="22.886718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2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4" thickBot="1" x14ac:dyDescent="0.55000000000000004">
      <c r="A2" s="272" t="s">
        <v>271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3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2.599999999999994" thickBot="1" x14ac:dyDescent="0.35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">
      <c r="A6" s="145" t="str">
        <f>IF('Données projet'!$B$9="","",'Données projet'!$B$9)</f>
        <v>Douglas</v>
      </c>
      <c r="B6" s="146">
        <f>'Données projet'!D9</f>
        <v>2.2269000000000001</v>
      </c>
      <c r="C6" s="147">
        <f ca="1">IF(OR('Données projet'!B9="",'Données projet'!C9="",'Données projet'!C9=0%),0,Calculateur!S3)</f>
        <v>255.5374979188561</v>
      </c>
      <c r="D6" s="147">
        <f>IF(OR('Données projet'!B9="",'Données projet'!C9="",'Données projet'!C9=0%),0,Calculateur!T3)</f>
        <v>343.10418468620901</v>
      </c>
      <c r="E6" s="147">
        <f ca="1">MIN(C6,D6)</f>
        <v>255.5374979188561</v>
      </c>
      <c r="F6" s="147">
        <f ca="1">E6*B6</f>
        <v>569.05645411550063</v>
      </c>
      <c r="G6" s="147">
        <f ca="1">F6*(100%-'Données projet'!$C$24)*(100%-'Données projet'!$C$25)*(100%-'Données projet'!$C$26)*(100%-'Données projet'!$C$27)</f>
        <v>512.15080870395059</v>
      </c>
      <c r="H6" s="148">
        <f>IF(OR('Données projet'!B9="",'Données projet'!C9="",'Données projet'!C9=0%),0,AVERAGE(Calculateur!$AC$3:$AC$33)*B6)</f>
        <v>23.784194061135938</v>
      </c>
      <c r="I6" s="149">
        <f>H6*(100%-'Données projet'!$C$24)*(100%-'Données projet'!$C$25)*(100%-'Données projet'!$C$26)*(100%-'Données projet'!$C$27)</f>
        <v>21.405774655022345</v>
      </c>
      <c r="J6" s="150">
        <f>IF(OR('Données projet'!B9="",'Données projet'!C9="",'Données projet'!C9=0%),0,SUM(Calculateur!$V$3:$V$33)*VLOOKUP('Données projet'!$B$9,Paramètres!$A$1:$I$89,9,0)*B6)</f>
        <v>170.07863099999997</v>
      </c>
      <c r="K6" s="151">
        <f>J6*(100%-'Données projet'!$C$24)*(100%-'Données projet'!$C$25)*(100%-'Données projet'!$C$26)*(100%-'Données projet'!$C$27)</f>
        <v>153.07076789999999</v>
      </c>
      <c r="L6" s="152">
        <f ca="1">G6+I6+K6</f>
        <v>686.62735125897291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">
      <c r="A7" s="153" t="str">
        <f>IF('Données projet'!$B$10="","",'Données projet'!$B$10)</f>
        <v>Mélèze d'Europe</v>
      </c>
      <c r="B7" s="154">
        <f>'Données projet'!D10</f>
        <v>2.2269000000000001</v>
      </c>
      <c r="C7" s="147">
        <f ca="1">IF(OR('Données projet'!B10="",'Données projet'!C10="",'Données projet'!C10=0%),0,Calculateur!AN3)</f>
        <v>255.41017495879987</v>
      </c>
      <c r="D7" s="147">
        <f>IF(OR('Données projet'!B10="",'Données projet'!C10="",'Données projet'!C10=0%),0,Calculateur!AO3)</f>
        <v>297.50513563712764</v>
      </c>
      <c r="E7" s="147">
        <f t="shared" ref="E7:E15" ca="1" si="0">MIN(C7,D7)</f>
        <v>255.41017495879987</v>
      </c>
      <c r="F7" s="147">
        <f t="shared" ref="F7:F15" ca="1" si="1">E7*B7</f>
        <v>568.77291861575145</v>
      </c>
      <c r="G7" s="147">
        <f ca="1">F7*(100%-'Données projet'!$C$24)*(100%-'Données projet'!$C$25)*(100%-'Données projet'!$C$26)*(100%-'Données projet'!$C$27)</f>
        <v>511.89562675417631</v>
      </c>
      <c r="H7" s="155">
        <f>IF(OR('Données projet'!B10="",'Données projet'!C10="",'Données projet'!C10=0%),0,AVERAGE(Calculateur!$AX$3:$AX$33)*B7)</f>
        <v>18.830928680904201</v>
      </c>
      <c r="I7" s="149">
        <f>H7*(100%-'Données projet'!$C$24)*(100%-'Données projet'!$C$25)*(100%-'Données projet'!$C$26)*(100%-'Données projet'!$C$27)</f>
        <v>16.947835812813782</v>
      </c>
      <c r="J7" s="150">
        <f>IF(OR('Données projet'!B10="",'Données projet'!C10="",'Données projet'!C10=0%),0,SUM(Calculateur!$AQ$3:$AQ$33)*VLOOKUP('Données projet'!$B$10,Paramètres!$A$1:$I$89,9,0)*B7)</f>
        <v>137.88964800000002</v>
      </c>
      <c r="K7" s="151">
        <f>J7*(100%-'Données projet'!$C$24)*(100%-'Données projet'!$C$25)*(100%-'Données projet'!$C$26)*(100%-'Données projet'!$C$27)</f>
        <v>124.10068320000002</v>
      </c>
      <c r="L7" s="152">
        <f t="shared" ref="L7:L15" ca="1" si="2">G7+I7+K7</f>
        <v>652.94414576699012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">
      <c r="A8" s="153" t="str">
        <f>IF('Données projet'!$B$11="","",'Données projet'!$B$11)</f>
        <v>Erable sycomore</v>
      </c>
      <c r="B8" s="154">
        <f>'Données projet'!D11</f>
        <v>1.0849</v>
      </c>
      <c r="C8" s="147">
        <f ca="1">IF(OR('Données projet'!B11="",'Données projet'!C11="",'Données projet'!C11=0%),0,Calculateur!BI3)</f>
        <v>260.20517190557814</v>
      </c>
      <c r="D8" s="147">
        <f>IF(OR('Données projet'!B11="",'Données projet'!C11="",'Données projet'!C11=0%),0,Calculateur!BJ3)</f>
        <v>307.22009971147133</v>
      </c>
      <c r="E8" s="147">
        <f t="shared" ca="1" si="0"/>
        <v>260.20517190557814</v>
      </c>
      <c r="F8" s="147">
        <f t="shared" ca="1" si="1"/>
        <v>282.29659100036173</v>
      </c>
      <c r="G8" s="147">
        <f ca="1">F8*(100%-'Données projet'!$C$24)*(100%-'Données projet'!$C$25)*(100%-'Données projet'!$C$26)*(100%-'Données projet'!$C$27)</f>
        <v>254.06693190032556</v>
      </c>
      <c r="H8" s="155">
        <f>IF(OR('Données projet'!B11="",'Données projet'!C11="",'Données projet'!C11=0%),0,AVERAGE(Calculateur!$BS$3:$BS$33)*B8)</f>
        <v>5.5391593786170317</v>
      </c>
      <c r="I8" s="149">
        <f>H8*(100%-'Données projet'!$C$24)*(100%-'Données projet'!$C$25)*(100%-'Données projet'!$C$26)*(100%-'Données projet'!$C$27)</f>
        <v>4.9852434407553288</v>
      </c>
      <c r="J8" s="150">
        <f>IF(OR('Données projet'!B11="",'Données projet'!C11="",'Données projet'!C11=0%),0,SUM(Calculateur!$BL$3:$BL$33)*VLOOKUP('Données projet'!$B$11,Paramètres!$A$1:$I$89,9,0)*B8)</f>
        <v>37.157825000000003</v>
      </c>
      <c r="K8" s="151">
        <f>J8*(100%-'Données projet'!$C$24)*(100%-'Données projet'!$C$25)*(100%-'Données projet'!$C$26)*(100%-'Données projet'!$C$27)</f>
        <v>33.442042500000007</v>
      </c>
      <c r="L8" s="152">
        <f t="shared" ca="1" si="2"/>
        <v>292.49421784108091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">
      <c r="A9" s="153" t="str">
        <f>IF('Données projet'!$B$12="","",'Données projet'!$B$12)</f>
        <v>Aulne glutineux</v>
      </c>
      <c r="B9" s="154">
        <f>'Données projet'!D12</f>
        <v>0.17129999999999998</v>
      </c>
      <c r="C9" s="147">
        <f ca="1">IF(OR('Données projet'!B12="",'Données projet'!C12="",'Données projet'!C12=0%),0,Calculateur!CD3)</f>
        <v>185.21927898775016</v>
      </c>
      <c r="D9" s="147">
        <f>IF(OR('Données projet'!B12="",'Données projet'!C12="",'Données projet'!C12=0%),0,Calculateur!CE3)</f>
        <v>240.82467772396944</v>
      </c>
      <c r="E9" s="147">
        <f t="shared" ca="1" si="0"/>
        <v>185.21927898775016</v>
      </c>
      <c r="F9" s="147">
        <f t="shared" ca="1" si="1"/>
        <v>31.728062490601598</v>
      </c>
      <c r="G9" s="147">
        <f ca="1">F9*(100%-'Données projet'!$C$24)*(100%-'Données projet'!$C$25)*(100%-'Données projet'!$C$26)*(100%-'Données projet'!$C$27)</f>
        <v>28.555256241541439</v>
      </c>
      <c r="H9" s="155">
        <f>IF(OR('Données projet'!B12="",'Données projet'!C12="",'Données projet'!C12=0%),0,AVERAGE(Calculateur!$CN$3:$CN$33)*B9)</f>
        <v>0.24951556942565137</v>
      </c>
      <c r="I9" s="149">
        <f>H9*(100%-'Données projet'!$C$24)*(100%-'Données projet'!$C$25)*(100%-'Données projet'!$C$26)*(100%-'Données projet'!$C$27)</f>
        <v>0.22456401248308624</v>
      </c>
      <c r="J9" s="150">
        <f>IF(OR('Données projet'!B12="",'Données projet'!C12="",'Données projet'!C12=0%),0,SUM(Calculateur!$CG$3:$CG$33)*VLOOKUP('Données projet'!$B$12,Paramètres!$A$1:$I$89,9,0)*B9)</f>
        <v>2.9120999999999997</v>
      </c>
      <c r="K9" s="151">
        <f>J9*(100%-'Données projet'!$C$24)*(100%-'Données projet'!$C$25)*(100%-'Données projet'!$C$26)*(100%-'Données projet'!$C$27)</f>
        <v>2.6208899999999997</v>
      </c>
      <c r="L9" s="152">
        <f t="shared" ca="1" si="2"/>
        <v>31.400710254024524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">
      <c r="A10" s="153" t="str">
        <f>IF('Données projet'!$B$13="","",'Données projet'!$B$13)</f>
        <v/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35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35">
      <c r="A16" s="209"/>
      <c r="B16" s="213"/>
      <c r="C16" s="214"/>
      <c r="D16" s="23"/>
      <c r="E16" s="23"/>
      <c r="F16" s="165">
        <f t="shared" ref="F16:L16" ca="1" si="3">SUM(F6:F15)</f>
        <v>1451.8540262222155</v>
      </c>
      <c r="G16" s="166">
        <f t="shared" ca="1" si="3"/>
        <v>1306.6686235999937</v>
      </c>
      <c r="H16" s="167">
        <f t="shared" si="3"/>
        <v>48.403797690082826</v>
      </c>
      <c r="I16" s="167">
        <f t="shared" si="3"/>
        <v>43.563417921074539</v>
      </c>
      <c r="J16" s="168">
        <f t="shared" si="3"/>
        <v>348.03820400000001</v>
      </c>
      <c r="K16" s="168">
        <f t="shared" si="3"/>
        <v>313.2343836</v>
      </c>
      <c r="L16" s="169">
        <f t="shared" ca="1" si="3"/>
        <v>1663.4664251210684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">
      <c r="A17" s="209"/>
      <c r="B17" s="213"/>
      <c r="C17" s="214"/>
      <c r="D17" s="23"/>
      <c r="E17" s="23"/>
      <c r="F17" s="284" t="s">
        <v>246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3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35">
      <c r="A21" s="170" t="str">
        <f>A6</f>
        <v>Douglas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3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35">
      <c r="A39" s="170" t="str">
        <f>A7</f>
        <v>Mélèze d'Europe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3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35">
      <c r="A57" s="170" t="str">
        <f>A8</f>
        <v>Erable sycomore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3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35">
      <c r="A76" s="170" t="str">
        <f>A9</f>
        <v>Aulne glutineux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3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35">
      <c r="A94" s="170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3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35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3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35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3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35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3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35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3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35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scale="85" fitToHeight="0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A78" zoomScale="85" zoomScaleNormal="85" workbookViewId="0">
      <selection activeCell="C95" sqref="C95"/>
    </sheetView>
  </sheetViews>
  <sheetFormatPr baseColWidth="10" defaultColWidth="11.44140625" defaultRowHeight="14.4" x14ac:dyDescent="0.3"/>
  <cols>
    <col min="1" max="1" width="11.44140625" style="1"/>
    <col min="2" max="2" width="30.88671875" style="1" bestFit="1" customWidth="1"/>
    <col min="3" max="3" width="18.109375" style="1" bestFit="1" customWidth="1"/>
    <col min="4" max="5" width="11.44140625" style="1"/>
    <col min="6" max="6" width="14" style="1" customWidth="1"/>
    <col min="7" max="7" width="17.5546875" style="1" customWidth="1"/>
    <col min="8" max="8" width="21.6640625" style="1" customWidth="1"/>
    <col min="9" max="9" width="37" style="1" customWidth="1"/>
    <col min="10" max="10" width="11.44140625" style="1"/>
    <col min="11" max="11" width="8.886718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88671875" style="1" customWidth="1"/>
    <col min="23" max="16384" width="11.44140625" style="1"/>
  </cols>
  <sheetData>
    <row r="1" spans="1:4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4" thickBot="1" x14ac:dyDescent="0.55000000000000004">
      <c r="A2" s="4"/>
      <c r="B2" s="272" t="s">
        <v>272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">
      <c r="A4" s="4"/>
      <c r="B4" s="4"/>
      <c r="C4" s="4"/>
      <c r="D4" s="4"/>
      <c r="E4" s="4"/>
      <c r="G4" s="4"/>
      <c r="H4" s="258" t="s">
        <v>315</v>
      </c>
      <c r="I4" s="258"/>
      <c r="K4" s="300" t="s">
        <v>253</v>
      </c>
      <c r="L4" s="301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35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55000000000000004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2" t="s">
        <v>310</v>
      </c>
      <c r="S7" s="293"/>
      <c r="T7" s="293"/>
      <c r="U7" s="293"/>
      <c r="V7" s="29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Douglas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6942.1446547874102</v>
      </c>
      <c r="U10" s="178">
        <f>'Données projet'!D9</f>
        <v>2.2269000000000001</v>
      </c>
      <c r="V10" s="177">
        <f>U10*T10</f>
        <v>15459.461931746084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Mélèze d'Europe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591.22230842009435</v>
      </c>
      <c r="U11" s="178">
        <f>'Données projet'!D10</f>
        <v>2.2269000000000001</v>
      </c>
      <c r="V11" s="177">
        <f t="shared" ref="V11" si="0">U11*T11</f>
        <v>1316.5929586207083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Erable sycomore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-1176.3501940510123</v>
      </c>
      <c r="U12" s="178">
        <f>'Données projet'!D11</f>
        <v>1.0849</v>
      </c>
      <c r="V12" s="177">
        <f t="shared" ref="V12:V19" si="1">U12*T12</f>
        <v>-1276.2223255259432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>Aulne glutineux</v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-2344.6466224998981</v>
      </c>
      <c r="U13" s="178">
        <f>'Données projet'!D12</f>
        <v>0.17129999999999998</v>
      </c>
      <c r="V13" s="177">
        <f t="shared" si="1"/>
        <v>-401.63796643423251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">
      <c r="A14" s="46" t="s">
        <v>165</v>
      </c>
      <c r="B14" s="174" t="str">
        <f>IF('Données projet'!$B$9="","",'Données projet'!$B$9)</f>
        <v>Douglas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/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">
      <c r="A15" s="4"/>
      <c r="B15" s="4"/>
      <c r="C15" s="4"/>
      <c r="D15" s="4"/>
      <c r="E15" s="4"/>
      <c r="F15" s="230"/>
      <c r="G15" s="303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303"/>
      <c r="H16" s="190"/>
      <c r="I16" s="191"/>
      <c r="J16" s="202"/>
      <c r="K16" s="208"/>
      <c r="L16" s="300" t="s">
        <v>254</v>
      </c>
      <c r="M16" s="301"/>
      <c r="N16" s="2">
        <v>46</v>
      </c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">
      <c r="A17" s="49">
        <v>0</v>
      </c>
      <c r="B17" s="199" t="s">
        <v>132</v>
      </c>
      <c r="C17" s="198" t="s">
        <v>132</v>
      </c>
      <c r="D17" s="197" t="s">
        <v>132</v>
      </c>
      <c r="E17" s="193">
        <v>1600</v>
      </c>
      <c r="F17" s="230"/>
      <c r="G17" s="303"/>
      <c r="J17" s="202"/>
      <c r="K17" s="208"/>
      <c r="L17" s="260" t="s">
        <v>289</v>
      </c>
      <c r="M17" s="262"/>
      <c r="N17" s="175">
        <f>VLOOKUP(N16,Calculateur!$A$2:$H$153,3,0)/VLOOKUP('Scénario référence'!$G$15,Paramètres!A1:I89,3,0)/VLOOKUP('Scénario référence'!$G$15,Paramètres!A1:I89,5,0)</f>
        <v>46.000000000000021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303"/>
      <c r="J18" s="202"/>
      <c r="K18" s="208"/>
      <c r="L18" s="260" t="s">
        <v>255</v>
      </c>
      <c r="M18" s="262"/>
      <c r="N18" s="192">
        <v>29</v>
      </c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303"/>
      <c r="H19" s="212" t="s">
        <v>178</v>
      </c>
      <c r="I19" s="212" t="s">
        <v>287</v>
      </c>
      <c r="J19" s="93"/>
      <c r="K19" s="173"/>
      <c r="L19" s="300" t="s">
        <v>288</v>
      </c>
      <c r="M19" s="301"/>
      <c r="N19" s="179">
        <f>N17*N18</f>
        <v>1334.0000000000007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303"/>
      <c r="H20" s="190">
        <v>0</v>
      </c>
      <c r="I20" s="191">
        <v>2500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>
        <v>1</v>
      </c>
      <c r="I21" s="191">
        <v>900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>
        <v>2</v>
      </c>
      <c r="I22" s="191">
        <v>800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">
      <c r="A23" s="180">
        <f>'Données projet'!A36</f>
        <v>17</v>
      </c>
      <c r="B23" s="181">
        <f>'Données projet'!D36</f>
        <v>0</v>
      </c>
      <c r="C23" s="193"/>
      <c r="D23" s="182">
        <f>B23*C23</f>
        <v>0</v>
      </c>
      <c r="E23" s="193"/>
      <c r="F23" s="230"/>
      <c r="H23" s="190">
        <v>3</v>
      </c>
      <c r="I23" s="191">
        <v>1000</v>
      </c>
      <c r="K23" s="208"/>
      <c r="L23" s="302" t="s">
        <v>260</v>
      </c>
      <c r="M23" s="302"/>
      <c r="N23" s="302"/>
      <c r="O23" s="23"/>
      <c r="P23" s="23"/>
      <c r="Q23" s="234"/>
      <c r="R23" s="23"/>
      <c r="S23" s="36" t="s">
        <v>264</v>
      </c>
      <c r="T23" s="297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-22104.599475023741</v>
      </c>
      <c r="U23" s="297"/>
      <c r="V23" s="297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">
      <c r="A24" s="180">
        <f>'Données projet'!A37</f>
        <v>18</v>
      </c>
      <c r="B24" s="181">
        <f>'Données projet'!D37</f>
        <v>69.284615384615378</v>
      </c>
      <c r="C24" s="193">
        <v>25</v>
      </c>
      <c r="D24" s="182">
        <f t="shared" ref="D24:D42" si="2">B24*C24</f>
        <v>1732.1153846153845</v>
      </c>
      <c r="E24" s="193"/>
      <c r="F24" s="233"/>
      <c r="H24" s="190">
        <v>4</v>
      </c>
      <c r="I24" s="191">
        <v>60</v>
      </c>
      <c r="K24" s="208"/>
      <c r="O24" s="23"/>
      <c r="P24" s="23"/>
      <c r="Q24" s="234"/>
      <c r="R24" s="23"/>
      <c r="S24" s="36" t="s">
        <v>261</v>
      </c>
      <c r="T24" s="298">
        <f ca="1">'Scénario référence'!$B$8*$M$30*'Données projet'!$C$5+('Scénario référence'!B9+'Scénario référence'!B10+'Scénario référence'!F8+'Scénario référence'!F9)*$N$19/(1+M4)^N16*'Données projet'!$C$5</f>
        <v>1005.640087731551</v>
      </c>
      <c r="U24" s="298"/>
      <c r="V24" s="298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">
      <c r="A25" s="180">
        <f>'Données projet'!A38</f>
        <v>24</v>
      </c>
      <c r="B25" s="181">
        <f>'Données projet'!D38</f>
        <v>42.661538461538463</v>
      </c>
      <c r="C25" s="193">
        <v>35</v>
      </c>
      <c r="D25" s="182">
        <f t="shared" si="2"/>
        <v>1493.1538461538462</v>
      </c>
      <c r="E25" s="193"/>
      <c r="F25" s="233"/>
      <c r="H25" s="190">
        <v>5</v>
      </c>
      <c r="I25" s="191">
        <v>60</v>
      </c>
      <c r="K25" s="208"/>
      <c r="L25" s="130" t="s">
        <v>285</v>
      </c>
      <c r="M25" s="130"/>
      <c r="N25" s="130"/>
      <c r="O25" s="130"/>
      <c r="P25" s="192"/>
      <c r="Q25" s="234"/>
      <c r="R25" s="23"/>
      <c r="S25" s="186" t="s">
        <v>266</v>
      </c>
      <c r="T25" s="299">
        <f ca="1">T23-T24</f>
        <v>-23110.239562755291</v>
      </c>
      <c r="U25" s="299"/>
      <c r="V25" s="299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">
      <c r="A26" s="180">
        <f>'Données projet'!A39</f>
        <v>30</v>
      </c>
      <c r="B26" s="181">
        <f>'Données projet'!D39</f>
        <v>65.669230769230765</v>
      </c>
      <c r="C26" s="193">
        <v>55</v>
      </c>
      <c r="D26" s="182">
        <f t="shared" si="2"/>
        <v>3611.8076923076919</v>
      </c>
      <c r="E26" s="193"/>
      <c r="F26" s="233"/>
      <c r="G26" s="229"/>
      <c r="H26" s="190">
        <v>6</v>
      </c>
      <c r="I26" s="191">
        <v>60</v>
      </c>
      <c r="K26" s="208"/>
      <c r="L26" s="286" t="s">
        <v>258</v>
      </c>
      <c r="M26" s="287"/>
      <c r="N26" s="287"/>
      <c r="O26" s="287"/>
      <c r="P26" s="288"/>
      <c r="Q26" s="234"/>
      <c r="R26" s="23"/>
      <c r="S26" s="186" t="s">
        <v>265</v>
      </c>
      <c r="T26" s="296" t="str">
        <f ca="1">IF(T25&lt;0,"Votre projet est additionnel","Votre projet n'est pas additionnel")</f>
        <v>Votre projet est additionnel</v>
      </c>
      <c r="U26" s="296"/>
      <c r="V26" s="296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">
      <c r="A27" s="180">
        <f>'Données projet'!A40</f>
        <v>36</v>
      </c>
      <c r="B27" s="181">
        <f>'Données projet'!D40</f>
        <v>69.3</v>
      </c>
      <c r="C27" s="193">
        <v>55</v>
      </c>
      <c r="D27" s="182">
        <f t="shared" si="2"/>
        <v>3811.5</v>
      </c>
      <c r="E27" s="193"/>
      <c r="F27" s="233"/>
      <c r="G27" s="229"/>
      <c r="H27" s="190">
        <v>7</v>
      </c>
      <c r="I27" s="191">
        <v>60</v>
      </c>
      <c r="K27" s="208"/>
      <c r="L27" s="289"/>
      <c r="M27" s="290"/>
      <c r="N27" s="290"/>
      <c r="O27" s="290"/>
      <c r="P27" s="291"/>
      <c r="Q27" s="234"/>
      <c r="R27" s="23"/>
      <c r="S27" s="295" t="s">
        <v>267</v>
      </c>
      <c r="T27" s="295"/>
      <c r="U27" s="295"/>
      <c r="V27" s="295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">
      <c r="A28" s="180">
        <f>'Données projet'!A41</f>
        <v>42</v>
      </c>
      <c r="B28" s="181">
        <f>'Données projet'!D41</f>
        <v>73.392307692307682</v>
      </c>
      <c r="C28" s="193">
        <v>60</v>
      </c>
      <c r="D28" s="182">
        <f t="shared" si="2"/>
        <v>4403.538461538461</v>
      </c>
      <c r="E28" s="193"/>
      <c r="F28" s="233"/>
      <c r="G28" s="205"/>
      <c r="H28" s="190">
        <v>8</v>
      </c>
      <c r="I28" s="191">
        <v>60</v>
      </c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">
      <c r="A29" s="180">
        <f>'Données projet'!A42</f>
        <v>48</v>
      </c>
      <c r="B29" s="181">
        <f>'Données projet'!D42</f>
        <v>81.330769230769235</v>
      </c>
      <c r="C29" s="193">
        <v>60</v>
      </c>
      <c r="D29" s="182">
        <f t="shared" si="2"/>
        <v>4879.8461538461543</v>
      </c>
      <c r="E29" s="193"/>
      <c r="F29" s="233"/>
      <c r="G29" s="203"/>
      <c r="H29" s="190">
        <v>9</v>
      </c>
      <c r="I29" s="191">
        <v>60</v>
      </c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">
      <c r="A30" s="180">
        <f>'Données projet'!A43</f>
        <v>54</v>
      </c>
      <c r="B30" s="181">
        <f>'Données projet'!D43</f>
        <v>566.79999999999995</v>
      </c>
      <c r="C30" s="193">
        <v>80</v>
      </c>
      <c r="D30" s="182">
        <f t="shared" si="2"/>
        <v>45344</v>
      </c>
      <c r="E30" s="193"/>
      <c r="F30" s="233"/>
      <c r="G30" s="203"/>
      <c r="H30" s="190">
        <v>10</v>
      </c>
      <c r="I30" s="191">
        <v>750</v>
      </c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">
      <c r="A31" s="180">
        <f>'Données projet'!A44</f>
        <v>0</v>
      </c>
      <c r="B31" s="181">
        <f>'Données projet'!D44</f>
        <v>0</v>
      </c>
      <c r="C31" s="193"/>
      <c r="D31" s="182">
        <f t="shared" si="2"/>
        <v>0</v>
      </c>
      <c r="E31" s="193"/>
      <c r="F31" s="233"/>
      <c r="G31" s="203"/>
      <c r="H31" s="190">
        <v>11</v>
      </c>
      <c r="I31" s="191">
        <v>60</v>
      </c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">
      <c r="A32" s="180">
        <f>'Données projet'!A45</f>
        <v>0</v>
      </c>
      <c r="B32" s="181">
        <f>'Données projet'!D45</f>
        <v>0</v>
      </c>
      <c r="C32" s="193"/>
      <c r="D32" s="182">
        <f t="shared" si="2"/>
        <v>0</v>
      </c>
      <c r="E32" s="193"/>
      <c r="F32" s="233"/>
      <c r="G32" s="203"/>
      <c r="H32" s="190">
        <v>12</v>
      </c>
      <c r="I32" s="191">
        <v>60</v>
      </c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">
      <c r="A33" s="180">
        <f>'Données projet'!A46</f>
        <v>0</v>
      </c>
      <c r="B33" s="181">
        <f>'Données projet'!D46</f>
        <v>0</v>
      </c>
      <c r="C33" s="193"/>
      <c r="D33" s="182">
        <f t="shared" si="2"/>
        <v>0</v>
      </c>
      <c r="E33" s="193"/>
      <c r="F33" s="233"/>
      <c r="G33" s="203"/>
      <c r="H33" s="190">
        <v>13</v>
      </c>
      <c r="I33" s="191">
        <v>60</v>
      </c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>
        <v>14</v>
      </c>
      <c r="I34" s="191">
        <v>60</v>
      </c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>
        <v>15</v>
      </c>
      <c r="I35" s="191">
        <v>60</v>
      </c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>
        <v>16</v>
      </c>
      <c r="I36" s="191">
        <v>60</v>
      </c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>
        <v>17</v>
      </c>
      <c r="I37" s="191">
        <v>60</v>
      </c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>
        <v>18</v>
      </c>
      <c r="I38" s="191">
        <v>60</v>
      </c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>
        <v>19</v>
      </c>
      <c r="I39" s="191">
        <v>60</v>
      </c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>
        <v>20</v>
      </c>
      <c r="I40" s="191">
        <v>60</v>
      </c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>
        <v>21</v>
      </c>
      <c r="I41" s="191">
        <v>60</v>
      </c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>
        <v>22</v>
      </c>
      <c r="I42" s="191">
        <v>60</v>
      </c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">
      <c r="A43" s="187"/>
      <c r="B43" s="187"/>
      <c r="C43" s="187"/>
      <c r="D43" s="227"/>
      <c r="E43" s="227"/>
      <c r="F43" s="238"/>
      <c r="G43" s="203"/>
      <c r="H43" s="190">
        <v>23</v>
      </c>
      <c r="I43" s="191">
        <v>60</v>
      </c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">
      <c r="A44" s="4"/>
      <c r="B44" s="4"/>
      <c r="C44" s="4"/>
      <c r="D44" s="4"/>
      <c r="E44" s="4"/>
      <c r="F44" s="230"/>
      <c r="G44" s="203"/>
      <c r="H44" s="190">
        <v>24</v>
      </c>
      <c r="I44" s="191">
        <v>60</v>
      </c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">
      <c r="A45" s="46" t="s">
        <v>166</v>
      </c>
      <c r="B45" s="174" t="str">
        <f>IF('Données projet'!$B$10="","",'Données projet'!$B$10)</f>
        <v>Mélèze d'Europe</v>
      </c>
      <c r="C45" s="4"/>
      <c r="D45" s="4"/>
      <c r="E45" s="4"/>
      <c r="F45" s="230"/>
      <c r="G45" s="203"/>
      <c r="H45" s="190">
        <v>25</v>
      </c>
      <c r="I45" s="191">
        <v>60</v>
      </c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">
      <c r="A46" s="4"/>
      <c r="B46" s="4"/>
      <c r="C46" s="4"/>
      <c r="D46" s="4"/>
      <c r="E46" s="4"/>
      <c r="F46" s="230"/>
      <c r="G46" s="203"/>
      <c r="H46" s="190">
        <v>26</v>
      </c>
      <c r="I46" s="191">
        <v>60</v>
      </c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>
        <v>27</v>
      </c>
      <c r="I47" s="191">
        <v>60</v>
      </c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">
      <c r="A48" s="49">
        <v>0</v>
      </c>
      <c r="B48" s="199" t="s">
        <v>132</v>
      </c>
      <c r="C48" s="198" t="s">
        <v>132</v>
      </c>
      <c r="D48" s="197" t="s">
        <v>132</v>
      </c>
      <c r="E48" s="193">
        <v>1700</v>
      </c>
      <c r="F48" s="231"/>
      <c r="G48" s="203"/>
      <c r="H48" s="190">
        <v>28</v>
      </c>
      <c r="I48" s="191">
        <v>60</v>
      </c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3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>
        <v>29</v>
      </c>
      <c r="I49" s="191">
        <v>60</v>
      </c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3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>
        <v>30</v>
      </c>
      <c r="I50" s="191">
        <v>750</v>
      </c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>
        <v>31</v>
      </c>
      <c r="I51" s="191">
        <v>60</v>
      </c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>
        <v>32</v>
      </c>
      <c r="I52" s="191">
        <v>60</v>
      </c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>
        <v>33</v>
      </c>
      <c r="I53" s="191">
        <v>60</v>
      </c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">
      <c r="A54" s="180">
        <f>'Données projet'!A62</f>
        <v>20</v>
      </c>
      <c r="B54" s="181">
        <f>'Données projet'!D62</f>
        <v>60</v>
      </c>
      <c r="C54" s="191">
        <v>25</v>
      </c>
      <c r="D54" s="179">
        <f>B54*C54</f>
        <v>1500</v>
      </c>
      <c r="E54" s="193"/>
      <c r="F54" s="232"/>
      <c r="G54" s="205"/>
      <c r="H54" s="190">
        <v>34</v>
      </c>
      <c r="I54" s="191">
        <v>60</v>
      </c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">
      <c r="A55" s="180">
        <f>'Données projet'!A63</f>
        <v>30</v>
      </c>
      <c r="B55" s="181">
        <f>'Données projet'!D63</f>
        <v>84</v>
      </c>
      <c r="C55" s="191">
        <v>25</v>
      </c>
      <c r="D55" s="179">
        <f t="shared" ref="D55:D73" si="4">B55*C55</f>
        <v>2100</v>
      </c>
      <c r="E55" s="193"/>
      <c r="F55" s="232"/>
      <c r="G55" s="205"/>
      <c r="H55" s="190">
        <v>35</v>
      </c>
      <c r="I55" s="191">
        <v>60</v>
      </c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">
      <c r="A56" s="180">
        <f>'Données projet'!A64</f>
        <v>40</v>
      </c>
      <c r="B56" s="181">
        <f>'Données projet'!D64</f>
        <v>82</v>
      </c>
      <c r="C56" s="191">
        <v>25</v>
      </c>
      <c r="D56" s="179">
        <f t="shared" si="4"/>
        <v>2050</v>
      </c>
      <c r="E56" s="193"/>
      <c r="F56" s="232"/>
      <c r="G56" s="205"/>
      <c r="H56" s="190">
        <v>36</v>
      </c>
      <c r="I56" s="191">
        <v>60</v>
      </c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">
      <c r="A57" s="180">
        <f>'Données projet'!A65</f>
        <v>50</v>
      </c>
      <c r="B57" s="181">
        <f>'Données projet'!D65</f>
        <v>68</v>
      </c>
      <c r="C57" s="191">
        <v>35</v>
      </c>
      <c r="D57" s="179">
        <f t="shared" si="4"/>
        <v>2380</v>
      </c>
      <c r="E57" s="193"/>
      <c r="F57" s="232"/>
      <c r="G57" s="205"/>
      <c r="H57" s="190">
        <v>37</v>
      </c>
      <c r="I57" s="191">
        <v>60</v>
      </c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">
      <c r="A58" s="180">
        <f>'Données projet'!A66</f>
        <v>60</v>
      </c>
      <c r="B58" s="181">
        <f>'Données projet'!D66</f>
        <v>55</v>
      </c>
      <c r="C58" s="191">
        <v>45</v>
      </c>
      <c r="D58" s="179">
        <f t="shared" si="4"/>
        <v>2475</v>
      </c>
      <c r="E58" s="193"/>
      <c r="F58" s="232"/>
      <c r="G58" s="205"/>
      <c r="H58" s="190">
        <v>38</v>
      </c>
      <c r="I58" s="191">
        <v>60</v>
      </c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">
      <c r="A59" s="180">
        <f>'Données projet'!A67</f>
        <v>70</v>
      </c>
      <c r="B59" s="181">
        <f>'Données projet'!D67</f>
        <v>45</v>
      </c>
      <c r="C59" s="191">
        <v>45</v>
      </c>
      <c r="D59" s="179">
        <f t="shared" si="4"/>
        <v>2025</v>
      </c>
      <c r="E59" s="193"/>
      <c r="F59" s="232"/>
      <c r="G59" s="205"/>
      <c r="H59" s="190">
        <v>39</v>
      </c>
      <c r="I59" s="191">
        <v>60</v>
      </c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">
      <c r="A60" s="180">
        <f>'Données projet'!A68</f>
        <v>80</v>
      </c>
      <c r="B60" s="181">
        <f>'Données projet'!D68</f>
        <v>442</v>
      </c>
      <c r="C60" s="191">
        <v>60</v>
      </c>
      <c r="D60" s="179">
        <f t="shared" si="4"/>
        <v>26520</v>
      </c>
      <c r="E60" s="193"/>
      <c r="F60" s="232"/>
      <c r="G60" s="206"/>
      <c r="H60" s="190">
        <v>40</v>
      </c>
      <c r="I60" s="191">
        <v>750</v>
      </c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">
      <c r="A61" s="180">
        <f>'Données projet'!A69</f>
        <v>0</v>
      </c>
      <c r="B61" s="181">
        <f>'Données projet'!D69</f>
        <v>0</v>
      </c>
      <c r="C61" s="191"/>
      <c r="D61" s="179">
        <f t="shared" si="4"/>
        <v>0</v>
      </c>
      <c r="E61" s="193"/>
      <c r="F61" s="232"/>
      <c r="G61" s="206"/>
      <c r="H61" s="190">
        <v>41</v>
      </c>
      <c r="I61" s="191">
        <v>60</v>
      </c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">
      <c r="A62" s="180">
        <f>'Données projet'!A70</f>
        <v>0</v>
      </c>
      <c r="B62" s="181">
        <f>'Données projet'!D70</f>
        <v>0</v>
      </c>
      <c r="C62" s="191"/>
      <c r="D62" s="179">
        <f t="shared" si="4"/>
        <v>0</v>
      </c>
      <c r="E62" s="193"/>
      <c r="F62" s="232"/>
      <c r="G62" s="206"/>
      <c r="H62" s="190">
        <v>42</v>
      </c>
      <c r="I62" s="191">
        <v>60</v>
      </c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">
      <c r="A63" s="180">
        <f>'Données projet'!A71</f>
        <v>0</v>
      </c>
      <c r="B63" s="181">
        <f>'Données projet'!D71</f>
        <v>0</v>
      </c>
      <c r="C63" s="191"/>
      <c r="D63" s="179">
        <f t="shared" si="4"/>
        <v>0</v>
      </c>
      <c r="E63" s="193"/>
      <c r="F63" s="232"/>
      <c r="G63" s="206"/>
      <c r="H63" s="190">
        <v>43</v>
      </c>
      <c r="I63" s="191">
        <v>60</v>
      </c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">
      <c r="A64" s="180">
        <f>'Données projet'!A72</f>
        <v>0</v>
      </c>
      <c r="B64" s="181">
        <f>'Données projet'!D72</f>
        <v>0</v>
      </c>
      <c r="C64" s="191"/>
      <c r="D64" s="179">
        <f t="shared" si="4"/>
        <v>0</v>
      </c>
      <c r="E64" s="193"/>
      <c r="F64" s="232"/>
      <c r="G64" s="206"/>
      <c r="H64" s="190">
        <v>44</v>
      </c>
      <c r="I64" s="191">
        <v>60</v>
      </c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">
      <c r="A65" s="180">
        <f>'Données projet'!A73</f>
        <v>0</v>
      </c>
      <c r="B65" s="181">
        <f>'Données projet'!D73</f>
        <v>0</v>
      </c>
      <c r="C65" s="191"/>
      <c r="D65" s="179">
        <f t="shared" si="4"/>
        <v>0</v>
      </c>
      <c r="E65" s="193"/>
      <c r="F65" s="232"/>
      <c r="G65" s="206"/>
      <c r="H65" s="190">
        <v>45</v>
      </c>
      <c r="I65" s="191">
        <v>60</v>
      </c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">
      <c r="A66" s="180">
        <f>'Données projet'!A74</f>
        <v>0</v>
      </c>
      <c r="B66" s="181">
        <f>'Données projet'!D74</f>
        <v>0</v>
      </c>
      <c r="C66" s="191"/>
      <c r="D66" s="179">
        <f t="shared" si="4"/>
        <v>0</v>
      </c>
      <c r="E66" s="193"/>
      <c r="F66" s="232"/>
      <c r="G66" s="206"/>
      <c r="H66" s="190">
        <v>46</v>
      </c>
      <c r="I66" s="191">
        <v>60</v>
      </c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">
      <c r="A67" s="180">
        <f>'Données projet'!A75</f>
        <v>0</v>
      </c>
      <c r="B67" s="181">
        <f>'Données projet'!D75</f>
        <v>0</v>
      </c>
      <c r="C67" s="191"/>
      <c r="D67" s="179">
        <f t="shared" si="4"/>
        <v>0</v>
      </c>
      <c r="E67" s="193"/>
      <c r="F67" s="232"/>
      <c r="G67" s="206"/>
      <c r="H67" s="190">
        <v>47</v>
      </c>
      <c r="I67" s="191">
        <v>60</v>
      </c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>
        <v>48</v>
      </c>
      <c r="I68" s="191">
        <v>60</v>
      </c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>
        <v>49</v>
      </c>
      <c r="I69" s="191">
        <v>60</v>
      </c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0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>
        <v>50</v>
      </c>
      <c r="I70" s="191">
        <v>750</v>
      </c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>
        <v>51.52</v>
      </c>
      <c r="I71" s="191">
        <v>60</v>
      </c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>
        <v>53</v>
      </c>
      <c r="I72" s="191">
        <v>60</v>
      </c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>
        <v>54</v>
      </c>
      <c r="I73" s="191">
        <v>60</v>
      </c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">
      <c r="A76" s="46" t="s">
        <v>167</v>
      </c>
      <c r="B76" s="174" t="str">
        <f>IF('Données projet'!B11="","",'Données projet'!B11)</f>
        <v>Erable sycomore</v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0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0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0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">
      <c r="A79" s="49">
        <v>0</v>
      </c>
      <c r="B79" s="199" t="s">
        <v>132</v>
      </c>
      <c r="C79" s="198" t="s">
        <v>132</v>
      </c>
      <c r="D79" s="197" t="s">
        <v>132</v>
      </c>
      <c r="E79" s="193">
        <v>2400</v>
      </c>
      <c r="F79" s="231"/>
      <c r="G79" s="206"/>
      <c r="H79" s="190"/>
      <c r="I79" s="191"/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5"/>
        <v>0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5"/>
        <v>0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5"/>
        <v>0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5"/>
        <v>0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5"/>
        <v>0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5"/>
        <v>0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">
      <c r="A85" s="180">
        <f>'Données projet'!A88</f>
        <v>10</v>
      </c>
      <c r="B85" s="181">
        <f>'Données projet'!D88</f>
        <v>0</v>
      </c>
      <c r="C85" s="191"/>
      <c r="D85" s="179">
        <f>B85*C85</f>
        <v>0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5"/>
        <v>0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">
      <c r="A86" s="180">
        <f>'Données projet'!A89</f>
        <v>20</v>
      </c>
      <c r="B86" s="181">
        <f>'Données projet'!D89</f>
        <v>67</v>
      </c>
      <c r="C86" s="191">
        <v>7</v>
      </c>
      <c r="D86" s="179">
        <f t="shared" ref="D86:D104" si="6">B86*C86</f>
        <v>469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5"/>
        <v>0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">
      <c r="A87" s="180">
        <f>'Données projet'!A90</f>
        <v>30</v>
      </c>
      <c r="B87" s="181">
        <f>'Données projet'!D90</f>
        <v>70</v>
      </c>
      <c r="C87" s="191">
        <v>7</v>
      </c>
      <c r="D87" s="179">
        <f t="shared" si="6"/>
        <v>490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5"/>
        <v>0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">
      <c r="A88" s="180">
        <f>'Données projet'!A91</f>
        <v>40</v>
      </c>
      <c r="B88" s="181">
        <f>'Données projet'!D91</f>
        <v>70</v>
      </c>
      <c r="C88" s="191">
        <v>10</v>
      </c>
      <c r="D88" s="179">
        <f t="shared" si="6"/>
        <v>700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 t="str">
        <f>IF(O87+1&lt;=MIN('Données projet'!$E$9:$E$18),O87+1,"STOP")</f>
        <v>STOP</v>
      </c>
      <c r="P88" s="185" t="e">
        <f t="shared" si="5"/>
        <v>#VALUE!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">
      <c r="A89" s="180">
        <f>'Données projet'!A92</f>
        <v>50</v>
      </c>
      <c r="B89" s="181">
        <f>'Données projet'!D92</f>
        <v>43</v>
      </c>
      <c r="C89" s="191">
        <v>10</v>
      </c>
      <c r="D89" s="179">
        <f t="shared" si="6"/>
        <v>430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 t="e">
        <f>IF(O88+1&lt;=MIN('Données projet'!$E$9:$E$18),O88+1,"STOP")</f>
        <v>#VALUE!</v>
      </c>
      <c r="P89" s="185" t="e">
        <f t="shared" si="5"/>
        <v>#VALUE!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">
      <c r="A90" s="180">
        <f>'Données projet'!A93</f>
        <v>60</v>
      </c>
      <c r="B90" s="181">
        <f>'Données projet'!D93</f>
        <v>30</v>
      </c>
      <c r="C90" s="191">
        <v>30</v>
      </c>
      <c r="D90" s="179">
        <f t="shared" si="6"/>
        <v>900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 t="e">
        <f>IF(O89+1&lt;=MIN('Données projet'!$E$9:$E$18),O89+1,"STOP")</f>
        <v>#VALUE!</v>
      </c>
      <c r="P90" s="185" t="e">
        <f t="shared" si="5"/>
        <v>#VALUE!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">
      <c r="A91" s="180">
        <f>'Données projet'!A94</f>
        <v>70</v>
      </c>
      <c r="B91" s="181">
        <f>'Données projet'!D94</f>
        <v>26</v>
      </c>
      <c r="C91" s="191">
        <v>50</v>
      </c>
      <c r="D91" s="179">
        <f t="shared" si="6"/>
        <v>1300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 t="e">
        <f>IF(O90+1&lt;=MIN('Données projet'!$E$9:$E$18),O90+1,"STOP")</f>
        <v>#VALUE!</v>
      </c>
      <c r="P91" s="185" t="e">
        <f t="shared" si="5"/>
        <v>#VALUE!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">
      <c r="A92" s="180">
        <f>'Données projet'!A95</f>
        <v>80</v>
      </c>
      <c r="B92" s="181">
        <f>'Données projet'!D95</f>
        <v>342</v>
      </c>
      <c r="C92" s="191">
        <v>60</v>
      </c>
      <c r="D92" s="179">
        <f t="shared" si="6"/>
        <v>20520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 t="e">
        <f>IF(O91+1&lt;=MIN('Données projet'!$E$9:$E$18),O91+1,"STOP")</f>
        <v>#VALUE!</v>
      </c>
      <c r="P92" s="185" t="e">
        <f t="shared" si="5"/>
        <v>#VALUE!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">
      <c r="A93" s="180">
        <f>'Données projet'!A96</f>
        <v>0</v>
      </c>
      <c r="B93" s="181">
        <f>'Données projet'!D96</f>
        <v>0</v>
      </c>
      <c r="C93" s="191"/>
      <c r="D93" s="179">
        <f t="shared" si="6"/>
        <v>0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 t="e">
        <f>IF(O92+1&lt;=MIN('Données projet'!$E$9:$E$18),O92+1,"STOP")</f>
        <v>#VALUE!</v>
      </c>
      <c r="P93" s="185" t="e">
        <f t="shared" si="5"/>
        <v>#VALUE!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">
      <c r="A94" s="180">
        <f>'Données projet'!A97</f>
        <v>0</v>
      </c>
      <c r="B94" s="181">
        <f>'Données projet'!D97</f>
        <v>0</v>
      </c>
      <c r="C94" s="191"/>
      <c r="D94" s="179">
        <f t="shared" si="6"/>
        <v>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 t="e">
        <f>IF(O93+1&lt;=MIN('Données projet'!$E$9:$E$18),O93+1,"STOP")</f>
        <v>#VALUE!</v>
      </c>
      <c r="P94" s="185" t="e">
        <f t="shared" si="5"/>
        <v>#VALUE!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">
      <c r="A95" s="180">
        <f>'Données projet'!A98</f>
        <v>0</v>
      </c>
      <c r="B95" s="181">
        <f>'Données projet'!D98</f>
        <v>0</v>
      </c>
      <c r="C95" s="191"/>
      <c r="D95" s="179">
        <f t="shared" si="6"/>
        <v>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5"/>
        <v>#VALUE!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">
      <c r="A96" s="180">
        <f>'Données projet'!A99</f>
        <v>0</v>
      </c>
      <c r="B96" s="181">
        <f>'Données projet'!D99</f>
        <v>0</v>
      </c>
      <c r="C96" s="191"/>
      <c r="D96" s="179">
        <f t="shared" si="6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5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">
      <c r="A97" s="180">
        <f>'Données projet'!A100</f>
        <v>0</v>
      </c>
      <c r="B97" s="181">
        <f>'Données projet'!D100</f>
        <v>0</v>
      </c>
      <c r="C97" s="191"/>
      <c r="D97" s="179">
        <f t="shared" si="6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">
      <c r="A107" s="46" t="s">
        <v>168</v>
      </c>
      <c r="B107" s="174" t="str">
        <f>IF('Données projet'!B12="","",'Données projet'!B12)</f>
        <v>Aulne glutineux</v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">
      <c r="A110" s="49">
        <v>0</v>
      </c>
      <c r="B110" s="199" t="s">
        <v>132</v>
      </c>
      <c r="C110" s="198" t="s">
        <v>132</v>
      </c>
      <c r="D110" s="197" t="s">
        <v>132</v>
      </c>
      <c r="E110" s="193">
        <v>2700</v>
      </c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">
      <c r="A116" s="180">
        <f>'Données projet'!A114</f>
        <v>20</v>
      </c>
      <c r="B116" s="181">
        <f>'Données projet'!D114</f>
        <v>18</v>
      </c>
      <c r="C116" s="191"/>
      <c r="D116" s="179">
        <f>B116*C116</f>
        <v>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">
      <c r="A117" s="180">
        <f>'Données projet'!A115</f>
        <v>30</v>
      </c>
      <c r="B117" s="181">
        <f>'Données projet'!D115</f>
        <v>50</v>
      </c>
      <c r="C117" s="191">
        <v>7</v>
      </c>
      <c r="D117" s="179">
        <f t="shared" ref="D117:D135" si="8">B117*C117</f>
        <v>350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">
      <c r="A118" s="180">
        <f>'Données projet'!A116</f>
        <v>40</v>
      </c>
      <c r="B118" s="181">
        <f>'Données projet'!D116</f>
        <v>56</v>
      </c>
      <c r="C118" s="191">
        <v>7</v>
      </c>
      <c r="D118" s="179">
        <f t="shared" si="8"/>
        <v>392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">
      <c r="A119" s="180">
        <f>'Données projet'!A117</f>
        <v>50</v>
      </c>
      <c r="B119" s="181">
        <f>'Données projet'!D117</f>
        <v>55</v>
      </c>
      <c r="C119" s="191">
        <v>7</v>
      </c>
      <c r="D119" s="179">
        <f t="shared" si="8"/>
        <v>385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">
      <c r="A120" s="180">
        <f>'Données projet'!A118</f>
        <v>60</v>
      </c>
      <c r="B120" s="181">
        <f>'Données projet'!D118</f>
        <v>49</v>
      </c>
      <c r="C120" s="191">
        <v>7</v>
      </c>
      <c r="D120" s="179">
        <f t="shared" si="8"/>
        <v>343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">
      <c r="A121" s="180">
        <f>'Données projet'!A119</f>
        <v>70</v>
      </c>
      <c r="B121" s="181">
        <f>'Données projet'!D119</f>
        <v>43</v>
      </c>
      <c r="C121" s="191">
        <v>30</v>
      </c>
      <c r="D121" s="179">
        <f t="shared" si="8"/>
        <v>1290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">
      <c r="A122" s="180">
        <f>'Données projet'!A120</f>
        <v>80</v>
      </c>
      <c r="B122" s="181">
        <f>'Données projet'!D120</f>
        <v>37</v>
      </c>
      <c r="C122" s="191">
        <v>30</v>
      </c>
      <c r="D122" s="179">
        <f t="shared" si="8"/>
        <v>1110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">
      <c r="A123" s="180">
        <f>'Données projet'!A121</f>
        <v>90</v>
      </c>
      <c r="B123" s="181">
        <f>'Données projet'!D121</f>
        <v>31</v>
      </c>
      <c r="C123" s="191">
        <v>60</v>
      </c>
      <c r="D123" s="179">
        <f t="shared" si="8"/>
        <v>1860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">
      <c r="A124" s="180">
        <f>'Données projet'!A122</f>
        <v>0</v>
      </c>
      <c r="B124" s="181">
        <f>'Données projet'!D122</f>
        <v>0</v>
      </c>
      <c r="C124" s="191"/>
      <c r="D124" s="179">
        <f t="shared" si="8"/>
        <v>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">
      <c r="A125" s="180">
        <f>'Données projet'!A123</f>
        <v>0</v>
      </c>
      <c r="B125" s="181">
        <f>'Données projet'!D123</f>
        <v>0</v>
      </c>
      <c r="C125" s="191"/>
      <c r="D125" s="179">
        <f t="shared" si="8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">
      <c r="A126" s="180">
        <f>'Données projet'!A124</f>
        <v>0</v>
      </c>
      <c r="B126" s="181">
        <f>'Données projet'!D124</f>
        <v>0</v>
      </c>
      <c r="C126" s="191"/>
      <c r="D126" s="179">
        <f t="shared" si="8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">
      <c r="A138" s="46" t="s">
        <v>169</v>
      </c>
      <c r="B138" s="174" t="str">
        <f>IF('Données projet'!B13="","",'Données projet'!B13)</f>
        <v/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">
      <c r="A141" s="49">
        <v>0</v>
      </c>
      <c r="B141" s="199" t="s">
        <v>132</v>
      </c>
      <c r="C141" s="198" t="s">
        <v>132</v>
      </c>
      <c r="D141" s="197" t="s">
        <v>132</v>
      </c>
      <c r="E141" s="193">
        <v>2650</v>
      </c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">
      <c r="A147" s="42">
        <f>'Données projet'!A140</f>
        <v>0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">
      <c r="A148" s="42">
        <f>'Données projet'!A141</f>
        <v>0</v>
      </c>
      <c r="B148" s="175">
        <f>'Données projet'!D141</f>
        <v>0</v>
      </c>
      <c r="C148" s="191"/>
      <c r="D148" s="182">
        <f t="shared" ref="D148:D166" si="10">B148*C148</f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">
      <c r="A149" s="42">
        <f>'Données projet'!A142</f>
        <v>0</v>
      </c>
      <c r="B149" s="175">
        <f>'Données projet'!D142</f>
        <v>0</v>
      </c>
      <c r="C149" s="191"/>
      <c r="D149" s="182">
        <f t="shared" si="10"/>
        <v>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">
      <c r="A150" s="42">
        <f>'Données projet'!A143</f>
        <v>0</v>
      </c>
      <c r="B150" s="175">
        <f>'Données projet'!D143</f>
        <v>0</v>
      </c>
      <c r="C150" s="191"/>
      <c r="D150" s="182">
        <f t="shared" si="10"/>
        <v>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">
      <c r="A151" s="42">
        <f>'Données projet'!A144</f>
        <v>0</v>
      </c>
      <c r="B151" s="175">
        <f>'Données projet'!D144</f>
        <v>0</v>
      </c>
      <c r="C151" s="191"/>
      <c r="D151" s="182">
        <f t="shared" si="10"/>
        <v>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">
      <c r="A152" s="42">
        <f>'Données projet'!A145</f>
        <v>0</v>
      </c>
      <c r="B152" s="175">
        <f>'Données projet'!D145</f>
        <v>0</v>
      </c>
      <c r="C152" s="191"/>
      <c r="D152" s="182">
        <f t="shared" si="10"/>
        <v>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">
      <c r="A153" s="42">
        <f>'Données projet'!A146</f>
        <v>0</v>
      </c>
      <c r="B153" s="175">
        <f>'Données projet'!D146</f>
        <v>0</v>
      </c>
      <c r="C153" s="191"/>
      <c r="D153" s="182">
        <f t="shared" si="10"/>
        <v>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">
      <c r="A154" s="42">
        <f>'Données projet'!A147</f>
        <v>0</v>
      </c>
      <c r="B154" s="175">
        <f>'Données projet'!D147</f>
        <v>0</v>
      </c>
      <c r="C154" s="191"/>
      <c r="D154" s="182">
        <f t="shared" si="10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">
      <c r="A155" s="42">
        <f>'Données projet'!A148</f>
        <v>0</v>
      </c>
      <c r="B155" s="175">
        <f>'Données projet'!D148</f>
        <v>0</v>
      </c>
      <c r="C155" s="191"/>
      <c r="D155" s="182">
        <f t="shared" si="10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">
      <c r="A169" s="46" t="s">
        <v>170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">
      <c r="A172" s="49">
        <v>0</v>
      </c>
      <c r="B172" s="199" t="s">
        <v>132</v>
      </c>
      <c r="C172" s="198" t="s">
        <v>132</v>
      </c>
      <c r="D172" s="197" t="s">
        <v>132</v>
      </c>
      <c r="E172" s="193">
        <v>2650</v>
      </c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">
      <c r="A180" s="180">
        <f>'Données projet'!A168</f>
        <v>0</v>
      </c>
      <c r="B180" s="181">
        <f>'Données projet'!D168</f>
        <v>0</v>
      </c>
      <c r="C180" s="193"/>
      <c r="D180" s="179">
        <f t="shared" si="11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">
      <c r="A181" s="180">
        <f>'Données projet'!A169</f>
        <v>0</v>
      </c>
      <c r="B181" s="181">
        <f>'Données projet'!D169</f>
        <v>0</v>
      </c>
      <c r="C181" s="193"/>
      <c r="D181" s="179">
        <f t="shared" si="11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">
      <c r="A182" s="180">
        <f>'Données projet'!A170</f>
        <v>0</v>
      </c>
      <c r="B182" s="181">
        <f>'Données projet'!D170</f>
        <v>0</v>
      </c>
      <c r="C182" s="193"/>
      <c r="D182" s="179">
        <f t="shared" si="11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">
      <c r="A183" s="180">
        <f>'Données projet'!A171</f>
        <v>0</v>
      </c>
      <c r="B183" s="181">
        <f>'Données projet'!D171</f>
        <v>0</v>
      </c>
      <c r="C183" s="193"/>
      <c r="D183" s="179">
        <f t="shared" si="11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">
      <c r="A184" s="180">
        <f>'Données projet'!A172</f>
        <v>0</v>
      </c>
      <c r="B184" s="181">
        <f>'Données projet'!D172</f>
        <v>0</v>
      </c>
      <c r="C184" s="193"/>
      <c r="D184" s="179">
        <f t="shared" si="11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">
      <c r="A203" s="49">
        <v>0</v>
      </c>
      <c r="B203" s="199" t="s">
        <v>132</v>
      </c>
      <c r="C203" s="198" t="s">
        <v>132</v>
      </c>
      <c r="D203" s="197" t="s">
        <v>132</v>
      </c>
      <c r="E203" s="193">
        <v>2650</v>
      </c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E006D02EFB7524E92A31806A20933C4" ma:contentTypeVersion="16" ma:contentTypeDescription="Crée un document." ma:contentTypeScope="" ma:versionID="0e9e021c327d8551a1f55b1299a1ead0">
  <xsd:schema xmlns:xsd="http://www.w3.org/2001/XMLSchema" xmlns:xs="http://www.w3.org/2001/XMLSchema" xmlns:p="http://schemas.microsoft.com/office/2006/metadata/properties" xmlns:ns2="7f778677-e8d3-4866-966d-dd352b4d4b95" xmlns:ns3="655929c3-d7c5-4e51-b5f8-f25933e16e57" targetNamespace="http://schemas.microsoft.com/office/2006/metadata/properties" ma:root="true" ma:fieldsID="2136bc5999714f027c7596c726032f96" ns2:_="" ns3:_="">
    <xsd:import namespace="7f778677-e8d3-4866-966d-dd352b4d4b95"/>
    <xsd:import namespace="655929c3-d7c5-4e51-b5f8-f25933e16e5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778677-e8d3-4866-966d-dd352b4d4b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Balises d’images" ma:readOnly="false" ma:fieldId="{5cf76f15-5ced-4ddc-b409-7134ff3c332f}" ma:taxonomyMulti="true" ma:sspId="c31a7892-0253-4b23-af1e-d16b272054b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5929c3-d7c5-4e51-b5f8-f25933e16e5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b035bd7a-0690-4dae-a8f1-713ab1cfbd47}" ma:internalName="TaxCatchAll" ma:showField="CatchAllData" ma:web="655929c3-d7c5-4e51-b5f8-f25933e16e5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6CB8604-1778-4425-9497-BFC15C0CA2D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025F396-F520-4214-B137-FFBC1F0B94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f778677-e8d3-4866-966d-dd352b4d4b95"/>
    <ds:schemaRef ds:uri="655929c3-d7c5-4e51-b5f8-f25933e16e5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Laurence DEGOUL SAINT JEAN</cp:lastModifiedBy>
  <cp:lastPrinted>2025-03-18T10:50:40Z</cp:lastPrinted>
  <dcterms:created xsi:type="dcterms:W3CDTF">2021-02-01T08:22:39Z</dcterms:created>
  <dcterms:modified xsi:type="dcterms:W3CDTF">2026-01-07T15:54:24Z</dcterms:modified>
</cp:coreProperties>
</file>