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GCF\ENVIRONNEMENT\7_CARBONE\Coopératives\AFB\Projets_LBC\Projets_Tests\Agence des Charentes\Projet Nieul-lès-Saintes_122020\"/>
    </mc:Choice>
  </mc:AlternateContent>
  <bookViews>
    <workbookView xWindow="0" yWindow="0" windowWidth="19200" windowHeight="7310" activeTab="3"/>
  </bookViews>
  <sheets>
    <sheet name="REAforêtMBoisement" sheetId="6" r:id="rId1"/>
    <sheet name="REAproduitsMBoisement" sheetId="3" r:id="rId2"/>
    <sheet name="REEsubsMBoisement" sheetId="5" r:id="rId3"/>
    <sheet name="REG&amp;Rabais" sheetId="4" r:id="rId4"/>
    <sheet name="Listes choix" sheetId="2" state="hidden" r:id="rId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V27" i="6" l="1"/>
  <c r="B21" i="6" l="1"/>
  <c r="B33" i="6"/>
  <c r="BL33" i="6"/>
  <c r="BM33" i="6"/>
  <c r="BN33" i="6"/>
  <c r="BO33" i="6"/>
  <c r="BP33" i="6"/>
  <c r="BQ33" i="6"/>
  <c r="BR33" i="6"/>
  <c r="BS33" i="6"/>
  <c r="BT33" i="6"/>
  <c r="BU33" i="6"/>
  <c r="BV33" i="6"/>
  <c r="BW33" i="6"/>
  <c r="BX33" i="6"/>
  <c r="BY33" i="6"/>
  <c r="BZ33" i="6"/>
  <c r="CA33" i="6"/>
  <c r="CB33" i="6"/>
  <c r="CC33" i="6"/>
  <c r="CD33" i="6"/>
  <c r="CE33" i="6"/>
  <c r="CF33" i="6"/>
  <c r="CG33" i="6"/>
  <c r="CH33" i="6"/>
  <c r="CI33" i="6"/>
  <c r="CJ33" i="6"/>
  <c r="CK33" i="6"/>
  <c r="CL33" i="6"/>
  <c r="CM33" i="6"/>
  <c r="CN33" i="6"/>
  <c r="CO33" i="6"/>
  <c r="CP33" i="6"/>
  <c r="CQ33" i="6"/>
  <c r="CR33" i="6"/>
  <c r="CS33" i="6"/>
  <c r="CT33" i="6"/>
  <c r="CU33" i="6"/>
  <c r="CV33" i="6"/>
  <c r="CW33" i="6"/>
  <c r="CX33" i="6"/>
  <c r="CY33" i="6"/>
  <c r="CZ33" i="6"/>
  <c r="DA33" i="6"/>
  <c r="DB33" i="6"/>
  <c r="DC33" i="6"/>
  <c r="DD33" i="6"/>
  <c r="DE33" i="6"/>
  <c r="DF33" i="6"/>
  <c r="DG33" i="6"/>
  <c r="DH33" i="6"/>
  <c r="DI33" i="6"/>
  <c r="DJ33" i="6"/>
  <c r="DK33" i="6"/>
  <c r="DL33" i="6"/>
  <c r="DM33" i="6"/>
  <c r="DN33" i="6"/>
  <c r="DO33" i="6"/>
  <c r="DP33" i="6"/>
  <c r="DQ33" i="6"/>
  <c r="DR33" i="6"/>
  <c r="BK33" i="6"/>
  <c r="AC33" i="6"/>
  <c r="AD33" i="6"/>
  <c r="AE33" i="6"/>
  <c r="AF33" i="6"/>
  <c r="AG33" i="6"/>
  <c r="AH33" i="6"/>
  <c r="AI33" i="6"/>
  <c r="AJ33" i="6"/>
  <c r="AK33" i="6"/>
  <c r="AL33" i="6"/>
  <c r="AM33" i="6"/>
  <c r="AN33" i="6"/>
  <c r="AO33" i="6"/>
  <c r="AP33" i="6"/>
  <c r="AQ33" i="6"/>
  <c r="AR33" i="6"/>
  <c r="AS33" i="6"/>
  <c r="AT33" i="6"/>
  <c r="AU33" i="6"/>
  <c r="AV33" i="6"/>
  <c r="AW33" i="6"/>
  <c r="AX33" i="6"/>
  <c r="AY33" i="6"/>
  <c r="AZ33" i="6"/>
  <c r="BA33" i="6"/>
  <c r="BB33" i="6"/>
  <c r="BC33" i="6"/>
  <c r="BD33" i="6"/>
  <c r="BE33" i="6"/>
  <c r="BF33" i="6"/>
  <c r="BG33" i="6"/>
  <c r="BH33" i="6"/>
  <c r="BI33" i="6"/>
  <c r="BJ33" i="6"/>
  <c r="AB33" i="6"/>
  <c r="AA21" i="6"/>
  <c r="C33" i="6"/>
  <c r="D33" i="6"/>
  <c r="E33" i="6"/>
  <c r="F33" i="6"/>
  <c r="G33" i="6"/>
  <c r="H33" i="6"/>
  <c r="I33" i="6"/>
  <c r="J33" i="6"/>
  <c r="K33" i="6"/>
  <c r="L33" i="6"/>
  <c r="M33" i="6"/>
  <c r="N33" i="6"/>
  <c r="O33" i="6"/>
  <c r="P33" i="6"/>
  <c r="Q33" i="6"/>
  <c r="R33" i="6"/>
  <c r="S33" i="6"/>
  <c r="T33" i="6"/>
  <c r="U33" i="6"/>
  <c r="V33" i="6"/>
  <c r="W33" i="6"/>
  <c r="X33" i="6"/>
  <c r="Y33" i="6"/>
  <c r="Z33" i="6"/>
  <c r="AA33" i="6"/>
  <c r="C27" i="6" l="1"/>
  <c r="CI28" i="6"/>
  <c r="BT28" i="6"/>
  <c r="BE28" i="6"/>
  <c r="AP28" i="6"/>
  <c r="AA28" i="6"/>
  <c r="D28" i="6"/>
  <c r="E28" i="6"/>
  <c r="F28" i="6" s="1"/>
  <c r="G28" i="6" s="1"/>
  <c r="H28" i="6" s="1"/>
  <c r="I28" i="6" s="1"/>
  <c r="J28" i="6" s="1"/>
  <c r="K28" i="6" s="1"/>
  <c r="L28" i="6" s="1"/>
  <c r="M28" i="6" s="1"/>
  <c r="N28" i="6" s="1"/>
  <c r="O28" i="6" s="1"/>
  <c r="P28" i="6" s="1"/>
  <c r="Q28" i="6" s="1"/>
  <c r="R28" i="6" s="1"/>
  <c r="S28" i="6" s="1"/>
  <c r="T28" i="6" s="1"/>
  <c r="U28" i="6" s="1"/>
  <c r="V28" i="6" s="1"/>
  <c r="W28" i="6" s="1"/>
  <c r="X28" i="6" s="1"/>
  <c r="Y28" i="6" s="1"/>
  <c r="Z28" i="6" s="1"/>
  <c r="AB28" i="6" s="1"/>
  <c r="AC28" i="6" s="1"/>
  <c r="AD28" i="6" s="1"/>
  <c r="AE28" i="6" s="1"/>
  <c r="AF28" i="6" s="1"/>
  <c r="AG28" i="6" s="1"/>
  <c r="AH28" i="6" s="1"/>
  <c r="AI28" i="6" s="1"/>
  <c r="AJ28" i="6" s="1"/>
  <c r="AK28" i="6" s="1"/>
  <c r="AL28" i="6" s="1"/>
  <c r="AM28" i="6" s="1"/>
  <c r="AN28" i="6" s="1"/>
  <c r="AO28" i="6" s="1"/>
  <c r="C28" i="6"/>
  <c r="AQ28" i="6" l="1"/>
  <c r="AR28" i="6" s="1"/>
  <c r="AS28" i="6" s="1"/>
  <c r="AT28" i="6" s="1"/>
  <c r="AU28" i="6" s="1"/>
  <c r="AV28" i="6" s="1"/>
  <c r="AW28" i="6" s="1"/>
  <c r="AX28" i="6" s="1"/>
  <c r="AY28" i="6" s="1"/>
  <c r="AZ28" i="6" s="1"/>
  <c r="BA28" i="6" s="1"/>
  <c r="BB28" i="6" s="1"/>
  <c r="BC28" i="6" s="1"/>
  <c r="BD28" i="6" s="1"/>
  <c r="BF28" i="6" s="1"/>
  <c r="BG28" i="6" s="1"/>
  <c r="BH28" i="6" s="1"/>
  <c r="BI28" i="6" s="1"/>
  <c r="BJ28" i="6" s="1"/>
  <c r="BK28" i="6" s="1"/>
  <c r="BL28" i="6" s="1"/>
  <c r="BM28" i="6" s="1"/>
  <c r="BN28" i="6" s="1"/>
  <c r="BO28" i="6" s="1"/>
  <c r="BP28" i="6" s="1"/>
  <c r="BQ28" i="6" s="1"/>
  <c r="BR28" i="6" s="1"/>
  <c r="BS28" i="6" s="1"/>
  <c r="BU28" i="6" s="1"/>
  <c r="BV28" i="6" s="1"/>
  <c r="BW28" i="6" s="1"/>
  <c r="BX28" i="6" s="1"/>
  <c r="BY28" i="6" s="1"/>
  <c r="BZ28" i="6" s="1"/>
  <c r="CA28" i="6" s="1"/>
  <c r="CB28" i="6" s="1"/>
  <c r="CC28" i="6" s="1"/>
  <c r="CD28" i="6" s="1"/>
  <c r="CE28" i="6" s="1"/>
  <c r="CF28" i="6" s="1"/>
  <c r="CG28" i="6" s="1"/>
  <c r="CH28" i="6" s="1"/>
  <c r="CJ28" i="6" s="1"/>
  <c r="CK28" i="6" s="1"/>
  <c r="CL28" i="6" s="1"/>
  <c r="CM28" i="6" s="1"/>
  <c r="CN28" i="6" s="1"/>
  <c r="CO28" i="6" s="1"/>
  <c r="CP28" i="6" s="1"/>
  <c r="CQ28" i="6" s="1"/>
  <c r="CR28" i="6" s="1"/>
  <c r="CS28" i="6" s="1"/>
  <c r="CT28" i="6" s="1"/>
  <c r="CU28" i="6" s="1"/>
  <c r="CV28" i="6" s="1"/>
  <c r="CW28" i="6" s="1"/>
  <c r="CX28" i="6" s="1"/>
  <c r="CY28" i="6" s="1"/>
  <c r="CZ28" i="6" s="1"/>
  <c r="DA28" i="6" s="1"/>
  <c r="DB28" i="6" s="1"/>
  <c r="DC28" i="6" s="1"/>
  <c r="DD28" i="6" s="1"/>
  <c r="DE28" i="6" s="1"/>
  <c r="DF28" i="6" s="1"/>
  <c r="DG28" i="6" s="1"/>
  <c r="DH28" i="6" s="1"/>
  <c r="DI28" i="6" s="1"/>
  <c r="DJ28" i="6" s="1"/>
  <c r="DK28" i="6" s="1"/>
  <c r="DL28" i="6" s="1"/>
  <c r="DM28" i="6" s="1"/>
  <c r="DN28" i="6" s="1"/>
  <c r="DO28" i="6" s="1"/>
  <c r="DP28" i="6" s="1"/>
  <c r="DQ28" i="6" s="1"/>
  <c r="DR28" i="6" s="1"/>
  <c r="B5" i="5"/>
  <c r="B6" i="5" s="1"/>
  <c r="B6" i="4"/>
  <c r="AA18" i="5"/>
  <c r="Z18" i="5"/>
  <c r="R18" i="5"/>
  <c r="R19" i="5"/>
  <c r="AA19" i="5"/>
  <c r="Z19" i="5"/>
  <c r="B5" i="3"/>
  <c r="B14" i="3"/>
  <c r="AA18" i="3"/>
  <c r="B22" i="6"/>
  <c r="X26" i="6"/>
  <c r="Y26" i="6"/>
  <c r="Y25" i="6" s="1"/>
  <c r="Z26" i="6"/>
  <c r="AA26" i="6" s="1"/>
  <c r="AA25" i="6" s="1"/>
  <c r="W26" i="6"/>
  <c r="W25" i="6" s="1"/>
  <c r="S26" i="6"/>
  <c r="S25" i="6" s="1"/>
  <c r="T26" i="6"/>
  <c r="T25" i="6" s="1"/>
  <c r="U26" i="6"/>
  <c r="V26" i="6" s="1"/>
  <c r="V25" i="6" s="1"/>
  <c r="R26" i="6"/>
  <c r="N26" i="6"/>
  <c r="N25" i="6" s="1"/>
  <c r="O26" i="6"/>
  <c r="O25" i="6" s="1"/>
  <c r="P26" i="6"/>
  <c r="Q26" i="6" s="1"/>
  <c r="Q25" i="6" s="1"/>
  <c r="M26" i="6"/>
  <c r="M25" i="6" s="1"/>
  <c r="I26" i="6"/>
  <c r="J26" i="6" s="1"/>
  <c r="H26" i="6"/>
  <c r="D26" i="6"/>
  <c r="D25" i="6" s="1"/>
  <c r="E26" i="6"/>
  <c r="E25" i="6" s="1"/>
  <c r="F26" i="6"/>
  <c r="G26" i="6" s="1"/>
  <c r="G25" i="6" s="1"/>
  <c r="C26" i="6"/>
  <c r="C25" i="6"/>
  <c r="AU24" i="6"/>
  <c r="AK24" i="6"/>
  <c r="AB24" i="6"/>
  <c r="S24" i="6"/>
  <c r="S23" i="6" s="1"/>
  <c r="R24" i="6"/>
  <c r="R23" i="6" s="1"/>
  <c r="D24" i="6"/>
  <c r="D23" i="6" s="1"/>
  <c r="E24" i="6"/>
  <c r="F24" i="6" s="1"/>
  <c r="G24" i="6" s="1"/>
  <c r="H24" i="6" s="1"/>
  <c r="I24" i="6" s="1"/>
  <c r="J24" i="6" s="1"/>
  <c r="K24" i="6" s="1"/>
  <c r="L24" i="6" s="1"/>
  <c r="M24" i="6" s="1"/>
  <c r="N24" i="6" s="1"/>
  <c r="O24" i="6" s="1"/>
  <c r="P24" i="6" s="1"/>
  <c r="Q24" i="6" s="1"/>
  <c r="C24" i="6"/>
  <c r="C23" i="6" s="1"/>
  <c r="F25" i="6"/>
  <c r="H25" i="6"/>
  <c r="P25" i="6"/>
  <c r="R25" i="6"/>
  <c r="X25" i="6"/>
  <c r="B25" i="6"/>
  <c r="B23" i="6"/>
  <c r="AG30" i="6"/>
  <c r="AH30" i="6"/>
  <c r="AI30" i="6"/>
  <c r="AJ30" i="6"/>
  <c r="AK30" i="6"/>
  <c r="AL30" i="6"/>
  <c r="AM30" i="6"/>
  <c r="AN30" i="6"/>
  <c r="AO30" i="6"/>
  <c r="AP30" i="6"/>
  <c r="AQ30" i="6"/>
  <c r="AR30" i="6"/>
  <c r="AS30" i="6"/>
  <c r="AT30" i="6"/>
  <c r="AU30" i="6"/>
  <c r="AV30" i="6"/>
  <c r="AW30" i="6"/>
  <c r="AX30" i="6"/>
  <c r="AY30" i="6"/>
  <c r="AZ30" i="6"/>
  <c r="BA30" i="6"/>
  <c r="BB30" i="6"/>
  <c r="BC30" i="6"/>
  <c r="BD30" i="6"/>
  <c r="BE30" i="6"/>
  <c r="BF30" i="6"/>
  <c r="BG30" i="6"/>
  <c r="BH30" i="6"/>
  <c r="BI30" i="6"/>
  <c r="BJ30" i="6"/>
  <c r="BK30" i="6"/>
  <c r="BL30" i="6"/>
  <c r="BM30" i="6"/>
  <c r="BN30" i="6"/>
  <c r="BO30" i="6"/>
  <c r="BP30" i="6"/>
  <c r="BQ30" i="6"/>
  <c r="BR30" i="6"/>
  <c r="BS30" i="6"/>
  <c r="BT30" i="6"/>
  <c r="BU30" i="6"/>
  <c r="BV30" i="6"/>
  <c r="BW30" i="6"/>
  <c r="BX30" i="6"/>
  <c r="BY30" i="6"/>
  <c r="BZ30" i="6"/>
  <c r="CA30" i="6"/>
  <c r="CB30" i="6"/>
  <c r="CC30" i="6"/>
  <c r="CD30" i="6"/>
  <c r="CE30" i="6"/>
  <c r="CF30" i="6"/>
  <c r="CG30" i="6"/>
  <c r="CH30" i="6"/>
  <c r="CI30" i="6"/>
  <c r="CJ30" i="6"/>
  <c r="CK30" i="6"/>
  <c r="CL30" i="6"/>
  <c r="CM30" i="6"/>
  <c r="CN30" i="6"/>
  <c r="CO30" i="6"/>
  <c r="CP30" i="6"/>
  <c r="CQ30" i="6"/>
  <c r="CR30" i="6"/>
  <c r="CS30" i="6"/>
  <c r="CT30" i="6"/>
  <c r="CU30" i="6"/>
  <c r="CV30" i="6"/>
  <c r="CW30" i="6"/>
  <c r="CX30" i="6"/>
  <c r="CY30" i="6"/>
  <c r="CZ30" i="6"/>
  <c r="DA30" i="6"/>
  <c r="DB30" i="6"/>
  <c r="DC30" i="6"/>
  <c r="DD30" i="6"/>
  <c r="DE30" i="6"/>
  <c r="DF30" i="6"/>
  <c r="DG30" i="6"/>
  <c r="DH30" i="6"/>
  <c r="DI30" i="6"/>
  <c r="DJ30" i="6"/>
  <c r="DK30" i="6"/>
  <c r="DL30" i="6"/>
  <c r="DM30" i="6"/>
  <c r="DN30" i="6"/>
  <c r="DO30" i="6"/>
  <c r="DP30" i="6"/>
  <c r="DQ30" i="6"/>
  <c r="DR30" i="6"/>
  <c r="AG34" i="6"/>
  <c r="AH34" i="6"/>
  <c r="AI34" i="6"/>
  <c r="AJ34" i="6"/>
  <c r="AK34" i="6"/>
  <c r="AL34" i="6"/>
  <c r="AM34" i="6"/>
  <c r="AN34" i="6"/>
  <c r="AO34" i="6"/>
  <c r="AP34" i="6"/>
  <c r="AQ34" i="6"/>
  <c r="AR34" i="6"/>
  <c r="AS34" i="6"/>
  <c r="AT34" i="6"/>
  <c r="AU34" i="6"/>
  <c r="AV34" i="6"/>
  <c r="AW34" i="6"/>
  <c r="AX34" i="6"/>
  <c r="AY34" i="6"/>
  <c r="AZ34" i="6"/>
  <c r="BA34" i="6"/>
  <c r="BB34" i="6"/>
  <c r="BC34" i="6"/>
  <c r="BD34" i="6"/>
  <c r="BE34" i="6"/>
  <c r="BF34" i="6"/>
  <c r="BG34" i="6"/>
  <c r="BH34" i="6"/>
  <c r="BI34" i="6"/>
  <c r="BJ34" i="6"/>
  <c r="BK34" i="6"/>
  <c r="BL34" i="6"/>
  <c r="BM34" i="6"/>
  <c r="BN34" i="6"/>
  <c r="BO34" i="6"/>
  <c r="BP34" i="6"/>
  <c r="BQ34" i="6"/>
  <c r="BR34" i="6"/>
  <c r="BS34" i="6"/>
  <c r="BT34" i="6"/>
  <c r="BU34" i="6"/>
  <c r="BV34" i="6"/>
  <c r="BW34" i="6"/>
  <c r="BX34" i="6"/>
  <c r="BY34" i="6"/>
  <c r="BZ34" i="6"/>
  <c r="CA34" i="6"/>
  <c r="CB34" i="6"/>
  <c r="CC34" i="6"/>
  <c r="CD34" i="6"/>
  <c r="CE34" i="6"/>
  <c r="CF34" i="6"/>
  <c r="CG34" i="6"/>
  <c r="CH34" i="6"/>
  <c r="CI34" i="6"/>
  <c r="CJ34" i="6"/>
  <c r="CK34" i="6"/>
  <c r="CL34" i="6"/>
  <c r="CM34" i="6"/>
  <c r="CN34" i="6"/>
  <c r="CO34" i="6"/>
  <c r="CP34" i="6"/>
  <c r="CQ34" i="6"/>
  <c r="CR34" i="6"/>
  <c r="CS34" i="6"/>
  <c r="CT34" i="6"/>
  <c r="CU34" i="6"/>
  <c r="CV34" i="6"/>
  <c r="CW34" i="6"/>
  <c r="CX34" i="6"/>
  <c r="CY34" i="6"/>
  <c r="CZ34" i="6"/>
  <c r="DA34" i="6"/>
  <c r="DB34" i="6"/>
  <c r="DC34" i="6"/>
  <c r="DD34" i="6"/>
  <c r="DE34" i="6"/>
  <c r="DF34" i="6"/>
  <c r="DG34" i="6"/>
  <c r="DH34" i="6"/>
  <c r="DI34" i="6"/>
  <c r="DJ34" i="6"/>
  <c r="DK34" i="6"/>
  <c r="DL34" i="6"/>
  <c r="DM34" i="6"/>
  <c r="DN34" i="6"/>
  <c r="DO34" i="6"/>
  <c r="DP34" i="6"/>
  <c r="DQ34" i="6"/>
  <c r="DR34" i="6"/>
  <c r="B8" i="4" l="1"/>
  <c r="B49" i="6"/>
  <c r="Z25" i="6"/>
  <c r="U25" i="6"/>
  <c r="K26" i="6"/>
  <c r="J25" i="6"/>
  <c r="I25" i="6"/>
  <c r="T24" i="6"/>
  <c r="U24" i="6" s="1"/>
  <c r="V24" i="6" s="1"/>
  <c r="W24" i="6" s="1"/>
  <c r="X24" i="6" s="1"/>
  <c r="Y24" i="6" s="1"/>
  <c r="Z24" i="6" s="1"/>
  <c r="AA24" i="6" s="1"/>
  <c r="AC24" i="6" s="1"/>
  <c r="AD24" i="6" s="1"/>
  <c r="AE24" i="6" s="1"/>
  <c r="AF24" i="6" s="1"/>
  <c r="AG24" i="6" s="1"/>
  <c r="AH24" i="6" s="1"/>
  <c r="AI24" i="6" s="1"/>
  <c r="AJ24" i="6" s="1"/>
  <c r="AL24" i="6" s="1"/>
  <c r="AM24" i="6" s="1"/>
  <c r="AN24" i="6" s="1"/>
  <c r="AO24" i="6" s="1"/>
  <c r="AP24" i="6" s="1"/>
  <c r="AQ24" i="6" s="1"/>
  <c r="AR24" i="6" s="1"/>
  <c r="AS24" i="6" s="1"/>
  <c r="AT24" i="6" s="1"/>
  <c r="AV24" i="6" s="1"/>
  <c r="AW24" i="6" s="1"/>
  <c r="AX24" i="6" s="1"/>
  <c r="AY24" i="6" s="1"/>
  <c r="AZ24" i="6" s="1"/>
  <c r="BA24" i="6" s="1"/>
  <c r="BB24" i="6" s="1"/>
  <c r="BC24" i="6" s="1"/>
  <c r="BD24" i="6" s="1"/>
  <c r="BE24" i="6" s="1"/>
  <c r="BF24" i="6" s="1"/>
  <c r="BG24" i="6" s="1"/>
  <c r="BH24" i="6" s="1"/>
  <c r="BI24" i="6" s="1"/>
  <c r="BJ24" i="6" s="1"/>
  <c r="T23" i="6"/>
  <c r="F23" i="6"/>
  <c r="E23" i="6"/>
  <c r="B31" i="6"/>
  <c r="H34" i="6"/>
  <c r="B34" i="6"/>
  <c r="B30" i="6"/>
  <c r="B13" i="5"/>
  <c r="C26" i="3"/>
  <c r="B18" i="5" l="1"/>
  <c r="L26" i="6"/>
  <c r="L25" i="6" s="1"/>
  <c r="K25" i="6"/>
  <c r="U23" i="6"/>
  <c r="G23" i="6"/>
  <c r="E18" i="5"/>
  <c r="V23" i="6" l="1"/>
  <c r="H23" i="6"/>
  <c r="C18" i="5"/>
  <c r="W23" i="6" l="1"/>
  <c r="I23" i="6"/>
  <c r="C15" i="4"/>
  <c r="X23" i="6" l="1"/>
  <c r="J23" i="6"/>
  <c r="F31" i="6"/>
  <c r="Y23" i="6" l="1"/>
  <c r="K23" i="6"/>
  <c r="E39" i="6"/>
  <c r="Z23" i="6" l="1"/>
  <c r="L23" i="6"/>
  <c r="C34" i="6"/>
  <c r="D34" i="6"/>
  <c r="E34" i="6"/>
  <c r="F34" i="6"/>
  <c r="G34" i="6"/>
  <c r="I34" i="6"/>
  <c r="J34" i="6"/>
  <c r="K34" i="6"/>
  <c r="L34" i="6"/>
  <c r="M34" i="6"/>
  <c r="N34" i="6"/>
  <c r="O34" i="6"/>
  <c r="P34" i="6"/>
  <c r="Q34" i="6"/>
  <c r="R34" i="6"/>
  <c r="S34" i="6"/>
  <c r="T34" i="6"/>
  <c r="U34" i="6"/>
  <c r="V34" i="6"/>
  <c r="W34" i="6"/>
  <c r="X34" i="6"/>
  <c r="Y34" i="6"/>
  <c r="Z34" i="6"/>
  <c r="AA34" i="6"/>
  <c r="AB34" i="6"/>
  <c r="AC34" i="6"/>
  <c r="AD34" i="6"/>
  <c r="AE34" i="6"/>
  <c r="AF34" i="6"/>
  <c r="AA23" i="6" l="1"/>
  <c r="M23" i="6"/>
  <c r="AB23" i="6" l="1"/>
  <c r="N23" i="6"/>
  <c r="AF31" i="6"/>
  <c r="C31" i="6"/>
  <c r="D31" i="6"/>
  <c r="E31" i="6"/>
  <c r="G31" i="6"/>
  <c r="H31" i="6"/>
  <c r="I31" i="6"/>
  <c r="J31" i="6"/>
  <c r="K31" i="6"/>
  <c r="L31" i="6"/>
  <c r="M31" i="6"/>
  <c r="N31" i="6"/>
  <c r="O31" i="6"/>
  <c r="P31" i="6"/>
  <c r="Q31" i="6"/>
  <c r="R31" i="6"/>
  <c r="S31" i="6"/>
  <c r="T31" i="6"/>
  <c r="U31" i="6"/>
  <c r="V31" i="6"/>
  <c r="W31" i="6"/>
  <c r="X31" i="6"/>
  <c r="Y31" i="6"/>
  <c r="Z31" i="6"/>
  <c r="AA31" i="6"/>
  <c r="AB31" i="6"/>
  <c r="AC31" i="6"/>
  <c r="AD31" i="6"/>
  <c r="AE31" i="6"/>
  <c r="AF30" i="6"/>
  <c r="C30" i="6"/>
  <c r="D30" i="6"/>
  <c r="E30" i="6"/>
  <c r="F30" i="6"/>
  <c r="G30" i="6"/>
  <c r="H30" i="6"/>
  <c r="I30" i="6"/>
  <c r="J30" i="6"/>
  <c r="K30" i="6"/>
  <c r="L30" i="6"/>
  <c r="M30" i="6"/>
  <c r="N30" i="6"/>
  <c r="O30" i="6"/>
  <c r="P30" i="6"/>
  <c r="Q30" i="6"/>
  <c r="R30" i="6"/>
  <c r="S30" i="6"/>
  <c r="T30" i="6"/>
  <c r="U30" i="6"/>
  <c r="V30" i="6"/>
  <c r="W30" i="6"/>
  <c r="X30" i="6"/>
  <c r="Y30" i="6"/>
  <c r="Z30" i="6"/>
  <c r="AA30" i="6"/>
  <c r="AB30" i="6"/>
  <c r="AC30" i="6"/>
  <c r="AD30" i="6"/>
  <c r="AE30" i="6"/>
  <c r="AC23" i="6" l="1"/>
  <c r="O23" i="6"/>
  <c r="AD23" i="6" l="1"/>
  <c r="P23" i="6"/>
  <c r="Q23" i="6"/>
  <c r="AE23" i="6" l="1"/>
  <c r="AF23" i="6" l="1"/>
  <c r="C27" i="3"/>
  <c r="AG23" i="6" l="1"/>
  <c r="C17" i="4"/>
  <c r="C29" i="3"/>
  <c r="AH23" i="6" l="1"/>
  <c r="C16" i="3"/>
  <c r="AI23" i="6" l="1"/>
  <c r="C39" i="6"/>
  <c r="B38" i="6"/>
  <c r="C28" i="3"/>
  <c r="AJ23" i="6" l="1"/>
  <c r="D27" i="6"/>
  <c r="D22" i="6" s="1"/>
  <c r="T27" i="6"/>
  <c r="T22" i="6" s="1"/>
  <c r="AB27" i="6"/>
  <c r="AB22" i="6" s="1"/>
  <c r="AJ27" i="6"/>
  <c r="AR27" i="6"/>
  <c r="AZ27" i="6"/>
  <c r="BH27" i="6"/>
  <c r="BP27" i="6"/>
  <c r="BP22" i="6" s="1"/>
  <c r="BX27" i="6"/>
  <c r="BX22" i="6" s="1"/>
  <c r="CF27" i="6"/>
  <c r="CF22" i="6" s="1"/>
  <c r="CN27" i="6"/>
  <c r="CN22" i="6" s="1"/>
  <c r="CV27" i="6"/>
  <c r="CV22" i="6" s="1"/>
  <c r="DD27" i="6"/>
  <c r="DD22" i="6" s="1"/>
  <c r="DL27" i="6"/>
  <c r="DL22" i="6" s="1"/>
  <c r="CK27" i="6"/>
  <c r="CK22" i="6" s="1"/>
  <c r="E27" i="6"/>
  <c r="E22" i="6" s="1"/>
  <c r="M27" i="6"/>
  <c r="M22" i="6" s="1"/>
  <c r="U27" i="6"/>
  <c r="U22" i="6" s="1"/>
  <c r="AC27" i="6"/>
  <c r="AC22" i="6" s="1"/>
  <c r="AK27" i="6"/>
  <c r="AS27" i="6"/>
  <c r="BA27" i="6"/>
  <c r="BI27" i="6"/>
  <c r="BQ27" i="6"/>
  <c r="BQ22" i="6" s="1"/>
  <c r="BY27" i="6"/>
  <c r="BY22" i="6" s="1"/>
  <c r="CG27" i="6"/>
  <c r="CG22" i="6" s="1"/>
  <c r="CO27" i="6"/>
  <c r="CO22" i="6" s="1"/>
  <c r="CW27" i="6"/>
  <c r="CW22" i="6" s="1"/>
  <c r="DE27" i="6"/>
  <c r="DE22" i="6" s="1"/>
  <c r="DM27" i="6"/>
  <c r="DM22" i="6" s="1"/>
  <c r="CZ27" i="6"/>
  <c r="CZ22" i="6" s="1"/>
  <c r="Y27" i="6"/>
  <c r="Y22" i="6" s="1"/>
  <c r="BM27" i="6"/>
  <c r="BM22" i="6" s="1"/>
  <c r="DA27" i="6"/>
  <c r="DA22" i="6" s="1"/>
  <c r="F27" i="6"/>
  <c r="F22" i="6" s="1"/>
  <c r="N27" i="6"/>
  <c r="N22" i="6" s="1"/>
  <c r="V27" i="6"/>
  <c r="V22" i="6" s="1"/>
  <c r="AD27" i="6"/>
  <c r="AD22" i="6" s="1"/>
  <c r="AL27" i="6"/>
  <c r="AT27" i="6"/>
  <c r="BB27" i="6"/>
  <c r="BJ27" i="6"/>
  <c r="BR27" i="6"/>
  <c r="BR22" i="6" s="1"/>
  <c r="BZ27" i="6"/>
  <c r="BZ22" i="6" s="1"/>
  <c r="CH27" i="6"/>
  <c r="CH22" i="6" s="1"/>
  <c r="CP27" i="6"/>
  <c r="CP22" i="6" s="1"/>
  <c r="CX27" i="6"/>
  <c r="CX22" i="6" s="1"/>
  <c r="DF27" i="6"/>
  <c r="DF22" i="6" s="1"/>
  <c r="DN27" i="6"/>
  <c r="DN22" i="6" s="1"/>
  <c r="CR27" i="6"/>
  <c r="CR22" i="6" s="1"/>
  <c r="I27" i="6"/>
  <c r="I22" i="6" s="1"/>
  <c r="AO27" i="6"/>
  <c r="CC27" i="6"/>
  <c r="CC22" i="6" s="1"/>
  <c r="DQ27" i="6"/>
  <c r="DQ22" i="6" s="1"/>
  <c r="G27" i="6"/>
  <c r="G22" i="6" s="1"/>
  <c r="O27" i="6"/>
  <c r="O22" i="6" s="1"/>
  <c r="W27" i="6"/>
  <c r="W22" i="6" s="1"/>
  <c r="AE27" i="6"/>
  <c r="AE22" i="6" s="1"/>
  <c r="AM27" i="6"/>
  <c r="AU27" i="6"/>
  <c r="BC27" i="6"/>
  <c r="BK27" i="6"/>
  <c r="BK22" i="6" s="1"/>
  <c r="BS27" i="6"/>
  <c r="BS22" i="6" s="1"/>
  <c r="CA27" i="6"/>
  <c r="CA22" i="6" s="1"/>
  <c r="CI27" i="6"/>
  <c r="CI22" i="6" s="1"/>
  <c r="CQ27" i="6"/>
  <c r="CQ22" i="6" s="1"/>
  <c r="CY27" i="6"/>
  <c r="CY22" i="6" s="1"/>
  <c r="DG27" i="6"/>
  <c r="DG22" i="6" s="1"/>
  <c r="DO27" i="6"/>
  <c r="DO22" i="6" s="1"/>
  <c r="AW27" i="6"/>
  <c r="H27" i="6"/>
  <c r="H22" i="6" s="1"/>
  <c r="P27" i="6"/>
  <c r="P22" i="6" s="1"/>
  <c r="X27" i="6"/>
  <c r="X22" i="6" s="1"/>
  <c r="AF27" i="6"/>
  <c r="AF22" i="6" s="1"/>
  <c r="AN27" i="6"/>
  <c r="AV27" i="6"/>
  <c r="BD27" i="6"/>
  <c r="BL27" i="6"/>
  <c r="BL22" i="6" s="1"/>
  <c r="BT27" i="6"/>
  <c r="BT22" i="6" s="1"/>
  <c r="CB27" i="6"/>
  <c r="CB22" i="6" s="1"/>
  <c r="CJ27" i="6"/>
  <c r="CJ22" i="6" s="1"/>
  <c r="DH27" i="6"/>
  <c r="DH22" i="6" s="1"/>
  <c r="DP27" i="6"/>
  <c r="DP22" i="6" s="1"/>
  <c r="AG27" i="6"/>
  <c r="AG22" i="6" s="1"/>
  <c r="BU27" i="6"/>
  <c r="BU22" i="6" s="1"/>
  <c r="DI27" i="6"/>
  <c r="DI22" i="6" s="1"/>
  <c r="DR27" i="6"/>
  <c r="DR22" i="6" s="1"/>
  <c r="J27" i="6"/>
  <c r="J22" i="6" s="1"/>
  <c r="R27" i="6"/>
  <c r="R22" i="6" s="1"/>
  <c r="Z27" i="6"/>
  <c r="Z22" i="6" s="1"/>
  <c r="AH27" i="6"/>
  <c r="AH22" i="6" s="1"/>
  <c r="AP27" i="6"/>
  <c r="AX27" i="6"/>
  <c r="BF27" i="6"/>
  <c r="BN27" i="6"/>
  <c r="BN22" i="6" s="1"/>
  <c r="BV22" i="6"/>
  <c r="CD27" i="6"/>
  <c r="CD22" i="6" s="1"/>
  <c r="CL27" i="6"/>
  <c r="CL22" i="6" s="1"/>
  <c r="CT27" i="6"/>
  <c r="CT22" i="6" s="1"/>
  <c r="DB27" i="6"/>
  <c r="DB22" i="6" s="1"/>
  <c r="DJ27" i="6"/>
  <c r="DJ22" i="6" s="1"/>
  <c r="B27" i="6"/>
  <c r="C22" i="6"/>
  <c r="K27" i="6"/>
  <c r="K22" i="6" s="1"/>
  <c r="S27" i="6"/>
  <c r="S22" i="6" s="1"/>
  <c r="AA27" i="6"/>
  <c r="AA22" i="6" s="1"/>
  <c r="AI27" i="6"/>
  <c r="AI22" i="6" s="1"/>
  <c r="AQ27" i="6"/>
  <c r="AY27" i="6"/>
  <c r="BG27" i="6"/>
  <c r="BO27" i="6"/>
  <c r="BO22" i="6" s="1"/>
  <c r="BW27" i="6"/>
  <c r="BW22" i="6" s="1"/>
  <c r="CE27" i="6"/>
  <c r="CE22" i="6" s="1"/>
  <c r="CM27" i="6"/>
  <c r="CM22" i="6" s="1"/>
  <c r="CU27" i="6"/>
  <c r="CU22" i="6" s="1"/>
  <c r="DC27" i="6"/>
  <c r="DC22" i="6" s="1"/>
  <c r="DK27" i="6"/>
  <c r="DK22" i="6" s="1"/>
  <c r="L27" i="6"/>
  <c r="L22" i="6" s="1"/>
  <c r="Q27" i="6"/>
  <c r="Q22" i="6" s="1"/>
  <c r="BE27" i="6"/>
  <c r="CS27" i="6"/>
  <c r="CS22" i="6" s="1"/>
  <c r="D18" i="5"/>
  <c r="M18" i="5"/>
  <c r="U18" i="5"/>
  <c r="AC18" i="5"/>
  <c r="O18" i="5"/>
  <c r="L18" i="5"/>
  <c r="F18" i="5"/>
  <c r="N18" i="5"/>
  <c r="V18" i="5"/>
  <c r="AD18" i="5"/>
  <c r="G18" i="5"/>
  <c r="W18" i="5"/>
  <c r="H18" i="5"/>
  <c r="P18" i="5"/>
  <c r="X18" i="5"/>
  <c r="AE18" i="5"/>
  <c r="T18" i="5"/>
  <c r="I18" i="5"/>
  <c r="Q18" i="5"/>
  <c r="Y18" i="5"/>
  <c r="J18" i="5"/>
  <c r="K18" i="5"/>
  <c r="S18" i="5"/>
  <c r="AB18" i="5"/>
  <c r="C18" i="4"/>
  <c r="B9" i="4" l="1"/>
  <c r="B7" i="4"/>
  <c r="AJ22" i="6"/>
  <c r="AJ29" i="6" s="1"/>
  <c r="AJ21" i="6" s="1"/>
  <c r="AJ35" i="6" s="1"/>
  <c r="AK23" i="6"/>
  <c r="AK22" i="6" s="1"/>
  <c r="AK29" i="6" s="1"/>
  <c r="AK21" i="6" s="1"/>
  <c r="AK35" i="6" s="1"/>
  <c r="CY29" i="6"/>
  <c r="CY21" i="6" s="1"/>
  <c r="CY35" i="6" s="1"/>
  <c r="CN29" i="6"/>
  <c r="CN21" i="6" s="1"/>
  <c r="CN35" i="6" s="1"/>
  <c r="Z29" i="6"/>
  <c r="Z21" i="6" s="1"/>
  <c r="DA29" i="6"/>
  <c r="DA21" i="6" s="1"/>
  <c r="DA35" i="6" s="1"/>
  <c r="K29" i="6"/>
  <c r="K21" i="6" s="1"/>
  <c r="CB29" i="6"/>
  <c r="CB21" i="6" s="1"/>
  <c r="CB35" i="6" s="1"/>
  <c r="O29" i="6"/>
  <c r="O21" i="6" s="1"/>
  <c r="E29" i="6"/>
  <c r="E21" i="6" s="1"/>
  <c r="BP29" i="6"/>
  <c r="BP21" i="6" s="1"/>
  <c r="BP35" i="6" s="1"/>
  <c r="Q29" i="6"/>
  <c r="Q21" i="6" s="1"/>
  <c r="BO29" i="6"/>
  <c r="BO21" i="6" s="1"/>
  <c r="BO35" i="6" s="1"/>
  <c r="C29" i="6"/>
  <c r="C21" i="6" s="1"/>
  <c r="BN29" i="6"/>
  <c r="BN21" i="6" s="1"/>
  <c r="BN35" i="6" s="1"/>
  <c r="DR29" i="6"/>
  <c r="DR21" i="6" s="1"/>
  <c r="DR35" i="6" s="1"/>
  <c r="BT29" i="6"/>
  <c r="BT21" i="6" s="1"/>
  <c r="BT35" i="6" s="1"/>
  <c r="H29" i="6"/>
  <c r="H21" i="6" s="1"/>
  <c r="BS29" i="6"/>
  <c r="BS21" i="6" s="1"/>
  <c r="BS35" i="6" s="1"/>
  <c r="G29" i="6"/>
  <c r="G21" i="6" s="1"/>
  <c r="CX29" i="6"/>
  <c r="CX21" i="6" s="1"/>
  <c r="CX35" i="6" s="1"/>
  <c r="CZ29" i="6"/>
  <c r="CZ21" i="6" s="1"/>
  <c r="CZ35" i="6" s="1"/>
  <c r="CK29" i="6"/>
  <c r="CK21" i="6" s="1"/>
  <c r="CK35" i="6" s="1"/>
  <c r="DP29" i="6"/>
  <c r="DP21" i="6" s="1"/>
  <c r="DP35" i="6" s="1"/>
  <c r="CO29" i="6"/>
  <c r="CO21" i="6" s="1"/>
  <c r="CO35" i="6" s="1"/>
  <c r="AA29" i="6"/>
  <c r="AE29" i="6"/>
  <c r="AE21" i="6" s="1"/>
  <c r="BW29" i="6"/>
  <c r="BW21" i="6" s="1"/>
  <c r="BW35" i="6" s="1"/>
  <c r="P29" i="6"/>
  <c r="P21" i="6" s="1"/>
  <c r="DF29" i="6"/>
  <c r="DF21" i="6" s="1"/>
  <c r="DF35" i="6" s="1"/>
  <c r="DI29" i="6"/>
  <c r="DI21" i="6" s="1"/>
  <c r="DI35" i="6" s="1"/>
  <c r="BL29" i="6"/>
  <c r="BL21" i="6" s="1"/>
  <c r="BL35" i="6" s="1"/>
  <c r="BK29" i="6"/>
  <c r="BK21" i="6" s="1"/>
  <c r="BK35" i="6" s="1"/>
  <c r="DQ29" i="6"/>
  <c r="DQ21" i="6" s="1"/>
  <c r="DQ35" i="6" s="1"/>
  <c r="CP29" i="6"/>
  <c r="CP21" i="6" s="1"/>
  <c r="CP35" i="6" s="1"/>
  <c r="AD29" i="6"/>
  <c r="AD21" i="6" s="1"/>
  <c r="DM29" i="6"/>
  <c r="DM21" i="6" s="1"/>
  <c r="DM35" i="6" s="1"/>
  <c r="DL29" i="6"/>
  <c r="DL21" i="6" s="1"/>
  <c r="DL35" i="6" s="1"/>
  <c r="AI29" i="6"/>
  <c r="AI21" i="6" s="1"/>
  <c r="AI35" i="6" s="1"/>
  <c r="I29" i="6"/>
  <c r="I21" i="6" s="1"/>
  <c r="CM29" i="6"/>
  <c r="CM21" i="6" s="1"/>
  <c r="CM35" i="6" s="1"/>
  <c r="J29" i="6"/>
  <c r="J21" i="6" s="1"/>
  <c r="BQ29" i="6"/>
  <c r="BQ21" i="6" s="1"/>
  <c r="BQ35" i="6" s="1"/>
  <c r="DK29" i="6"/>
  <c r="DK21" i="6" s="1"/>
  <c r="DK35" i="6" s="1"/>
  <c r="DJ29" i="6"/>
  <c r="DJ21" i="6" s="1"/>
  <c r="DJ35" i="6" s="1"/>
  <c r="BU29" i="6"/>
  <c r="BU21" i="6" s="1"/>
  <c r="BU35" i="6" s="1"/>
  <c r="DO29" i="6"/>
  <c r="DO21" i="6" s="1"/>
  <c r="DO35" i="6" s="1"/>
  <c r="CC29" i="6"/>
  <c r="CC21" i="6" s="1"/>
  <c r="CC35" i="6" s="1"/>
  <c r="CH29" i="6"/>
  <c r="CH21" i="6" s="1"/>
  <c r="CH35" i="6" s="1"/>
  <c r="V29" i="6"/>
  <c r="V21" i="6" s="1"/>
  <c r="DE29" i="6"/>
  <c r="DE21" i="6" s="1"/>
  <c r="DE35" i="6" s="1"/>
  <c r="DD29" i="6"/>
  <c r="DD21" i="6" s="1"/>
  <c r="DD35" i="6" s="1"/>
  <c r="CU29" i="6"/>
  <c r="CU21" i="6" s="1"/>
  <c r="CU35" i="6" s="1"/>
  <c r="AC29" i="6"/>
  <c r="AC21" i="6" s="1"/>
  <c r="DH29" i="6"/>
  <c r="DH21" i="6" s="1"/>
  <c r="DH35" i="6" s="1"/>
  <c r="CR29" i="6"/>
  <c r="CR21" i="6" s="1"/>
  <c r="CR35" i="6" s="1"/>
  <c r="BV29" i="6"/>
  <c r="BV21" i="6" s="1"/>
  <c r="BV35" i="6" s="1"/>
  <c r="CA29" i="6"/>
  <c r="CA21" i="6" s="1"/>
  <c r="CA35" i="6" s="1"/>
  <c r="Y29" i="6"/>
  <c r="Y21" i="6" s="1"/>
  <c r="L29" i="6"/>
  <c r="L21" i="6" s="1"/>
  <c r="DC29" i="6"/>
  <c r="DC21" i="6" s="1"/>
  <c r="DC35" i="6" s="1"/>
  <c r="DB29" i="6"/>
  <c r="DB21" i="6" s="1"/>
  <c r="DB35" i="6" s="1"/>
  <c r="AG29" i="6"/>
  <c r="AG21" i="6" s="1"/>
  <c r="AG35" i="6" s="1"/>
  <c r="DG29" i="6"/>
  <c r="DG21" i="6" s="1"/>
  <c r="DG35" i="6" s="1"/>
  <c r="BZ29" i="6"/>
  <c r="BZ21" i="6" s="1"/>
  <c r="BZ35" i="6" s="1"/>
  <c r="N29" i="6"/>
  <c r="N21" i="6" s="1"/>
  <c r="CW29" i="6"/>
  <c r="CW21" i="6" s="1"/>
  <c r="CW35" i="6" s="1"/>
  <c r="CV29" i="6"/>
  <c r="CV21" i="6" s="1"/>
  <c r="CV35" i="6" s="1"/>
  <c r="CT29" i="6"/>
  <c r="CT21" i="6" s="1"/>
  <c r="CT35" i="6" s="1"/>
  <c r="BR29" i="6"/>
  <c r="BR21" i="6" s="1"/>
  <c r="BR35" i="6" s="1"/>
  <c r="AB29" i="6"/>
  <c r="AB21" i="6" s="1"/>
  <c r="AH29" i="6"/>
  <c r="AH21" i="6" s="1"/>
  <c r="AH35" i="6" s="1"/>
  <c r="AF29" i="6"/>
  <c r="AF21" i="6" s="1"/>
  <c r="B47" i="6" s="1"/>
  <c r="F29" i="6"/>
  <c r="F21" i="6" s="1"/>
  <c r="CL29" i="6"/>
  <c r="CL21" i="6" s="1"/>
  <c r="CL35" i="6" s="1"/>
  <c r="CQ29" i="6"/>
  <c r="CQ21" i="6" s="1"/>
  <c r="CQ35" i="6" s="1"/>
  <c r="CG29" i="6"/>
  <c r="CG21" i="6" s="1"/>
  <c r="CG35" i="6" s="1"/>
  <c r="U29" i="6"/>
  <c r="U21" i="6" s="1"/>
  <c r="CF29" i="6"/>
  <c r="CF21" i="6" s="1"/>
  <c r="CF35" i="6" s="1"/>
  <c r="T29" i="6"/>
  <c r="T21" i="6" s="1"/>
  <c r="CS29" i="6"/>
  <c r="CS21" i="6" s="1"/>
  <c r="CS35" i="6" s="1"/>
  <c r="CE29" i="6"/>
  <c r="CE21" i="6" s="1"/>
  <c r="CE35" i="6" s="1"/>
  <c r="S29" i="6"/>
  <c r="S21" i="6" s="1"/>
  <c r="CD29" i="6"/>
  <c r="CD21" i="6" s="1"/>
  <c r="CD35" i="6" s="1"/>
  <c r="R29" i="6"/>
  <c r="R21" i="6" s="1"/>
  <c r="CJ29" i="6"/>
  <c r="CJ21" i="6" s="1"/>
  <c r="CJ35" i="6" s="1"/>
  <c r="X29" i="6"/>
  <c r="X21" i="6" s="1"/>
  <c r="CI29" i="6"/>
  <c r="CI21" i="6" s="1"/>
  <c r="CI35" i="6" s="1"/>
  <c r="W29" i="6"/>
  <c r="W21" i="6" s="1"/>
  <c r="DN29" i="6"/>
  <c r="DN21" i="6" s="1"/>
  <c r="DN35" i="6" s="1"/>
  <c r="BM29" i="6"/>
  <c r="BM21" i="6" s="1"/>
  <c r="BM35" i="6" s="1"/>
  <c r="BY29" i="6"/>
  <c r="BY21" i="6" s="1"/>
  <c r="BY35" i="6" s="1"/>
  <c r="M29" i="6"/>
  <c r="M21" i="6" s="1"/>
  <c r="BX29" i="6"/>
  <c r="BX21" i="6" s="1"/>
  <c r="BX35" i="6" s="1"/>
  <c r="D29" i="6"/>
  <c r="D21" i="6" s="1"/>
  <c r="C21" i="3"/>
  <c r="AA17" i="3" s="1"/>
  <c r="AL23" i="6" l="1"/>
  <c r="AL22" i="6" s="1"/>
  <c r="AL29" i="6" s="1"/>
  <c r="AL21" i="6" s="1"/>
  <c r="AL35" i="6" s="1"/>
  <c r="B35" i="6"/>
  <c r="X35" i="6"/>
  <c r="Y35" i="6"/>
  <c r="I35" i="6"/>
  <c r="C17" i="3"/>
  <c r="F17" i="3"/>
  <c r="P17" i="3"/>
  <c r="X17" i="3"/>
  <c r="AB17" i="3"/>
  <c r="K17" i="3"/>
  <c r="I17" i="3"/>
  <c r="Y17" i="3"/>
  <c r="H17" i="3"/>
  <c r="Z17" i="3"/>
  <c r="B17" i="3"/>
  <c r="N17" i="3"/>
  <c r="D17" i="3"/>
  <c r="V17" i="3"/>
  <c r="T17" i="3"/>
  <c r="G17" i="3"/>
  <c r="Q17" i="3"/>
  <c r="AD17" i="3"/>
  <c r="J17" i="3"/>
  <c r="O17" i="3"/>
  <c r="U17" i="3"/>
  <c r="M17" i="3"/>
  <c r="W17" i="3"/>
  <c r="S17" i="3"/>
  <c r="E17" i="3"/>
  <c r="AE17" i="3"/>
  <c r="AC17" i="3"/>
  <c r="AF17" i="3"/>
  <c r="L17" i="3"/>
  <c r="R17" i="3"/>
  <c r="E35" i="6"/>
  <c r="Q35" i="6"/>
  <c r="T35" i="6"/>
  <c r="M35" i="6"/>
  <c r="G35" i="6"/>
  <c r="P35" i="6"/>
  <c r="W35" i="6"/>
  <c r="H35" i="6"/>
  <c r="R35" i="6"/>
  <c r="J35" i="6"/>
  <c r="N35" i="6"/>
  <c r="K35" i="6"/>
  <c r="S35" i="6"/>
  <c r="D35" i="6"/>
  <c r="F35" i="6"/>
  <c r="V35" i="6"/>
  <c r="O35" i="6"/>
  <c r="U35" i="6"/>
  <c r="L35" i="6"/>
  <c r="AM23" i="6" l="1"/>
  <c r="AM22" i="6" s="1"/>
  <c r="AM29" i="6" s="1"/>
  <c r="AM21" i="6" s="1"/>
  <c r="AM35" i="6" s="1"/>
  <c r="Z35" i="6"/>
  <c r="C35" i="6"/>
  <c r="C15" i="3"/>
  <c r="D16" i="3" l="1"/>
  <c r="D15" i="3" s="1"/>
  <c r="C14" i="3"/>
  <c r="AN23" i="6"/>
  <c r="AN22" i="6" s="1"/>
  <c r="AN29" i="6" s="1"/>
  <c r="AN21" i="6" s="1"/>
  <c r="AN35" i="6" s="1"/>
  <c r="E16" i="3" l="1"/>
  <c r="E15" i="3" s="1"/>
  <c r="D14" i="3"/>
  <c r="AO23" i="6"/>
  <c r="AO22" i="6" s="1"/>
  <c r="AO29" i="6" s="1"/>
  <c r="AO21" i="6" s="1"/>
  <c r="AB35" i="6"/>
  <c r="AO35" i="6" l="1"/>
  <c r="F16" i="3"/>
  <c r="F15" i="3" s="1"/>
  <c r="E14" i="3"/>
  <c r="AP23" i="6"/>
  <c r="AP22" i="6" s="1"/>
  <c r="AP29" i="6" s="1"/>
  <c r="AP21" i="6" s="1"/>
  <c r="AP35" i="6" s="1"/>
  <c r="AA35" i="6"/>
  <c r="AC35" i="6"/>
  <c r="G16" i="3" l="1"/>
  <c r="G15" i="3" s="1"/>
  <c r="F14" i="3"/>
  <c r="AQ23" i="6"/>
  <c r="AQ22" i="6" s="1"/>
  <c r="AQ29" i="6" s="1"/>
  <c r="AQ21" i="6" s="1"/>
  <c r="AQ35" i="6" s="1"/>
  <c r="AD35" i="6"/>
  <c r="H16" i="3" l="1"/>
  <c r="H15" i="3" s="1"/>
  <c r="G14" i="3"/>
  <c r="AR23" i="6"/>
  <c r="AR22" i="6" s="1"/>
  <c r="AR29" i="6" s="1"/>
  <c r="AR21" i="6" s="1"/>
  <c r="AR35" i="6" s="1"/>
  <c r="I16" i="3" l="1"/>
  <c r="I15" i="3" s="1"/>
  <c r="H14" i="3"/>
  <c r="AS23" i="6"/>
  <c r="AS22" i="6" s="1"/>
  <c r="AS29" i="6" s="1"/>
  <c r="AS21" i="6" s="1"/>
  <c r="AS35" i="6" s="1"/>
  <c r="AE35" i="6"/>
  <c r="J16" i="3" l="1"/>
  <c r="J15" i="3" s="1"/>
  <c r="I14" i="3"/>
  <c r="AT23" i="6"/>
  <c r="AT22" i="6" s="1"/>
  <c r="AT29" i="6" s="1"/>
  <c r="AT21" i="6" s="1"/>
  <c r="AT35" i="6" s="1"/>
  <c r="AF35" i="6"/>
  <c r="K16" i="3" l="1"/>
  <c r="K15" i="3" s="1"/>
  <c r="J14" i="3"/>
  <c r="AU23" i="6"/>
  <c r="AU22" i="6" s="1"/>
  <c r="AU29" i="6" s="1"/>
  <c r="AU21" i="6" s="1"/>
  <c r="AU35" i="6" s="1"/>
  <c r="K14" i="3" l="1"/>
  <c r="L16" i="3"/>
  <c r="L15" i="3" s="1"/>
  <c r="AV23" i="6"/>
  <c r="AV22" i="6" s="1"/>
  <c r="AV29" i="6" s="1"/>
  <c r="AV21" i="6" s="1"/>
  <c r="AV35" i="6" s="1"/>
  <c r="M16" i="3" l="1"/>
  <c r="M15" i="3" s="1"/>
  <c r="L14" i="3"/>
  <c r="AW23" i="6"/>
  <c r="AW22" i="6" s="1"/>
  <c r="AW29" i="6" s="1"/>
  <c r="AW21" i="6" s="1"/>
  <c r="AW35" i="6" s="1"/>
  <c r="N16" i="3" l="1"/>
  <c r="N15" i="3" s="1"/>
  <c r="M14" i="3"/>
  <c r="AX23" i="6"/>
  <c r="AX22" i="6" s="1"/>
  <c r="AX29" i="6" s="1"/>
  <c r="AX21" i="6" s="1"/>
  <c r="AX35" i="6" s="1"/>
  <c r="O16" i="3" l="1"/>
  <c r="O15" i="3" s="1"/>
  <c r="N14" i="3"/>
  <c r="AY23" i="6"/>
  <c r="AY22" i="6" s="1"/>
  <c r="AY29" i="6" s="1"/>
  <c r="AY21" i="6" s="1"/>
  <c r="AY35" i="6" s="1"/>
  <c r="P16" i="3" l="1"/>
  <c r="P15" i="3" s="1"/>
  <c r="O14" i="3"/>
  <c r="AZ23" i="6"/>
  <c r="AZ22" i="6" s="1"/>
  <c r="AZ29" i="6" s="1"/>
  <c r="AZ21" i="6" s="1"/>
  <c r="AZ35" i="6" s="1"/>
  <c r="Q16" i="3" l="1"/>
  <c r="Q15" i="3" s="1"/>
  <c r="P14" i="3"/>
  <c r="BA23" i="6"/>
  <c r="BA22" i="6" s="1"/>
  <c r="BA29" i="6" s="1"/>
  <c r="BA21" i="6" s="1"/>
  <c r="BA35" i="6" s="1"/>
  <c r="R16" i="3" l="1"/>
  <c r="R15" i="3" s="1"/>
  <c r="Q14" i="3"/>
  <c r="BB23" i="6"/>
  <c r="BB22" i="6" s="1"/>
  <c r="BB29" i="6" s="1"/>
  <c r="BB21" i="6" s="1"/>
  <c r="BB35" i="6" s="1"/>
  <c r="S16" i="3" l="1"/>
  <c r="S15" i="3" s="1"/>
  <c r="R14" i="3"/>
  <c r="BC23" i="6"/>
  <c r="BC22" i="6" s="1"/>
  <c r="BC29" i="6" s="1"/>
  <c r="BC21" i="6" s="1"/>
  <c r="BC35" i="6" s="1"/>
  <c r="T16" i="3" l="1"/>
  <c r="T15" i="3" s="1"/>
  <c r="S14" i="3"/>
  <c r="BD23" i="6"/>
  <c r="BD22" i="6" s="1"/>
  <c r="BD29" i="6" s="1"/>
  <c r="BD21" i="6" s="1"/>
  <c r="BD35" i="6" s="1"/>
  <c r="U16" i="3" l="1"/>
  <c r="U15" i="3" s="1"/>
  <c r="T14" i="3"/>
  <c r="BE23" i="6"/>
  <c r="BE22" i="6" s="1"/>
  <c r="BE29" i="6" s="1"/>
  <c r="BE21" i="6" s="1"/>
  <c r="BE35" i="6" s="1"/>
  <c r="V16" i="3" l="1"/>
  <c r="V15" i="3" s="1"/>
  <c r="U14" i="3"/>
  <c r="BF23" i="6"/>
  <c r="BF22" i="6" s="1"/>
  <c r="BF29" i="6" s="1"/>
  <c r="BF21" i="6" s="1"/>
  <c r="BF35" i="6" s="1"/>
  <c r="W16" i="3" l="1"/>
  <c r="W15" i="3" s="1"/>
  <c r="V14" i="3"/>
  <c r="BG23" i="6"/>
  <c r="BG22" i="6" s="1"/>
  <c r="BG29" i="6" s="1"/>
  <c r="BG21" i="6" s="1"/>
  <c r="BG35" i="6" s="1"/>
  <c r="X16" i="3" l="1"/>
  <c r="X15" i="3" s="1"/>
  <c r="W14" i="3"/>
  <c r="BH23" i="6"/>
  <c r="BH22" i="6" s="1"/>
  <c r="BH29" i="6" s="1"/>
  <c r="BH21" i="6" s="1"/>
  <c r="BH35" i="6" s="1"/>
  <c r="Y16" i="3" l="1"/>
  <c r="Y15" i="3" s="1"/>
  <c r="X14" i="3"/>
  <c r="BI23" i="6"/>
  <c r="BI22" i="6" s="1"/>
  <c r="BI29" i="6" s="1"/>
  <c r="BI21" i="6" s="1"/>
  <c r="BI35" i="6" s="1"/>
  <c r="BJ23" i="6"/>
  <c r="BJ22" i="6" s="1"/>
  <c r="BJ29" i="6" s="1"/>
  <c r="BJ21" i="6" s="1"/>
  <c r="BJ35" i="6" l="1"/>
  <c r="B48" i="6"/>
  <c r="B50" i="6" s="1"/>
  <c r="B6" i="6" s="1"/>
  <c r="Z16" i="3"/>
  <c r="Z15" i="3" s="1"/>
  <c r="Y14" i="3"/>
  <c r="B5" i="6" l="1"/>
  <c r="B4" i="4"/>
  <c r="AA16" i="3"/>
  <c r="AA15" i="3" s="1"/>
  <c r="Z14" i="3"/>
  <c r="B3" i="4" l="1"/>
  <c r="B10" i="4" s="1"/>
  <c r="B5" i="4"/>
  <c r="B11" i="4" s="1"/>
  <c r="AA14" i="3"/>
  <c r="AB16" i="3"/>
  <c r="AB15" i="3" s="1"/>
  <c r="AC16" i="3" l="1"/>
  <c r="AC15" i="3" s="1"/>
  <c r="AB14" i="3"/>
  <c r="AD16" i="3" l="1"/>
  <c r="AD15" i="3" s="1"/>
  <c r="AC14" i="3"/>
  <c r="AE16" i="3" l="1"/>
  <c r="AE15" i="3" s="1"/>
  <c r="AD14" i="3"/>
  <c r="AF16" i="3" l="1"/>
  <c r="AF15" i="3" s="1"/>
  <c r="AF14" i="3" s="1"/>
  <c r="AE14" i="3"/>
</calcChain>
</file>

<file path=xl/comments1.xml><?xml version="1.0" encoding="utf-8"?>
<comments xmlns="http://schemas.openxmlformats.org/spreadsheetml/2006/main">
  <authors>
    <author>Florence HEUSCHMIDT</author>
  </authors>
  <commentList>
    <comment ref="A14" authorId="0" shapeId="0">
      <text>
        <r>
          <rPr>
            <b/>
            <sz val="9"/>
            <color indexed="81"/>
            <rFont val="Tahoma"/>
            <family val="2"/>
          </rPr>
          <t>Stock de carbone au début de l'année n dans les produits bois déjà récoltés</t>
        </r>
      </text>
    </comment>
    <comment ref="AA18" authorId="0" shapeId="0">
      <text>
        <r>
          <rPr>
            <b/>
            <sz val="9"/>
            <color indexed="81"/>
            <rFont val="Tahoma"/>
            <family val="2"/>
          </rPr>
          <t>Florence HEUSCHMIDT:</t>
        </r>
        <r>
          <rPr>
            <sz val="9"/>
            <color indexed="81"/>
            <rFont val="Tahoma"/>
            <family val="2"/>
          </rPr>
          <t xml:space="preserve">
60% du volume total récolté partira en piquets. Le volume total a été divisé par le FEB pour avoir un volume bois fort.</t>
        </r>
      </text>
    </comment>
  </commentList>
</comments>
</file>

<file path=xl/comments2.xml><?xml version="1.0" encoding="utf-8"?>
<comments xmlns="http://schemas.openxmlformats.org/spreadsheetml/2006/main">
  <authors>
    <author>Florence HEUSCHMIDT</author>
  </authors>
  <commentList>
    <comment ref="A1" authorId="0" shapeId="0">
      <text>
        <r>
          <rPr>
            <b/>
            <sz val="9"/>
            <color indexed="81"/>
            <rFont val="Tahoma"/>
            <family val="2"/>
          </rPr>
          <t xml:space="preserve">Pour les projets issus du reboisement d’un peuplement incendié ou du reboisement avec perturbation du sol (au moment du nettoyage et de la préparation du sol), on fera l’hypothèse que le carbone de la litière a été entièrement minéralisé ; on repartira alors d’une valeur nulle (hypothèse conservatrice).
Dans le cas du nettoyage partiel de la parcelle (pratique la plus vertueuse pour le sol), on fera l’hypothèse que la litière n’a pas été perturbée sur 50 % de la surface tandis qu’elle l’aura été sur les 50 % restants. Par conséquent, on appliquera l’équation 14 sur 50 % de la surface et on affectera sur les 50 % non impactés la constante de 10 tC/ha telle que préconisée par Arrouays et al. (2002) pour le compartiment de la litière. 
 </t>
        </r>
      </text>
    </comment>
  </commentList>
</comments>
</file>

<file path=xl/sharedStrings.xml><?xml version="1.0" encoding="utf-8"?>
<sst xmlns="http://schemas.openxmlformats.org/spreadsheetml/2006/main" count="283" uniqueCount="217">
  <si>
    <t>REA forêt</t>
  </si>
  <si>
    <t>REA produits</t>
  </si>
  <si>
    <t>Variables scénario de référence</t>
  </si>
  <si>
    <t>Variables scénario de projet</t>
  </si>
  <si>
    <t>Taux de carbone dans la matière sèche (en tC/tMS)</t>
  </si>
  <si>
    <t>FEB (facteur d'expansion "branches")</t>
  </si>
  <si>
    <t>di (infrandensité de l'essence) (en tMS/m3)</t>
  </si>
  <si>
    <t>Surface (ha)</t>
  </si>
  <si>
    <t>Litière à l'équilibre (en tC/ha)</t>
  </si>
  <si>
    <t>Peuplement incendié ou nettoyage et préparation du sol total</t>
  </si>
  <si>
    <t xml:space="preserve">Constantes </t>
  </si>
  <si>
    <t>Carbone organique du sol (n) (en tC/ha)</t>
  </si>
  <si>
    <t>Informations générales :</t>
  </si>
  <si>
    <t>R' essence scénario référence (ans)</t>
  </si>
  <si>
    <t>Durée du projet (ans)</t>
  </si>
  <si>
    <t>n (années à partir du début du projet)</t>
  </si>
  <si>
    <t>Essence plantée</t>
  </si>
  <si>
    <t>Feuillus</t>
  </si>
  <si>
    <t>Conifères</t>
  </si>
  <si>
    <t xml:space="preserve">Infradensité (tMS/m3) </t>
  </si>
  <si>
    <t>Alisier torminal</t>
  </si>
  <si>
    <t>Aulne vert</t>
  </si>
  <si>
    <t>Cèdre de l’Atlas</t>
  </si>
  <si>
    <t>Charme</t>
  </si>
  <si>
    <t>Charme-houblon</t>
  </si>
  <si>
    <t>Châtaignier</t>
  </si>
  <si>
    <t>Chêne chevelu</t>
  </si>
  <si>
    <t>Chêne-liège</t>
  </si>
  <si>
    <t>Chêne pédonculé</t>
  </si>
  <si>
    <t>Chêne pubescent</t>
  </si>
  <si>
    <t>Chêne rouvre (sessile)</t>
  </si>
  <si>
    <t>Chêne tauzin</t>
  </si>
  <si>
    <t>Chêne vert</t>
  </si>
  <si>
    <t>Chênes indifférenciés</t>
  </si>
  <si>
    <t>Cornouiller mâle</t>
  </si>
  <si>
    <t>Cyprès</t>
  </si>
  <si>
    <t>Cytise aubour</t>
  </si>
  <si>
    <t>Douglas</t>
  </si>
  <si>
    <t>Epicéa commun</t>
  </si>
  <si>
    <t>Epicéa de Sitka</t>
  </si>
  <si>
    <t>Grands érables</t>
  </si>
  <si>
    <t>Petits érables</t>
  </si>
  <si>
    <t>Eucalyptus</t>
  </si>
  <si>
    <t>Hêtre</t>
  </si>
  <si>
    <t>Fruitiers</t>
  </si>
  <si>
    <t>If</t>
  </si>
  <si>
    <t>Mélèze d’Europe</t>
  </si>
  <si>
    <t>Mélèze du Japon</t>
  </si>
  <si>
    <t>Micocoulier</t>
  </si>
  <si>
    <t>Noyer</t>
  </si>
  <si>
    <t>Olivier</t>
  </si>
  <si>
    <t>Ormes</t>
  </si>
  <si>
    <t>Peupliers cultivés</t>
  </si>
  <si>
    <t>Peupliers non cultivés</t>
  </si>
  <si>
    <t>Essence</t>
  </si>
  <si>
    <t>Pin d'Alep</t>
  </si>
  <si>
    <t>Pin cembro</t>
  </si>
  <si>
    <t>Pin à crochets</t>
  </si>
  <si>
    <t>Pin laricio</t>
  </si>
  <si>
    <t>Pin maritime</t>
  </si>
  <si>
    <t>Pin mugho</t>
  </si>
  <si>
    <t>Pin noir d'Autriche</t>
  </si>
  <si>
    <t>Pin sylvestre</t>
  </si>
  <si>
    <t>Pin Weymouth</t>
  </si>
  <si>
    <t>Platanes</t>
  </si>
  <si>
    <t>Sapin méditerranéen</t>
  </si>
  <si>
    <t>Sapin de Nordmann</t>
  </si>
  <si>
    <t>Sapin pectiné</t>
  </si>
  <si>
    <t>Sapin de Vancouver</t>
  </si>
  <si>
    <t>Saules</t>
  </si>
  <si>
    <t>Tamaris</t>
  </si>
  <si>
    <t>Tilleuls</t>
  </si>
  <si>
    <t>Tremble</t>
  </si>
  <si>
    <t>Conifères (moyenne)</t>
  </si>
  <si>
    <t>Feuillus (moyenne)</t>
  </si>
  <si>
    <t>Pin pignon</t>
  </si>
  <si>
    <t>Arbousier</t>
  </si>
  <si>
    <t>Grands aulnes</t>
  </si>
  <si>
    <t>Bouleaux</t>
  </si>
  <si>
    <t>Chêne rouge d’Amérique</t>
  </si>
  <si>
    <t>Genévrier thurifère</t>
  </si>
  <si>
    <t>Frênes</t>
  </si>
  <si>
    <t>Merisier</t>
  </si>
  <si>
    <t>Mûrier</t>
  </si>
  <si>
    <t>Noisetier</t>
  </si>
  <si>
    <t>Robinier faux acacia</t>
  </si>
  <si>
    <t>t1/2 (temps de demi-vie des produits bois) (en années)</t>
  </si>
  <si>
    <t>Produits</t>
  </si>
  <si>
    <t>t1/2</t>
  </si>
  <si>
    <t>Bois de sciage</t>
  </si>
  <si>
    <t>Panneaux de bois</t>
  </si>
  <si>
    <t>Papier</t>
  </si>
  <si>
    <t>k (constante de décomposition pour une décomposition du premier ordre (en an-1)</t>
  </si>
  <si>
    <t xml:space="preserve">REE substitution (en tCO2) = </t>
  </si>
  <si>
    <t>REE substitution</t>
  </si>
  <si>
    <t>n (années à partir du début du projet) (égal au max entre R et R')</t>
  </si>
  <si>
    <r>
      <t xml:space="preserve">CS (en tCO2/m3) </t>
    </r>
    <r>
      <rPr>
        <sz val="9"/>
        <color theme="1"/>
        <rFont val="Calibri"/>
        <family val="2"/>
        <scheme val="minor"/>
      </rPr>
      <t>(Valade et al., 2017)</t>
    </r>
  </si>
  <si>
    <t>BO</t>
  </si>
  <si>
    <t>BE</t>
  </si>
  <si>
    <t>BI (papier)</t>
  </si>
  <si>
    <t>BI (panneaux)</t>
  </si>
  <si>
    <t>CS  (pour quatre situations de reboisements durant les 30 premières années) (en tCO2/m3)</t>
  </si>
  <si>
    <t>Tous les feuillus</t>
  </si>
  <si>
    <t>Peuplier</t>
  </si>
  <si>
    <t>Pin maritime en gestion dynamique</t>
  </si>
  <si>
    <t>Résineux</t>
  </si>
  <si>
    <t xml:space="preserve">Type de reboisement </t>
  </si>
  <si>
    <t>Type de reboisement</t>
  </si>
  <si>
    <t>Pin maritime en gestion dynamique (3 éclaircies durant les 30 1ères années)</t>
  </si>
  <si>
    <t>Type de friches</t>
  </si>
  <si>
    <t>Résineux pionniers (PM, PA, PS…)</t>
  </si>
  <si>
    <t>Boisement</t>
  </si>
  <si>
    <t>RE (Réductions d'émissions) (en tCO2)</t>
  </si>
  <si>
    <t>REA (Réductions d'émissions anticipées)</t>
  </si>
  <si>
    <t>REA forêt (compartiments forestiers)</t>
  </si>
  <si>
    <t>REA produits (produits bois)</t>
  </si>
  <si>
    <t>REE substitution (Réductions d'émissions de l'empreinte)</t>
  </si>
  <si>
    <t>RE totales</t>
  </si>
  <si>
    <t>REA forêt générables (avec rabais)</t>
  </si>
  <si>
    <t>REA produits générables (avec rabais)</t>
  </si>
  <si>
    <t>REE substitution générables (avec rabais)</t>
  </si>
  <si>
    <t>RE totales générables (avec rabais)</t>
  </si>
  <si>
    <t xml:space="preserve">Rabais </t>
  </si>
  <si>
    <t>Applicabilité</t>
  </si>
  <si>
    <t xml:space="preserve">Analyse économique de l’additionnalité </t>
  </si>
  <si>
    <t>Estimation des coûts et recettes dans le calcul de VAN</t>
  </si>
  <si>
    <t xml:space="preserve">Risques généraux difficilement maîtrisables </t>
  </si>
  <si>
    <t>Obligatoire</t>
  </si>
  <si>
    <t xml:space="preserve">Risque incendie </t>
  </si>
  <si>
    <t>Non justification de la classe de production</t>
  </si>
  <si>
    <t xml:space="preserve">Valeur </t>
  </si>
  <si>
    <t>Réalisée</t>
  </si>
  <si>
    <t>Départements avec risque très faible ou faible</t>
  </si>
  <si>
    <t>Départements avec risque moyen</t>
  </si>
  <si>
    <t>Départements avec risque fort ou très fort</t>
  </si>
  <si>
    <t>Non démontrée</t>
  </si>
  <si>
    <t>Démontrée</t>
  </si>
  <si>
    <t>Effectuée par un professionnel forestier</t>
  </si>
  <si>
    <t>Départements sans risque ou risque négligeable</t>
  </si>
  <si>
    <t>Effectuée par le propriétaire</t>
  </si>
  <si>
    <t>deltaS(30) (différence de stock de C à l’année 30 entre le projet et le scénario de référence) (en tCO2 à 30 ans)</t>
  </si>
  <si>
    <t>Situation de référence</t>
  </si>
  <si>
    <t>Embroussaillement</t>
  </si>
  <si>
    <t>Culture agricole</t>
  </si>
  <si>
    <t>Nature de prairie ou pâture</t>
  </si>
  <si>
    <r>
      <t xml:space="preserve">Quantification carbone pour le scénario de référence de la poursuite de la culture agricole </t>
    </r>
    <r>
      <rPr>
        <sz val="10"/>
        <color theme="1"/>
        <rFont val="Calibri"/>
        <family val="2"/>
        <scheme val="minor"/>
      </rPr>
      <t>(Giec; 2006) (en tC/ha)</t>
    </r>
  </si>
  <si>
    <t>Biomasse aérienne pour le scénario de référence de la poursuite d’une nature de prairie ou de pâture (en tC/ha)</t>
  </si>
  <si>
    <t>Carbone organique du sol sur une friche en phase d’embroussaillement, sur une prairie ou sur une pâture (n) (en tC/ha)</t>
  </si>
  <si>
    <t>di (infradensité de l'essence) (en tMS/m3)</t>
  </si>
  <si>
    <t>Piquet</t>
  </si>
  <si>
    <t>Essence Balivable</t>
  </si>
  <si>
    <t>Charme, chênes, hêtre, autres feuillus</t>
  </si>
  <si>
    <t>Robinier</t>
  </si>
  <si>
    <t>Risque incendie</t>
  </si>
  <si>
    <t>Départements avec risque négligeable, très faible, faible ou moyen</t>
  </si>
  <si>
    <t>REA forêt (compartiments forestiers) (en tCO2) =</t>
  </si>
  <si>
    <t>Incendié</t>
  </si>
  <si>
    <t>Nettoyage et préparation du sol total</t>
  </si>
  <si>
    <t>Incendié et nettoyage et préparation du sol total</t>
  </si>
  <si>
    <t>Nettoyage partiel</t>
  </si>
  <si>
    <t>n (années civiles à partir du début du projet) (égal au max entre R et R')</t>
  </si>
  <si>
    <t>CS (coefficient de substitution) (en tCO2/m3) scénario projet (après récolte à l'année 0)</t>
  </si>
  <si>
    <t>Essences</t>
  </si>
  <si>
    <t>Vérification terrain à n+5</t>
  </si>
  <si>
    <t>Régions</t>
  </si>
  <si>
    <t>Type de projets</t>
  </si>
  <si>
    <t>Essence objectif (hors feuillus précieux, peupliers et noyers)</t>
  </si>
  <si>
    <t>Feuillus précieux</t>
  </si>
  <si>
    <t>Autres</t>
  </si>
  <si>
    <t>Prévention des risques naturels</t>
  </si>
  <si>
    <t>Difficulté technique (ex: plantation sur pente &gt; 30%)</t>
  </si>
  <si>
    <t>Restauration écologique</t>
  </si>
  <si>
    <t>Conservation des ressources génétiques forestières</t>
  </si>
  <si>
    <t>Expérimentation sylvicole avec un suivi par un organisme de R&amp;D</t>
  </si>
  <si>
    <t>Peupliers ou noyers</t>
  </si>
  <si>
    <t>Méditerranée ou Corse</t>
  </si>
  <si>
    <t>Autre</t>
  </si>
  <si>
    <t>Pas réalisée</t>
  </si>
  <si>
    <t>L0 (carbone de la litière avant le projet de boisement) (en tC/ha)</t>
  </si>
  <si>
    <t>REA forêt (compartiments forestiers) (en tCO2/ha) =</t>
  </si>
  <si>
    <t xml:space="preserve">moyenne du carbone stocké dans le projet pendant sa durée de vie (en tCO2/an) </t>
  </si>
  <si>
    <t xml:space="preserve">moyenne du carbone stocké dans le scénario de référence pendant sa durée de vie (en tCO2/an) </t>
  </si>
  <si>
    <t xml:space="preserve">différence de la moyenne du carbone stocké dans le projet par rapport au scénario de référence pendant sa durée de vie (en tCO2/an) </t>
  </si>
  <si>
    <t xml:space="preserve">REE substitution (en tCO2/ha) = </t>
  </si>
  <si>
    <t>Litière (n) (en tC/ha)</t>
  </si>
  <si>
    <t>Sprojet (n) - Sréf (n) (en tCO2/ha)</t>
  </si>
  <si>
    <t>C projet Piquet (n) (en tC/ha)</t>
  </si>
  <si>
    <t>Dégradation des piquets déjà récoltés (en tC/ha)</t>
  </si>
  <si>
    <t>Flux entrant de carbone en piquets au cours de l'année n et dégradation (en tC/ha)</t>
  </si>
  <si>
    <t>Carbone organique du sol sur une culture (n) (en tC/ha)</t>
  </si>
  <si>
    <t>Moyenne</t>
  </si>
  <si>
    <t>Projet situé dans les GRECO de l'IGN "Méditerranée" et "Corse"</t>
  </si>
  <si>
    <t>GRECO IGN</t>
  </si>
  <si>
    <t>OUI</t>
  </si>
  <si>
    <t>NON</t>
  </si>
  <si>
    <t>R essence plantée plus longue : chêne sessile (ans)</t>
  </si>
  <si>
    <t>Essences plantées</t>
  </si>
  <si>
    <t>-</t>
  </si>
  <si>
    <t>S réf (n) (en tCO2)</t>
  </si>
  <si>
    <t>Biomasse Aérienne Acacia 0.5 ha (n) (en tMS)</t>
  </si>
  <si>
    <t>Biomasse Aérienne TOTALE pour les 3.7 ha (n) (en tMS)</t>
  </si>
  <si>
    <t>Volume total Chêne rouge (n) (en m3/ha)</t>
  </si>
  <si>
    <t>Biomasse Aérienne Chêne rouge 1 ha (n) (en tMS)</t>
  </si>
  <si>
    <t>Volume total Acacia (n) (en m3/ha)</t>
  </si>
  <si>
    <t>Biomasse Aérienne Chêne sessile 2.2 ha (n) (en tMS)</t>
  </si>
  <si>
    <t>Volume bois fort tige Chêne sessile (n) (en m3/ha)</t>
  </si>
  <si>
    <t>Biomasse Racinaire TOTALE pour les 3.7 ha (n) (en tMS)</t>
  </si>
  <si>
    <t>S projet TOTAL pour les 3.7 ha (n) (en tCO2)</t>
  </si>
  <si>
    <t>Ces valeurs changent selon les essences --&gt; directement intégrées dans les calculs</t>
  </si>
  <si>
    <t>Volume bois fort Piquet (n) (en m3/ha)</t>
  </si>
  <si>
    <t>C projet (n) pour les 0.5 ha d'Acacia (en tC)</t>
  </si>
  <si>
    <t xml:space="preserve">Calculs carbone des produits que pour l'Acacia </t>
  </si>
  <si>
    <t xml:space="preserve">REA produits (produits bois) pour les 0.5 ha où sera planté l'Acacia (en tCO2) = </t>
  </si>
  <si>
    <t>CS*Flux projet (n) (en TCO2)</t>
  </si>
  <si>
    <t>Flux projet (n) (en m3)</t>
  </si>
  <si>
    <t>Analyse économique de l’additionnalité</t>
  </si>
  <si>
    <t>Risques généraux difficilement maîtrisables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</si>
</sst>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10"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2"/>
      <color theme="1"/>
      <name val="Calibri"/>
      <family val="2"/>
      <scheme val="minor"/>
    </font>
    <font>
      <b/>
      <sz val="14"/>
      <color theme="1"/>
      <name val="Calibri"/>
      <family val="2"/>
      <scheme val="minor"/>
    </font>
    <font>
      <sz val="14"/>
      <color theme="1"/>
      <name val="Calibri"/>
      <family val="2"/>
      <scheme val="minor"/>
    </font>
    <font>
      <sz val="9"/>
      <color theme="1"/>
      <name val="Calibri"/>
      <family val="2"/>
      <scheme val="minor"/>
    </font>
    <font>
      <sz val="10"/>
      <color theme="1"/>
      <name val="Calibri"/>
      <family val="2"/>
      <scheme val="minor"/>
    </font>
    <font>
      <b/>
      <sz val="18"/>
      <color theme="1"/>
      <name val="Calibri"/>
      <family val="2"/>
      <scheme val="minor"/>
    </font>
  </fonts>
  <fills count="18">
    <fill>
      <patternFill patternType="none"/>
    </fill>
    <fill>
      <patternFill patternType="gray125"/>
    </fill>
    <fill>
      <patternFill patternType="solid">
        <fgColor theme="7" tint="0.59999389629810485"/>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FFFAEB"/>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D5FFD5"/>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0"/>
        <bgColor indexed="64"/>
      </patternFill>
    </fill>
    <fill>
      <patternFill patternType="solid">
        <fgColor rgb="FFFFFF00"/>
        <bgColor indexed="64"/>
      </patternFill>
    </fill>
  </fills>
  <borders count="6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right/>
      <top style="medium">
        <color indexed="64"/>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diagonal/>
    </border>
  </borders>
  <cellStyleXfs count="1">
    <xf numFmtId="0" fontId="0" fillId="0" borderId="0"/>
  </cellStyleXfs>
  <cellXfs count="190">
    <xf numFmtId="0" fontId="0" fillId="0" borderId="0" xfId="0"/>
    <xf numFmtId="0" fontId="0" fillId="0" borderId="0" xfId="0" applyAlignment="1">
      <alignment vertical="center" wrapText="1"/>
    </xf>
    <xf numFmtId="0" fontId="0" fillId="4" borderId="4" xfId="0" applyFill="1" applyBorder="1" applyAlignment="1">
      <alignment vertical="center" wrapText="1"/>
    </xf>
    <xf numFmtId="0" fontId="0" fillId="4" borderId="6" xfId="0" applyFill="1" applyBorder="1" applyAlignment="1">
      <alignment vertical="center" wrapText="1"/>
    </xf>
    <xf numFmtId="0" fontId="0" fillId="4" borderId="8" xfId="0" applyFill="1" applyBorder="1" applyAlignment="1">
      <alignment vertical="center" wrapText="1"/>
    </xf>
    <xf numFmtId="0" fontId="0" fillId="6" borderId="0" xfId="0" applyFill="1"/>
    <xf numFmtId="0" fontId="1" fillId="0" borderId="0" xfId="0" applyFont="1" applyFill="1" applyBorder="1" applyAlignment="1">
      <alignment vertical="center" wrapText="1"/>
    </xf>
    <xf numFmtId="0" fontId="0" fillId="0" borderId="0" xfId="0" applyFill="1" applyBorder="1"/>
    <xf numFmtId="0" fontId="0" fillId="0" borderId="0" xfId="0" applyFill="1" applyBorder="1"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4" borderId="14" xfId="0" applyFill="1" applyBorder="1" applyAlignment="1">
      <alignment vertical="center" wrapText="1"/>
    </xf>
    <xf numFmtId="0" fontId="0" fillId="7" borderId="3" xfId="0" applyFill="1" applyBorder="1" applyAlignment="1">
      <alignment horizontal="center" vertical="center"/>
    </xf>
    <xf numFmtId="0" fontId="0" fillId="7" borderId="10" xfId="0" applyFill="1" applyBorder="1" applyAlignment="1">
      <alignment horizontal="center" vertical="center"/>
    </xf>
    <xf numFmtId="0" fontId="0" fillId="7" borderId="21" xfId="0" applyFill="1" applyBorder="1" applyAlignment="1">
      <alignment horizontal="center" vertical="center"/>
    </xf>
    <xf numFmtId="0" fontId="0" fillId="0" borderId="0" xfId="0" applyFill="1" applyBorder="1" applyAlignment="1">
      <alignment horizontal="center" vertical="center"/>
    </xf>
    <xf numFmtId="0" fontId="0" fillId="0" borderId="0" xfId="0" applyFill="1"/>
    <xf numFmtId="0" fontId="0" fillId="0" borderId="3" xfId="0" applyFill="1" applyBorder="1" applyAlignment="1">
      <alignment horizontal="center" vertical="center"/>
    </xf>
    <xf numFmtId="0" fontId="0" fillId="2" borderId="6" xfId="0" applyFill="1" applyBorder="1" applyAlignment="1">
      <alignment vertical="center" wrapText="1"/>
    </xf>
    <xf numFmtId="0" fontId="4" fillId="0" borderId="0" xfId="0" applyFont="1" applyFill="1" applyBorder="1" applyAlignment="1">
      <alignment vertical="center" wrapText="1"/>
    </xf>
    <xf numFmtId="0" fontId="4" fillId="5" borderId="22" xfId="0" applyFont="1" applyFill="1" applyBorder="1" applyAlignment="1">
      <alignment vertical="center" wrapText="1"/>
    </xf>
    <xf numFmtId="0" fontId="0" fillId="7" borderId="9" xfId="0" applyFill="1" applyBorder="1" applyAlignment="1">
      <alignment horizontal="center"/>
    </xf>
    <xf numFmtId="0" fontId="0" fillId="4" borderId="6" xfId="0" applyFill="1" applyBorder="1" applyAlignment="1">
      <alignment horizontal="center" vertical="center" wrapText="1"/>
    </xf>
    <xf numFmtId="0" fontId="0" fillId="0" borderId="20" xfId="0" applyFill="1" applyBorder="1" applyAlignment="1">
      <alignment horizontal="center" vertical="center"/>
    </xf>
    <xf numFmtId="0" fontId="0" fillId="7" borderId="11" xfId="0" applyFill="1" applyBorder="1" applyAlignment="1">
      <alignment horizontal="center" vertical="center"/>
    </xf>
    <xf numFmtId="0" fontId="0" fillId="0" borderId="26" xfId="0" applyFill="1" applyBorder="1" applyAlignment="1">
      <alignment horizontal="center" vertical="center"/>
    </xf>
    <xf numFmtId="0" fontId="0" fillId="3" borderId="25" xfId="0" applyFill="1" applyBorder="1" applyAlignment="1">
      <alignment horizontal="center" vertical="center"/>
    </xf>
    <xf numFmtId="0" fontId="0" fillId="7" borderId="7" xfId="0" applyFill="1" applyBorder="1" applyAlignment="1">
      <alignment horizontal="center" vertical="center"/>
    </xf>
    <xf numFmtId="0" fontId="0" fillId="7" borderId="27" xfId="0" applyFill="1" applyBorder="1" applyAlignment="1">
      <alignment horizontal="center" vertical="center"/>
    </xf>
    <xf numFmtId="164" fontId="0" fillId="7" borderId="23" xfId="0" applyNumberFormat="1" applyFill="1" applyBorder="1" applyAlignment="1">
      <alignment horizontal="center" vertical="center"/>
    </xf>
    <xf numFmtId="164" fontId="0" fillId="7" borderId="9" xfId="0" applyNumberFormat="1" applyFill="1" applyBorder="1" applyAlignment="1">
      <alignment horizontal="center" vertical="center"/>
    </xf>
    <xf numFmtId="164" fontId="0" fillId="7" borderId="3" xfId="0" applyNumberFormat="1" applyFill="1" applyBorder="1" applyAlignment="1">
      <alignment horizontal="center" vertical="center"/>
    </xf>
    <xf numFmtId="0" fontId="4" fillId="5" borderId="4" xfId="0" applyFont="1" applyFill="1" applyBorder="1" applyAlignment="1">
      <alignment horizontal="center" vertical="center" wrapText="1"/>
    </xf>
    <xf numFmtId="0" fontId="5" fillId="5" borderId="22" xfId="0" applyFont="1" applyFill="1" applyBorder="1" applyAlignment="1">
      <alignment vertical="center" wrapText="1"/>
    </xf>
    <xf numFmtId="0" fontId="0" fillId="7" borderId="5" xfId="0" applyFill="1" applyBorder="1" applyAlignment="1">
      <alignment horizontal="center" vertical="center"/>
    </xf>
    <xf numFmtId="0" fontId="0" fillId="7" borderId="3" xfId="0" applyFill="1" applyBorder="1" applyAlignment="1">
      <alignment horizontal="center" vertical="center" wrapText="1"/>
    </xf>
    <xf numFmtId="0" fontId="0" fillId="0" borderId="7" xfId="0" applyBorder="1" applyAlignment="1">
      <alignment horizontal="center" vertical="center" wrapText="1"/>
    </xf>
    <xf numFmtId="2" fontId="0" fillId="7" borderId="23" xfId="0" applyNumberFormat="1" applyFill="1" applyBorder="1" applyAlignment="1">
      <alignment horizontal="center" vertical="center"/>
    </xf>
    <xf numFmtId="2" fontId="0" fillId="7" borderId="9" xfId="0" applyNumberFormat="1" applyFill="1" applyBorder="1" applyAlignment="1">
      <alignment horizontal="center" vertical="center"/>
    </xf>
    <xf numFmtId="164" fontId="0" fillId="0" borderId="0" xfId="0" applyNumberFormat="1" applyFill="1" applyBorder="1" applyAlignment="1">
      <alignment horizontal="center" vertical="center"/>
    </xf>
    <xf numFmtId="0" fontId="0" fillId="7" borderId="9" xfId="0" applyFill="1" applyBorder="1" applyAlignment="1">
      <alignment horizontal="center" vertical="center"/>
    </xf>
    <xf numFmtId="0" fontId="4" fillId="0" borderId="32" xfId="0" applyFont="1" applyBorder="1" applyAlignment="1">
      <alignment horizontal="center" vertical="center" wrapText="1"/>
    </xf>
    <xf numFmtId="0" fontId="4" fillId="5" borderId="6"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0" fillId="0" borderId="0" xfId="0" applyAlignment="1">
      <alignment wrapText="1"/>
    </xf>
    <xf numFmtId="0" fontId="4" fillId="2" borderId="22" xfId="0" applyFont="1" applyFill="1" applyBorder="1" applyAlignment="1">
      <alignment horizontal="center" vertical="center" wrapText="1"/>
    </xf>
    <xf numFmtId="0" fontId="0" fillId="4" borderId="3" xfId="0" applyFill="1" applyBorder="1" applyAlignment="1">
      <alignment horizontal="center" vertical="center" wrapText="1"/>
    </xf>
    <xf numFmtId="0" fontId="1" fillId="4" borderId="3" xfId="0" applyFont="1" applyFill="1" applyBorder="1" applyAlignment="1">
      <alignment horizontal="center" vertical="center" wrapText="1"/>
    </xf>
    <xf numFmtId="0" fontId="0" fillId="0" borderId="33" xfId="0" applyFill="1" applyBorder="1" applyAlignment="1">
      <alignment horizontal="center" vertical="center" wrapText="1"/>
    </xf>
    <xf numFmtId="0" fontId="0" fillId="0" borderId="3" xfId="0" applyFill="1" applyBorder="1" applyAlignment="1">
      <alignment horizontal="center" vertical="center" wrapText="1"/>
    </xf>
    <xf numFmtId="0" fontId="0" fillId="7" borderId="5" xfId="0" applyFill="1" applyBorder="1" applyAlignment="1">
      <alignment horizontal="center" vertical="center" wrapText="1"/>
    </xf>
    <xf numFmtId="0" fontId="0" fillId="7" borderId="7" xfId="0" applyFill="1" applyBorder="1" applyAlignment="1">
      <alignment horizontal="center" vertical="center" wrapText="1"/>
    </xf>
    <xf numFmtId="0" fontId="0" fillId="0" borderId="0" xfId="0" applyFill="1" applyBorder="1" applyAlignment="1"/>
    <xf numFmtId="0" fontId="0" fillId="0" borderId="0" xfId="0" applyFill="1" applyBorder="1" applyAlignment="1">
      <alignment vertical="center"/>
    </xf>
    <xf numFmtId="0" fontId="0" fillId="0" borderId="29" xfId="0" applyFill="1" applyBorder="1"/>
    <xf numFmtId="0" fontId="1" fillId="0" borderId="1" xfId="0" applyFont="1" applyFill="1" applyBorder="1" applyAlignment="1">
      <alignment vertical="center" wrapText="1"/>
    </xf>
    <xf numFmtId="0" fontId="0" fillId="0" borderId="29" xfId="0" applyFill="1" applyBorder="1" applyAlignment="1">
      <alignment horizontal="center" vertical="center"/>
    </xf>
    <xf numFmtId="0" fontId="0" fillId="7" borderId="26" xfId="0" applyFill="1" applyBorder="1" applyAlignment="1">
      <alignment horizontal="center" vertical="center"/>
    </xf>
    <xf numFmtId="0" fontId="0" fillId="0" borderId="11" xfId="0" applyFill="1" applyBorder="1" applyAlignment="1">
      <alignment horizontal="center" vertical="center"/>
    </xf>
    <xf numFmtId="0" fontId="0" fillId="7" borderId="23" xfId="0" applyFill="1" applyBorder="1" applyAlignment="1">
      <alignment horizontal="center" vertical="center"/>
    </xf>
    <xf numFmtId="0" fontId="0" fillId="7" borderId="20" xfId="0" applyFill="1" applyBorder="1" applyAlignment="1">
      <alignment horizontal="center" vertical="center"/>
    </xf>
    <xf numFmtId="164" fontId="0" fillId="7" borderId="28" xfId="0" applyNumberFormat="1" applyFill="1" applyBorder="1" applyAlignment="1">
      <alignment horizontal="center" vertical="center"/>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0" fillId="7" borderId="3" xfId="0" applyFont="1" applyFill="1" applyBorder="1" applyAlignment="1">
      <alignment horizontal="center" vertical="center" wrapText="1"/>
    </xf>
    <xf numFmtId="0" fontId="0" fillId="4" borderId="14" xfId="0" applyFont="1" applyFill="1" applyBorder="1" applyAlignment="1">
      <alignment horizontal="left" vertical="center" wrapText="1"/>
    </xf>
    <xf numFmtId="0" fontId="0" fillId="7" borderId="7" xfId="0" applyFont="1" applyFill="1" applyBorder="1" applyAlignment="1">
      <alignment horizontal="center" vertical="center" wrapText="1"/>
    </xf>
    <xf numFmtId="0" fontId="4" fillId="2" borderId="34" xfId="0" applyFont="1" applyFill="1" applyBorder="1" applyAlignment="1">
      <alignment horizontal="center" vertical="center"/>
    </xf>
    <xf numFmtId="0" fontId="0" fillId="4" borderId="45" xfId="0" applyFill="1" applyBorder="1" applyAlignment="1">
      <alignment horizontal="center" vertical="center" wrapText="1"/>
    </xf>
    <xf numFmtId="0" fontId="0" fillId="4" borderId="46" xfId="0" applyFill="1" applyBorder="1" applyAlignment="1">
      <alignment horizontal="center" vertical="center" wrapText="1"/>
    </xf>
    <xf numFmtId="0" fontId="0" fillId="4" borderId="47" xfId="0" applyFill="1" applyBorder="1" applyAlignment="1">
      <alignment horizontal="center" vertical="center" wrapText="1"/>
    </xf>
    <xf numFmtId="0" fontId="1" fillId="10" borderId="32" xfId="0" applyFont="1" applyFill="1" applyBorder="1" applyAlignment="1">
      <alignment horizontal="center" vertical="center" wrapText="1"/>
    </xf>
    <xf numFmtId="0" fontId="0" fillId="4" borderId="48"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49" xfId="0" applyFill="1" applyBorder="1" applyAlignment="1">
      <alignment horizontal="center" vertical="center" wrapText="1"/>
    </xf>
    <xf numFmtId="0" fontId="1" fillId="10" borderId="50"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0" fillId="4" borderId="4" xfId="0" applyFill="1" applyBorder="1" applyAlignment="1">
      <alignment horizontal="center" vertical="center" wrapText="1"/>
    </xf>
    <xf numFmtId="0" fontId="0" fillId="4" borderId="7" xfId="0" applyFill="1" applyBorder="1" applyAlignment="1">
      <alignment horizontal="center" vertical="center" wrapText="1"/>
    </xf>
    <xf numFmtId="0" fontId="0" fillId="4" borderId="9" xfId="0" applyFill="1" applyBorder="1" applyAlignment="1">
      <alignment horizontal="center" vertical="center" wrapText="1"/>
    </xf>
    <xf numFmtId="0" fontId="0" fillId="4" borderId="51"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36" xfId="0" applyFill="1" applyBorder="1" applyAlignment="1">
      <alignment horizontal="center" vertical="center" wrapText="1"/>
    </xf>
    <xf numFmtId="0" fontId="0" fillId="4" borderId="14" xfId="0" applyFill="1" applyBorder="1" applyAlignment="1">
      <alignment horizontal="center" vertical="center" wrapText="1"/>
    </xf>
    <xf numFmtId="0" fontId="4" fillId="2" borderId="32" xfId="0" applyFont="1" applyFill="1" applyBorder="1" applyAlignment="1">
      <alignment horizontal="center" vertical="center" wrapText="1"/>
    </xf>
    <xf numFmtId="0" fontId="0" fillId="4" borderId="33"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26" xfId="0" applyFill="1" applyBorder="1" applyAlignment="1">
      <alignment horizontal="center" vertical="center" wrapText="1"/>
    </xf>
    <xf numFmtId="0" fontId="0" fillId="4" borderId="35" xfId="0" applyFill="1" applyBorder="1" applyAlignment="1">
      <alignment horizontal="center" vertical="center" wrapText="1"/>
    </xf>
    <xf numFmtId="0" fontId="0" fillId="0" borderId="0" xfId="0" applyFill="1" applyBorder="1" applyAlignment="1">
      <alignment horizontal="center" vertical="center" wrapText="1"/>
    </xf>
    <xf numFmtId="0" fontId="0" fillId="4" borderId="42" xfId="0" applyFill="1" applyBorder="1" applyAlignment="1">
      <alignment horizontal="center" vertical="center" wrapText="1"/>
    </xf>
    <xf numFmtId="0" fontId="4" fillId="2" borderId="25" xfId="0" applyFont="1" applyFill="1" applyBorder="1" applyAlignment="1">
      <alignment horizontal="center" vertical="center"/>
    </xf>
    <xf numFmtId="0" fontId="0" fillId="13" borderId="6" xfId="0" applyFill="1" applyBorder="1" applyAlignment="1">
      <alignment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165" fontId="0" fillId="7" borderId="3" xfId="0" applyNumberFormat="1" applyFill="1" applyBorder="1" applyAlignment="1">
      <alignment horizontal="center" vertical="center"/>
    </xf>
    <xf numFmtId="1" fontId="0" fillId="7" borderId="5" xfId="0" applyNumberFormat="1" applyFill="1" applyBorder="1" applyAlignment="1">
      <alignment horizontal="center" vertical="center"/>
    </xf>
    <xf numFmtId="0" fontId="0" fillId="4" borderId="30" xfId="0" applyFill="1" applyBorder="1" applyAlignment="1">
      <alignment vertical="center" wrapText="1"/>
    </xf>
    <xf numFmtId="0" fontId="0" fillId="0" borderId="0" xfId="0" applyBorder="1"/>
    <xf numFmtId="0" fontId="0" fillId="12" borderId="6" xfId="0" applyFill="1" applyBorder="1" applyAlignment="1">
      <alignment vertical="center" wrapText="1"/>
    </xf>
    <xf numFmtId="0" fontId="0" fillId="7" borderId="23" xfId="0" applyFill="1" applyBorder="1" applyAlignment="1">
      <alignment horizontal="center"/>
    </xf>
    <xf numFmtId="165" fontId="0" fillId="9" borderId="25" xfId="0" applyNumberFormat="1" applyFill="1" applyBorder="1" applyAlignment="1">
      <alignment horizontal="center" vertical="center"/>
    </xf>
    <xf numFmtId="0" fontId="4" fillId="15" borderId="6" xfId="0" applyFont="1" applyFill="1" applyBorder="1" applyAlignment="1">
      <alignment horizontal="center" vertical="center" wrapText="1"/>
    </xf>
    <xf numFmtId="0" fontId="4" fillId="15" borderId="8" xfId="0" applyFont="1" applyFill="1" applyBorder="1" applyAlignment="1">
      <alignment horizontal="center" vertical="center" wrapText="1"/>
    </xf>
    <xf numFmtId="165" fontId="0" fillId="0" borderId="0" xfId="0" applyNumberFormat="1" applyFill="1" applyBorder="1" applyAlignment="1">
      <alignment horizontal="center" vertical="center"/>
    </xf>
    <xf numFmtId="0" fontId="0" fillId="0" borderId="0" xfId="0" applyFill="1" applyAlignment="1">
      <alignment wrapText="1"/>
    </xf>
    <xf numFmtId="0" fontId="0" fillId="4" borderId="8" xfId="0" applyFill="1" applyBorder="1" applyAlignment="1">
      <alignment horizontal="center" vertical="center" wrapText="1"/>
    </xf>
    <xf numFmtId="165" fontId="0" fillId="7" borderId="11" xfId="0" applyNumberFormat="1" applyFill="1" applyBorder="1" applyAlignment="1">
      <alignment horizontal="center" vertical="center"/>
    </xf>
    <xf numFmtId="0" fontId="1" fillId="10" borderId="55" xfId="0" applyFont="1" applyFill="1" applyBorder="1" applyAlignment="1">
      <alignment horizontal="center" vertical="center" wrapText="1"/>
    </xf>
    <xf numFmtId="0" fontId="0" fillId="4" borderId="40" xfId="0" applyFill="1" applyBorder="1" applyAlignment="1">
      <alignment horizontal="center" vertical="center" wrapText="1"/>
    </xf>
    <xf numFmtId="0" fontId="0" fillId="4" borderId="41" xfId="0" applyFill="1" applyBorder="1" applyAlignment="1">
      <alignment vertical="center" wrapText="1"/>
    </xf>
    <xf numFmtId="0" fontId="0" fillId="16" borderId="53" xfId="0" applyFill="1" applyBorder="1" applyAlignment="1">
      <alignment horizontal="center" vertical="center" wrapText="1"/>
    </xf>
    <xf numFmtId="0" fontId="0" fillId="4" borderId="56" xfId="0" applyFill="1" applyBorder="1" applyAlignment="1">
      <alignment vertical="center" wrapText="1"/>
    </xf>
    <xf numFmtId="0" fontId="0" fillId="0" borderId="57" xfId="0" applyBorder="1" applyAlignment="1">
      <alignment horizontal="center" vertical="center"/>
    </xf>
    <xf numFmtId="0" fontId="0" fillId="4" borderId="19" xfId="0" applyFill="1" applyBorder="1" applyAlignment="1">
      <alignment horizontal="center" vertical="center" wrapText="1"/>
    </xf>
    <xf numFmtId="0" fontId="0" fillId="4" borderId="8" xfId="0" applyFill="1" applyBorder="1" applyAlignment="1">
      <alignment horizontal="center" vertical="center" wrapText="1"/>
    </xf>
    <xf numFmtId="0" fontId="4" fillId="6" borderId="12" xfId="0" applyFont="1" applyFill="1" applyBorder="1" applyAlignment="1">
      <alignment vertical="center" wrapText="1"/>
    </xf>
    <xf numFmtId="0" fontId="4" fillId="6" borderId="13" xfId="0" applyFont="1" applyFill="1" applyBorder="1" applyAlignment="1">
      <alignment vertical="center" wrapText="1"/>
    </xf>
    <xf numFmtId="0" fontId="1" fillId="6" borderId="16" xfId="0" applyFont="1" applyFill="1" applyBorder="1" applyAlignment="1">
      <alignment vertical="center" wrapText="1"/>
    </xf>
    <xf numFmtId="0" fontId="1" fillId="6" borderId="17" xfId="0" applyFont="1" applyFill="1" applyBorder="1" applyAlignment="1">
      <alignment vertical="center" wrapText="1"/>
    </xf>
    <xf numFmtId="0" fontId="1" fillId="6" borderId="14" xfId="0" applyFont="1" applyFill="1" applyBorder="1" applyAlignment="1">
      <alignment vertical="center" wrapText="1"/>
    </xf>
    <xf numFmtId="0" fontId="1" fillId="6" borderId="15" xfId="0" applyFont="1" applyFill="1" applyBorder="1" applyAlignment="1">
      <alignment vertical="center" wrapText="1"/>
    </xf>
    <xf numFmtId="165" fontId="0" fillId="7" borderId="10" xfId="0" applyNumberFormat="1" applyFill="1" applyBorder="1" applyAlignment="1">
      <alignment horizontal="center" vertical="center"/>
    </xf>
    <xf numFmtId="0" fontId="0" fillId="0" borderId="29" xfId="0" applyBorder="1"/>
    <xf numFmtId="1" fontId="6" fillId="9" borderId="25" xfId="0" applyNumberFormat="1" applyFont="1" applyFill="1" applyBorder="1" applyAlignment="1">
      <alignment horizontal="center" vertical="center"/>
    </xf>
    <xf numFmtId="165" fontId="0" fillId="14" borderId="5" xfId="0" applyNumberFormat="1" applyFill="1" applyBorder="1" applyAlignment="1">
      <alignment horizontal="center" vertical="center"/>
    </xf>
    <xf numFmtId="0" fontId="0" fillId="4" borderId="22" xfId="0" applyFill="1" applyBorder="1" applyAlignment="1">
      <alignment vertical="center" wrapText="1"/>
    </xf>
    <xf numFmtId="1" fontId="0" fillId="14" borderId="25" xfId="0" applyNumberFormat="1" applyFill="1" applyBorder="1" applyAlignment="1">
      <alignment horizontal="center" vertical="center"/>
    </xf>
    <xf numFmtId="165" fontId="6" fillId="9" borderId="25" xfId="0" applyNumberFormat="1" applyFont="1" applyFill="1" applyBorder="1" applyAlignment="1">
      <alignment horizontal="center" vertical="center"/>
    </xf>
    <xf numFmtId="0" fontId="0" fillId="0" borderId="0" xfId="0" applyFill="1" applyBorder="1" applyAlignment="1">
      <alignment wrapText="1"/>
    </xf>
    <xf numFmtId="0" fontId="0" fillId="17" borderId="3" xfId="0" applyFill="1" applyBorder="1" applyAlignment="1">
      <alignment horizontal="center" vertical="center"/>
    </xf>
    <xf numFmtId="0" fontId="0" fillId="17" borderId="10" xfId="0" applyFill="1" applyBorder="1" applyAlignment="1">
      <alignment horizontal="center" vertical="center"/>
    </xf>
    <xf numFmtId="0" fontId="0" fillId="0" borderId="1" xfId="0" applyFill="1" applyBorder="1" applyAlignment="1">
      <alignment horizontal="center" vertical="center"/>
    </xf>
    <xf numFmtId="0" fontId="0" fillId="0" borderId="55" xfId="0" applyFill="1" applyBorder="1" applyAlignment="1">
      <alignment horizontal="center" vertical="center"/>
    </xf>
    <xf numFmtId="0" fontId="0" fillId="0" borderId="58" xfId="0" applyFill="1" applyBorder="1"/>
    <xf numFmtId="0" fontId="0" fillId="0" borderId="59" xfId="0" applyFill="1" applyBorder="1"/>
    <xf numFmtId="0" fontId="0" fillId="0" borderId="21" xfId="0" applyBorder="1" applyAlignment="1">
      <alignment horizontal="center" vertical="center"/>
    </xf>
    <xf numFmtId="0" fontId="0" fillId="9" borderId="3" xfId="0" applyFill="1" applyBorder="1" applyAlignment="1">
      <alignment horizontal="center" vertical="center"/>
    </xf>
    <xf numFmtId="165" fontId="0" fillId="7" borderId="36" xfId="0" applyNumberFormat="1" applyFill="1" applyBorder="1" applyAlignment="1">
      <alignment horizontal="center" vertical="center"/>
    </xf>
    <xf numFmtId="165" fontId="0" fillId="7" borderId="20" xfId="0" applyNumberFormat="1" applyFill="1" applyBorder="1" applyAlignment="1">
      <alignment horizontal="center" vertical="center"/>
    </xf>
    <xf numFmtId="165" fontId="0" fillId="7" borderId="27" xfId="0" applyNumberFormat="1" applyFill="1" applyBorder="1" applyAlignment="1">
      <alignment horizontal="center" vertical="center"/>
    </xf>
    <xf numFmtId="164" fontId="0" fillId="0" borderId="11" xfId="0" applyNumberFormat="1" applyFill="1" applyBorder="1" applyAlignment="1">
      <alignment horizontal="center" vertical="center"/>
    </xf>
    <xf numFmtId="165" fontId="0" fillId="0" borderId="11" xfId="0" applyNumberFormat="1" applyFill="1" applyBorder="1" applyAlignment="1">
      <alignment horizontal="center" vertical="center"/>
    </xf>
    <xf numFmtId="0" fontId="0" fillId="7" borderId="60" xfId="0" applyFill="1" applyBorder="1" applyAlignment="1">
      <alignment horizontal="center" vertical="center"/>
    </xf>
    <xf numFmtId="164" fontId="0" fillId="0" borderId="9" xfId="0" applyNumberFormat="1" applyFill="1" applyBorder="1" applyAlignment="1">
      <alignment horizontal="center" vertical="center"/>
    </xf>
    <xf numFmtId="165" fontId="0" fillId="7" borderId="7" xfId="0" applyNumberFormat="1" applyFill="1" applyBorder="1" applyAlignment="1">
      <alignment horizontal="center" vertical="center"/>
    </xf>
    <xf numFmtId="165" fontId="0" fillId="0" borderId="9" xfId="0" applyNumberFormat="1" applyFill="1" applyBorder="1" applyAlignment="1">
      <alignment horizontal="center" vertical="center"/>
    </xf>
    <xf numFmtId="165" fontId="0" fillId="7" borderId="3" xfId="0" applyNumberFormat="1" applyFont="1" applyFill="1" applyBorder="1" applyAlignment="1">
      <alignment horizontal="center" vertical="center" wrapText="1"/>
    </xf>
    <xf numFmtId="1" fontId="0" fillId="0" borderId="11" xfId="0" applyNumberFormat="1" applyFill="1" applyBorder="1" applyAlignment="1">
      <alignment horizontal="center" vertical="center"/>
    </xf>
    <xf numFmtId="0" fontId="4" fillId="0" borderId="43" xfId="0" applyFont="1" applyBorder="1" applyAlignment="1">
      <alignment horizontal="center" vertical="center" wrapText="1"/>
    </xf>
    <xf numFmtId="0" fontId="4" fillId="0" borderId="0" xfId="0" applyFont="1" applyFill="1" applyBorder="1" applyAlignment="1">
      <alignment horizontal="center" vertical="center" wrapText="1"/>
    </xf>
    <xf numFmtId="0" fontId="4" fillId="0" borderId="29" xfId="0" applyFont="1" applyFill="1" applyBorder="1" applyAlignment="1">
      <alignment horizontal="center" vertical="center" wrapText="1"/>
    </xf>
    <xf numFmtId="165" fontId="4" fillId="9" borderId="51" xfId="0" applyNumberFormat="1" applyFont="1" applyFill="1" applyBorder="1" applyAlignment="1">
      <alignment horizontal="center" vertical="center" wrapText="1"/>
    </xf>
    <xf numFmtId="165" fontId="4" fillId="9" borderId="10" xfId="0" applyNumberFormat="1" applyFont="1" applyFill="1" applyBorder="1" applyAlignment="1">
      <alignment horizontal="center" vertical="center" wrapText="1"/>
    </xf>
    <xf numFmtId="165" fontId="4" fillId="9" borderId="36" xfId="0" applyNumberFormat="1" applyFont="1" applyFill="1" applyBorder="1" applyAlignment="1">
      <alignment horizontal="center" vertical="center" wrapText="1"/>
    </xf>
    <xf numFmtId="165" fontId="0" fillId="11" borderId="51" xfId="0" applyNumberFormat="1" applyFill="1" applyBorder="1" applyAlignment="1">
      <alignment horizontal="center" vertical="center"/>
    </xf>
    <xf numFmtId="0" fontId="0" fillId="0" borderId="11" xfId="0" applyFill="1" applyBorder="1" applyAlignment="1">
      <alignment horizontal="center" vertical="center" wrapText="1"/>
    </xf>
    <xf numFmtId="0" fontId="0" fillId="7" borderId="9" xfId="0" applyFill="1" applyBorder="1" applyAlignment="1">
      <alignment horizontal="center" vertical="center" wrapText="1"/>
    </xf>
    <xf numFmtId="165" fontId="0" fillId="11" borderId="9" xfId="0" applyNumberFormat="1" applyFill="1" applyBorder="1" applyAlignment="1">
      <alignment horizontal="center" vertical="center"/>
    </xf>
    <xf numFmtId="0" fontId="0" fillId="6" borderId="16" xfId="0" applyFill="1" applyBorder="1" applyAlignment="1">
      <alignment horizontal="center" vertical="center" wrapText="1"/>
    </xf>
    <xf numFmtId="0" fontId="0" fillId="6" borderId="54" xfId="0"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6" borderId="37" xfId="0" applyFont="1" applyFill="1" applyBorder="1" applyAlignment="1">
      <alignment horizontal="center" vertical="center" wrapText="1"/>
    </xf>
    <xf numFmtId="0" fontId="1" fillId="6" borderId="38" xfId="0" applyFont="1" applyFill="1" applyBorder="1" applyAlignment="1">
      <alignment horizontal="center" vertical="center" wrapText="1"/>
    </xf>
    <xf numFmtId="0" fontId="9" fillId="0" borderId="0" xfId="0" applyFont="1" applyAlignment="1">
      <alignment horizontal="center" vertical="center" wrapText="1"/>
    </xf>
    <xf numFmtId="0" fontId="0" fillId="4" borderId="19" xfId="0" applyFill="1" applyBorder="1" applyAlignment="1">
      <alignment horizontal="center" vertical="center" wrapText="1"/>
    </xf>
    <xf numFmtId="0" fontId="0" fillId="4" borderId="24" xfId="0" applyFill="1" applyBorder="1" applyAlignment="1">
      <alignment horizontal="center" vertical="center" wrapText="1"/>
    </xf>
    <xf numFmtId="0" fontId="0" fillId="4" borderId="41" xfId="0" applyFill="1" applyBorder="1" applyAlignment="1">
      <alignment horizontal="center" vertical="center" wrapText="1"/>
    </xf>
    <xf numFmtId="0" fontId="0" fillId="4" borderId="30" xfId="0" applyFill="1" applyBorder="1" applyAlignment="1">
      <alignment horizontal="center" vertical="center" wrapText="1"/>
    </xf>
    <xf numFmtId="0" fontId="4" fillId="6" borderId="12" xfId="0" applyFont="1" applyFill="1" applyBorder="1" applyAlignment="1">
      <alignment horizontal="left" vertical="center" wrapText="1"/>
    </xf>
    <xf numFmtId="0" fontId="4" fillId="6" borderId="13" xfId="0" applyFont="1" applyFill="1" applyBorder="1" applyAlignment="1">
      <alignment horizontal="left" vertical="center" wrapText="1"/>
    </xf>
    <xf numFmtId="0" fontId="4" fillId="6" borderId="39" xfId="0" applyFont="1" applyFill="1" applyBorder="1" applyAlignment="1">
      <alignment horizontal="left" vertical="center" wrapText="1"/>
    </xf>
    <xf numFmtId="0" fontId="1" fillId="6" borderId="16" xfId="0" applyFont="1" applyFill="1" applyBorder="1" applyAlignment="1">
      <alignment horizontal="left" vertical="center" wrapText="1"/>
    </xf>
    <xf numFmtId="0" fontId="1" fillId="6" borderId="17" xfId="0" applyFont="1" applyFill="1" applyBorder="1" applyAlignment="1">
      <alignment horizontal="left" vertical="center" wrapText="1"/>
    </xf>
    <xf numFmtId="0" fontId="1" fillId="6" borderId="54" xfId="0" applyFont="1" applyFill="1" applyBorder="1" applyAlignment="1">
      <alignment horizontal="left" vertical="center" wrapText="1"/>
    </xf>
    <xf numFmtId="0" fontId="1" fillId="6" borderId="14"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1" fillId="6" borderId="14" xfId="0" applyFont="1" applyFill="1" applyBorder="1" applyAlignment="1">
      <alignment horizontal="left" vertical="center" wrapText="1"/>
    </xf>
    <xf numFmtId="0" fontId="1" fillId="6" borderId="15" xfId="0" applyFont="1" applyFill="1" applyBorder="1" applyAlignment="1">
      <alignment horizontal="left" vertical="center" wrapText="1"/>
    </xf>
    <xf numFmtId="0" fontId="1" fillId="6" borderId="31" xfId="0" applyFont="1" applyFill="1" applyBorder="1" applyAlignment="1">
      <alignment horizontal="left" vertical="center" wrapText="1"/>
    </xf>
    <xf numFmtId="0" fontId="1" fillId="2" borderId="52"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10" borderId="52" xfId="0" applyFont="1" applyFill="1" applyBorder="1" applyAlignment="1">
      <alignment horizontal="center" vertical="center" wrapText="1"/>
    </xf>
    <xf numFmtId="0" fontId="1" fillId="10" borderId="43" xfId="0" applyFont="1" applyFill="1" applyBorder="1" applyAlignment="1">
      <alignment horizontal="center" vertical="center" wrapText="1"/>
    </xf>
    <xf numFmtId="0" fontId="1" fillId="10" borderId="44" xfId="0" applyFont="1" applyFill="1" applyBorder="1" applyAlignment="1">
      <alignment horizontal="center" vertical="center" wrapText="1"/>
    </xf>
  </cellXfs>
  <cellStyles count="1">
    <cellStyle name="Normal" xfId="0" builtinId="0"/>
  </cellStyles>
  <dxfs count="1">
    <dxf>
      <font>
        <color rgb="FF006100"/>
      </font>
      <fill>
        <patternFill>
          <bgColor rgb="FFC6EFCE"/>
        </patternFill>
      </fill>
    </dxf>
  </dxfs>
  <tableStyles count="0" defaultTableStyle="TableStyleMedium2" defaultPivotStyle="PivotStyleLight16"/>
  <colors>
    <mruColors>
      <color rgb="FFD5FFD5"/>
      <color rgb="FF99FF99"/>
      <color rgb="FF66FF33"/>
      <color rgb="FFFFFA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U50"/>
  <sheetViews>
    <sheetView topLeftCell="BB23" zoomScale="63" zoomScaleNormal="63" workbookViewId="0">
      <selection activeCell="BT36" sqref="BT36"/>
    </sheetView>
  </sheetViews>
  <sheetFormatPr baseColWidth="10" defaultRowHeight="14.5" x14ac:dyDescent="0.35"/>
  <cols>
    <col min="1" max="1" width="33.6328125" style="1" customWidth="1"/>
    <col min="2" max="2" width="19.90625" customWidth="1"/>
    <col min="3" max="3" width="14.54296875" bestFit="1" customWidth="1"/>
    <col min="4" max="4" width="15.7265625" customWidth="1"/>
    <col min="5" max="32" width="14.54296875" bestFit="1" customWidth="1"/>
    <col min="33" max="122" width="12.36328125" bestFit="1" customWidth="1"/>
  </cols>
  <sheetData>
    <row r="1" spans="1:4" x14ac:dyDescent="0.35">
      <c r="D1" s="107"/>
    </row>
    <row r="4" spans="1:4" ht="15" thickBot="1" x14ac:dyDescent="0.4">
      <c r="B4" s="9"/>
    </row>
    <row r="5" spans="1:4" ht="37.5" thickBot="1" x14ac:dyDescent="0.4">
      <c r="A5" s="33" t="s">
        <v>179</v>
      </c>
      <c r="B5" s="126">
        <f>B6/B10</f>
        <v>194.09836503453573</v>
      </c>
    </row>
    <row r="6" spans="1:4" ht="37.5" thickBot="1" x14ac:dyDescent="0.4">
      <c r="A6" s="33" t="s">
        <v>155</v>
      </c>
      <c r="B6" s="130">
        <f>MIN(B47,B50)</f>
        <v>718.16395062778224</v>
      </c>
    </row>
    <row r="8" spans="1:4" ht="15" thickBot="1" x14ac:dyDescent="0.4"/>
    <row r="9" spans="1:4" ht="15" thickBot="1" x14ac:dyDescent="0.4">
      <c r="A9" s="163" t="s">
        <v>12</v>
      </c>
      <c r="B9" s="164"/>
    </row>
    <row r="10" spans="1:4" x14ac:dyDescent="0.35">
      <c r="A10" s="2" t="s">
        <v>7</v>
      </c>
      <c r="B10" s="94">
        <v>3.7</v>
      </c>
    </row>
    <row r="11" spans="1:4" ht="29" x14ac:dyDescent="0.35">
      <c r="A11" s="3" t="s">
        <v>195</v>
      </c>
      <c r="B11" s="95">
        <v>120</v>
      </c>
    </row>
    <row r="12" spans="1:4" x14ac:dyDescent="0.35">
      <c r="A12" s="3" t="s">
        <v>196</v>
      </c>
      <c r="B12" s="95" t="s">
        <v>17</v>
      </c>
    </row>
    <row r="13" spans="1:4" x14ac:dyDescent="0.35">
      <c r="A13" s="3" t="s">
        <v>13</v>
      </c>
      <c r="B13" s="95" t="s">
        <v>197</v>
      </c>
    </row>
    <row r="14" spans="1:4" x14ac:dyDescent="0.35">
      <c r="A14" s="3" t="s">
        <v>14</v>
      </c>
      <c r="B14" s="27">
        <v>30</v>
      </c>
    </row>
    <row r="15" spans="1:4" x14ac:dyDescent="0.35">
      <c r="A15" s="114" t="s">
        <v>141</v>
      </c>
      <c r="B15" s="115" t="s">
        <v>144</v>
      </c>
    </row>
    <row r="16" spans="1:4" ht="29.5" thickBot="1" x14ac:dyDescent="0.4">
      <c r="A16" s="112" t="s">
        <v>191</v>
      </c>
      <c r="B16" s="113" t="s">
        <v>194</v>
      </c>
    </row>
    <row r="17" spans="1:177" ht="15" thickBot="1" x14ac:dyDescent="0.4"/>
    <row r="18" spans="1:177" s="5" customFormat="1" ht="15.5" x14ac:dyDescent="0.35">
      <c r="A18" s="118" t="s">
        <v>0</v>
      </c>
      <c r="B18" s="119"/>
      <c r="C18" s="119"/>
      <c r="D18" s="119"/>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19"/>
      <c r="BA18" s="119"/>
      <c r="BB18" s="119"/>
      <c r="BC18" s="119"/>
      <c r="BD18" s="119"/>
      <c r="BE18" s="119"/>
      <c r="BF18" s="119"/>
      <c r="BG18" s="119"/>
      <c r="BH18" s="119"/>
      <c r="BI18" s="119"/>
      <c r="BJ18" s="119"/>
      <c r="BK18" s="119"/>
      <c r="BL18" s="119"/>
      <c r="BM18" s="119"/>
      <c r="BN18" s="119"/>
      <c r="BO18" s="119"/>
      <c r="BP18" s="119"/>
      <c r="BQ18" s="119"/>
      <c r="BR18" s="119"/>
      <c r="BS18" s="119"/>
      <c r="BT18" s="119"/>
      <c r="BU18" s="119"/>
      <c r="BV18" s="119"/>
      <c r="BW18" s="119"/>
      <c r="BX18" s="119"/>
      <c r="BY18" s="119"/>
      <c r="BZ18" s="119"/>
      <c r="CA18" s="119"/>
      <c r="CB18" s="119"/>
      <c r="CC18" s="119"/>
      <c r="CD18" s="119"/>
      <c r="CE18" s="119"/>
      <c r="CF18" s="119"/>
      <c r="CG18" s="119"/>
      <c r="CH18" s="119"/>
      <c r="CI18" s="119"/>
      <c r="CJ18" s="119"/>
      <c r="CK18" s="119"/>
      <c r="CL18" s="119"/>
      <c r="CM18" s="119"/>
      <c r="CN18" s="119"/>
      <c r="CO18" s="119"/>
      <c r="CP18" s="119"/>
      <c r="CQ18" s="119"/>
      <c r="CR18" s="119"/>
      <c r="CS18" s="119"/>
      <c r="CT18" s="119"/>
      <c r="CU18" s="119"/>
      <c r="CV18" s="119"/>
      <c r="CW18" s="119"/>
      <c r="CX18" s="119"/>
      <c r="CY18" s="119"/>
      <c r="CZ18" s="119"/>
      <c r="DA18" s="119"/>
      <c r="DB18" s="119"/>
      <c r="DC18" s="119"/>
      <c r="DD18" s="119"/>
      <c r="DE18" s="119"/>
      <c r="DF18" s="119"/>
      <c r="DG18" s="119"/>
      <c r="DH18" s="119"/>
      <c r="DI18" s="119"/>
      <c r="DJ18" s="119"/>
      <c r="DK18" s="119"/>
      <c r="DL18" s="119"/>
      <c r="DM18" s="119"/>
      <c r="DN18" s="119"/>
      <c r="DO18" s="119"/>
      <c r="DP18" s="119"/>
      <c r="DQ18" s="119"/>
      <c r="DR18" s="119"/>
      <c r="DS18" s="55"/>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ht="29" x14ac:dyDescent="0.35">
      <c r="A19" s="3" t="s">
        <v>95</v>
      </c>
      <c r="B19" s="12">
        <v>0</v>
      </c>
      <c r="C19" s="12">
        <v>1</v>
      </c>
      <c r="D19" s="12">
        <v>2</v>
      </c>
      <c r="E19" s="12">
        <v>3</v>
      </c>
      <c r="F19" s="12">
        <v>4</v>
      </c>
      <c r="G19" s="12">
        <v>5</v>
      </c>
      <c r="H19" s="12">
        <v>6</v>
      </c>
      <c r="I19" s="12">
        <v>7</v>
      </c>
      <c r="J19" s="12">
        <v>8</v>
      </c>
      <c r="K19" s="12">
        <v>9</v>
      </c>
      <c r="L19" s="12">
        <v>10</v>
      </c>
      <c r="M19" s="12">
        <v>11</v>
      </c>
      <c r="N19" s="12">
        <v>12</v>
      </c>
      <c r="O19" s="12">
        <v>13</v>
      </c>
      <c r="P19" s="12">
        <v>14</v>
      </c>
      <c r="Q19" s="12">
        <v>15</v>
      </c>
      <c r="R19" s="12">
        <v>16</v>
      </c>
      <c r="S19" s="132">
        <v>17</v>
      </c>
      <c r="T19" s="12">
        <v>18</v>
      </c>
      <c r="U19" s="12">
        <v>19</v>
      </c>
      <c r="V19" s="12">
        <v>20</v>
      </c>
      <c r="W19" s="12">
        <v>21</v>
      </c>
      <c r="X19" s="12">
        <v>22</v>
      </c>
      <c r="Y19" s="12">
        <v>23</v>
      </c>
      <c r="Z19" s="12">
        <v>24</v>
      </c>
      <c r="AA19" s="139">
        <v>25</v>
      </c>
      <c r="AB19" s="132">
        <v>26</v>
      </c>
      <c r="AC19" s="12">
        <v>27</v>
      </c>
      <c r="AD19" s="12">
        <v>28</v>
      </c>
      <c r="AE19" s="12">
        <v>29</v>
      </c>
      <c r="AF19" s="13">
        <v>30</v>
      </c>
      <c r="AG19" s="12">
        <v>31</v>
      </c>
      <c r="AH19" s="12">
        <v>32</v>
      </c>
      <c r="AI19" s="13">
        <v>33</v>
      </c>
      <c r="AJ19" s="12">
        <v>34</v>
      </c>
      <c r="AK19" s="132">
        <v>35</v>
      </c>
      <c r="AL19" s="13">
        <v>36</v>
      </c>
      <c r="AM19" s="12">
        <v>37</v>
      </c>
      <c r="AN19" s="12">
        <v>38</v>
      </c>
      <c r="AO19" s="13">
        <v>39</v>
      </c>
      <c r="AP19" s="139">
        <v>40</v>
      </c>
      <c r="AQ19" s="12">
        <v>41</v>
      </c>
      <c r="AR19" s="13">
        <v>42</v>
      </c>
      <c r="AS19" s="12">
        <v>43</v>
      </c>
      <c r="AT19" s="12">
        <v>44</v>
      </c>
      <c r="AU19" s="133">
        <v>45</v>
      </c>
      <c r="AV19" s="12">
        <v>46</v>
      </c>
      <c r="AW19" s="12">
        <v>47</v>
      </c>
      <c r="AX19" s="13">
        <v>48</v>
      </c>
      <c r="AY19" s="12">
        <v>49</v>
      </c>
      <c r="AZ19" s="12">
        <v>50</v>
      </c>
      <c r="BA19" s="13">
        <v>51</v>
      </c>
      <c r="BB19" s="12">
        <v>52</v>
      </c>
      <c r="BC19" s="12">
        <v>53</v>
      </c>
      <c r="BD19" s="13">
        <v>54</v>
      </c>
      <c r="BE19" s="139">
        <v>55</v>
      </c>
      <c r="BF19" s="12">
        <v>56</v>
      </c>
      <c r="BG19" s="13">
        <v>57</v>
      </c>
      <c r="BH19" s="12">
        <v>58</v>
      </c>
      <c r="BI19" s="12">
        <v>59</v>
      </c>
      <c r="BJ19" s="133">
        <v>60</v>
      </c>
      <c r="BK19" s="12">
        <v>61</v>
      </c>
      <c r="BL19" s="12">
        <v>62</v>
      </c>
      <c r="BM19" s="13">
        <v>63</v>
      </c>
      <c r="BN19" s="12">
        <v>64</v>
      </c>
      <c r="BO19" s="12">
        <v>65</v>
      </c>
      <c r="BP19" s="13">
        <v>66</v>
      </c>
      <c r="BQ19" s="12">
        <v>67</v>
      </c>
      <c r="BR19" s="12">
        <v>68</v>
      </c>
      <c r="BS19" s="13">
        <v>69</v>
      </c>
      <c r="BT19" s="139">
        <v>70</v>
      </c>
      <c r="BU19" s="12">
        <v>71</v>
      </c>
      <c r="BV19" s="13">
        <v>72</v>
      </c>
      <c r="BW19" s="12">
        <v>73</v>
      </c>
      <c r="BX19" s="12">
        <v>74</v>
      </c>
      <c r="BY19" s="13">
        <v>75</v>
      </c>
      <c r="BZ19" s="12">
        <v>76</v>
      </c>
      <c r="CA19" s="12">
        <v>77</v>
      </c>
      <c r="CB19" s="13">
        <v>78</v>
      </c>
      <c r="CC19" s="12">
        <v>79</v>
      </c>
      <c r="CD19" s="12">
        <v>80</v>
      </c>
      <c r="CE19" s="13">
        <v>81</v>
      </c>
      <c r="CF19" s="12">
        <v>82</v>
      </c>
      <c r="CG19" s="12">
        <v>83</v>
      </c>
      <c r="CH19" s="13">
        <v>84</v>
      </c>
      <c r="CI19" s="12">
        <v>85</v>
      </c>
      <c r="CJ19" s="12">
        <v>86</v>
      </c>
      <c r="CK19" s="13">
        <v>87</v>
      </c>
      <c r="CL19" s="12">
        <v>88</v>
      </c>
      <c r="CM19" s="12">
        <v>89</v>
      </c>
      <c r="CN19" s="13">
        <v>90</v>
      </c>
      <c r="CO19" s="12">
        <v>91</v>
      </c>
      <c r="CP19" s="12">
        <v>92</v>
      </c>
      <c r="CQ19" s="13">
        <v>93</v>
      </c>
      <c r="CR19" s="12">
        <v>94</v>
      </c>
      <c r="CS19" s="12">
        <v>95</v>
      </c>
      <c r="CT19" s="13">
        <v>96</v>
      </c>
      <c r="CU19" s="12">
        <v>97</v>
      </c>
      <c r="CV19" s="12">
        <v>98</v>
      </c>
      <c r="CW19" s="13">
        <v>99</v>
      </c>
      <c r="CX19" s="12">
        <v>100</v>
      </c>
      <c r="CY19" s="12">
        <v>101</v>
      </c>
      <c r="CZ19" s="13">
        <v>102</v>
      </c>
      <c r="DA19" s="12">
        <v>103</v>
      </c>
      <c r="DB19" s="12">
        <v>104</v>
      </c>
      <c r="DC19" s="13">
        <v>105</v>
      </c>
      <c r="DD19" s="12">
        <v>106</v>
      </c>
      <c r="DE19" s="12">
        <v>107</v>
      </c>
      <c r="DF19" s="13">
        <v>108</v>
      </c>
      <c r="DG19" s="12">
        <v>109</v>
      </c>
      <c r="DH19" s="12">
        <v>110</v>
      </c>
      <c r="DI19" s="13">
        <v>111</v>
      </c>
      <c r="DJ19" s="12">
        <v>112</v>
      </c>
      <c r="DK19" s="12">
        <v>113</v>
      </c>
      <c r="DL19" s="13">
        <v>114</v>
      </c>
      <c r="DM19" s="12">
        <v>115</v>
      </c>
      <c r="DN19" s="12">
        <v>116</v>
      </c>
      <c r="DO19" s="13">
        <v>117</v>
      </c>
      <c r="DP19" s="12">
        <v>118</v>
      </c>
      <c r="DQ19" s="12">
        <v>119</v>
      </c>
      <c r="DR19" s="13">
        <v>120</v>
      </c>
      <c r="DS19" s="55"/>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s="5" customFormat="1" x14ac:dyDescent="0.35">
      <c r="A20" s="120" t="s">
        <v>3</v>
      </c>
      <c r="B20" s="121"/>
      <c r="C20" s="121"/>
      <c r="D20" s="121"/>
      <c r="E20" s="121"/>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c r="AV20" s="121"/>
      <c r="AW20" s="121"/>
      <c r="AX20" s="121"/>
      <c r="AY20" s="121"/>
      <c r="AZ20" s="121"/>
      <c r="BA20" s="121"/>
      <c r="BB20" s="121"/>
      <c r="BC20" s="121"/>
      <c r="BD20" s="121"/>
      <c r="BE20" s="121"/>
      <c r="BF20" s="121"/>
      <c r="BG20" s="121"/>
      <c r="BH20" s="121"/>
      <c r="BI20" s="121"/>
      <c r="BJ20" s="121"/>
      <c r="BK20" s="121"/>
      <c r="BL20" s="121"/>
      <c r="BM20" s="121"/>
      <c r="BN20" s="121"/>
      <c r="BO20" s="121"/>
      <c r="BP20" s="121"/>
      <c r="BQ20" s="121"/>
      <c r="BR20" s="121"/>
      <c r="BS20" s="121"/>
      <c r="BT20" s="121"/>
      <c r="BU20" s="121"/>
      <c r="BV20" s="121"/>
      <c r="BW20" s="121"/>
      <c r="BX20" s="121"/>
      <c r="BY20" s="121"/>
      <c r="BZ20" s="121"/>
      <c r="CA20" s="121"/>
      <c r="CB20" s="121"/>
      <c r="CC20" s="121"/>
      <c r="CD20" s="121"/>
      <c r="CE20" s="121"/>
      <c r="CF20" s="121"/>
      <c r="CG20" s="121"/>
      <c r="CH20" s="121"/>
      <c r="CI20" s="121"/>
      <c r="CJ20" s="121"/>
      <c r="CK20" s="121"/>
      <c r="CL20" s="121"/>
      <c r="CM20" s="121"/>
      <c r="CN20" s="121"/>
      <c r="CO20" s="121"/>
      <c r="CP20" s="121"/>
      <c r="CQ20" s="121"/>
      <c r="CR20" s="121"/>
      <c r="CS20" s="121"/>
      <c r="CT20" s="121"/>
      <c r="CU20" s="121"/>
      <c r="CV20" s="121"/>
      <c r="CW20" s="121"/>
      <c r="CX20" s="121"/>
      <c r="CY20" s="121"/>
      <c r="CZ20" s="121"/>
      <c r="DA20" s="121"/>
      <c r="DB20" s="121"/>
      <c r="DC20" s="121"/>
      <c r="DD20" s="121"/>
      <c r="DE20" s="121"/>
      <c r="DF20" s="121"/>
      <c r="DG20" s="121"/>
      <c r="DH20" s="121"/>
      <c r="DI20" s="121"/>
      <c r="DJ20" s="121"/>
      <c r="DK20" s="121"/>
      <c r="DL20" s="121"/>
      <c r="DM20" s="121"/>
      <c r="DN20" s="121"/>
      <c r="DO20" s="121"/>
      <c r="DP20" s="121"/>
      <c r="DQ20" s="121"/>
      <c r="DR20" s="121"/>
      <c r="DS20" s="55"/>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ht="29" x14ac:dyDescent="0.35">
      <c r="A21" s="3" t="s">
        <v>207</v>
      </c>
      <c r="B21" s="97">
        <f>(((B22+B29)*$B$37)+((B30+B31)*$B$10))*(44/12)</f>
        <v>949.66666666666663</v>
      </c>
      <c r="C21" s="97">
        <f t="shared" ref="C21:BN21" si="0">(((C22+C29)*$B$37)+((C30+C31)*$B$10))*(44/12)</f>
        <v>980.09314854841386</v>
      </c>
      <c r="D21" s="97">
        <f t="shared" si="0"/>
        <v>1009.4818006459474</v>
      </c>
      <c r="E21" s="97">
        <f t="shared" si="0"/>
        <v>1038.535285818976</v>
      </c>
      <c r="F21" s="97">
        <f t="shared" si="0"/>
        <v>1067.3821663012659</v>
      </c>
      <c r="G21" s="97">
        <f t="shared" si="0"/>
        <v>1096.0807107117087</v>
      </c>
      <c r="H21" s="97">
        <f t="shared" si="0"/>
        <v>1130.4697634557997</v>
      </c>
      <c r="I21" s="97">
        <f t="shared" si="0"/>
        <v>1164.7202561827785</v>
      </c>
      <c r="J21" s="97">
        <f t="shared" si="0"/>
        <v>1198.8578717167563</v>
      </c>
      <c r="K21" s="97">
        <f t="shared" si="0"/>
        <v>1232.900528645657</v>
      </c>
      <c r="L21" s="97">
        <f t="shared" si="0"/>
        <v>1266.8614129894866</v>
      </c>
      <c r="M21" s="97">
        <f t="shared" si="0"/>
        <v>1300.4400890177722</v>
      </c>
      <c r="N21" s="97">
        <f t="shared" si="0"/>
        <v>1333.9563191108482</v>
      </c>
      <c r="O21" s="97">
        <f t="shared" si="0"/>
        <v>1367.4163560167458</v>
      </c>
      <c r="P21" s="97">
        <f t="shared" si="0"/>
        <v>1400.8253621122451</v>
      </c>
      <c r="Q21" s="97">
        <f t="shared" si="0"/>
        <v>1434.1876683085134</v>
      </c>
      <c r="R21" s="97">
        <f t="shared" si="0"/>
        <v>1476.5080044805234</v>
      </c>
      <c r="S21" s="97">
        <f t="shared" si="0"/>
        <v>1483.1366655902893</v>
      </c>
      <c r="T21" s="97">
        <f t="shared" si="0"/>
        <v>1525.3862680782556</v>
      </c>
      <c r="U21" s="97">
        <f t="shared" si="0"/>
        <v>1567.574864014668</v>
      </c>
      <c r="V21" s="97">
        <f t="shared" si="0"/>
        <v>1609.7073722902931</v>
      </c>
      <c r="W21" s="97">
        <f t="shared" si="0"/>
        <v>1649.8471830820288</v>
      </c>
      <c r="X21" s="97">
        <f t="shared" si="0"/>
        <v>1689.9434788526071</v>
      </c>
      <c r="Y21" s="97">
        <f t="shared" si="0"/>
        <v>1729.9990105472434</v>
      </c>
      <c r="Z21" s="97">
        <f t="shared" si="0"/>
        <v>1770.0162169515008</v>
      </c>
      <c r="AA21" s="97">
        <f>(((AA22+AA29)*$B$37)+((AA30+AA31)*$B$10))*(44/12)</f>
        <v>1684.3304514091042</v>
      </c>
      <c r="AB21" s="97">
        <f t="shared" si="0"/>
        <v>1413.6733768133208</v>
      </c>
      <c r="AC21" s="97">
        <f t="shared" si="0"/>
        <v>1445.1899776521573</v>
      </c>
      <c r="AD21" s="97">
        <f t="shared" si="0"/>
        <v>1476.6640621585193</v>
      </c>
      <c r="AE21" s="97">
        <f t="shared" si="0"/>
        <v>1508.0988918013461</v>
      </c>
      <c r="AF21" s="97">
        <f t="shared" si="0"/>
        <v>1539.4972839611155</v>
      </c>
      <c r="AG21" s="97">
        <f t="shared" si="0"/>
        <v>1565.3897509636597</v>
      </c>
      <c r="AH21" s="97">
        <f t="shared" si="0"/>
        <v>1591.2525455703524</v>
      </c>
      <c r="AI21" s="97">
        <f t="shared" si="0"/>
        <v>1617.0873962129897</v>
      </c>
      <c r="AJ21" s="97">
        <f t="shared" si="0"/>
        <v>1642.8958498517825</v>
      </c>
      <c r="AK21" s="97">
        <f t="shared" si="0"/>
        <v>1562.0527873541287</v>
      </c>
      <c r="AL21" s="97">
        <f t="shared" si="0"/>
        <v>1586.2588154671419</v>
      </c>
      <c r="AM21" s="97">
        <f t="shared" si="0"/>
        <v>1610.4400964283793</v>
      </c>
      <c r="AN21" s="97">
        <f t="shared" si="0"/>
        <v>1634.5979289251241</v>
      </c>
      <c r="AO21" s="97">
        <f t="shared" si="0"/>
        <v>1658.7334882063806</v>
      </c>
      <c r="AP21" s="97">
        <f t="shared" si="0"/>
        <v>1429.4767719911838</v>
      </c>
      <c r="AQ21" s="97">
        <f t="shared" si="0"/>
        <v>1452.6544032679597</v>
      </c>
      <c r="AR21" s="97">
        <f t="shared" si="0"/>
        <v>1475.8001195354859</v>
      </c>
      <c r="AS21" s="97">
        <f t="shared" si="0"/>
        <v>1513.727333325897</v>
      </c>
      <c r="AT21" s="97">
        <f t="shared" si="0"/>
        <v>1551.5823701570985</v>
      </c>
      <c r="AU21" s="97">
        <f t="shared" si="0"/>
        <v>1470.4511840558716</v>
      </c>
      <c r="AV21" s="97">
        <f t="shared" si="0"/>
        <v>1507.1987489551102</v>
      </c>
      <c r="AW21" s="97">
        <f t="shared" si="0"/>
        <v>1543.8774041828372</v>
      </c>
      <c r="AX21" s="97">
        <f t="shared" si="0"/>
        <v>1580.4934278674414</v>
      </c>
      <c r="AY21" s="97">
        <f t="shared" si="0"/>
        <v>1615.3677200688678</v>
      </c>
      <c r="AZ21" s="97">
        <f t="shared" si="0"/>
        <v>1650.1937382603828</v>
      </c>
      <c r="BA21" s="97">
        <f t="shared" si="0"/>
        <v>1683.5568698825039</v>
      </c>
      <c r="BB21" s="97">
        <f t="shared" si="0"/>
        <v>1716.8813298251116</v>
      </c>
      <c r="BC21" s="97">
        <f t="shared" si="0"/>
        <v>1750.1694420211152</v>
      </c>
      <c r="BD21" s="97">
        <f t="shared" si="0"/>
        <v>1783.4232790758776</v>
      </c>
      <c r="BE21" s="97">
        <f t="shared" si="0"/>
        <v>1522.3978860137249</v>
      </c>
      <c r="BF21" s="97">
        <f t="shared" si="0"/>
        <v>1554.986061897609</v>
      </c>
      <c r="BG21" s="97">
        <f t="shared" si="0"/>
        <v>1591.3200716105746</v>
      </c>
      <c r="BH21" s="97">
        <f t="shared" si="0"/>
        <v>1627.5989334280202</v>
      </c>
      <c r="BI21" s="97">
        <f t="shared" si="0"/>
        <v>1663.82684903218</v>
      </c>
      <c r="BJ21" s="97">
        <f t="shared" si="0"/>
        <v>1700.0074516417858</v>
      </c>
      <c r="BK21" s="97">
        <f t="shared" si="0"/>
        <v>1393.0999399991279</v>
      </c>
      <c r="BL21" s="97">
        <f t="shared" si="0"/>
        <v>1421.6194547788632</v>
      </c>
      <c r="BM21" s="97">
        <f t="shared" si="0"/>
        <v>1450.0857146465748</v>
      </c>
      <c r="BN21" s="97">
        <f t="shared" si="0"/>
        <v>1478.503455881113</v>
      </c>
      <c r="BO21" s="97">
        <f t="shared" ref="BO21:DQ21" si="1">(((BO22+BO29)*$B$37)+((BO30+BO31)*$B$10))*(44/12)</f>
        <v>1502.6445529832567</v>
      </c>
      <c r="BP21" s="97">
        <f t="shared" si="1"/>
        <v>1526.7555595720219</v>
      </c>
      <c r="BQ21" s="97">
        <f t="shared" si="1"/>
        <v>1550.8383488166983</v>
      </c>
      <c r="BR21" s="97">
        <f t="shared" si="1"/>
        <v>1574.8945844140264</v>
      </c>
      <c r="BS21" s="97">
        <f t="shared" si="1"/>
        <v>1598.9257533631737</v>
      </c>
      <c r="BT21" s="97">
        <f t="shared" si="1"/>
        <v>1239.9304946229399</v>
      </c>
      <c r="BU21" s="97">
        <f t="shared" si="1"/>
        <v>1264.560974063203</v>
      </c>
      <c r="BV21" s="97">
        <f t="shared" si="1"/>
        <v>1289.1120586747304</v>
      </c>
      <c r="BW21" s="97">
        <f t="shared" si="1"/>
        <v>1310.162306089039</v>
      </c>
      <c r="BX21" s="97">
        <f t="shared" si="1"/>
        <v>1331.1673887055449</v>
      </c>
      <c r="BY21" s="97">
        <f t="shared" si="1"/>
        <v>1352.131707796505</v>
      </c>
      <c r="BZ21" s="97">
        <f t="shared" si="1"/>
        <v>1373.0589160701859</v>
      </c>
      <c r="CA21" s="97">
        <f t="shared" si="1"/>
        <v>1393.9520913478163</v>
      </c>
      <c r="CB21" s="97">
        <f t="shared" si="1"/>
        <v>1414.8138606658549</v>
      </c>
      <c r="CC21" s="97">
        <f t="shared" si="1"/>
        <v>1435.6464912621655</v>
      </c>
      <c r="CD21" s="97">
        <f t="shared" si="1"/>
        <v>1456.451958767015</v>
      </c>
      <c r="CE21" s="97">
        <f t="shared" si="1"/>
        <v>1477.2319992934515</v>
      </c>
      <c r="CF21" s="97">
        <f t="shared" si="1"/>
        <v>1497.1414097120214</v>
      </c>
      <c r="CG21" s="97">
        <f t="shared" si="1"/>
        <v>1517.0300530764487</v>
      </c>
      <c r="CH21" s="97">
        <f t="shared" si="1"/>
        <v>1536.899020162627</v>
      </c>
      <c r="CI21" s="97">
        <f t="shared" si="1"/>
        <v>1556.749297982816</v>
      </c>
      <c r="CJ21" s="97">
        <f t="shared" si="1"/>
        <v>1576.5817836993072</v>
      </c>
      <c r="CK21" s="97">
        <f t="shared" si="1"/>
        <v>1596.39729617477</v>
      </c>
      <c r="CL21" s="97">
        <f t="shared" si="1"/>
        <v>1616.196585638568</v>
      </c>
      <c r="CM21" s="97">
        <f t="shared" si="1"/>
        <v>1635.9803418365318</v>
      </c>
      <c r="CN21" s="97">
        <f t="shared" si="1"/>
        <v>1655.7492009491298</v>
      </c>
      <c r="CO21" s="97">
        <f t="shared" si="1"/>
        <v>1675.5037515012189</v>
      </c>
      <c r="CP21" s="97">
        <f t="shared" si="1"/>
        <v>1695.2445394398603</v>
      </c>
      <c r="CQ21" s="97">
        <f t="shared" si="1"/>
        <v>1714.9720725209775</v>
      </c>
      <c r="CR21" s="97">
        <f t="shared" si="1"/>
        <v>1734.6868241180591</v>
      </c>
      <c r="CS21" s="97">
        <f t="shared" si="1"/>
        <v>1754.3892365446331</v>
      </c>
      <c r="CT21" s="97">
        <f t="shared" si="1"/>
        <v>1774.0797239653532</v>
      </c>
      <c r="CU21" s="97">
        <f t="shared" si="1"/>
        <v>1793.7586749571708</v>
      </c>
      <c r="CV21" s="97">
        <f t="shared" si="1"/>
        <v>1813.4264547713906</v>
      </c>
      <c r="CW21" s="97">
        <f t="shared" si="1"/>
        <v>1833.0834073388421</v>
      </c>
      <c r="CX21" s="97">
        <f t="shared" si="1"/>
        <v>1852.7298570534476</v>
      </c>
      <c r="CY21" s="97">
        <f t="shared" si="1"/>
        <v>1872.3661103638476</v>
      </c>
      <c r="CZ21" s="97">
        <f t="shared" si="1"/>
        <v>1891.9924571980896</v>
      </c>
      <c r="DA21" s="97">
        <f t="shared" si="1"/>
        <v>1911.1918937992891</v>
      </c>
      <c r="DB21" s="97">
        <f t="shared" si="1"/>
        <v>1930.3823486051456</v>
      </c>
      <c r="DC21" s="97">
        <f t="shared" si="1"/>
        <v>1949.564054065625</v>
      </c>
      <c r="DD21" s="97">
        <f t="shared" si="1"/>
        <v>1968.7372314837455</v>
      </c>
      <c r="DE21" s="97">
        <f t="shared" si="1"/>
        <v>1987.9020917853118</v>
      </c>
      <c r="DF21" s="97">
        <f t="shared" si="1"/>
        <v>2007.0588362199589</v>
      </c>
      <c r="DG21" s="97">
        <f t="shared" si="1"/>
        <v>2026.2076570009583</v>
      </c>
      <c r="DH21" s="97">
        <f t="shared" si="1"/>
        <v>2045.3487378903083</v>
      </c>
      <c r="DI21" s="97">
        <f t="shared" si="1"/>
        <v>2064.4822547347899</v>
      </c>
      <c r="DJ21" s="97">
        <f t="shared" si="1"/>
        <v>2083.6083759580147</v>
      </c>
      <c r="DK21" s="97">
        <f t="shared" si="1"/>
        <v>2102.7272630128468</v>
      </c>
      <c r="DL21" s="97">
        <f t="shared" si="1"/>
        <v>2121.839070798108</v>
      </c>
      <c r="DM21" s="97">
        <f t="shared" si="1"/>
        <v>2140.9439480429928</v>
      </c>
      <c r="DN21" s="97">
        <f t="shared" si="1"/>
        <v>2160.0420376622501</v>
      </c>
      <c r="DO21" s="97">
        <f t="shared" si="1"/>
        <v>2179.1334770848443</v>
      </c>
      <c r="DP21" s="97">
        <f t="shared" si="1"/>
        <v>2198.2183985585148</v>
      </c>
      <c r="DQ21" s="97">
        <f t="shared" si="1"/>
        <v>2217.2969294323912</v>
      </c>
      <c r="DR21" s="97">
        <f>(((DR22+DR29)*$B$37)+((DR30+DR31)*$B$10))*(44/12)</f>
        <v>2236.3691924195955</v>
      </c>
      <c r="DS21" s="55"/>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ht="29.5" thickBot="1" x14ac:dyDescent="0.4">
      <c r="A22" s="3" t="s">
        <v>200</v>
      </c>
      <c r="B22" s="97">
        <f>SUM(B23,B25,B27)</f>
        <v>0</v>
      </c>
      <c r="C22" s="97">
        <f t="shared" ref="C22:BN22" si="2">SUM(C23,C25,C27)</f>
        <v>11.029512</v>
      </c>
      <c r="D22" s="97">
        <f t="shared" si="2"/>
        <v>22.059024000000001</v>
      </c>
      <c r="E22" s="97">
        <f t="shared" si="2"/>
        <v>33.088536000000005</v>
      </c>
      <c r="F22" s="97">
        <f t="shared" si="2"/>
        <v>44.118048000000002</v>
      </c>
      <c r="G22" s="97">
        <f t="shared" si="2"/>
        <v>55.147559999999999</v>
      </c>
      <c r="H22" s="97">
        <f t="shared" si="2"/>
        <v>68.845072000000002</v>
      </c>
      <c r="I22" s="97">
        <f t="shared" si="2"/>
        <v>82.542584000000005</v>
      </c>
      <c r="J22" s="97">
        <f t="shared" si="2"/>
        <v>96.240095999999994</v>
      </c>
      <c r="K22" s="97">
        <f t="shared" si="2"/>
        <v>109.93760799999998</v>
      </c>
      <c r="L22" s="97">
        <f t="shared" si="2"/>
        <v>123.63511999999999</v>
      </c>
      <c r="M22" s="97">
        <f t="shared" si="2"/>
        <v>137.18763199999998</v>
      </c>
      <c r="N22" s="97">
        <f t="shared" si="2"/>
        <v>150.74014399999999</v>
      </c>
      <c r="O22" s="97">
        <f t="shared" si="2"/>
        <v>164.29265599999999</v>
      </c>
      <c r="P22" s="97">
        <f t="shared" si="2"/>
        <v>177.84516799999997</v>
      </c>
      <c r="Q22" s="97">
        <f t="shared" si="2"/>
        <v>191.39768000000001</v>
      </c>
      <c r="R22" s="97">
        <f t="shared" si="2"/>
        <v>209.19019200000002</v>
      </c>
      <c r="S22" s="97">
        <f t="shared" si="2"/>
        <v>210.18270400000003</v>
      </c>
      <c r="T22" s="97">
        <f t="shared" si="2"/>
        <v>227.97521599999999</v>
      </c>
      <c r="U22" s="97">
        <f t="shared" si="2"/>
        <v>245.76772800000003</v>
      </c>
      <c r="V22" s="97">
        <f t="shared" si="2"/>
        <v>263.56024000000002</v>
      </c>
      <c r="W22" s="97">
        <f t="shared" si="2"/>
        <v>280.43275200000005</v>
      </c>
      <c r="X22" s="97">
        <f t="shared" si="2"/>
        <v>297.30526400000002</v>
      </c>
      <c r="Y22" s="97">
        <f t="shared" si="2"/>
        <v>314.17777600000005</v>
      </c>
      <c r="Z22" s="97">
        <f t="shared" si="2"/>
        <v>331.05028800000002</v>
      </c>
      <c r="AA22" s="97">
        <f t="shared" si="2"/>
        <v>288.20600000000007</v>
      </c>
      <c r="AB22" s="97">
        <f t="shared" si="2"/>
        <v>158.42051200000009</v>
      </c>
      <c r="AC22" s="97">
        <f t="shared" si="2"/>
        <v>171.0750240000001</v>
      </c>
      <c r="AD22" s="97">
        <f t="shared" si="2"/>
        <v>183.72953600000008</v>
      </c>
      <c r="AE22" s="97">
        <f t="shared" si="2"/>
        <v>196.38404800000012</v>
      </c>
      <c r="AF22" s="97">
        <f t="shared" si="2"/>
        <v>209.03856000000013</v>
      </c>
      <c r="AG22" s="97">
        <f t="shared" si="2"/>
        <v>221.24507200000011</v>
      </c>
      <c r="AH22" s="97">
        <f t="shared" si="2"/>
        <v>233.45158400000011</v>
      </c>
      <c r="AI22" s="97">
        <f t="shared" si="2"/>
        <v>245.65809600000011</v>
      </c>
      <c r="AJ22" s="97">
        <f t="shared" si="2"/>
        <v>257.86460800000015</v>
      </c>
      <c r="AK22" s="97">
        <f t="shared" si="2"/>
        <v>219.67112000000009</v>
      </c>
      <c r="AL22" s="97">
        <f t="shared" si="2"/>
        <v>231.09363200000013</v>
      </c>
      <c r="AM22" s="97">
        <f t="shared" si="2"/>
        <v>242.51614400000011</v>
      </c>
      <c r="AN22" s="97">
        <f t="shared" si="2"/>
        <v>253.93865600000015</v>
      </c>
      <c r="AO22" s="97">
        <f t="shared" si="2"/>
        <v>265.36116800000013</v>
      </c>
      <c r="AP22" s="97">
        <f t="shared" si="2"/>
        <v>157.35008000000016</v>
      </c>
      <c r="AQ22" s="97">
        <f t="shared" si="2"/>
        <v>168.21259200000017</v>
      </c>
      <c r="AR22" s="97">
        <f t="shared" si="2"/>
        <v>179.07510400000018</v>
      </c>
      <c r="AS22" s="97">
        <f t="shared" si="2"/>
        <v>196.90457600000019</v>
      </c>
      <c r="AT22" s="97">
        <f t="shared" si="2"/>
        <v>214.73404800000017</v>
      </c>
      <c r="AU22" s="97">
        <f t="shared" si="2"/>
        <v>176.56352000000018</v>
      </c>
      <c r="AV22" s="97">
        <f t="shared" si="2"/>
        <v>193.83299200000022</v>
      </c>
      <c r="AW22" s="97">
        <f t="shared" si="2"/>
        <v>211.10246400000023</v>
      </c>
      <c r="AX22" s="97">
        <f t="shared" si="2"/>
        <v>228.37193600000023</v>
      </c>
      <c r="AY22" s="97">
        <f t="shared" si="2"/>
        <v>244.84518400000024</v>
      </c>
      <c r="AZ22" s="97">
        <f t="shared" si="2"/>
        <v>261.31843200000026</v>
      </c>
      <c r="BA22" s="97">
        <f t="shared" si="2"/>
        <v>277.11968000000019</v>
      </c>
      <c r="BB22" s="97">
        <f t="shared" si="2"/>
        <v>292.92092800000017</v>
      </c>
      <c r="BC22" s="97">
        <f t="shared" si="2"/>
        <v>308.72217600000022</v>
      </c>
      <c r="BD22" s="97">
        <f t="shared" si="2"/>
        <v>324.5234240000002</v>
      </c>
      <c r="BE22" s="97">
        <f t="shared" si="2"/>
        <v>200.98547200000019</v>
      </c>
      <c r="BF22" s="97">
        <f t="shared" si="2"/>
        <v>216.33872000000019</v>
      </c>
      <c r="BG22" s="97">
        <f t="shared" si="2"/>
        <v>233.48347200000018</v>
      </c>
      <c r="BH22" s="97">
        <f t="shared" si="2"/>
        <v>250.62822400000019</v>
      </c>
      <c r="BI22" s="97">
        <f t="shared" si="2"/>
        <v>267.7729760000002</v>
      </c>
      <c r="BJ22" s="97">
        <f t="shared" si="2"/>
        <v>284.91772800000024</v>
      </c>
      <c r="BK22" s="141">
        <f t="shared" si="2"/>
        <v>140.33448000000016</v>
      </c>
      <c r="BL22" s="141">
        <f t="shared" si="2"/>
        <v>153.67123200000015</v>
      </c>
      <c r="BM22" s="141">
        <f t="shared" si="2"/>
        <v>167.00798400000016</v>
      </c>
      <c r="BN22" s="141">
        <f t="shared" si="2"/>
        <v>180.34473600000018</v>
      </c>
      <c r="BO22" s="141">
        <f t="shared" ref="BO22:DQ22" si="3">SUM(BO23,BO25,BO27)</f>
        <v>191.69092800000016</v>
      </c>
      <c r="BP22" s="141">
        <f t="shared" si="3"/>
        <v>203.03712000000019</v>
      </c>
      <c r="BQ22" s="141">
        <f t="shared" si="3"/>
        <v>214.38331200000019</v>
      </c>
      <c r="BR22" s="141">
        <f t="shared" si="3"/>
        <v>225.72950400000019</v>
      </c>
      <c r="BS22" s="141">
        <f t="shared" si="3"/>
        <v>237.07569600000016</v>
      </c>
      <c r="BT22" s="141">
        <f t="shared" si="3"/>
        <v>69.27148800000019</v>
      </c>
      <c r="BU22" s="141">
        <f t="shared" si="3"/>
        <v>80.617680000000206</v>
      </c>
      <c r="BV22" s="141">
        <f t="shared" si="3"/>
        <v>91.963872000000194</v>
      </c>
      <c r="BW22" s="141">
        <f t="shared" si="3"/>
        <v>101.71761600000021</v>
      </c>
      <c r="BX22" s="141">
        <f t="shared" si="3"/>
        <v>111.47136000000019</v>
      </c>
      <c r="BY22" s="141">
        <f t="shared" si="3"/>
        <v>121.2251040000002</v>
      </c>
      <c r="BZ22" s="141">
        <f t="shared" si="3"/>
        <v>130.97884800000017</v>
      </c>
      <c r="CA22" s="141">
        <f t="shared" si="3"/>
        <v>140.73259200000021</v>
      </c>
      <c r="CB22" s="141">
        <f t="shared" si="3"/>
        <v>150.48633600000022</v>
      </c>
      <c r="CC22" s="141">
        <f t="shared" si="3"/>
        <v>160.24008000000023</v>
      </c>
      <c r="CD22" s="141">
        <f t="shared" si="3"/>
        <v>169.99382400000027</v>
      </c>
      <c r="CE22" s="141">
        <f t="shared" si="3"/>
        <v>179.74756800000023</v>
      </c>
      <c r="CF22" s="141">
        <f t="shared" si="3"/>
        <v>189.10320000000027</v>
      </c>
      <c r="CG22" s="141">
        <f t="shared" si="3"/>
        <v>198.45883200000029</v>
      </c>
      <c r="CH22" s="141">
        <f t="shared" si="3"/>
        <v>207.81446400000024</v>
      </c>
      <c r="CI22" s="141">
        <f t="shared" si="3"/>
        <v>217.17009600000029</v>
      </c>
      <c r="CJ22" s="141">
        <f t="shared" si="3"/>
        <v>226.5257280000003</v>
      </c>
      <c r="CK22" s="141">
        <f t="shared" si="3"/>
        <v>235.88136000000029</v>
      </c>
      <c r="CL22" s="141">
        <f t="shared" si="3"/>
        <v>245.23699200000027</v>
      </c>
      <c r="CM22" s="141">
        <f t="shared" si="3"/>
        <v>254.59262400000031</v>
      </c>
      <c r="CN22" s="141">
        <f t="shared" si="3"/>
        <v>263.9482560000003</v>
      </c>
      <c r="CO22" s="141">
        <f t="shared" si="3"/>
        <v>273.30388800000026</v>
      </c>
      <c r="CP22" s="141">
        <f t="shared" si="3"/>
        <v>282.65952000000027</v>
      </c>
      <c r="CQ22" s="141">
        <f t="shared" si="3"/>
        <v>292.01515200000023</v>
      </c>
      <c r="CR22" s="141">
        <f t="shared" si="3"/>
        <v>301.37078400000019</v>
      </c>
      <c r="CS22" s="141">
        <f t="shared" si="3"/>
        <v>310.72641600000014</v>
      </c>
      <c r="CT22" s="141">
        <f t="shared" si="3"/>
        <v>320.08204800000016</v>
      </c>
      <c r="CU22" s="141">
        <f t="shared" si="3"/>
        <v>329.43768000000011</v>
      </c>
      <c r="CV22" s="141">
        <f t="shared" si="3"/>
        <v>338.79331200000007</v>
      </c>
      <c r="CW22" s="141">
        <f t="shared" si="3"/>
        <v>348.14894400000009</v>
      </c>
      <c r="CX22" s="141">
        <f t="shared" si="3"/>
        <v>357.50457600000004</v>
      </c>
      <c r="CY22" s="141">
        <f t="shared" si="3"/>
        <v>366.86020800000006</v>
      </c>
      <c r="CZ22" s="141">
        <f t="shared" si="3"/>
        <v>376.21584000000001</v>
      </c>
      <c r="DA22" s="141">
        <f t="shared" si="3"/>
        <v>385.37241599999999</v>
      </c>
      <c r="DB22" s="141">
        <f t="shared" si="3"/>
        <v>394.52899200000002</v>
      </c>
      <c r="DC22" s="141">
        <f t="shared" si="3"/>
        <v>403.68556799999993</v>
      </c>
      <c r="DD22" s="141">
        <f t="shared" si="3"/>
        <v>412.84214399999996</v>
      </c>
      <c r="DE22" s="141">
        <f t="shared" si="3"/>
        <v>421.99871999999999</v>
      </c>
      <c r="DF22" s="141">
        <f t="shared" si="3"/>
        <v>431.15529599999996</v>
      </c>
      <c r="DG22" s="141">
        <f t="shared" si="3"/>
        <v>440.31187199999994</v>
      </c>
      <c r="DH22" s="141">
        <f t="shared" si="3"/>
        <v>449.46844799999991</v>
      </c>
      <c r="DI22" s="141">
        <f t="shared" si="3"/>
        <v>458.62502399999988</v>
      </c>
      <c r="DJ22" s="141">
        <f t="shared" si="3"/>
        <v>467.78159999999986</v>
      </c>
      <c r="DK22" s="141">
        <f t="shared" si="3"/>
        <v>476.93817599999994</v>
      </c>
      <c r="DL22" s="141">
        <f t="shared" si="3"/>
        <v>486.09475199999986</v>
      </c>
      <c r="DM22" s="141">
        <f t="shared" si="3"/>
        <v>495.25132799999983</v>
      </c>
      <c r="DN22" s="141">
        <f t="shared" si="3"/>
        <v>504.40790399999992</v>
      </c>
      <c r="DO22" s="141">
        <f t="shared" si="3"/>
        <v>513.56447999999989</v>
      </c>
      <c r="DP22" s="141">
        <f t="shared" si="3"/>
        <v>522.72105599999998</v>
      </c>
      <c r="DQ22" s="141">
        <f t="shared" si="3"/>
        <v>531.87763199999995</v>
      </c>
      <c r="DR22" s="141">
        <f>SUM(DR23,DR25,DR27)</f>
        <v>541.03420800000004</v>
      </c>
      <c r="DS22" s="55"/>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row>
    <row r="23" spans="1:177" ht="29" x14ac:dyDescent="0.35">
      <c r="A23" s="3" t="s">
        <v>202</v>
      </c>
      <c r="B23" s="97">
        <f>B24*0.56</f>
        <v>0</v>
      </c>
      <c r="C23" s="97">
        <f t="shared" ref="C23:BI23" si="4">C24*0.56</f>
        <v>3.2480000000000002</v>
      </c>
      <c r="D23" s="97">
        <f t="shared" si="4"/>
        <v>6.4960000000000004</v>
      </c>
      <c r="E23" s="97">
        <f t="shared" si="4"/>
        <v>9.7439999999999998</v>
      </c>
      <c r="F23" s="97">
        <f t="shared" si="4"/>
        <v>12.992000000000001</v>
      </c>
      <c r="G23" s="97">
        <f t="shared" si="4"/>
        <v>16.240000000000002</v>
      </c>
      <c r="H23" s="97">
        <f t="shared" si="4"/>
        <v>19.488</v>
      </c>
      <c r="I23" s="97">
        <f t="shared" si="4"/>
        <v>22.736000000000001</v>
      </c>
      <c r="J23" s="97">
        <f t="shared" si="4"/>
        <v>25.983999999999998</v>
      </c>
      <c r="K23" s="97">
        <f t="shared" si="4"/>
        <v>29.231999999999996</v>
      </c>
      <c r="L23" s="97">
        <f t="shared" si="4"/>
        <v>32.479999999999997</v>
      </c>
      <c r="M23" s="97">
        <f t="shared" si="4"/>
        <v>35.727999999999994</v>
      </c>
      <c r="N23" s="97">
        <f t="shared" si="4"/>
        <v>38.975999999999992</v>
      </c>
      <c r="O23" s="97">
        <f t="shared" si="4"/>
        <v>42.22399999999999</v>
      </c>
      <c r="P23" s="97">
        <f t="shared" si="4"/>
        <v>45.471999999999987</v>
      </c>
      <c r="Q23" s="97">
        <f t="shared" si="4"/>
        <v>48.719999999999992</v>
      </c>
      <c r="R23" s="97">
        <f t="shared" si="4"/>
        <v>56.67199999999999</v>
      </c>
      <c r="S23" s="97">
        <f t="shared" si="4"/>
        <v>47.823999999999991</v>
      </c>
      <c r="T23" s="97">
        <f t="shared" si="4"/>
        <v>55.775999999999996</v>
      </c>
      <c r="U23" s="97">
        <f t="shared" si="4"/>
        <v>63.727999999999994</v>
      </c>
      <c r="V23" s="97">
        <f t="shared" si="4"/>
        <v>71.679999999999993</v>
      </c>
      <c r="W23" s="97">
        <f t="shared" si="4"/>
        <v>79.408000000000001</v>
      </c>
      <c r="X23" s="97">
        <f t="shared" si="4"/>
        <v>87.13600000000001</v>
      </c>
      <c r="Y23" s="97">
        <f t="shared" si="4"/>
        <v>94.864000000000019</v>
      </c>
      <c r="Z23" s="97">
        <f t="shared" si="4"/>
        <v>102.59200000000001</v>
      </c>
      <c r="AA23" s="97">
        <f t="shared" si="4"/>
        <v>110.32000000000002</v>
      </c>
      <c r="AB23" s="97">
        <f t="shared" si="4"/>
        <v>78.40000000000002</v>
      </c>
      <c r="AC23" s="97">
        <f t="shared" si="4"/>
        <v>85.680000000000021</v>
      </c>
      <c r="AD23" s="97">
        <f t="shared" si="4"/>
        <v>92.960000000000022</v>
      </c>
      <c r="AE23" s="97">
        <f t="shared" si="4"/>
        <v>100.24000000000002</v>
      </c>
      <c r="AF23" s="97">
        <f t="shared" si="4"/>
        <v>107.52000000000002</v>
      </c>
      <c r="AG23" s="97">
        <f t="shared" si="4"/>
        <v>114.35200000000002</v>
      </c>
      <c r="AH23" s="97">
        <f t="shared" si="4"/>
        <v>121.18400000000001</v>
      </c>
      <c r="AI23" s="97">
        <f t="shared" si="4"/>
        <v>128.01600000000002</v>
      </c>
      <c r="AJ23" s="97">
        <f t="shared" si="4"/>
        <v>134.84800000000001</v>
      </c>
      <c r="AK23" s="97">
        <f t="shared" si="4"/>
        <v>91.279999999999987</v>
      </c>
      <c r="AL23" s="97">
        <f t="shared" si="4"/>
        <v>97.328000000000003</v>
      </c>
      <c r="AM23" s="97">
        <f t="shared" si="4"/>
        <v>103.376</v>
      </c>
      <c r="AN23" s="97">
        <f t="shared" si="4"/>
        <v>109.42400000000001</v>
      </c>
      <c r="AO23" s="97">
        <f t="shared" si="4"/>
        <v>115.47200000000002</v>
      </c>
      <c r="AP23" s="97">
        <f t="shared" si="4"/>
        <v>121.52000000000002</v>
      </c>
      <c r="AQ23" s="97">
        <f t="shared" si="4"/>
        <v>127.00800000000004</v>
      </c>
      <c r="AR23" s="97">
        <f t="shared" si="4"/>
        <v>132.49600000000004</v>
      </c>
      <c r="AS23" s="97">
        <f t="shared" si="4"/>
        <v>137.98400000000004</v>
      </c>
      <c r="AT23" s="97">
        <f t="shared" si="4"/>
        <v>143.47200000000004</v>
      </c>
      <c r="AU23" s="97">
        <f t="shared" si="4"/>
        <v>92.960000000000036</v>
      </c>
      <c r="AV23" s="97">
        <f t="shared" si="4"/>
        <v>97.888000000000048</v>
      </c>
      <c r="AW23" s="97">
        <f t="shared" si="4"/>
        <v>102.81600000000006</v>
      </c>
      <c r="AX23" s="97">
        <f t="shared" si="4"/>
        <v>107.74400000000006</v>
      </c>
      <c r="AY23" s="97">
        <f t="shared" si="4"/>
        <v>112.67200000000007</v>
      </c>
      <c r="AZ23" s="97">
        <f t="shared" si="4"/>
        <v>117.60000000000008</v>
      </c>
      <c r="BA23" s="97">
        <f t="shared" si="4"/>
        <v>121.85600000000007</v>
      </c>
      <c r="BB23" s="97">
        <f t="shared" si="4"/>
        <v>126.11200000000007</v>
      </c>
      <c r="BC23" s="97">
        <f t="shared" si="4"/>
        <v>130.36800000000008</v>
      </c>
      <c r="BD23" s="97">
        <f t="shared" si="4"/>
        <v>134.62400000000005</v>
      </c>
      <c r="BE23" s="97">
        <f t="shared" si="4"/>
        <v>138.88000000000005</v>
      </c>
      <c r="BF23" s="97">
        <f t="shared" si="4"/>
        <v>142.68800000000007</v>
      </c>
      <c r="BG23" s="97">
        <f t="shared" si="4"/>
        <v>146.49600000000007</v>
      </c>
      <c r="BH23" s="97">
        <f t="shared" si="4"/>
        <v>150.30400000000006</v>
      </c>
      <c r="BI23" s="97">
        <f t="shared" si="4"/>
        <v>154.11200000000008</v>
      </c>
      <c r="BJ23" s="124">
        <f>BJ24*0.56</f>
        <v>157.92000000000007</v>
      </c>
      <c r="BK23" s="134"/>
      <c r="BL23" s="135"/>
      <c r="BM23" s="135"/>
      <c r="BN23" s="135"/>
      <c r="BO23" s="135"/>
      <c r="BP23" s="135"/>
      <c r="BQ23" s="135"/>
      <c r="BR23" s="135"/>
      <c r="BS23" s="135"/>
      <c r="BT23" s="135"/>
      <c r="BU23" s="135"/>
      <c r="BV23" s="135"/>
      <c r="BW23" s="135"/>
      <c r="BX23" s="135"/>
      <c r="BY23" s="135"/>
      <c r="BZ23" s="135"/>
      <c r="CA23" s="135"/>
      <c r="CB23" s="135"/>
      <c r="CC23" s="135"/>
      <c r="CD23" s="135"/>
      <c r="CE23" s="135"/>
      <c r="CF23" s="135"/>
      <c r="CG23" s="135"/>
      <c r="CH23" s="135"/>
      <c r="CI23" s="135"/>
      <c r="CJ23" s="135"/>
      <c r="CK23" s="135"/>
      <c r="CL23" s="135"/>
      <c r="CM23" s="135"/>
      <c r="CN23" s="135"/>
      <c r="CO23" s="135"/>
      <c r="CP23" s="135"/>
      <c r="CQ23" s="135"/>
      <c r="CR23" s="135"/>
      <c r="CS23" s="135"/>
      <c r="CT23" s="135"/>
      <c r="CU23" s="135"/>
      <c r="CV23" s="135"/>
      <c r="CW23" s="135"/>
      <c r="CX23" s="135"/>
      <c r="CY23" s="135"/>
      <c r="CZ23" s="135"/>
      <c r="DA23" s="135"/>
      <c r="DB23" s="135"/>
      <c r="DC23" s="135"/>
      <c r="DD23" s="135"/>
      <c r="DE23" s="135"/>
      <c r="DF23" s="135"/>
      <c r="DG23" s="135"/>
      <c r="DH23" s="135"/>
      <c r="DI23" s="135"/>
      <c r="DJ23" s="135"/>
      <c r="DK23" s="135"/>
      <c r="DL23" s="135"/>
      <c r="DM23" s="135"/>
      <c r="DN23" s="135"/>
      <c r="DO23" s="135"/>
      <c r="DP23" s="135"/>
      <c r="DQ23" s="135"/>
      <c r="DR23" s="135"/>
      <c r="DS23" s="7"/>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row>
    <row r="24" spans="1:177" ht="29.5" thickBot="1" x14ac:dyDescent="0.4">
      <c r="A24" s="18" t="s">
        <v>201</v>
      </c>
      <c r="B24" s="96">
        <v>0</v>
      </c>
      <c r="C24" s="96">
        <f>B24+5.8</f>
        <v>5.8</v>
      </c>
      <c r="D24" s="96">
        <f t="shared" ref="D24:Q24" si="5">C24+5.8</f>
        <v>11.6</v>
      </c>
      <c r="E24" s="96">
        <f t="shared" si="5"/>
        <v>17.399999999999999</v>
      </c>
      <c r="F24" s="96">
        <f t="shared" si="5"/>
        <v>23.2</v>
      </c>
      <c r="G24" s="96">
        <f t="shared" si="5"/>
        <v>29</v>
      </c>
      <c r="H24" s="96">
        <f t="shared" si="5"/>
        <v>34.799999999999997</v>
      </c>
      <c r="I24" s="96">
        <f t="shared" si="5"/>
        <v>40.599999999999994</v>
      </c>
      <c r="J24" s="96">
        <f t="shared" si="5"/>
        <v>46.399999999999991</v>
      </c>
      <c r="K24" s="96">
        <f t="shared" si="5"/>
        <v>52.199999999999989</v>
      </c>
      <c r="L24" s="96">
        <f t="shared" si="5"/>
        <v>57.999999999999986</v>
      </c>
      <c r="M24" s="96">
        <f t="shared" si="5"/>
        <v>63.799999999999983</v>
      </c>
      <c r="N24" s="96">
        <f t="shared" si="5"/>
        <v>69.59999999999998</v>
      </c>
      <c r="O24" s="96">
        <f t="shared" si="5"/>
        <v>75.399999999999977</v>
      </c>
      <c r="P24" s="96">
        <f t="shared" si="5"/>
        <v>81.199999999999974</v>
      </c>
      <c r="Q24" s="96">
        <f t="shared" si="5"/>
        <v>86.999999999999972</v>
      </c>
      <c r="R24" s="96">
        <f>Q24+14.2</f>
        <v>101.19999999999997</v>
      </c>
      <c r="S24" s="96">
        <f>R24+14.2-30</f>
        <v>85.399999999999977</v>
      </c>
      <c r="T24" s="96">
        <f t="shared" ref="T24:V24" si="6">S24+14.2</f>
        <v>99.59999999999998</v>
      </c>
      <c r="U24" s="96">
        <f t="shared" si="6"/>
        <v>113.79999999999998</v>
      </c>
      <c r="V24" s="96">
        <f t="shared" si="6"/>
        <v>127.99999999999999</v>
      </c>
      <c r="W24" s="96">
        <f>V24+13.8</f>
        <v>141.79999999999998</v>
      </c>
      <c r="X24" s="96">
        <f t="shared" ref="X24:AA24" si="7">W24+13.8</f>
        <v>155.6</v>
      </c>
      <c r="Y24" s="96">
        <f t="shared" si="7"/>
        <v>169.4</v>
      </c>
      <c r="Z24" s="96">
        <f t="shared" si="7"/>
        <v>183.20000000000002</v>
      </c>
      <c r="AA24" s="96">
        <f t="shared" si="7"/>
        <v>197.00000000000003</v>
      </c>
      <c r="AB24" s="96">
        <f>AA24+13-70</f>
        <v>140.00000000000003</v>
      </c>
      <c r="AC24" s="96">
        <f t="shared" ref="AC24:AF24" si="8">AB24+13</f>
        <v>153.00000000000003</v>
      </c>
      <c r="AD24" s="96">
        <f t="shared" si="8"/>
        <v>166.00000000000003</v>
      </c>
      <c r="AE24" s="96">
        <f t="shared" si="8"/>
        <v>179.00000000000003</v>
      </c>
      <c r="AF24" s="96">
        <f t="shared" si="8"/>
        <v>192.00000000000003</v>
      </c>
      <c r="AG24" s="96">
        <f>AF24+12.2</f>
        <v>204.20000000000002</v>
      </c>
      <c r="AH24" s="96">
        <f t="shared" ref="AH24:AJ24" si="9">AG24+12.2</f>
        <v>216.4</v>
      </c>
      <c r="AI24" s="96">
        <f t="shared" si="9"/>
        <v>228.6</v>
      </c>
      <c r="AJ24" s="96">
        <f t="shared" si="9"/>
        <v>240.79999999999998</v>
      </c>
      <c r="AK24" s="96">
        <f>AJ24+12.2-90</f>
        <v>162.99999999999997</v>
      </c>
      <c r="AL24" s="96">
        <f>AK24+10.8</f>
        <v>173.79999999999998</v>
      </c>
      <c r="AM24" s="96">
        <f t="shared" ref="AM24:AP24" si="10">AL24+10.8</f>
        <v>184.6</v>
      </c>
      <c r="AN24" s="96">
        <f t="shared" si="10"/>
        <v>195.4</v>
      </c>
      <c r="AO24" s="96">
        <f t="shared" si="10"/>
        <v>206.20000000000002</v>
      </c>
      <c r="AP24" s="96">
        <f t="shared" si="10"/>
        <v>217.00000000000003</v>
      </c>
      <c r="AQ24" s="96">
        <f>AP24+9.8</f>
        <v>226.80000000000004</v>
      </c>
      <c r="AR24" s="96">
        <f t="shared" ref="AR24:AT24" si="11">AQ24+9.8</f>
        <v>236.60000000000005</v>
      </c>
      <c r="AS24" s="96">
        <f t="shared" si="11"/>
        <v>246.40000000000006</v>
      </c>
      <c r="AT24" s="96">
        <f t="shared" si="11"/>
        <v>256.20000000000005</v>
      </c>
      <c r="AU24" s="96">
        <f>AT24+9.8-100</f>
        <v>166.00000000000006</v>
      </c>
      <c r="AV24" s="96">
        <f>AU24+8.8</f>
        <v>174.80000000000007</v>
      </c>
      <c r="AW24" s="96">
        <f t="shared" ref="AW24:AZ24" si="12">AV24+8.8</f>
        <v>183.60000000000008</v>
      </c>
      <c r="AX24" s="96">
        <f t="shared" si="12"/>
        <v>192.40000000000009</v>
      </c>
      <c r="AY24" s="96">
        <f t="shared" si="12"/>
        <v>201.2000000000001</v>
      </c>
      <c r="AZ24" s="96">
        <f t="shared" si="12"/>
        <v>210.00000000000011</v>
      </c>
      <c r="BA24" s="96">
        <f>AZ24+7.6</f>
        <v>217.60000000000011</v>
      </c>
      <c r="BB24" s="96">
        <f t="shared" ref="BB24:BE24" si="13">BA24+7.6</f>
        <v>225.2000000000001</v>
      </c>
      <c r="BC24" s="96">
        <f t="shared" si="13"/>
        <v>232.8000000000001</v>
      </c>
      <c r="BD24" s="96">
        <f t="shared" si="13"/>
        <v>240.40000000000009</v>
      </c>
      <c r="BE24" s="96">
        <f t="shared" si="13"/>
        <v>248.00000000000009</v>
      </c>
      <c r="BF24" s="96">
        <f>BE24+6.8</f>
        <v>254.8000000000001</v>
      </c>
      <c r="BG24" s="96">
        <f t="shared" ref="BG24:BI24" si="14">BF24+6.8</f>
        <v>261.60000000000008</v>
      </c>
      <c r="BH24" s="96">
        <f t="shared" si="14"/>
        <v>268.40000000000009</v>
      </c>
      <c r="BI24" s="96">
        <f t="shared" si="14"/>
        <v>275.2000000000001</v>
      </c>
      <c r="BJ24" s="138">
        <f>BI24+6.8</f>
        <v>282.00000000000011</v>
      </c>
      <c r="BK24" s="55"/>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row>
    <row r="25" spans="1:177" ht="29" x14ac:dyDescent="0.35">
      <c r="A25" s="3" t="s">
        <v>199</v>
      </c>
      <c r="B25" s="97">
        <f>B26*0.58*0.5</f>
        <v>0</v>
      </c>
      <c r="C25" s="97">
        <f t="shared" ref="C25:Z25" si="15">C26*0.58*0.5</f>
        <v>2.407</v>
      </c>
      <c r="D25" s="97">
        <f t="shared" si="15"/>
        <v>4.8140000000000001</v>
      </c>
      <c r="E25" s="97">
        <f t="shared" si="15"/>
        <v>7.2210000000000001</v>
      </c>
      <c r="F25" s="97">
        <f t="shared" si="15"/>
        <v>9.6280000000000001</v>
      </c>
      <c r="G25" s="97">
        <f t="shared" si="15"/>
        <v>12.034999999999998</v>
      </c>
      <c r="H25" s="97">
        <f t="shared" si="15"/>
        <v>17.11</v>
      </c>
      <c r="I25" s="97">
        <f t="shared" si="15"/>
        <v>22.184999999999999</v>
      </c>
      <c r="J25" s="97">
        <f t="shared" si="15"/>
        <v>27.259999999999998</v>
      </c>
      <c r="K25" s="97">
        <f t="shared" si="15"/>
        <v>32.335000000000001</v>
      </c>
      <c r="L25" s="97">
        <f t="shared" si="15"/>
        <v>37.409999999999997</v>
      </c>
      <c r="M25" s="97">
        <f t="shared" si="15"/>
        <v>42.339999999999996</v>
      </c>
      <c r="N25" s="97">
        <f t="shared" si="15"/>
        <v>47.269999999999996</v>
      </c>
      <c r="O25" s="97">
        <f t="shared" si="15"/>
        <v>52.199999999999996</v>
      </c>
      <c r="P25" s="97">
        <f t="shared" si="15"/>
        <v>57.129999999999995</v>
      </c>
      <c r="Q25" s="97">
        <f t="shared" si="15"/>
        <v>62.059999999999995</v>
      </c>
      <c r="R25" s="97">
        <f t="shared" si="15"/>
        <v>66.525999999999996</v>
      </c>
      <c r="S25" s="97">
        <f t="shared" si="15"/>
        <v>70.992000000000004</v>
      </c>
      <c r="T25" s="97">
        <f t="shared" si="15"/>
        <v>75.457999999999998</v>
      </c>
      <c r="U25" s="97">
        <f t="shared" si="15"/>
        <v>79.923999999999978</v>
      </c>
      <c r="V25" s="97">
        <f t="shared" si="15"/>
        <v>84.389999999999972</v>
      </c>
      <c r="W25" s="97">
        <f t="shared" si="15"/>
        <v>88.159999999999982</v>
      </c>
      <c r="X25" s="97">
        <f t="shared" si="15"/>
        <v>91.929999999999978</v>
      </c>
      <c r="Y25" s="97">
        <f t="shared" si="15"/>
        <v>95.699999999999974</v>
      </c>
      <c r="Z25" s="97">
        <f t="shared" si="15"/>
        <v>99.46999999999997</v>
      </c>
      <c r="AA25" s="124">
        <f>AA26*0.58*0.5</f>
        <v>103.23999999999998</v>
      </c>
      <c r="AB25" s="134"/>
      <c r="AC25" s="135"/>
      <c r="AD25" s="135"/>
      <c r="AE25" s="135"/>
      <c r="AF25" s="135"/>
      <c r="AG25" s="135"/>
      <c r="AH25" s="135"/>
      <c r="AI25" s="135"/>
      <c r="AJ25" s="135"/>
      <c r="AK25" s="135"/>
      <c r="AL25" s="135"/>
      <c r="AM25" s="135"/>
      <c r="AN25" s="135"/>
      <c r="AO25" s="135"/>
      <c r="AP25" s="135"/>
      <c r="AQ25" s="135"/>
      <c r="AR25" s="135"/>
      <c r="AS25" s="135"/>
      <c r="AT25" s="135"/>
      <c r="AU25" s="135"/>
      <c r="AV25" s="135"/>
      <c r="AW25" s="135"/>
      <c r="AX25" s="135"/>
      <c r="AY25" s="135"/>
      <c r="AZ25" s="135"/>
      <c r="BA25" s="135"/>
      <c r="BB25" s="135"/>
      <c r="BC25" s="135"/>
      <c r="BD25" s="135"/>
      <c r="BE25" s="135"/>
      <c r="BF25" s="135"/>
      <c r="BG25" s="135"/>
      <c r="BH25" s="135"/>
      <c r="BI25" s="135"/>
      <c r="BJ25" s="13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7"/>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row>
    <row r="26" spans="1:177" ht="15" thickBot="1" x14ac:dyDescent="0.4">
      <c r="A26" s="18" t="s">
        <v>203</v>
      </c>
      <c r="B26" s="96">
        <v>0</v>
      </c>
      <c r="C26" s="96">
        <f>B26+8.3</f>
        <v>8.3000000000000007</v>
      </c>
      <c r="D26" s="96">
        <f t="shared" ref="D26:G26" si="16">C26+8.3</f>
        <v>16.600000000000001</v>
      </c>
      <c r="E26" s="96">
        <f t="shared" si="16"/>
        <v>24.900000000000002</v>
      </c>
      <c r="F26" s="96">
        <f t="shared" si="16"/>
        <v>33.200000000000003</v>
      </c>
      <c r="G26" s="96">
        <f t="shared" si="16"/>
        <v>41.5</v>
      </c>
      <c r="H26" s="96">
        <f>G26+17.5</f>
        <v>59</v>
      </c>
      <c r="I26" s="96">
        <f t="shared" ref="I26:L26" si="17">H26+17.5</f>
        <v>76.5</v>
      </c>
      <c r="J26" s="96">
        <f t="shared" si="17"/>
        <v>94</v>
      </c>
      <c r="K26" s="96">
        <f t="shared" si="17"/>
        <v>111.5</v>
      </c>
      <c r="L26" s="96">
        <f t="shared" si="17"/>
        <v>129</v>
      </c>
      <c r="M26" s="96">
        <f>L26+17</f>
        <v>146</v>
      </c>
      <c r="N26" s="96">
        <f t="shared" ref="N26:Q26" si="18">M26+17</f>
        <v>163</v>
      </c>
      <c r="O26" s="96">
        <f t="shared" si="18"/>
        <v>180</v>
      </c>
      <c r="P26" s="96">
        <f t="shared" si="18"/>
        <v>197</v>
      </c>
      <c r="Q26" s="96">
        <f t="shared" si="18"/>
        <v>214</v>
      </c>
      <c r="R26" s="96">
        <f>Q26+15.4</f>
        <v>229.4</v>
      </c>
      <c r="S26" s="96">
        <f t="shared" ref="S26:V26" si="19">R26+15.4</f>
        <v>244.8</v>
      </c>
      <c r="T26" s="96">
        <f t="shared" si="19"/>
        <v>260.2</v>
      </c>
      <c r="U26" s="96">
        <f t="shared" si="19"/>
        <v>275.59999999999997</v>
      </c>
      <c r="V26" s="96">
        <f t="shared" si="19"/>
        <v>290.99999999999994</v>
      </c>
      <c r="W26" s="96">
        <f>V26+13</f>
        <v>303.99999999999994</v>
      </c>
      <c r="X26" s="96">
        <f t="shared" ref="X26:AA26" si="20">W26+13</f>
        <v>316.99999999999994</v>
      </c>
      <c r="Y26" s="96">
        <f t="shared" si="20"/>
        <v>329.99999999999994</v>
      </c>
      <c r="Z26" s="96">
        <f t="shared" si="20"/>
        <v>342.99999999999994</v>
      </c>
      <c r="AA26" s="96">
        <f t="shared" si="20"/>
        <v>355.99999999999994</v>
      </c>
      <c r="AB26" s="136"/>
      <c r="AC26" s="137"/>
      <c r="AD26" s="137"/>
      <c r="AE26" s="137"/>
      <c r="AF26" s="137"/>
      <c r="AG26" s="137"/>
      <c r="AH26" s="137"/>
      <c r="AI26" s="137"/>
      <c r="AJ26" s="137"/>
      <c r="AK26" s="137"/>
      <c r="AL26" s="137"/>
      <c r="AM26" s="137"/>
      <c r="AN26" s="137"/>
      <c r="AO26" s="137"/>
      <c r="AP26" s="137"/>
      <c r="AQ26" s="137"/>
      <c r="AR26" s="137"/>
      <c r="AS26" s="137"/>
      <c r="AT26" s="137"/>
      <c r="AU26" s="137"/>
      <c r="AV26" s="137"/>
      <c r="AW26" s="137"/>
      <c r="AX26" s="137"/>
      <c r="AY26" s="137"/>
      <c r="AZ26" s="137"/>
      <c r="BA26" s="137"/>
      <c r="BB26" s="137"/>
      <c r="BC26" s="137"/>
      <c r="BD26" s="137"/>
      <c r="BE26" s="137"/>
      <c r="BF26" s="137"/>
      <c r="BG26" s="137"/>
      <c r="BH26" s="137"/>
      <c r="BI26" s="137"/>
      <c r="BJ26" s="137"/>
      <c r="BK26" s="137"/>
      <c r="BL26" s="137"/>
      <c r="BM26" s="137"/>
      <c r="BN26" s="137"/>
      <c r="BO26" s="137"/>
      <c r="BP26" s="137"/>
      <c r="BQ26" s="137"/>
      <c r="BR26" s="137"/>
      <c r="BS26" s="137"/>
      <c r="BT26" s="137"/>
      <c r="BU26" s="137"/>
      <c r="BV26" s="137"/>
      <c r="BW26" s="137"/>
      <c r="BX26" s="137"/>
      <c r="BY26" s="137"/>
      <c r="BZ26" s="137"/>
      <c r="CA26" s="137"/>
      <c r="CB26" s="137"/>
      <c r="CC26" s="137"/>
      <c r="CD26" s="137"/>
      <c r="CE26" s="137"/>
      <c r="CF26" s="137"/>
      <c r="CG26" s="137"/>
      <c r="CH26" s="137"/>
      <c r="CI26" s="137"/>
      <c r="CJ26" s="137"/>
      <c r="CK26" s="137"/>
      <c r="CL26" s="137"/>
      <c r="CM26" s="137"/>
      <c r="CN26" s="137"/>
      <c r="CO26" s="137"/>
      <c r="CP26" s="137"/>
      <c r="CQ26" s="137"/>
      <c r="CR26" s="137"/>
      <c r="CS26" s="137"/>
      <c r="CT26" s="137"/>
      <c r="CU26" s="137"/>
      <c r="CV26" s="137"/>
      <c r="CW26" s="137"/>
      <c r="CX26" s="137"/>
      <c r="CY26" s="137"/>
      <c r="CZ26" s="137"/>
      <c r="DA26" s="137"/>
      <c r="DB26" s="137"/>
      <c r="DC26" s="137"/>
      <c r="DD26" s="137"/>
      <c r="DE26" s="137"/>
      <c r="DF26" s="137"/>
      <c r="DG26" s="137"/>
      <c r="DH26" s="137"/>
      <c r="DI26" s="137"/>
      <c r="DJ26" s="137"/>
      <c r="DK26" s="137"/>
      <c r="DL26" s="137"/>
      <c r="DM26" s="137"/>
      <c r="DN26" s="137"/>
      <c r="DO26" s="137"/>
      <c r="DP26" s="137"/>
      <c r="DQ26" s="137"/>
      <c r="DR26" s="137"/>
      <c r="DS26" s="7"/>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row>
    <row r="27" spans="1:177" ht="29" x14ac:dyDescent="0.35">
      <c r="A27" s="3" t="s">
        <v>204</v>
      </c>
      <c r="B27" s="97">
        <f>B28*0.58*$B$38*2.2</f>
        <v>0</v>
      </c>
      <c r="C27" s="97">
        <f>C28*0.58*$B$38*2.2</f>
        <v>5.3745120000000011</v>
      </c>
      <c r="D27" s="97">
        <f t="shared" ref="D27:BN27" si="21">D28*0.58*$B$38*2.2</f>
        <v>10.749024000000002</v>
      </c>
      <c r="E27" s="97">
        <f t="shared" si="21"/>
        <v>16.123536000000001</v>
      </c>
      <c r="F27" s="97">
        <f t="shared" si="21"/>
        <v>21.498048000000004</v>
      </c>
      <c r="G27" s="97">
        <f t="shared" si="21"/>
        <v>26.87256</v>
      </c>
      <c r="H27" s="97">
        <f t="shared" si="21"/>
        <v>32.247072000000003</v>
      </c>
      <c r="I27" s="97">
        <f t="shared" si="21"/>
        <v>37.621583999999999</v>
      </c>
      <c r="J27" s="97">
        <f t="shared" si="21"/>
        <v>42.996096000000001</v>
      </c>
      <c r="K27" s="97">
        <f t="shared" si="21"/>
        <v>48.370607999999997</v>
      </c>
      <c r="L27" s="97">
        <f t="shared" si="21"/>
        <v>53.74512</v>
      </c>
      <c r="M27" s="97">
        <f t="shared" si="21"/>
        <v>59.119631999999989</v>
      </c>
      <c r="N27" s="97">
        <f t="shared" si="21"/>
        <v>64.494144000000006</v>
      </c>
      <c r="O27" s="97">
        <f t="shared" si="21"/>
        <v>69.868656000000016</v>
      </c>
      <c r="P27" s="97">
        <f t="shared" si="21"/>
        <v>75.243167999999997</v>
      </c>
      <c r="Q27" s="97">
        <f t="shared" si="21"/>
        <v>80.617680000000021</v>
      </c>
      <c r="R27" s="97">
        <f t="shared" si="21"/>
        <v>85.992192000000031</v>
      </c>
      <c r="S27" s="97">
        <f t="shared" si="21"/>
        <v>91.366704000000027</v>
      </c>
      <c r="T27" s="97">
        <f t="shared" si="21"/>
        <v>96.741216000000023</v>
      </c>
      <c r="U27" s="97">
        <f t="shared" si="21"/>
        <v>102.11572800000005</v>
      </c>
      <c r="V27" s="97">
        <f t="shared" si="21"/>
        <v>107.49024000000004</v>
      </c>
      <c r="W27" s="97">
        <f t="shared" si="21"/>
        <v>112.86475200000004</v>
      </c>
      <c r="X27" s="97">
        <f t="shared" si="21"/>
        <v>118.23926400000006</v>
      </c>
      <c r="Y27" s="97">
        <f t="shared" si="21"/>
        <v>123.61377600000007</v>
      </c>
      <c r="Z27" s="97">
        <f t="shared" si="21"/>
        <v>128.98828800000007</v>
      </c>
      <c r="AA27" s="97">
        <f t="shared" si="21"/>
        <v>74.646000000000058</v>
      </c>
      <c r="AB27" s="142">
        <f t="shared" si="21"/>
        <v>80.020512000000068</v>
      </c>
      <c r="AC27" s="142">
        <f t="shared" si="21"/>
        <v>85.395024000000078</v>
      </c>
      <c r="AD27" s="142">
        <f t="shared" si="21"/>
        <v>90.769536000000059</v>
      </c>
      <c r="AE27" s="142">
        <f t="shared" si="21"/>
        <v>96.144048000000083</v>
      </c>
      <c r="AF27" s="142">
        <f t="shared" si="21"/>
        <v>101.51856000000009</v>
      </c>
      <c r="AG27" s="142">
        <f t="shared" si="21"/>
        <v>106.89307200000009</v>
      </c>
      <c r="AH27" s="142">
        <f t="shared" si="21"/>
        <v>112.2675840000001</v>
      </c>
      <c r="AI27" s="142">
        <f t="shared" si="21"/>
        <v>117.64209600000011</v>
      </c>
      <c r="AJ27" s="142">
        <f t="shared" si="21"/>
        <v>123.01660800000012</v>
      </c>
      <c r="AK27" s="142">
        <f t="shared" si="21"/>
        <v>128.39112000000011</v>
      </c>
      <c r="AL27" s="142">
        <f t="shared" si="21"/>
        <v>133.76563200000012</v>
      </c>
      <c r="AM27" s="142">
        <f t="shared" si="21"/>
        <v>139.14014400000011</v>
      </c>
      <c r="AN27" s="142">
        <f t="shared" si="21"/>
        <v>144.51465600000014</v>
      </c>
      <c r="AO27" s="142">
        <f t="shared" si="21"/>
        <v>149.88916800000013</v>
      </c>
      <c r="AP27" s="142">
        <f t="shared" si="21"/>
        <v>35.830080000000144</v>
      </c>
      <c r="AQ27" s="142">
        <f t="shared" si="21"/>
        <v>41.20459200000014</v>
      </c>
      <c r="AR27" s="142">
        <f t="shared" si="21"/>
        <v>46.579104000000143</v>
      </c>
      <c r="AS27" s="142">
        <f t="shared" si="21"/>
        <v>58.920576000000139</v>
      </c>
      <c r="AT27" s="142">
        <f t="shared" si="21"/>
        <v>71.262048000000135</v>
      </c>
      <c r="AU27" s="142">
        <f t="shared" si="21"/>
        <v>83.603520000000145</v>
      </c>
      <c r="AV27" s="142">
        <f t="shared" si="21"/>
        <v>95.944992000000155</v>
      </c>
      <c r="AW27" s="142">
        <f t="shared" si="21"/>
        <v>108.28646400000017</v>
      </c>
      <c r="AX27" s="142">
        <f t="shared" si="21"/>
        <v>120.62793600000016</v>
      </c>
      <c r="AY27" s="142">
        <f t="shared" si="21"/>
        <v>132.17318400000016</v>
      </c>
      <c r="AZ27" s="142">
        <f t="shared" si="21"/>
        <v>143.71843200000018</v>
      </c>
      <c r="BA27" s="142">
        <f t="shared" si="21"/>
        <v>155.26368000000014</v>
      </c>
      <c r="BB27" s="142">
        <f t="shared" si="21"/>
        <v>166.80892800000012</v>
      </c>
      <c r="BC27" s="142">
        <f t="shared" si="21"/>
        <v>178.35417600000011</v>
      </c>
      <c r="BD27" s="142">
        <f t="shared" si="21"/>
        <v>189.89942400000012</v>
      </c>
      <c r="BE27" s="142">
        <f t="shared" si="21"/>
        <v>62.10547200000012</v>
      </c>
      <c r="BF27" s="142">
        <f t="shared" si="21"/>
        <v>73.650720000000121</v>
      </c>
      <c r="BG27" s="142">
        <f t="shared" si="21"/>
        <v>86.987472000000125</v>
      </c>
      <c r="BH27" s="142">
        <f t="shared" si="21"/>
        <v>100.32422400000013</v>
      </c>
      <c r="BI27" s="142">
        <f t="shared" si="21"/>
        <v>113.66097600000015</v>
      </c>
      <c r="BJ27" s="142">
        <f t="shared" si="21"/>
        <v>126.99772800000017</v>
      </c>
      <c r="BK27" s="142">
        <f t="shared" si="21"/>
        <v>140.33448000000016</v>
      </c>
      <c r="BL27" s="142">
        <f t="shared" si="21"/>
        <v>153.67123200000015</v>
      </c>
      <c r="BM27" s="142">
        <f t="shared" si="21"/>
        <v>167.00798400000016</v>
      </c>
      <c r="BN27" s="142">
        <f t="shared" si="21"/>
        <v>180.34473600000018</v>
      </c>
      <c r="BO27" s="142">
        <f t="shared" ref="BO27:DQ27" si="22">BO28*0.58*$B$38*2.2</f>
        <v>191.69092800000016</v>
      </c>
      <c r="BP27" s="142">
        <f t="shared" si="22"/>
        <v>203.03712000000019</v>
      </c>
      <c r="BQ27" s="142">
        <f t="shared" si="22"/>
        <v>214.38331200000019</v>
      </c>
      <c r="BR27" s="142">
        <f t="shared" si="22"/>
        <v>225.72950400000019</v>
      </c>
      <c r="BS27" s="142">
        <f t="shared" si="22"/>
        <v>237.07569600000016</v>
      </c>
      <c r="BT27" s="142">
        <f t="shared" si="22"/>
        <v>69.27148800000019</v>
      </c>
      <c r="BU27" s="142">
        <f t="shared" si="22"/>
        <v>80.617680000000206</v>
      </c>
      <c r="BV27" s="142">
        <f>BV28*0.58*$B$38*2.2</f>
        <v>91.963872000000194</v>
      </c>
      <c r="BW27" s="142">
        <f t="shared" si="22"/>
        <v>101.71761600000021</v>
      </c>
      <c r="BX27" s="142">
        <f t="shared" si="22"/>
        <v>111.47136000000019</v>
      </c>
      <c r="BY27" s="142">
        <f t="shared" si="22"/>
        <v>121.2251040000002</v>
      </c>
      <c r="BZ27" s="142">
        <f t="shared" si="22"/>
        <v>130.97884800000017</v>
      </c>
      <c r="CA27" s="142">
        <f t="shared" si="22"/>
        <v>140.73259200000021</v>
      </c>
      <c r="CB27" s="142">
        <f t="shared" si="22"/>
        <v>150.48633600000022</v>
      </c>
      <c r="CC27" s="142">
        <f t="shared" si="22"/>
        <v>160.24008000000023</v>
      </c>
      <c r="CD27" s="142">
        <f t="shared" si="22"/>
        <v>169.99382400000027</v>
      </c>
      <c r="CE27" s="142">
        <f t="shared" si="22"/>
        <v>179.74756800000023</v>
      </c>
      <c r="CF27" s="142">
        <f t="shared" si="22"/>
        <v>189.10320000000027</v>
      </c>
      <c r="CG27" s="142">
        <f t="shared" si="22"/>
        <v>198.45883200000029</v>
      </c>
      <c r="CH27" s="142">
        <f t="shared" si="22"/>
        <v>207.81446400000024</v>
      </c>
      <c r="CI27" s="142">
        <f t="shared" si="22"/>
        <v>217.17009600000029</v>
      </c>
      <c r="CJ27" s="142">
        <f t="shared" si="22"/>
        <v>226.5257280000003</v>
      </c>
      <c r="CK27" s="142">
        <f t="shared" si="22"/>
        <v>235.88136000000029</v>
      </c>
      <c r="CL27" s="142">
        <f t="shared" si="22"/>
        <v>245.23699200000027</v>
      </c>
      <c r="CM27" s="142">
        <f t="shared" si="22"/>
        <v>254.59262400000031</v>
      </c>
      <c r="CN27" s="142">
        <f t="shared" si="22"/>
        <v>263.9482560000003</v>
      </c>
      <c r="CO27" s="142">
        <f t="shared" si="22"/>
        <v>273.30388800000026</v>
      </c>
      <c r="CP27" s="142">
        <f t="shared" si="22"/>
        <v>282.65952000000027</v>
      </c>
      <c r="CQ27" s="142">
        <f t="shared" si="22"/>
        <v>292.01515200000023</v>
      </c>
      <c r="CR27" s="142">
        <f t="shared" si="22"/>
        <v>301.37078400000019</v>
      </c>
      <c r="CS27" s="142">
        <f t="shared" si="22"/>
        <v>310.72641600000014</v>
      </c>
      <c r="CT27" s="142">
        <f t="shared" si="22"/>
        <v>320.08204800000016</v>
      </c>
      <c r="CU27" s="142">
        <f t="shared" si="22"/>
        <v>329.43768000000011</v>
      </c>
      <c r="CV27" s="142">
        <f t="shared" si="22"/>
        <v>338.79331200000007</v>
      </c>
      <c r="CW27" s="142">
        <f t="shared" si="22"/>
        <v>348.14894400000009</v>
      </c>
      <c r="CX27" s="142">
        <f t="shared" si="22"/>
        <v>357.50457600000004</v>
      </c>
      <c r="CY27" s="142">
        <f t="shared" si="22"/>
        <v>366.86020800000006</v>
      </c>
      <c r="CZ27" s="142">
        <f t="shared" si="22"/>
        <v>376.21584000000001</v>
      </c>
      <c r="DA27" s="142">
        <f t="shared" si="22"/>
        <v>385.37241599999999</v>
      </c>
      <c r="DB27" s="142">
        <f t="shared" si="22"/>
        <v>394.52899200000002</v>
      </c>
      <c r="DC27" s="142">
        <f t="shared" si="22"/>
        <v>403.68556799999993</v>
      </c>
      <c r="DD27" s="142">
        <f t="shared" si="22"/>
        <v>412.84214399999996</v>
      </c>
      <c r="DE27" s="142">
        <f t="shared" si="22"/>
        <v>421.99871999999999</v>
      </c>
      <c r="DF27" s="142">
        <f t="shared" si="22"/>
        <v>431.15529599999996</v>
      </c>
      <c r="DG27" s="142">
        <f t="shared" si="22"/>
        <v>440.31187199999994</v>
      </c>
      <c r="DH27" s="142">
        <f t="shared" si="22"/>
        <v>449.46844799999991</v>
      </c>
      <c r="DI27" s="142">
        <f t="shared" si="22"/>
        <v>458.62502399999988</v>
      </c>
      <c r="DJ27" s="142">
        <f t="shared" si="22"/>
        <v>467.78159999999986</v>
      </c>
      <c r="DK27" s="142">
        <f t="shared" si="22"/>
        <v>476.93817599999994</v>
      </c>
      <c r="DL27" s="142">
        <f t="shared" si="22"/>
        <v>486.09475199999986</v>
      </c>
      <c r="DM27" s="142">
        <f t="shared" si="22"/>
        <v>495.25132799999983</v>
      </c>
      <c r="DN27" s="142">
        <f t="shared" si="22"/>
        <v>504.40790399999992</v>
      </c>
      <c r="DO27" s="142">
        <f t="shared" si="22"/>
        <v>513.56447999999989</v>
      </c>
      <c r="DP27" s="142">
        <f t="shared" si="22"/>
        <v>522.72105599999998</v>
      </c>
      <c r="DQ27" s="142">
        <f t="shared" si="22"/>
        <v>531.87763199999995</v>
      </c>
      <c r="DR27" s="142">
        <f>DR28*0.58*$B$38*2.2</f>
        <v>541.03420800000004</v>
      </c>
      <c r="DS27" s="55"/>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row>
    <row r="28" spans="1:177" ht="29" x14ac:dyDescent="0.35">
      <c r="A28" s="18" t="s">
        <v>205</v>
      </c>
      <c r="B28" s="96">
        <v>0</v>
      </c>
      <c r="C28" s="96">
        <f>B28+2.7</f>
        <v>2.7</v>
      </c>
      <c r="D28" s="96">
        <f t="shared" ref="D28:AR28" si="23">C28+2.7</f>
        <v>5.4</v>
      </c>
      <c r="E28" s="96">
        <f t="shared" si="23"/>
        <v>8.1000000000000014</v>
      </c>
      <c r="F28" s="96">
        <f t="shared" si="23"/>
        <v>10.8</v>
      </c>
      <c r="G28" s="96">
        <f t="shared" si="23"/>
        <v>13.5</v>
      </c>
      <c r="H28" s="96">
        <f t="shared" si="23"/>
        <v>16.2</v>
      </c>
      <c r="I28" s="96">
        <f t="shared" si="23"/>
        <v>18.899999999999999</v>
      </c>
      <c r="J28" s="96">
        <f t="shared" si="23"/>
        <v>21.599999999999998</v>
      </c>
      <c r="K28" s="96">
        <f t="shared" si="23"/>
        <v>24.299999999999997</v>
      </c>
      <c r="L28" s="96">
        <f t="shared" si="23"/>
        <v>26.999999999999996</v>
      </c>
      <c r="M28" s="96">
        <f t="shared" si="23"/>
        <v>29.699999999999996</v>
      </c>
      <c r="N28" s="96">
        <f t="shared" si="23"/>
        <v>32.4</v>
      </c>
      <c r="O28" s="96">
        <f t="shared" si="23"/>
        <v>35.1</v>
      </c>
      <c r="P28" s="96">
        <f t="shared" si="23"/>
        <v>37.800000000000004</v>
      </c>
      <c r="Q28" s="96">
        <f t="shared" si="23"/>
        <v>40.500000000000007</v>
      </c>
      <c r="R28" s="96">
        <f t="shared" si="23"/>
        <v>43.20000000000001</v>
      </c>
      <c r="S28" s="96">
        <f t="shared" si="23"/>
        <v>45.900000000000013</v>
      </c>
      <c r="T28" s="96">
        <f t="shared" si="23"/>
        <v>48.600000000000016</v>
      </c>
      <c r="U28" s="96">
        <f t="shared" si="23"/>
        <v>51.300000000000018</v>
      </c>
      <c r="V28" s="96">
        <f t="shared" si="23"/>
        <v>54.000000000000021</v>
      </c>
      <c r="W28" s="96">
        <f t="shared" si="23"/>
        <v>56.700000000000024</v>
      </c>
      <c r="X28" s="96">
        <f t="shared" si="23"/>
        <v>59.400000000000027</v>
      </c>
      <c r="Y28" s="96">
        <f t="shared" si="23"/>
        <v>62.10000000000003</v>
      </c>
      <c r="Z28" s="96">
        <f t="shared" si="23"/>
        <v>64.800000000000026</v>
      </c>
      <c r="AA28" s="96">
        <f>Z28+2.7-30</f>
        <v>37.500000000000028</v>
      </c>
      <c r="AB28" s="96">
        <f t="shared" si="23"/>
        <v>40.200000000000031</v>
      </c>
      <c r="AC28" s="96">
        <f t="shared" si="23"/>
        <v>42.900000000000034</v>
      </c>
      <c r="AD28" s="96">
        <f t="shared" si="23"/>
        <v>45.600000000000037</v>
      </c>
      <c r="AE28" s="96">
        <f t="shared" si="23"/>
        <v>48.30000000000004</v>
      </c>
      <c r="AF28" s="96">
        <f t="shared" si="23"/>
        <v>51.000000000000043</v>
      </c>
      <c r="AG28" s="96">
        <f t="shared" si="23"/>
        <v>53.700000000000045</v>
      </c>
      <c r="AH28" s="96">
        <f t="shared" si="23"/>
        <v>56.400000000000048</v>
      </c>
      <c r="AI28" s="96">
        <f t="shared" si="23"/>
        <v>59.100000000000051</v>
      </c>
      <c r="AJ28" s="96">
        <f t="shared" si="23"/>
        <v>61.800000000000054</v>
      </c>
      <c r="AK28" s="96">
        <f t="shared" si="23"/>
        <v>64.500000000000057</v>
      </c>
      <c r="AL28" s="96">
        <f t="shared" si="23"/>
        <v>67.20000000000006</v>
      </c>
      <c r="AM28" s="96">
        <f t="shared" si="23"/>
        <v>69.900000000000063</v>
      </c>
      <c r="AN28" s="96">
        <f t="shared" si="23"/>
        <v>72.600000000000065</v>
      </c>
      <c r="AO28" s="96">
        <f t="shared" si="23"/>
        <v>75.300000000000068</v>
      </c>
      <c r="AP28" s="96">
        <f>AO28+2.7-60</f>
        <v>18.000000000000071</v>
      </c>
      <c r="AQ28" s="96">
        <f t="shared" si="23"/>
        <v>20.70000000000007</v>
      </c>
      <c r="AR28" s="96">
        <f t="shared" si="23"/>
        <v>23.40000000000007</v>
      </c>
      <c r="AS28" s="96">
        <f>AR28+6.2</f>
        <v>29.600000000000069</v>
      </c>
      <c r="AT28" s="96">
        <f t="shared" ref="AT28:AX28" si="24">AS28+6.2</f>
        <v>35.800000000000068</v>
      </c>
      <c r="AU28" s="96">
        <f t="shared" si="24"/>
        <v>42.000000000000071</v>
      </c>
      <c r="AV28" s="96">
        <f t="shared" si="24"/>
        <v>48.200000000000074</v>
      </c>
      <c r="AW28" s="96">
        <f t="shared" si="24"/>
        <v>54.400000000000077</v>
      </c>
      <c r="AX28" s="96">
        <f t="shared" si="24"/>
        <v>60.60000000000008</v>
      </c>
      <c r="AY28" s="96">
        <f>AX28+5.8</f>
        <v>66.400000000000077</v>
      </c>
      <c r="AZ28" s="96">
        <f t="shared" ref="AZ28:BF28" si="25">AY28+5.8</f>
        <v>72.200000000000074</v>
      </c>
      <c r="BA28" s="96">
        <f t="shared" si="25"/>
        <v>78.000000000000071</v>
      </c>
      <c r="BB28" s="96">
        <f t="shared" si="25"/>
        <v>83.800000000000068</v>
      </c>
      <c r="BC28" s="96">
        <f t="shared" si="25"/>
        <v>89.600000000000065</v>
      </c>
      <c r="BD28" s="96">
        <f t="shared" si="25"/>
        <v>95.400000000000063</v>
      </c>
      <c r="BE28" s="96">
        <f>BD28+5.8-70</f>
        <v>31.20000000000006</v>
      </c>
      <c r="BF28" s="96">
        <f t="shared" si="25"/>
        <v>37.000000000000057</v>
      </c>
      <c r="BG28" s="96">
        <f>BF28+6.7</f>
        <v>43.70000000000006</v>
      </c>
      <c r="BH28" s="96">
        <f t="shared" ref="BH28:BN28" si="26">BG28+6.7</f>
        <v>50.400000000000063</v>
      </c>
      <c r="BI28" s="96">
        <f t="shared" si="26"/>
        <v>57.100000000000065</v>
      </c>
      <c r="BJ28" s="96">
        <f t="shared" si="26"/>
        <v>63.800000000000068</v>
      </c>
      <c r="BK28" s="96">
        <f t="shared" si="26"/>
        <v>70.500000000000071</v>
      </c>
      <c r="BL28" s="96">
        <f t="shared" si="26"/>
        <v>77.200000000000074</v>
      </c>
      <c r="BM28" s="96">
        <f t="shared" si="26"/>
        <v>83.900000000000077</v>
      </c>
      <c r="BN28" s="96">
        <f t="shared" si="26"/>
        <v>90.60000000000008</v>
      </c>
      <c r="BO28" s="96">
        <f>BN28+5.7</f>
        <v>96.300000000000082</v>
      </c>
      <c r="BP28" s="96">
        <f t="shared" ref="BP28:BV28" si="27">BO28+5.7</f>
        <v>102.00000000000009</v>
      </c>
      <c r="BQ28" s="96">
        <f t="shared" si="27"/>
        <v>107.70000000000009</v>
      </c>
      <c r="BR28" s="96">
        <f t="shared" si="27"/>
        <v>113.40000000000009</v>
      </c>
      <c r="BS28" s="96">
        <f t="shared" si="27"/>
        <v>119.10000000000009</v>
      </c>
      <c r="BT28" s="96">
        <f>BS28+5.7-90</f>
        <v>34.800000000000097</v>
      </c>
      <c r="BU28" s="96">
        <f t="shared" si="27"/>
        <v>40.500000000000099</v>
      </c>
      <c r="BV28" s="96">
        <f t="shared" si="27"/>
        <v>46.200000000000102</v>
      </c>
      <c r="BW28" s="96">
        <f>BV28+4.9</f>
        <v>51.100000000000101</v>
      </c>
      <c r="BX28" s="96">
        <f t="shared" ref="BX28:CE28" si="28">BW28+4.9</f>
        <v>56.000000000000099</v>
      </c>
      <c r="BY28" s="96">
        <f t="shared" si="28"/>
        <v>60.900000000000098</v>
      </c>
      <c r="BZ28" s="96">
        <f t="shared" si="28"/>
        <v>65.800000000000097</v>
      </c>
      <c r="CA28" s="96">
        <f t="shared" si="28"/>
        <v>70.700000000000102</v>
      </c>
      <c r="CB28" s="96">
        <f t="shared" si="28"/>
        <v>75.600000000000108</v>
      </c>
      <c r="CC28" s="96">
        <f t="shared" si="28"/>
        <v>80.500000000000114</v>
      </c>
      <c r="CD28" s="96">
        <f t="shared" si="28"/>
        <v>85.400000000000119</v>
      </c>
      <c r="CE28" s="96">
        <f t="shared" si="28"/>
        <v>90.300000000000125</v>
      </c>
      <c r="CF28" s="96">
        <f>CE28+4.7</f>
        <v>95.000000000000128</v>
      </c>
      <c r="CG28" s="96">
        <f t="shared" ref="CG28:CZ28" si="29">CF28+4.7</f>
        <v>99.700000000000131</v>
      </c>
      <c r="CH28" s="96">
        <f t="shared" si="29"/>
        <v>104.40000000000013</v>
      </c>
      <c r="CI28" s="96">
        <f>CH28+4.7</f>
        <v>109.10000000000014</v>
      </c>
      <c r="CJ28" s="96">
        <f t="shared" si="29"/>
        <v>113.80000000000014</v>
      </c>
      <c r="CK28" s="96">
        <f t="shared" si="29"/>
        <v>118.50000000000014</v>
      </c>
      <c r="CL28" s="96">
        <f t="shared" si="29"/>
        <v>123.20000000000014</v>
      </c>
      <c r="CM28" s="96">
        <f t="shared" si="29"/>
        <v>127.90000000000015</v>
      </c>
      <c r="CN28" s="96">
        <f t="shared" si="29"/>
        <v>132.60000000000014</v>
      </c>
      <c r="CO28" s="96">
        <f t="shared" si="29"/>
        <v>137.30000000000013</v>
      </c>
      <c r="CP28" s="96">
        <f t="shared" si="29"/>
        <v>142.00000000000011</v>
      </c>
      <c r="CQ28" s="96">
        <f t="shared" si="29"/>
        <v>146.7000000000001</v>
      </c>
      <c r="CR28" s="96">
        <f t="shared" si="29"/>
        <v>151.40000000000009</v>
      </c>
      <c r="CS28" s="96">
        <f t="shared" si="29"/>
        <v>156.10000000000008</v>
      </c>
      <c r="CT28" s="96">
        <f t="shared" si="29"/>
        <v>160.80000000000007</v>
      </c>
      <c r="CU28" s="96">
        <f t="shared" si="29"/>
        <v>165.50000000000006</v>
      </c>
      <c r="CV28" s="96">
        <f t="shared" si="29"/>
        <v>170.20000000000005</v>
      </c>
      <c r="CW28" s="96">
        <f t="shared" si="29"/>
        <v>174.90000000000003</v>
      </c>
      <c r="CX28" s="96">
        <f t="shared" si="29"/>
        <v>179.60000000000002</v>
      </c>
      <c r="CY28" s="96">
        <f t="shared" si="29"/>
        <v>184.3</v>
      </c>
      <c r="CZ28" s="96">
        <f t="shared" si="29"/>
        <v>189</v>
      </c>
      <c r="DA28" s="96">
        <f>CZ28+4.6</f>
        <v>193.6</v>
      </c>
      <c r="DB28" s="96">
        <f t="shared" ref="DB28:DR28" si="30">DA28+4.6</f>
        <v>198.2</v>
      </c>
      <c r="DC28" s="96">
        <f t="shared" si="30"/>
        <v>202.79999999999998</v>
      </c>
      <c r="DD28" s="96">
        <f t="shared" si="30"/>
        <v>207.39999999999998</v>
      </c>
      <c r="DE28" s="96">
        <f t="shared" si="30"/>
        <v>211.99999999999997</v>
      </c>
      <c r="DF28" s="96">
        <f t="shared" si="30"/>
        <v>216.59999999999997</v>
      </c>
      <c r="DG28" s="96">
        <f t="shared" si="30"/>
        <v>221.19999999999996</v>
      </c>
      <c r="DH28" s="96">
        <f t="shared" si="30"/>
        <v>225.79999999999995</v>
      </c>
      <c r="DI28" s="96">
        <f t="shared" si="30"/>
        <v>230.39999999999995</v>
      </c>
      <c r="DJ28" s="96">
        <f t="shared" si="30"/>
        <v>234.99999999999994</v>
      </c>
      <c r="DK28" s="96">
        <f t="shared" si="30"/>
        <v>239.59999999999994</v>
      </c>
      <c r="DL28" s="96">
        <f t="shared" si="30"/>
        <v>244.19999999999993</v>
      </c>
      <c r="DM28" s="96">
        <f t="shared" si="30"/>
        <v>248.79999999999993</v>
      </c>
      <c r="DN28" s="96">
        <f t="shared" si="30"/>
        <v>253.39999999999992</v>
      </c>
      <c r="DO28" s="96">
        <f t="shared" si="30"/>
        <v>257.99999999999994</v>
      </c>
      <c r="DP28" s="96">
        <f t="shared" si="30"/>
        <v>262.59999999999997</v>
      </c>
      <c r="DQ28" s="96">
        <f t="shared" si="30"/>
        <v>267.2</v>
      </c>
      <c r="DR28" s="96">
        <f t="shared" si="30"/>
        <v>271.8</v>
      </c>
      <c r="DS28" s="55"/>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row>
    <row r="29" spans="1:177" ht="29" x14ac:dyDescent="0.35">
      <c r="A29" s="3" t="s">
        <v>206</v>
      </c>
      <c r="B29" s="97">
        <v>0</v>
      </c>
      <c r="C29" s="97">
        <f t="shared" ref="C29:BN29" si="31">EXP(-1.0587+0.8836*LN(C22)+0.284)</f>
        <v>3.8437471346554717</v>
      </c>
      <c r="D29" s="97">
        <f t="shared" si="31"/>
        <v>7.0916111396188803</v>
      </c>
      <c r="E29" s="97">
        <f t="shared" si="31"/>
        <v>10.147034805153721</v>
      </c>
      <c r="F29" s="97">
        <f t="shared" si="31"/>
        <v>13.083833767872019</v>
      </c>
      <c r="G29" s="97">
        <f t="shared" si="31"/>
        <v>15.935463694122934</v>
      </c>
      <c r="H29" s="97">
        <f t="shared" si="31"/>
        <v>19.386371132516562</v>
      </c>
      <c r="I29" s="97">
        <f t="shared" si="31"/>
        <v>22.757722580223827</v>
      </c>
      <c r="J29" s="97">
        <f t="shared" si="31"/>
        <v>26.064264156351321</v>
      </c>
      <c r="K29" s="97">
        <f t="shared" si="31"/>
        <v>29.316284045353274</v>
      </c>
      <c r="L29" s="97">
        <f t="shared" si="31"/>
        <v>32.521353167807312</v>
      </c>
      <c r="M29" s="97">
        <f t="shared" si="31"/>
        <v>35.651972539709561</v>
      </c>
      <c r="N29" s="97">
        <f t="shared" si="31"/>
        <v>38.746737786132954</v>
      </c>
      <c r="O29" s="97">
        <f t="shared" si="31"/>
        <v>41.809239001640314</v>
      </c>
      <c r="P29" s="97">
        <f t="shared" si="31"/>
        <v>44.842440230316136</v>
      </c>
      <c r="Q29" s="97">
        <f t="shared" si="31"/>
        <v>47.848828119720643</v>
      </c>
      <c r="R29" s="97">
        <f t="shared" si="31"/>
        <v>51.75858250237394</v>
      </c>
      <c r="S29" s="97">
        <f t="shared" si="31"/>
        <v>51.975509098092786</v>
      </c>
      <c r="T29" s="97">
        <f t="shared" si="31"/>
        <v>55.84465083918991</v>
      </c>
      <c r="U29" s="97">
        <f t="shared" si="31"/>
        <v>59.678764895184258</v>
      </c>
      <c r="V29" s="97">
        <f t="shared" si="31"/>
        <v>63.480675509578184</v>
      </c>
      <c r="W29" s="97">
        <f t="shared" si="31"/>
        <v>67.05845359733695</v>
      </c>
      <c r="X29" s="97">
        <f t="shared" si="31"/>
        <v>70.611246983953151</v>
      </c>
      <c r="Y29" s="97">
        <f t="shared" si="31"/>
        <v>74.140635159501912</v>
      </c>
      <c r="Z29" s="97">
        <f t="shared" si="31"/>
        <v>77.64801838363671</v>
      </c>
      <c r="AA29" s="97">
        <f t="shared" si="31"/>
        <v>68.69824642309014</v>
      </c>
      <c r="AB29" s="97">
        <f t="shared" si="31"/>
        <v>40.486052039546138</v>
      </c>
      <c r="AC29" s="97">
        <f t="shared" si="31"/>
        <v>43.330704795496906</v>
      </c>
      <c r="AD29" s="97">
        <f t="shared" si="31"/>
        <v>46.15094626007496</v>
      </c>
      <c r="AE29" s="97">
        <f t="shared" si="31"/>
        <v>48.948649047024659</v>
      </c>
      <c r="AF29" s="97">
        <f t="shared" si="31"/>
        <v>51.72543079107097</v>
      </c>
      <c r="AG29" s="97">
        <f t="shared" si="31"/>
        <v>54.38540702219688</v>
      </c>
      <c r="AH29" s="97">
        <f t="shared" si="31"/>
        <v>57.028346471015659</v>
      </c>
      <c r="AI29" s="97">
        <f t="shared" si="31"/>
        <v>59.655241538558485</v>
      </c>
      <c r="AJ29" s="97">
        <f t="shared" si="31"/>
        <v>62.266980431645379</v>
      </c>
      <c r="AK29" s="97">
        <f t="shared" si="31"/>
        <v>54.043399055002133</v>
      </c>
      <c r="AL29" s="97">
        <f t="shared" si="31"/>
        <v>56.51908501462686</v>
      </c>
      <c r="AM29" s="97">
        <f t="shared" si="31"/>
        <v>58.980562083279906</v>
      </c>
      <c r="AN29" s="97">
        <f t="shared" si="31"/>
        <v>61.428575918731369</v>
      </c>
      <c r="AO29" s="97">
        <f t="shared" si="31"/>
        <v>63.863801305098747</v>
      </c>
      <c r="AP29" s="97">
        <f t="shared" si="31"/>
        <v>40.244238846612504</v>
      </c>
      <c r="AQ29" s="97">
        <f t="shared" si="31"/>
        <v>42.689457723230277</v>
      </c>
      <c r="AR29" s="97">
        <f t="shared" si="31"/>
        <v>45.116352192623403</v>
      </c>
      <c r="AS29" s="97">
        <f t="shared" si="31"/>
        <v>49.06327088568235</v>
      </c>
      <c r="AT29" s="97">
        <f t="shared" si="31"/>
        <v>52.968748262448756</v>
      </c>
      <c r="AU29" s="97">
        <f t="shared" si="31"/>
        <v>44.556777065572035</v>
      </c>
      <c r="AV29" s="97">
        <f t="shared" si="31"/>
        <v>48.386385390493643</v>
      </c>
      <c r="AW29" s="97">
        <f t="shared" si="31"/>
        <v>52.176428353781851</v>
      </c>
      <c r="AX29" s="97">
        <f t="shared" si="31"/>
        <v>55.930510622454236</v>
      </c>
      <c r="AY29" s="97">
        <f t="shared" si="31"/>
        <v>59.480779675904884</v>
      </c>
      <c r="AZ29" s="97">
        <f t="shared" si="31"/>
        <v>63.003331594477942</v>
      </c>
      <c r="BA29" s="97">
        <f t="shared" si="31"/>
        <v>66.357948640671879</v>
      </c>
      <c r="BB29" s="97">
        <f t="shared" si="31"/>
        <v>69.690361851738572</v>
      </c>
      <c r="BC29" s="97">
        <f t="shared" si="31"/>
        <v>73.001905543223813</v>
      </c>
      <c r="BD29" s="97">
        <f t="shared" si="31"/>
        <v>76.293769727776422</v>
      </c>
      <c r="BE29" s="97">
        <f t="shared" si="31"/>
        <v>49.960682649028428</v>
      </c>
      <c r="BF29" s="97">
        <f t="shared" si="31"/>
        <v>53.318349032119869</v>
      </c>
      <c r="BG29" s="97">
        <f t="shared" si="31"/>
        <v>57.035229403200518</v>
      </c>
      <c r="BH29" s="97">
        <f t="shared" si="31"/>
        <v>60.720445910824893</v>
      </c>
      <c r="BI29" s="97">
        <f t="shared" si="31"/>
        <v>64.376411004122303</v>
      </c>
      <c r="BJ29" s="97">
        <f t="shared" si="31"/>
        <v>68.00521074169508</v>
      </c>
      <c r="BK29" s="97">
        <f t="shared" si="31"/>
        <v>36.373619521030228</v>
      </c>
      <c r="BL29" s="97">
        <f t="shared" si="31"/>
        <v>39.411708542887801</v>
      </c>
      <c r="BM29" s="97">
        <f t="shared" si="31"/>
        <v>42.419220581765366</v>
      </c>
      <c r="BN29" s="97">
        <f t="shared" si="31"/>
        <v>45.398875032217916</v>
      </c>
      <c r="BO29" s="97">
        <f t="shared" ref="BO29:DQ29" si="32">EXP(-1.0587+0.8836*LN(BO22)+0.284)</f>
        <v>47.913600028664028</v>
      </c>
      <c r="BP29" s="97">
        <f t="shared" si="32"/>
        <v>50.41104817532338</v>
      </c>
      <c r="BQ29" s="97">
        <f t="shared" si="32"/>
        <v>52.89229497609454</v>
      </c>
      <c r="BR29" s="97">
        <f t="shared" si="32"/>
        <v>55.358295663555765</v>
      </c>
      <c r="BS29" s="97">
        <f t="shared" si="32"/>
        <v>57.809904017133142</v>
      </c>
      <c r="BT29" s="97">
        <f t="shared" si="32"/>
        <v>19.492432357668648</v>
      </c>
      <c r="BU29" s="97">
        <f t="shared" si="32"/>
        <v>22.288142428633233</v>
      </c>
      <c r="BV29" s="97">
        <f t="shared" si="32"/>
        <v>25.038266951998096</v>
      </c>
      <c r="BW29" s="97">
        <f t="shared" si="32"/>
        <v>27.370789409974407</v>
      </c>
      <c r="BX29" s="97">
        <f t="shared" si="32"/>
        <v>29.677379926628522</v>
      </c>
      <c r="BY29" s="97">
        <f t="shared" si="32"/>
        <v>31.960565548232371</v>
      </c>
      <c r="BZ29" s="97">
        <f t="shared" si="32"/>
        <v>34.222443523551611</v>
      </c>
      <c r="CA29" s="97">
        <f t="shared" si="32"/>
        <v>36.464781022669463</v>
      </c>
      <c r="CB29" s="97">
        <f t="shared" si="32"/>
        <v>38.689086391878256</v>
      </c>
      <c r="CC29" s="97">
        <f t="shared" si="32"/>
        <v>40.89666139454458</v>
      </c>
      <c r="CD29" s="97">
        <f t="shared" si="32"/>
        <v>43.088640363836141</v>
      </c>
      <c r="CE29" s="97">
        <f t="shared" si="32"/>
        <v>45.266020111072542</v>
      </c>
      <c r="CF29" s="97">
        <f t="shared" si="32"/>
        <v>47.341628542787205</v>
      </c>
      <c r="CG29" s="97">
        <f t="shared" si="32"/>
        <v>49.405313307051635</v>
      </c>
      <c r="CH29" s="97">
        <f t="shared" si="32"/>
        <v>51.457700686675551</v>
      </c>
      <c r="CI29" s="97">
        <f t="shared" si="32"/>
        <v>53.499357387262478</v>
      </c>
      <c r="CJ29" s="97">
        <f t="shared" si="32"/>
        <v>55.530798525917589</v>
      </c>
      <c r="CK29" s="97">
        <f t="shared" si="32"/>
        <v>57.552494263025586</v>
      </c>
      <c r="CL29" s="97">
        <f t="shared" si="32"/>
        <v>59.564875352287601</v>
      </c>
      <c r="CM29" s="97">
        <f t="shared" si="32"/>
        <v>61.568337820018023</v>
      </c>
      <c r="CN29" s="97">
        <f t="shared" si="32"/>
        <v>63.563246937299169</v>
      </c>
      <c r="CO29" s="97">
        <f t="shared" si="32"/>
        <v>65.549940613139754</v>
      </c>
      <c r="CP29" s="97">
        <f t="shared" si="32"/>
        <v>67.528732309967381</v>
      </c>
      <c r="CQ29" s="97">
        <f t="shared" si="32"/>
        <v>69.499913562283496</v>
      </c>
      <c r="CR29" s="97">
        <f t="shared" si="32"/>
        <v>71.463756163478678</v>
      </c>
      <c r="CS29" s="97">
        <f t="shared" si="32"/>
        <v>73.420514073473399</v>
      </c>
      <c r="CT29" s="97">
        <f t="shared" si="32"/>
        <v>75.370425090154882</v>
      </c>
      <c r="CU29" s="97">
        <f t="shared" si="32"/>
        <v>77.313712319906543</v>
      </c>
      <c r="CV29" s="97">
        <f t="shared" si="32"/>
        <v>79.250585476396495</v>
      </c>
      <c r="CW29" s="97">
        <f t="shared" si="32"/>
        <v>81.181242031870994</v>
      </c>
      <c r="CX29" s="97">
        <f t="shared" si="32"/>
        <v>83.10586824121404</v>
      </c>
      <c r="CY29" s="97">
        <f t="shared" si="32"/>
        <v>85.024640055797605</v>
      </c>
      <c r="CZ29" s="97">
        <f t="shared" si="32"/>
        <v>86.937723941487064</v>
      </c>
      <c r="DA29" s="97">
        <f t="shared" si="32"/>
        <v>88.804747903898061</v>
      </c>
      <c r="DB29" s="97">
        <f t="shared" si="32"/>
        <v>90.666614854629117</v>
      </c>
      <c r="DC29" s="97">
        <f t="shared" si="32"/>
        <v>92.523458257775204</v>
      </c>
      <c r="DD29" s="97">
        <f t="shared" si="32"/>
        <v>94.375405177270167</v>
      </c>
      <c r="DE29" s="97">
        <f t="shared" si="32"/>
        <v>96.222576718839377</v>
      </c>
      <c r="DF29" s="97">
        <f t="shared" si="32"/>
        <v>98.065088432512198</v>
      </c>
      <c r="DG29" s="97">
        <f t="shared" si="32"/>
        <v>99.903050679976246</v>
      </c>
      <c r="DH29" s="97">
        <f t="shared" si="32"/>
        <v>101.73656897051201</v>
      </c>
      <c r="DI29" s="97">
        <f t="shared" si="32"/>
        <v>103.56574426877926</v>
      </c>
      <c r="DJ29" s="97">
        <f t="shared" si="32"/>
        <v>105.39067327732909</v>
      </c>
      <c r="DK29" s="97">
        <f t="shared" si="32"/>
        <v>107.21144869637142</v>
      </c>
      <c r="DL29" s="97">
        <f t="shared" si="32"/>
        <v>109.02815946302871</v>
      </c>
      <c r="DM29" s="97">
        <f t="shared" si="32"/>
        <v>110.84089097205361</v>
      </c>
      <c r="DN29" s="97">
        <f t="shared" si="32"/>
        <v>112.64972527976109</v>
      </c>
      <c r="DO29" s="97">
        <f t="shared" si="32"/>
        <v>114.45474129273363</v>
      </c>
      <c r="DP29" s="97">
        <f t="shared" si="32"/>
        <v>116.25601494268807</v>
      </c>
      <c r="DQ29" s="97">
        <f t="shared" si="32"/>
        <v>118.05361934874159</v>
      </c>
      <c r="DR29" s="97">
        <f>EXP(-1.0587+0.8836*LN(DR22)+0.284)</f>
        <v>119.84762496818877</v>
      </c>
      <c r="DS29" s="125"/>
    </row>
    <row r="30" spans="1:177" ht="31.5" customHeight="1" x14ac:dyDescent="0.35">
      <c r="A30" s="3" t="s">
        <v>11</v>
      </c>
      <c r="B30" s="97">
        <f t="shared" ref="B30:AG30" si="33">IF($B$15="Culture agricole",(45+25*(1-(EXP(-0.0175*B19)))),$B$45)</f>
        <v>70</v>
      </c>
      <c r="C30" s="97">
        <f t="shared" si="33"/>
        <v>70</v>
      </c>
      <c r="D30" s="97">
        <f t="shared" si="33"/>
        <v>70</v>
      </c>
      <c r="E30" s="97">
        <f t="shared" si="33"/>
        <v>70</v>
      </c>
      <c r="F30" s="97">
        <f t="shared" si="33"/>
        <v>70</v>
      </c>
      <c r="G30" s="97">
        <f t="shared" si="33"/>
        <v>70</v>
      </c>
      <c r="H30" s="97">
        <f t="shared" si="33"/>
        <v>70</v>
      </c>
      <c r="I30" s="97">
        <f t="shared" si="33"/>
        <v>70</v>
      </c>
      <c r="J30" s="97">
        <f t="shared" si="33"/>
        <v>70</v>
      </c>
      <c r="K30" s="97">
        <f t="shared" si="33"/>
        <v>70</v>
      </c>
      <c r="L30" s="97">
        <f t="shared" si="33"/>
        <v>70</v>
      </c>
      <c r="M30" s="97">
        <f t="shared" si="33"/>
        <v>70</v>
      </c>
      <c r="N30" s="97">
        <f t="shared" si="33"/>
        <v>70</v>
      </c>
      <c r="O30" s="97">
        <f t="shared" si="33"/>
        <v>70</v>
      </c>
      <c r="P30" s="97">
        <f t="shared" si="33"/>
        <v>70</v>
      </c>
      <c r="Q30" s="97">
        <f t="shared" si="33"/>
        <v>70</v>
      </c>
      <c r="R30" s="97">
        <f t="shared" si="33"/>
        <v>70</v>
      </c>
      <c r="S30" s="97">
        <f t="shared" si="33"/>
        <v>70</v>
      </c>
      <c r="T30" s="97">
        <f t="shared" si="33"/>
        <v>70</v>
      </c>
      <c r="U30" s="97">
        <f t="shared" si="33"/>
        <v>70</v>
      </c>
      <c r="V30" s="97">
        <f t="shared" si="33"/>
        <v>70</v>
      </c>
      <c r="W30" s="97">
        <f t="shared" si="33"/>
        <v>70</v>
      </c>
      <c r="X30" s="97">
        <f t="shared" si="33"/>
        <v>70</v>
      </c>
      <c r="Y30" s="97">
        <f t="shared" si="33"/>
        <v>70</v>
      </c>
      <c r="Z30" s="97">
        <f t="shared" si="33"/>
        <v>70</v>
      </c>
      <c r="AA30" s="97">
        <f t="shared" si="33"/>
        <v>70</v>
      </c>
      <c r="AB30" s="97">
        <f t="shared" si="33"/>
        <v>70</v>
      </c>
      <c r="AC30" s="97">
        <f t="shared" si="33"/>
        <v>70</v>
      </c>
      <c r="AD30" s="97">
        <f t="shared" si="33"/>
        <v>70</v>
      </c>
      <c r="AE30" s="97">
        <f t="shared" si="33"/>
        <v>70</v>
      </c>
      <c r="AF30" s="97">
        <f t="shared" si="33"/>
        <v>70</v>
      </c>
      <c r="AG30" s="97">
        <f t="shared" si="33"/>
        <v>70</v>
      </c>
      <c r="AH30" s="97">
        <f t="shared" ref="AH30:BM30" si="34">IF($B$15="Culture agricole",(45+25*(1-(EXP(-0.0175*AH19)))),$B$45)</f>
        <v>70</v>
      </c>
      <c r="AI30" s="97">
        <f t="shared" si="34"/>
        <v>70</v>
      </c>
      <c r="AJ30" s="97">
        <f t="shared" si="34"/>
        <v>70</v>
      </c>
      <c r="AK30" s="97">
        <f t="shared" si="34"/>
        <v>70</v>
      </c>
      <c r="AL30" s="97">
        <f t="shared" si="34"/>
        <v>70</v>
      </c>
      <c r="AM30" s="97">
        <f t="shared" si="34"/>
        <v>70</v>
      </c>
      <c r="AN30" s="97">
        <f t="shared" si="34"/>
        <v>70</v>
      </c>
      <c r="AO30" s="97">
        <f t="shared" si="34"/>
        <v>70</v>
      </c>
      <c r="AP30" s="97">
        <f t="shared" si="34"/>
        <v>70</v>
      </c>
      <c r="AQ30" s="97">
        <f t="shared" si="34"/>
        <v>70</v>
      </c>
      <c r="AR30" s="97">
        <f t="shared" si="34"/>
        <v>70</v>
      </c>
      <c r="AS30" s="97">
        <f t="shared" si="34"/>
        <v>70</v>
      </c>
      <c r="AT30" s="97">
        <f t="shared" si="34"/>
        <v>70</v>
      </c>
      <c r="AU30" s="97">
        <f t="shared" si="34"/>
        <v>70</v>
      </c>
      <c r="AV30" s="97">
        <f t="shared" si="34"/>
        <v>70</v>
      </c>
      <c r="AW30" s="97">
        <f t="shared" si="34"/>
        <v>70</v>
      </c>
      <c r="AX30" s="97">
        <f t="shared" si="34"/>
        <v>70</v>
      </c>
      <c r="AY30" s="97">
        <f t="shared" si="34"/>
        <v>70</v>
      </c>
      <c r="AZ30" s="97">
        <f t="shared" si="34"/>
        <v>70</v>
      </c>
      <c r="BA30" s="97">
        <f t="shared" si="34"/>
        <v>70</v>
      </c>
      <c r="BB30" s="97">
        <f t="shared" si="34"/>
        <v>70</v>
      </c>
      <c r="BC30" s="97">
        <f t="shared" si="34"/>
        <v>70</v>
      </c>
      <c r="BD30" s="97">
        <f t="shared" si="34"/>
        <v>70</v>
      </c>
      <c r="BE30" s="97">
        <f t="shared" si="34"/>
        <v>70</v>
      </c>
      <c r="BF30" s="97">
        <f t="shared" si="34"/>
        <v>70</v>
      </c>
      <c r="BG30" s="97">
        <f t="shared" si="34"/>
        <v>70</v>
      </c>
      <c r="BH30" s="97">
        <f t="shared" si="34"/>
        <v>70</v>
      </c>
      <c r="BI30" s="97">
        <f t="shared" si="34"/>
        <v>70</v>
      </c>
      <c r="BJ30" s="97">
        <f t="shared" si="34"/>
        <v>70</v>
      </c>
      <c r="BK30" s="97">
        <f t="shared" si="34"/>
        <v>70</v>
      </c>
      <c r="BL30" s="97">
        <f t="shared" si="34"/>
        <v>70</v>
      </c>
      <c r="BM30" s="97">
        <f t="shared" si="34"/>
        <v>70</v>
      </c>
      <c r="BN30" s="97">
        <f t="shared" ref="BN30:CS30" si="35">IF($B$15="Culture agricole",(45+25*(1-(EXP(-0.0175*BN19)))),$B$45)</f>
        <v>70</v>
      </c>
      <c r="BO30" s="97">
        <f t="shared" si="35"/>
        <v>70</v>
      </c>
      <c r="BP30" s="97">
        <f t="shared" si="35"/>
        <v>70</v>
      </c>
      <c r="BQ30" s="97">
        <f t="shared" si="35"/>
        <v>70</v>
      </c>
      <c r="BR30" s="97">
        <f t="shared" si="35"/>
        <v>70</v>
      </c>
      <c r="BS30" s="97">
        <f t="shared" si="35"/>
        <v>70</v>
      </c>
      <c r="BT30" s="97">
        <f t="shared" si="35"/>
        <v>70</v>
      </c>
      <c r="BU30" s="97">
        <f t="shared" si="35"/>
        <v>70</v>
      </c>
      <c r="BV30" s="97">
        <f t="shared" si="35"/>
        <v>70</v>
      </c>
      <c r="BW30" s="97">
        <f t="shared" si="35"/>
        <v>70</v>
      </c>
      <c r="BX30" s="97">
        <f t="shared" si="35"/>
        <v>70</v>
      </c>
      <c r="BY30" s="97">
        <f t="shared" si="35"/>
        <v>70</v>
      </c>
      <c r="BZ30" s="97">
        <f t="shared" si="35"/>
        <v>70</v>
      </c>
      <c r="CA30" s="97">
        <f t="shared" si="35"/>
        <v>70</v>
      </c>
      <c r="CB30" s="97">
        <f t="shared" si="35"/>
        <v>70</v>
      </c>
      <c r="CC30" s="97">
        <f t="shared" si="35"/>
        <v>70</v>
      </c>
      <c r="CD30" s="97">
        <f t="shared" si="35"/>
        <v>70</v>
      </c>
      <c r="CE30" s="97">
        <f t="shared" si="35"/>
        <v>70</v>
      </c>
      <c r="CF30" s="97">
        <f t="shared" si="35"/>
        <v>70</v>
      </c>
      <c r="CG30" s="97">
        <f t="shared" si="35"/>
        <v>70</v>
      </c>
      <c r="CH30" s="97">
        <f t="shared" si="35"/>
        <v>70</v>
      </c>
      <c r="CI30" s="97">
        <f t="shared" si="35"/>
        <v>70</v>
      </c>
      <c r="CJ30" s="97">
        <f t="shared" si="35"/>
        <v>70</v>
      </c>
      <c r="CK30" s="97">
        <f t="shared" si="35"/>
        <v>70</v>
      </c>
      <c r="CL30" s="97">
        <f t="shared" si="35"/>
        <v>70</v>
      </c>
      <c r="CM30" s="97">
        <f t="shared" si="35"/>
        <v>70</v>
      </c>
      <c r="CN30" s="97">
        <f t="shared" si="35"/>
        <v>70</v>
      </c>
      <c r="CO30" s="97">
        <f t="shared" si="35"/>
        <v>70</v>
      </c>
      <c r="CP30" s="97">
        <f t="shared" si="35"/>
        <v>70</v>
      </c>
      <c r="CQ30" s="97">
        <f t="shared" si="35"/>
        <v>70</v>
      </c>
      <c r="CR30" s="97">
        <f t="shared" si="35"/>
        <v>70</v>
      </c>
      <c r="CS30" s="97">
        <f t="shared" si="35"/>
        <v>70</v>
      </c>
      <c r="CT30" s="97">
        <f t="shared" ref="CT30:DR30" si="36">IF($B$15="Culture agricole",(45+25*(1-(EXP(-0.0175*CT19)))),$B$45)</f>
        <v>70</v>
      </c>
      <c r="CU30" s="97">
        <f t="shared" si="36"/>
        <v>70</v>
      </c>
      <c r="CV30" s="97">
        <f t="shared" si="36"/>
        <v>70</v>
      </c>
      <c r="CW30" s="97">
        <f t="shared" si="36"/>
        <v>70</v>
      </c>
      <c r="CX30" s="97">
        <f t="shared" si="36"/>
        <v>70</v>
      </c>
      <c r="CY30" s="97">
        <f t="shared" si="36"/>
        <v>70</v>
      </c>
      <c r="CZ30" s="97">
        <f t="shared" si="36"/>
        <v>70</v>
      </c>
      <c r="DA30" s="97">
        <f t="shared" si="36"/>
        <v>70</v>
      </c>
      <c r="DB30" s="97">
        <f t="shared" si="36"/>
        <v>70</v>
      </c>
      <c r="DC30" s="97">
        <f t="shared" si="36"/>
        <v>70</v>
      </c>
      <c r="DD30" s="97">
        <f t="shared" si="36"/>
        <v>70</v>
      </c>
      <c r="DE30" s="97">
        <f t="shared" si="36"/>
        <v>70</v>
      </c>
      <c r="DF30" s="97">
        <f t="shared" si="36"/>
        <v>70</v>
      </c>
      <c r="DG30" s="97">
        <f t="shared" si="36"/>
        <v>70</v>
      </c>
      <c r="DH30" s="97">
        <f t="shared" si="36"/>
        <v>70</v>
      </c>
      <c r="DI30" s="97">
        <f t="shared" si="36"/>
        <v>70</v>
      </c>
      <c r="DJ30" s="97">
        <f t="shared" si="36"/>
        <v>70</v>
      </c>
      <c r="DK30" s="97">
        <f t="shared" si="36"/>
        <v>70</v>
      </c>
      <c r="DL30" s="97">
        <f t="shared" si="36"/>
        <v>70</v>
      </c>
      <c r="DM30" s="97">
        <f t="shared" si="36"/>
        <v>70</v>
      </c>
      <c r="DN30" s="97">
        <f t="shared" si="36"/>
        <v>70</v>
      </c>
      <c r="DO30" s="97">
        <f t="shared" si="36"/>
        <v>70</v>
      </c>
      <c r="DP30" s="97">
        <f t="shared" si="36"/>
        <v>70</v>
      </c>
      <c r="DQ30" s="97">
        <f t="shared" si="36"/>
        <v>70</v>
      </c>
      <c r="DR30" s="124">
        <f t="shared" si="36"/>
        <v>70</v>
      </c>
      <c r="DS30" s="125"/>
    </row>
    <row r="31" spans="1:177" x14ac:dyDescent="0.35">
      <c r="A31" s="3" t="s">
        <v>184</v>
      </c>
      <c r="B31" s="97">
        <f t="shared" ref="B31:AF31" si="37">B19*(($B$41-$B$40)/30)</f>
        <v>0</v>
      </c>
      <c r="C31" s="97">
        <f t="shared" si="37"/>
        <v>0.33333333333333331</v>
      </c>
      <c r="D31" s="97">
        <f t="shared" si="37"/>
        <v>0.66666666666666663</v>
      </c>
      <c r="E31" s="97">
        <f t="shared" si="37"/>
        <v>1</v>
      </c>
      <c r="F31" s="97">
        <f t="shared" si="37"/>
        <v>1.3333333333333333</v>
      </c>
      <c r="G31" s="97">
        <f t="shared" si="37"/>
        <v>1.6666666666666665</v>
      </c>
      <c r="H31" s="97">
        <f t="shared" si="37"/>
        <v>2</v>
      </c>
      <c r="I31" s="97">
        <f t="shared" si="37"/>
        <v>2.333333333333333</v>
      </c>
      <c r="J31" s="97">
        <f t="shared" si="37"/>
        <v>2.6666666666666665</v>
      </c>
      <c r="K31" s="97">
        <f t="shared" si="37"/>
        <v>3</v>
      </c>
      <c r="L31" s="97">
        <f t="shared" si="37"/>
        <v>3.333333333333333</v>
      </c>
      <c r="M31" s="97">
        <f t="shared" si="37"/>
        <v>3.6666666666666665</v>
      </c>
      <c r="N31" s="97">
        <f t="shared" si="37"/>
        <v>4</v>
      </c>
      <c r="O31" s="97">
        <f t="shared" si="37"/>
        <v>4.333333333333333</v>
      </c>
      <c r="P31" s="97">
        <f t="shared" si="37"/>
        <v>4.6666666666666661</v>
      </c>
      <c r="Q31" s="97">
        <f t="shared" si="37"/>
        <v>5</v>
      </c>
      <c r="R31" s="97">
        <f t="shared" si="37"/>
        <v>5.333333333333333</v>
      </c>
      <c r="S31" s="97">
        <f t="shared" si="37"/>
        <v>5.6666666666666661</v>
      </c>
      <c r="T31" s="97">
        <f t="shared" si="37"/>
        <v>6</v>
      </c>
      <c r="U31" s="97">
        <f t="shared" si="37"/>
        <v>6.333333333333333</v>
      </c>
      <c r="V31" s="97">
        <f t="shared" si="37"/>
        <v>6.6666666666666661</v>
      </c>
      <c r="W31" s="97">
        <f t="shared" si="37"/>
        <v>7</v>
      </c>
      <c r="X31" s="97">
        <f t="shared" si="37"/>
        <v>7.333333333333333</v>
      </c>
      <c r="Y31" s="97">
        <f t="shared" si="37"/>
        <v>7.6666666666666661</v>
      </c>
      <c r="Z31" s="97">
        <f t="shared" si="37"/>
        <v>8</v>
      </c>
      <c r="AA31" s="97">
        <f t="shared" si="37"/>
        <v>8.3333333333333321</v>
      </c>
      <c r="AB31" s="97">
        <f t="shared" si="37"/>
        <v>8.6666666666666661</v>
      </c>
      <c r="AC31" s="97">
        <f t="shared" si="37"/>
        <v>9</v>
      </c>
      <c r="AD31" s="97">
        <f t="shared" si="37"/>
        <v>9.3333333333333321</v>
      </c>
      <c r="AE31" s="97">
        <f t="shared" si="37"/>
        <v>9.6666666666666661</v>
      </c>
      <c r="AF31" s="97">
        <f t="shared" si="37"/>
        <v>10</v>
      </c>
      <c r="AG31" s="97">
        <v>10</v>
      </c>
      <c r="AH31" s="97">
        <v>10</v>
      </c>
      <c r="AI31" s="97">
        <v>10</v>
      </c>
      <c r="AJ31" s="97">
        <v>10</v>
      </c>
      <c r="AK31" s="97">
        <v>10</v>
      </c>
      <c r="AL31" s="97">
        <v>10</v>
      </c>
      <c r="AM31" s="97">
        <v>10</v>
      </c>
      <c r="AN31" s="97">
        <v>10</v>
      </c>
      <c r="AO31" s="97">
        <v>10</v>
      </c>
      <c r="AP31" s="97">
        <v>10</v>
      </c>
      <c r="AQ31" s="97">
        <v>10</v>
      </c>
      <c r="AR31" s="97">
        <v>10</v>
      </c>
      <c r="AS31" s="97">
        <v>10</v>
      </c>
      <c r="AT31" s="97">
        <v>10</v>
      </c>
      <c r="AU31" s="97">
        <v>10</v>
      </c>
      <c r="AV31" s="97">
        <v>10</v>
      </c>
      <c r="AW31" s="97">
        <v>10</v>
      </c>
      <c r="AX31" s="97">
        <v>10</v>
      </c>
      <c r="AY31" s="97">
        <v>10</v>
      </c>
      <c r="AZ31" s="97">
        <v>10</v>
      </c>
      <c r="BA31" s="97">
        <v>10</v>
      </c>
      <c r="BB31" s="97">
        <v>10</v>
      </c>
      <c r="BC31" s="97">
        <v>10</v>
      </c>
      <c r="BD31" s="97">
        <v>10</v>
      </c>
      <c r="BE31" s="97">
        <v>10</v>
      </c>
      <c r="BF31" s="97">
        <v>10</v>
      </c>
      <c r="BG31" s="97">
        <v>10</v>
      </c>
      <c r="BH31" s="97">
        <v>10</v>
      </c>
      <c r="BI31" s="97">
        <v>10</v>
      </c>
      <c r="BJ31" s="97">
        <v>10</v>
      </c>
      <c r="BK31" s="97">
        <v>10</v>
      </c>
      <c r="BL31" s="97">
        <v>10</v>
      </c>
      <c r="BM31" s="97">
        <v>10</v>
      </c>
      <c r="BN31" s="97">
        <v>10</v>
      </c>
      <c r="BO31" s="97">
        <v>10</v>
      </c>
      <c r="BP31" s="97">
        <v>10</v>
      </c>
      <c r="BQ31" s="97">
        <v>10</v>
      </c>
      <c r="BR31" s="97">
        <v>10</v>
      </c>
      <c r="BS31" s="97">
        <v>10</v>
      </c>
      <c r="BT31" s="97">
        <v>10</v>
      </c>
      <c r="BU31" s="97">
        <v>10</v>
      </c>
      <c r="BV31" s="97">
        <v>10</v>
      </c>
      <c r="BW31" s="97">
        <v>10</v>
      </c>
      <c r="BX31" s="97">
        <v>10</v>
      </c>
      <c r="BY31" s="97">
        <v>10</v>
      </c>
      <c r="BZ31" s="97">
        <v>10</v>
      </c>
      <c r="CA31" s="97">
        <v>10</v>
      </c>
      <c r="CB31" s="97">
        <v>10</v>
      </c>
      <c r="CC31" s="97">
        <v>10</v>
      </c>
      <c r="CD31" s="97">
        <v>10</v>
      </c>
      <c r="CE31" s="97">
        <v>10</v>
      </c>
      <c r="CF31" s="97">
        <v>10</v>
      </c>
      <c r="CG31" s="97">
        <v>10</v>
      </c>
      <c r="CH31" s="97">
        <v>10</v>
      </c>
      <c r="CI31" s="97">
        <v>10</v>
      </c>
      <c r="CJ31" s="97">
        <v>10</v>
      </c>
      <c r="CK31" s="97">
        <v>10</v>
      </c>
      <c r="CL31" s="97">
        <v>10</v>
      </c>
      <c r="CM31" s="97">
        <v>10</v>
      </c>
      <c r="CN31" s="97">
        <v>10</v>
      </c>
      <c r="CO31" s="97">
        <v>10</v>
      </c>
      <c r="CP31" s="97">
        <v>10</v>
      </c>
      <c r="CQ31" s="97">
        <v>10</v>
      </c>
      <c r="CR31" s="97">
        <v>10</v>
      </c>
      <c r="CS31" s="97">
        <v>10</v>
      </c>
      <c r="CT31" s="97">
        <v>10</v>
      </c>
      <c r="CU31" s="97">
        <v>10</v>
      </c>
      <c r="CV31" s="97">
        <v>10</v>
      </c>
      <c r="CW31" s="97">
        <v>10</v>
      </c>
      <c r="CX31" s="97">
        <v>10</v>
      </c>
      <c r="CY31" s="97">
        <v>10</v>
      </c>
      <c r="CZ31" s="97">
        <v>10</v>
      </c>
      <c r="DA31" s="97">
        <v>10</v>
      </c>
      <c r="DB31" s="97">
        <v>10</v>
      </c>
      <c r="DC31" s="97">
        <v>10</v>
      </c>
      <c r="DD31" s="97">
        <v>10</v>
      </c>
      <c r="DE31" s="97">
        <v>10</v>
      </c>
      <c r="DF31" s="97">
        <v>10</v>
      </c>
      <c r="DG31" s="97">
        <v>10</v>
      </c>
      <c r="DH31" s="97">
        <v>10</v>
      </c>
      <c r="DI31" s="97">
        <v>10</v>
      </c>
      <c r="DJ31" s="97">
        <v>10</v>
      </c>
      <c r="DK31" s="97">
        <v>10</v>
      </c>
      <c r="DL31" s="97">
        <v>10</v>
      </c>
      <c r="DM31" s="97">
        <v>10</v>
      </c>
      <c r="DN31" s="97">
        <v>10</v>
      </c>
      <c r="DO31" s="97">
        <v>10</v>
      </c>
      <c r="DP31" s="97">
        <v>10</v>
      </c>
      <c r="DQ31" s="97">
        <v>10</v>
      </c>
      <c r="DR31" s="97">
        <v>10</v>
      </c>
      <c r="DS31" s="125"/>
    </row>
    <row r="32" spans="1:177" x14ac:dyDescent="0.35">
      <c r="A32" s="122" t="s">
        <v>2</v>
      </c>
      <c r="B32" s="123"/>
      <c r="C32" s="123"/>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23"/>
      <c r="BF32" s="123"/>
      <c r="BG32" s="123"/>
      <c r="BH32" s="123"/>
      <c r="BI32" s="123"/>
      <c r="BJ32" s="123"/>
      <c r="BK32" s="123"/>
      <c r="BL32" s="123"/>
      <c r="BM32" s="123"/>
      <c r="BN32" s="123"/>
      <c r="BO32" s="123"/>
      <c r="BP32" s="123"/>
      <c r="BQ32" s="123"/>
      <c r="BR32" s="123"/>
      <c r="BS32" s="123"/>
      <c r="BT32" s="123"/>
      <c r="BU32" s="123"/>
      <c r="BV32" s="123"/>
      <c r="BW32" s="123"/>
      <c r="BX32" s="123"/>
      <c r="BY32" s="123"/>
      <c r="BZ32" s="123"/>
      <c r="CA32" s="123"/>
      <c r="CB32" s="123"/>
      <c r="CC32" s="123"/>
      <c r="CD32" s="123"/>
      <c r="CE32" s="123"/>
      <c r="CF32" s="123"/>
      <c r="CG32" s="123"/>
      <c r="CH32" s="123"/>
      <c r="CI32" s="123"/>
      <c r="CJ32" s="123"/>
      <c r="CK32" s="123"/>
      <c r="CL32" s="123"/>
      <c r="CM32" s="123"/>
      <c r="CN32" s="123"/>
      <c r="CO32" s="123"/>
      <c r="CP32" s="123"/>
      <c r="CQ32" s="123"/>
      <c r="CR32" s="123"/>
      <c r="CS32" s="123"/>
      <c r="CT32" s="123"/>
      <c r="CU32" s="123"/>
      <c r="CV32" s="123"/>
      <c r="CW32" s="123"/>
      <c r="CX32" s="123"/>
      <c r="CY32" s="123"/>
      <c r="CZ32" s="123"/>
      <c r="DA32" s="123"/>
      <c r="DB32" s="123"/>
      <c r="DC32" s="123"/>
      <c r="DD32" s="123"/>
      <c r="DE32" s="123"/>
      <c r="DF32" s="123"/>
      <c r="DG32" s="123"/>
      <c r="DH32" s="123"/>
      <c r="DI32" s="123"/>
      <c r="DJ32" s="123"/>
      <c r="DK32" s="123"/>
      <c r="DL32" s="123"/>
      <c r="DM32" s="123"/>
      <c r="DN32" s="123"/>
      <c r="DO32" s="123"/>
      <c r="DP32" s="123"/>
      <c r="DQ32" s="123"/>
      <c r="DR32" s="123"/>
      <c r="DS32" s="125"/>
    </row>
    <row r="33" spans="1:123" x14ac:dyDescent="0.35">
      <c r="A33" s="3" t="s">
        <v>198</v>
      </c>
      <c r="B33" s="97">
        <f>(($B$43+$B$45)*$B$10)*(44/12)</f>
        <v>949.66666666666663</v>
      </c>
      <c r="C33" s="97">
        <f t="shared" ref="C33:AA33" si="38">(($B$43+$B$45)*$B$10)*(44/12)</f>
        <v>949.66666666666663</v>
      </c>
      <c r="D33" s="97">
        <f t="shared" si="38"/>
        <v>949.66666666666663</v>
      </c>
      <c r="E33" s="97">
        <f t="shared" si="38"/>
        <v>949.66666666666663</v>
      </c>
      <c r="F33" s="97">
        <f t="shared" si="38"/>
        <v>949.66666666666663</v>
      </c>
      <c r="G33" s="97">
        <f t="shared" si="38"/>
        <v>949.66666666666663</v>
      </c>
      <c r="H33" s="97">
        <f t="shared" si="38"/>
        <v>949.66666666666663</v>
      </c>
      <c r="I33" s="97">
        <f t="shared" si="38"/>
        <v>949.66666666666663</v>
      </c>
      <c r="J33" s="97">
        <f t="shared" si="38"/>
        <v>949.66666666666663</v>
      </c>
      <c r="K33" s="97">
        <f t="shared" si="38"/>
        <v>949.66666666666663</v>
      </c>
      <c r="L33" s="97">
        <f t="shared" si="38"/>
        <v>949.66666666666663</v>
      </c>
      <c r="M33" s="97">
        <f t="shared" si="38"/>
        <v>949.66666666666663</v>
      </c>
      <c r="N33" s="97">
        <f t="shared" si="38"/>
        <v>949.66666666666663</v>
      </c>
      <c r="O33" s="97">
        <f t="shared" si="38"/>
        <v>949.66666666666663</v>
      </c>
      <c r="P33" s="97">
        <f t="shared" si="38"/>
        <v>949.66666666666663</v>
      </c>
      <c r="Q33" s="97">
        <f t="shared" si="38"/>
        <v>949.66666666666663</v>
      </c>
      <c r="R33" s="97">
        <f t="shared" si="38"/>
        <v>949.66666666666663</v>
      </c>
      <c r="S33" s="97">
        <f t="shared" si="38"/>
        <v>949.66666666666663</v>
      </c>
      <c r="T33" s="97">
        <f t="shared" si="38"/>
        <v>949.66666666666663</v>
      </c>
      <c r="U33" s="97">
        <f t="shared" si="38"/>
        <v>949.66666666666663</v>
      </c>
      <c r="V33" s="97">
        <f t="shared" si="38"/>
        <v>949.66666666666663</v>
      </c>
      <c r="W33" s="97">
        <f t="shared" si="38"/>
        <v>949.66666666666663</v>
      </c>
      <c r="X33" s="97">
        <f t="shared" si="38"/>
        <v>949.66666666666663</v>
      </c>
      <c r="Y33" s="97">
        <f t="shared" si="38"/>
        <v>949.66666666666663</v>
      </c>
      <c r="Z33" s="97">
        <f t="shared" si="38"/>
        <v>949.66666666666663</v>
      </c>
      <c r="AA33" s="97">
        <f t="shared" si="38"/>
        <v>949.66666666666663</v>
      </c>
      <c r="AB33" s="97">
        <f>(($B$43+$B$45)*($B$10-0.5))*(44/12)</f>
        <v>821.33333333333326</v>
      </c>
      <c r="AC33" s="97">
        <f t="shared" ref="AC33:BJ33" si="39">(($B$43+$B$45)*($B$10-0.5))*(44/12)</f>
        <v>821.33333333333326</v>
      </c>
      <c r="AD33" s="97">
        <f t="shared" si="39"/>
        <v>821.33333333333326</v>
      </c>
      <c r="AE33" s="97">
        <f t="shared" si="39"/>
        <v>821.33333333333326</v>
      </c>
      <c r="AF33" s="97">
        <f t="shared" si="39"/>
        <v>821.33333333333326</v>
      </c>
      <c r="AG33" s="97">
        <f t="shared" si="39"/>
        <v>821.33333333333326</v>
      </c>
      <c r="AH33" s="97">
        <f t="shared" si="39"/>
        <v>821.33333333333326</v>
      </c>
      <c r="AI33" s="97">
        <f t="shared" si="39"/>
        <v>821.33333333333326</v>
      </c>
      <c r="AJ33" s="97">
        <f t="shared" si="39"/>
        <v>821.33333333333326</v>
      </c>
      <c r="AK33" s="97">
        <f t="shared" si="39"/>
        <v>821.33333333333326</v>
      </c>
      <c r="AL33" s="97">
        <f t="shared" si="39"/>
        <v>821.33333333333326</v>
      </c>
      <c r="AM33" s="97">
        <f t="shared" si="39"/>
        <v>821.33333333333326</v>
      </c>
      <c r="AN33" s="97">
        <f t="shared" si="39"/>
        <v>821.33333333333326</v>
      </c>
      <c r="AO33" s="97">
        <f t="shared" si="39"/>
        <v>821.33333333333326</v>
      </c>
      <c r="AP33" s="97">
        <f t="shared" si="39"/>
        <v>821.33333333333326</v>
      </c>
      <c r="AQ33" s="97">
        <f t="shared" si="39"/>
        <v>821.33333333333326</v>
      </c>
      <c r="AR33" s="97">
        <f t="shared" si="39"/>
        <v>821.33333333333326</v>
      </c>
      <c r="AS33" s="97">
        <f t="shared" si="39"/>
        <v>821.33333333333326</v>
      </c>
      <c r="AT33" s="97">
        <f t="shared" si="39"/>
        <v>821.33333333333326</v>
      </c>
      <c r="AU33" s="97">
        <f t="shared" si="39"/>
        <v>821.33333333333326</v>
      </c>
      <c r="AV33" s="97">
        <f t="shared" si="39"/>
        <v>821.33333333333326</v>
      </c>
      <c r="AW33" s="97">
        <f t="shared" si="39"/>
        <v>821.33333333333326</v>
      </c>
      <c r="AX33" s="97">
        <f t="shared" si="39"/>
        <v>821.33333333333326</v>
      </c>
      <c r="AY33" s="97">
        <f t="shared" si="39"/>
        <v>821.33333333333326</v>
      </c>
      <c r="AZ33" s="97">
        <f t="shared" si="39"/>
        <v>821.33333333333326</v>
      </c>
      <c r="BA33" s="97">
        <f t="shared" si="39"/>
        <v>821.33333333333326</v>
      </c>
      <c r="BB33" s="97">
        <f t="shared" si="39"/>
        <v>821.33333333333326</v>
      </c>
      <c r="BC33" s="97">
        <f t="shared" si="39"/>
        <v>821.33333333333326</v>
      </c>
      <c r="BD33" s="97">
        <f t="shared" si="39"/>
        <v>821.33333333333326</v>
      </c>
      <c r="BE33" s="97">
        <f t="shared" si="39"/>
        <v>821.33333333333326</v>
      </c>
      <c r="BF33" s="97">
        <f t="shared" si="39"/>
        <v>821.33333333333326</v>
      </c>
      <c r="BG33" s="97">
        <f t="shared" si="39"/>
        <v>821.33333333333326</v>
      </c>
      <c r="BH33" s="97">
        <f t="shared" si="39"/>
        <v>821.33333333333326</v>
      </c>
      <c r="BI33" s="97">
        <f t="shared" si="39"/>
        <v>821.33333333333326</v>
      </c>
      <c r="BJ33" s="97">
        <f t="shared" si="39"/>
        <v>821.33333333333326</v>
      </c>
      <c r="BK33" s="97">
        <f>(($B$43+$B$45)*($B$10-1.5))*(44/12)</f>
        <v>564.66666666666663</v>
      </c>
      <c r="BL33" s="97">
        <f t="shared" ref="BL33:DR33" si="40">(($B$43+$B$45)*($B$10-1.5))*(44/12)</f>
        <v>564.66666666666663</v>
      </c>
      <c r="BM33" s="97">
        <f t="shared" si="40"/>
        <v>564.66666666666663</v>
      </c>
      <c r="BN33" s="97">
        <f t="shared" si="40"/>
        <v>564.66666666666663</v>
      </c>
      <c r="BO33" s="97">
        <f t="shared" si="40"/>
        <v>564.66666666666663</v>
      </c>
      <c r="BP33" s="97">
        <f t="shared" si="40"/>
        <v>564.66666666666663</v>
      </c>
      <c r="BQ33" s="97">
        <f t="shared" si="40"/>
        <v>564.66666666666663</v>
      </c>
      <c r="BR33" s="97">
        <f t="shared" si="40"/>
        <v>564.66666666666663</v>
      </c>
      <c r="BS33" s="97">
        <f t="shared" si="40"/>
        <v>564.66666666666663</v>
      </c>
      <c r="BT33" s="97">
        <f t="shared" si="40"/>
        <v>564.66666666666663</v>
      </c>
      <c r="BU33" s="97">
        <f t="shared" si="40"/>
        <v>564.66666666666663</v>
      </c>
      <c r="BV33" s="97">
        <f t="shared" si="40"/>
        <v>564.66666666666663</v>
      </c>
      <c r="BW33" s="97">
        <f t="shared" si="40"/>
        <v>564.66666666666663</v>
      </c>
      <c r="BX33" s="97">
        <f t="shared" si="40"/>
        <v>564.66666666666663</v>
      </c>
      <c r="BY33" s="97">
        <f t="shared" si="40"/>
        <v>564.66666666666663</v>
      </c>
      <c r="BZ33" s="97">
        <f t="shared" si="40"/>
        <v>564.66666666666663</v>
      </c>
      <c r="CA33" s="97">
        <f t="shared" si="40"/>
        <v>564.66666666666663</v>
      </c>
      <c r="CB33" s="97">
        <f t="shared" si="40"/>
        <v>564.66666666666663</v>
      </c>
      <c r="CC33" s="97">
        <f t="shared" si="40"/>
        <v>564.66666666666663</v>
      </c>
      <c r="CD33" s="97">
        <f t="shared" si="40"/>
        <v>564.66666666666663</v>
      </c>
      <c r="CE33" s="97">
        <f t="shared" si="40"/>
        <v>564.66666666666663</v>
      </c>
      <c r="CF33" s="97">
        <f t="shared" si="40"/>
        <v>564.66666666666663</v>
      </c>
      <c r="CG33" s="97">
        <f t="shared" si="40"/>
        <v>564.66666666666663</v>
      </c>
      <c r="CH33" s="97">
        <f t="shared" si="40"/>
        <v>564.66666666666663</v>
      </c>
      <c r="CI33" s="97">
        <f t="shared" si="40"/>
        <v>564.66666666666663</v>
      </c>
      <c r="CJ33" s="97">
        <f t="shared" si="40"/>
        <v>564.66666666666663</v>
      </c>
      <c r="CK33" s="97">
        <f t="shared" si="40"/>
        <v>564.66666666666663</v>
      </c>
      <c r="CL33" s="97">
        <f t="shared" si="40"/>
        <v>564.66666666666663</v>
      </c>
      <c r="CM33" s="97">
        <f t="shared" si="40"/>
        <v>564.66666666666663</v>
      </c>
      <c r="CN33" s="97">
        <f t="shared" si="40"/>
        <v>564.66666666666663</v>
      </c>
      <c r="CO33" s="97">
        <f t="shared" si="40"/>
        <v>564.66666666666663</v>
      </c>
      <c r="CP33" s="97">
        <f t="shared" si="40"/>
        <v>564.66666666666663</v>
      </c>
      <c r="CQ33" s="97">
        <f t="shared" si="40"/>
        <v>564.66666666666663</v>
      </c>
      <c r="CR33" s="97">
        <f t="shared" si="40"/>
        <v>564.66666666666663</v>
      </c>
      <c r="CS33" s="97">
        <f t="shared" si="40"/>
        <v>564.66666666666663</v>
      </c>
      <c r="CT33" s="97">
        <f t="shared" si="40"/>
        <v>564.66666666666663</v>
      </c>
      <c r="CU33" s="97">
        <f t="shared" si="40"/>
        <v>564.66666666666663</v>
      </c>
      <c r="CV33" s="97">
        <f t="shared" si="40"/>
        <v>564.66666666666663</v>
      </c>
      <c r="CW33" s="97">
        <f t="shared" si="40"/>
        <v>564.66666666666663</v>
      </c>
      <c r="CX33" s="97">
        <f t="shared" si="40"/>
        <v>564.66666666666663</v>
      </c>
      <c r="CY33" s="97">
        <f t="shared" si="40"/>
        <v>564.66666666666663</v>
      </c>
      <c r="CZ33" s="97">
        <f t="shared" si="40"/>
        <v>564.66666666666663</v>
      </c>
      <c r="DA33" s="97">
        <f t="shared" si="40"/>
        <v>564.66666666666663</v>
      </c>
      <c r="DB33" s="97">
        <f t="shared" si="40"/>
        <v>564.66666666666663</v>
      </c>
      <c r="DC33" s="97">
        <f t="shared" si="40"/>
        <v>564.66666666666663</v>
      </c>
      <c r="DD33" s="97">
        <f t="shared" si="40"/>
        <v>564.66666666666663</v>
      </c>
      <c r="DE33" s="97">
        <f t="shared" si="40"/>
        <v>564.66666666666663</v>
      </c>
      <c r="DF33" s="97">
        <f t="shared" si="40"/>
        <v>564.66666666666663</v>
      </c>
      <c r="DG33" s="97">
        <f t="shared" si="40"/>
        <v>564.66666666666663</v>
      </c>
      <c r="DH33" s="97">
        <f t="shared" si="40"/>
        <v>564.66666666666663</v>
      </c>
      <c r="DI33" s="97">
        <f t="shared" si="40"/>
        <v>564.66666666666663</v>
      </c>
      <c r="DJ33" s="97">
        <f t="shared" si="40"/>
        <v>564.66666666666663</v>
      </c>
      <c r="DK33" s="97">
        <f t="shared" si="40"/>
        <v>564.66666666666663</v>
      </c>
      <c r="DL33" s="97">
        <f t="shared" si="40"/>
        <v>564.66666666666663</v>
      </c>
      <c r="DM33" s="97">
        <f t="shared" si="40"/>
        <v>564.66666666666663</v>
      </c>
      <c r="DN33" s="97">
        <f t="shared" si="40"/>
        <v>564.66666666666663</v>
      </c>
      <c r="DO33" s="97">
        <f t="shared" si="40"/>
        <v>564.66666666666663</v>
      </c>
      <c r="DP33" s="97">
        <f t="shared" si="40"/>
        <v>564.66666666666663</v>
      </c>
      <c r="DQ33" s="97">
        <f t="shared" si="40"/>
        <v>564.66666666666663</v>
      </c>
      <c r="DR33" s="97">
        <f t="shared" si="40"/>
        <v>564.66666666666663</v>
      </c>
      <c r="DS33" s="125"/>
    </row>
    <row r="34" spans="1:123" ht="29" x14ac:dyDescent="0.35">
      <c r="A34" s="3" t="s">
        <v>11</v>
      </c>
      <c r="B34" s="12">
        <f t="shared" ref="B34:AG34" si="41">IF($B$15="Culture agricole",$B$44,$B$45)</f>
        <v>70</v>
      </c>
      <c r="C34" s="12">
        <f t="shared" si="41"/>
        <v>70</v>
      </c>
      <c r="D34" s="12">
        <f t="shared" si="41"/>
        <v>70</v>
      </c>
      <c r="E34" s="12">
        <f t="shared" si="41"/>
        <v>70</v>
      </c>
      <c r="F34" s="12">
        <f t="shared" si="41"/>
        <v>70</v>
      </c>
      <c r="G34" s="12">
        <f t="shared" si="41"/>
        <v>70</v>
      </c>
      <c r="H34" s="12">
        <f t="shared" si="41"/>
        <v>70</v>
      </c>
      <c r="I34" s="12">
        <f t="shared" si="41"/>
        <v>70</v>
      </c>
      <c r="J34" s="12">
        <f t="shared" si="41"/>
        <v>70</v>
      </c>
      <c r="K34" s="12">
        <f t="shared" si="41"/>
        <v>70</v>
      </c>
      <c r="L34" s="12">
        <f t="shared" si="41"/>
        <v>70</v>
      </c>
      <c r="M34" s="12">
        <f t="shared" si="41"/>
        <v>70</v>
      </c>
      <c r="N34" s="12">
        <f t="shared" si="41"/>
        <v>70</v>
      </c>
      <c r="O34" s="12">
        <f t="shared" si="41"/>
        <v>70</v>
      </c>
      <c r="P34" s="12">
        <f t="shared" si="41"/>
        <v>70</v>
      </c>
      <c r="Q34" s="12">
        <f t="shared" si="41"/>
        <v>70</v>
      </c>
      <c r="R34" s="12">
        <f t="shared" si="41"/>
        <v>70</v>
      </c>
      <c r="S34" s="12">
        <f t="shared" si="41"/>
        <v>70</v>
      </c>
      <c r="T34" s="12">
        <f t="shared" si="41"/>
        <v>70</v>
      </c>
      <c r="U34" s="12">
        <f t="shared" si="41"/>
        <v>70</v>
      </c>
      <c r="V34" s="12">
        <f t="shared" si="41"/>
        <v>70</v>
      </c>
      <c r="W34" s="12">
        <f t="shared" si="41"/>
        <v>70</v>
      </c>
      <c r="X34" s="12">
        <f t="shared" si="41"/>
        <v>70</v>
      </c>
      <c r="Y34" s="12">
        <f t="shared" si="41"/>
        <v>70</v>
      </c>
      <c r="Z34" s="12">
        <f t="shared" si="41"/>
        <v>70</v>
      </c>
      <c r="AA34" s="12">
        <f t="shared" si="41"/>
        <v>70</v>
      </c>
      <c r="AB34" s="12">
        <f t="shared" si="41"/>
        <v>70</v>
      </c>
      <c r="AC34" s="12">
        <f t="shared" si="41"/>
        <v>70</v>
      </c>
      <c r="AD34" s="12">
        <f t="shared" si="41"/>
        <v>70</v>
      </c>
      <c r="AE34" s="12">
        <f t="shared" si="41"/>
        <v>70</v>
      </c>
      <c r="AF34" s="12">
        <f t="shared" si="41"/>
        <v>70</v>
      </c>
      <c r="AG34" s="12">
        <f t="shared" si="41"/>
        <v>70</v>
      </c>
      <c r="AH34" s="12">
        <f t="shared" ref="AH34:BM34" si="42">IF($B$15="Culture agricole",$B$44,$B$45)</f>
        <v>70</v>
      </c>
      <c r="AI34" s="12">
        <f t="shared" si="42"/>
        <v>70</v>
      </c>
      <c r="AJ34" s="12">
        <f t="shared" si="42"/>
        <v>70</v>
      </c>
      <c r="AK34" s="12">
        <f t="shared" si="42"/>
        <v>70</v>
      </c>
      <c r="AL34" s="12">
        <f t="shared" si="42"/>
        <v>70</v>
      </c>
      <c r="AM34" s="12">
        <f t="shared" si="42"/>
        <v>70</v>
      </c>
      <c r="AN34" s="12">
        <f t="shared" si="42"/>
        <v>70</v>
      </c>
      <c r="AO34" s="12">
        <f t="shared" si="42"/>
        <v>70</v>
      </c>
      <c r="AP34" s="12">
        <f t="shared" si="42"/>
        <v>70</v>
      </c>
      <c r="AQ34" s="12">
        <f t="shared" si="42"/>
        <v>70</v>
      </c>
      <c r="AR34" s="12">
        <f t="shared" si="42"/>
        <v>70</v>
      </c>
      <c r="AS34" s="12">
        <f t="shared" si="42"/>
        <v>70</v>
      </c>
      <c r="AT34" s="12">
        <f t="shared" si="42"/>
        <v>70</v>
      </c>
      <c r="AU34" s="12">
        <f t="shared" si="42"/>
        <v>70</v>
      </c>
      <c r="AV34" s="12">
        <f t="shared" si="42"/>
        <v>70</v>
      </c>
      <c r="AW34" s="12">
        <f t="shared" si="42"/>
        <v>70</v>
      </c>
      <c r="AX34" s="12">
        <f t="shared" si="42"/>
        <v>70</v>
      </c>
      <c r="AY34" s="12">
        <f t="shared" si="42"/>
        <v>70</v>
      </c>
      <c r="AZ34" s="12">
        <f t="shared" si="42"/>
        <v>70</v>
      </c>
      <c r="BA34" s="12">
        <f t="shared" si="42"/>
        <v>70</v>
      </c>
      <c r="BB34" s="12">
        <f t="shared" si="42"/>
        <v>70</v>
      </c>
      <c r="BC34" s="12">
        <f t="shared" si="42"/>
        <v>70</v>
      </c>
      <c r="BD34" s="12">
        <f t="shared" si="42"/>
        <v>70</v>
      </c>
      <c r="BE34" s="12">
        <f t="shared" si="42"/>
        <v>70</v>
      </c>
      <c r="BF34" s="12">
        <f t="shared" si="42"/>
        <v>70</v>
      </c>
      <c r="BG34" s="12">
        <f t="shared" si="42"/>
        <v>70</v>
      </c>
      <c r="BH34" s="12">
        <f t="shared" si="42"/>
        <v>70</v>
      </c>
      <c r="BI34" s="12">
        <f t="shared" si="42"/>
        <v>70</v>
      </c>
      <c r="BJ34" s="12">
        <f t="shared" si="42"/>
        <v>70</v>
      </c>
      <c r="BK34" s="12">
        <f t="shared" si="42"/>
        <v>70</v>
      </c>
      <c r="BL34" s="12">
        <f t="shared" si="42"/>
        <v>70</v>
      </c>
      <c r="BM34" s="12">
        <f t="shared" si="42"/>
        <v>70</v>
      </c>
      <c r="BN34" s="12">
        <f t="shared" ref="BN34:CS34" si="43">IF($B$15="Culture agricole",$B$44,$B$45)</f>
        <v>70</v>
      </c>
      <c r="BO34" s="12">
        <f t="shared" si="43"/>
        <v>70</v>
      </c>
      <c r="BP34" s="12">
        <f t="shared" si="43"/>
        <v>70</v>
      </c>
      <c r="BQ34" s="12">
        <f t="shared" si="43"/>
        <v>70</v>
      </c>
      <c r="BR34" s="12">
        <f t="shared" si="43"/>
        <v>70</v>
      </c>
      <c r="BS34" s="12">
        <f t="shared" si="43"/>
        <v>70</v>
      </c>
      <c r="BT34" s="12">
        <f t="shared" si="43"/>
        <v>70</v>
      </c>
      <c r="BU34" s="12">
        <f t="shared" si="43"/>
        <v>70</v>
      </c>
      <c r="BV34" s="12">
        <f t="shared" si="43"/>
        <v>70</v>
      </c>
      <c r="BW34" s="12">
        <f t="shared" si="43"/>
        <v>70</v>
      </c>
      <c r="BX34" s="12">
        <f t="shared" si="43"/>
        <v>70</v>
      </c>
      <c r="BY34" s="12">
        <f t="shared" si="43"/>
        <v>70</v>
      </c>
      <c r="BZ34" s="12">
        <f t="shared" si="43"/>
        <v>70</v>
      </c>
      <c r="CA34" s="12">
        <f t="shared" si="43"/>
        <v>70</v>
      </c>
      <c r="CB34" s="12">
        <f t="shared" si="43"/>
        <v>70</v>
      </c>
      <c r="CC34" s="12">
        <f t="shared" si="43"/>
        <v>70</v>
      </c>
      <c r="CD34" s="12">
        <f t="shared" si="43"/>
        <v>70</v>
      </c>
      <c r="CE34" s="12">
        <f t="shared" si="43"/>
        <v>70</v>
      </c>
      <c r="CF34" s="12">
        <f t="shared" si="43"/>
        <v>70</v>
      </c>
      <c r="CG34" s="12">
        <f t="shared" si="43"/>
        <v>70</v>
      </c>
      <c r="CH34" s="12">
        <f t="shared" si="43"/>
        <v>70</v>
      </c>
      <c r="CI34" s="12">
        <f t="shared" si="43"/>
        <v>70</v>
      </c>
      <c r="CJ34" s="12">
        <f t="shared" si="43"/>
        <v>70</v>
      </c>
      <c r="CK34" s="12">
        <f t="shared" si="43"/>
        <v>70</v>
      </c>
      <c r="CL34" s="12">
        <f t="shared" si="43"/>
        <v>70</v>
      </c>
      <c r="CM34" s="12">
        <f t="shared" si="43"/>
        <v>70</v>
      </c>
      <c r="CN34" s="12">
        <f t="shared" si="43"/>
        <v>70</v>
      </c>
      <c r="CO34" s="12">
        <f t="shared" si="43"/>
        <v>70</v>
      </c>
      <c r="CP34" s="12">
        <f t="shared" si="43"/>
        <v>70</v>
      </c>
      <c r="CQ34" s="12">
        <f t="shared" si="43"/>
        <v>70</v>
      </c>
      <c r="CR34" s="12">
        <f t="shared" si="43"/>
        <v>70</v>
      </c>
      <c r="CS34" s="12">
        <f t="shared" si="43"/>
        <v>70</v>
      </c>
      <c r="CT34" s="12">
        <f t="shared" ref="CT34:DR34" si="44">IF($B$15="Culture agricole",$B$44,$B$45)</f>
        <v>70</v>
      </c>
      <c r="CU34" s="12">
        <f t="shared" si="44"/>
        <v>70</v>
      </c>
      <c r="CV34" s="12">
        <f t="shared" si="44"/>
        <v>70</v>
      </c>
      <c r="CW34" s="12">
        <f t="shared" si="44"/>
        <v>70</v>
      </c>
      <c r="CX34" s="12">
        <f t="shared" si="44"/>
        <v>70</v>
      </c>
      <c r="CY34" s="12">
        <f t="shared" si="44"/>
        <v>70</v>
      </c>
      <c r="CZ34" s="12">
        <f t="shared" si="44"/>
        <v>70</v>
      </c>
      <c r="DA34" s="12">
        <f t="shared" si="44"/>
        <v>70</v>
      </c>
      <c r="DB34" s="12">
        <f t="shared" si="44"/>
        <v>70</v>
      </c>
      <c r="DC34" s="12">
        <f t="shared" si="44"/>
        <v>70</v>
      </c>
      <c r="DD34" s="12">
        <f t="shared" si="44"/>
        <v>70</v>
      </c>
      <c r="DE34" s="12">
        <f t="shared" si="44"/>
        <v>70</v>
      </c>
      <c r="DF34" s="12">
        <f t="shared" si="44"/>
        <v>70</v>
      </c>
      <c r="DG34" s="12">
        <f t="shared" si="44"/>
        <v>70</v>
      </c>
      <c r="DH34" s="12">
        <f t="shared" si="44"/>
        <v>70</v>
      </c>
      <c r="DI34" s="12">
        <f t="shared" si="44"/>
        <v>70</v>
      </c>
      <c r="DJ34" s="12">
        <f t="shared" si="44"/>
        <v>70</v>
      </c>
      <c r="DK34" s="12">
        <f t="shared" si="44"/>
        <v>70</v>
      </c>
      <c r="DL34" s="12">
        <f t="shared" si="44"/>
        <v>70</v>
      </c>
      <c r="DM34" s="12">
        <f t="shared" si="44"/>
        <v>70</v>
      </c>
      <c r="DN34" s="12">
        <f t="shared" si="44"/>
        <v>70</v>
      </c>
      <c r="DO34" s="12">
        <f t="shared" si="44"/>
        <v>70</v>
      </c>
      <c r="DP34" s="12">
        <f t="shared" si="44"/>
        <v>70</v>
      </c>
      <c r="DQ34" s="12">
        <f t="shared" si="44"/>
        <v>70</v>
      </c>
      <c r="DR34" s="13">
        <f t="shared" si="44"/>
        <v>70</v>
      </c>
      <c r="DS34" s="125"/>
    </row>
    <row r="35" spans="1:123" ht="15" thickBot="1" x14ac:dyDescent="0.4">
      <c r="A35" s="101" t="s">
        <v>185</v>
      </c>
      <c r="B35" s="97">
        <f t="shared" ref="B35:AG35" si="45">B21-B33</f>
        <v>0</v>
      </c>
      <c r="C35" s="109">
        <f t="shared" si="45"/>
        <v>30.426481881747236</v>
      </c>
      <c r="D35" s="109">
        <f t="shared" si="45"/>
        <v>59.815133979280745</v>
      </c>
      <c r="E35" s="109">
        <f t="shared" si="45"/>
        <v>88.868619152309407</v>
      </c>
      <c r="F35" s="109">
        <f t="shared" si="45"/>
        <v>117.71549963459927</v>
      </c>
      <c r="G35" s="109">
        <f t="shared" si="45"/>
        <v>146.41404404504203</v>
      </c>
      <c r="H35" s="109">
        <f t="shared" si="45"/>
        <v>180.80309678913306</v>
      </c>
      <c r="I35" s="109">
        <f t="shared" si="45"/>
        <v>215.05358951611186</v>
      </c>
      <c r="J35" s="109">
        <f t="shared" si="45"/>
        <v>249.19120505008971</v>
      </c>
      <c r="K35" s="109">
        <f t="shared" si="45"/>
        <v>283.23386197899038</v>
      </c>
      <c r="L35" s="109">
        <f t="shared" si="45"/>
        <v>317.19474632281992</v>
      </c>
      <c r="M35" s="109">
        <f t="shared" si="45"/>
        <v>350.77342235110552</v>
      </c>
      <c r="N35" s="109">
        <f t="shared" si="45"/>
        <v>384.28965244418157</v>
      </c>
      <c r="O35" s="109">
        <f t="shared" si="45"/>
        <v>417.74968935007917</v>
      </c>
      <c r="P35" s="109">
        <f t="shared" si="45"/>
        <v>451.15869544557847</v>
      </c>
      <c r="Q35" s="109">
        <f t="shared" si="45"/>
        <v>484.52100164184674</v>
      </c>
      <c r="R35" s="109">
        <f t="shared" si="45"/>
        <v>526.84133781385674</v>
      </c>
      <c r="S35" s="109">
        <f t="shared" si="45"/>
        <v>533.46999892362271</v>
      </c>
      <c r="T35" s="109">
        <f t="shared" si="45"/>
        <v>575.719601411589</v>
      </c>
      <c r="U35" s="109">
        <f t="shared" si="45"/>
        <v>617.90819734800141</v>
      </c>
      <c r="V35" s="109">
        <f t="shared" si="45"/>
        <v>660.04070562362642</v>
      </c>
      <c r="W35" s="109">
        <f t="shared" si="45"/>
        <v>700.18051641536215</v>
      </c>
      <c r="X35" s="109">
        <f t="shared" si="45"/>
        <v>740.27681218594046</v>
      </c>
      <c r="Y35" s="109">
        <f t="shared" si="45"/>
        <v>780.33234388057679</v>
      </c>
      <c r="Z35" s="109">
        <f t="shared" si="45"/>
        <v>820.34955028483421</v>
      </c>
      <c r="AA35" s="109">
        <f t="shared" si="45"/>
        <v>734.66378474243754</v>
      </c>
      <c r="AB35" s="109">
        <f t="shared" si="45"/>
        <v>592.34004347998757</v>
      </c>
      <c r="AC35" s="109">
        <f t="shared" si="45"/>
        <v>623.85664431882401</v>
      </c>
      <c r="AD35" s="109">
        <f t="shared" si="45"/>
        <v>655.33072882518604</v>
      </c>
      <c r="AE35" s="109">
        <f t="shared" si="45"/>
        <v>686.76555846801284</v>
      </c>
      <c r="AF35" s="109">
        <f t="shared" si="45"/>
        <v>718.16395062778224</v>
      </c>
      <c r="AG35" s="109">
        <f t="shared" si="45"/>
        <v>744.05641763032645</v>
      </c>
      <c r="AH35" s="109">
        <f t="shared" ref="AH35:BM35" si="46">AH21-AH33</f>
        <v>769.91921223701911</v>
      </c>
      <c r="AI35" s="109">
        <f t="shared" si="46"/>
        <v>795.75406287965643</v>
      </c>
      <c r="AJ35" s="109">
        <f t="shared" si="46"/>
        <v>821.56251651844923</v>
      </c>
      <c r="AK35" s="109">
        <f t="shared" si="46"/>
        <v>740.71945402079541</v>
      </c>
      <c r="AL35" s="109">
        <f t="shared" si="46"/>
        <v>764.9254821338086</v>
      </c>
      <c r="AM35" s="109">
        <f t="shared" si="46"/>
        <v>789.10676309504606</v>
      </c>
      <c r="AN35" s="109">
        <f t="shared" si="46"/>
        <v>813.26459559179079</v>
      </c>
      <c r="AO35" s="109">
        <f t="shared" si="46"/>
        <v>837.40015487304731</v>
      </c>
      <c r="AP35" s="109">
        <f t="shared" si="46"/>
        <v>608.14343865785054</v>
      </c>
      <c r="AQ35" s="109">
        <f t="shared" si="46"/>
        <v>631.32106993462639</v>
      </c>
      <c r="AR35" s="109">
        <f t="shared" si="46"/>
        <v>654.46678620215266</v>
      </c>
      <c r="AS35" s="109">
        <f t="shared" si="46"/>
        <v>692.39399999256375</v>
      </c>
      <c r="AT35" s="109">
        <f t="shared" si="46"/>
        <v>730.24903682376521</v>
      </c>
      <c r="AU35" s="109">
        <f t="shared" si="46"/>
        <v>649.11785072253838</v>
      </c>
      <c r="AV35" s="109">
        <f t="shared" si="46"/>
        <v>685.86541562177695</v>
      </c>
      <c r="AW35" s="109">
        <f t="shared" si="46"/>
        <v>722.5440708495039</v>
      </c>
      <c r="AX35" s="109">
        <f t="shared" si="46"/>
        <v>759.16009453410811</v>
      </c>
      <c r="AY35" s="109">
        <f t="shared" si="46"/>
        <v>794.03438673553455</v>
      </c>
      <c r="AZ35" s="109">
        <f t="shared" si="46"/>
        <v>828.86040492704956</v>
      </c>
      <c r="BA35" s="109">
        <f t="shared" si="46"/>
        <v>862.2235365491706</v>
      </c>
      <c r="BB35" s="109">
        <f t="shared" si="46"/>
        <v>895.54799649177835</v>
      </c>
      <c r="BC35" s="109">
        <f t="shared" si="46"/>
        <v>928.83610868778192</v>
      </c>
      <c r="BD35" s="109">
        <f t="shared" si="46"/>
        <v>962.08994574254439</v>
      </c>
      <c r="BE35" s="109">
        <f t="shared" si="46"/>
        <v>701.06455268039167</v>
      </c>
      <c r="BF35" s="109">
        <f t="shared" si="46"/>
        <v>733.65272856427578</v>
      </c>
      <c r="BG35" s="109">
        <f t="shared" si="46"/>
        <v>769.98673827724133</v>
      </c>
      <c r="BH35" s="109">
        <f t="shared" si="46"/>
        <v>806.26560009468699</v>
      </c>
      <c r="BI35" s="109">
        <f t="shared" si="46"/>
        <v>842.49351569884675</v>
      </c>
      <c r="BJ35" s="109">
        <f t="shared" si="46"/>
        <v>878.67411830845253</v>
      </c>
      <c r="BK35" s="109">
        <f t="shared" si="46"/>
        <v>828.43327333246123</v>
      </c>
      <c r="BL35" s="109">
        <f t="shared" si="46"/>
        <v>856.95278811219657</v>
      </c>
      <c r="BM35" s="109">
        <f t="shared" si="46"/>
        <v>885.41904797990821</v>
      </c>
      <c r="BN35" s="109">
        <f t="shared" ref="BN35:CS35" si="47">BN21-BN33</f>
        <v>913.83678921444641</v>
      </c>
      <c r="BO35" s="109">
        <f t="shared" si="47"/>
        <v>937.97788631659012</v>
      </c>
      <c r="BP35" s="109">
        <f t="shared" si="47"/>
        <v>962.08889290535524</v>
      </c>
      <c r="BQ35" s="109">
        <f t="shared" si="47"/>
        <v>986.17168215003164</v>
      </c>
      <c r="BR35" s="109">
        <f t="shared" si="47"/>
        <v>1010.2279177473598</v>
      </c>
      <c r="BS35" s="109">
        <f t="shared" si="47"/>
        <v>1034.259086696507</v>
      </c>
      <c r="BT35" s="109">
        <f t="shared" si="47"/>
        <v>675.2638279562733</v>
      </c>
      <c r="BU35" s="109">
        <f t="shared" si="47"/>
        <v>699.89430739653642</v>
      </c>
      <c r="BV35" s="109">
        <f t="shared" si="47"/>
        <v>724.44539200806378</v>
      </c>
      <c r="BW35" s="109">
        <f t="shared" si="47"/>
        <v>745.49563942237239</v>
      </c>
      <c r="BX35" s="109">
        <f t="shared" si="47"/>
        <v>766.50072203887828</v>
      </c>
      <c r="BY35" s="109">
        <f t="shared" si="47"/>
        <v>787.46504112983837</v>
      </c>
      <c r="BZ35" s="109">
        <f t="shared" si="47"/>
        <v>808.39224940351926</v>
      </c>
      <c r="CA35" s="109">
        <f t="shared" si="47"/>
        <v>829.28542468114972</v>
      </c>
      <c r="CB35" s="109">
        <f t="shared" si="47"/>
        <v>850.14719399918829</v>
      </c>
      <c r="CC35" s="109">
        <f t="shared" si="47"/>
        <v>870.97982459549883</v>
      </c>
      <c r="CD35" s="109">
        <f t="shared" si="47"/>
        <v>891.78529210034833</v>
      </c>
      <c r="CE35" s="109">
        <f t="shared" si="47"/>
        <v>912.56533262678488</v>
      </c>
      <c r="CF35" s="109">
        <f t="shared" si="47"/>
        <v>932.47474304535478</v>
      </c>
      <c r="CG35" s="109">
        <f t="shared" si="47"/>
        <v>952.36338640978204</v>
      </c>
      <c r="CH35" s="109">
        <f t="shared" si="47"/>
        <v>972.23235349596041</v>
      </c>
      <c r="CI35" s="109">
        <f t="shared" si="47"/>
        <v>992.08263131614933</v>
      </c>
      <c r="CJ35" s="109">
        <f t="shared" si="47"/>
        <v>1011.9151170326405</v>
      </c>
      <c r="CK35" s="109">
        <f t="shared" si="47"/>
        <v>1031.7306295081034</v>
      </c>
      <c r="CL35" s="109">
        <f t="shared" si="47"/>
        <v>1051.5299189719012</v>
      </c>
      <c r="CM35" s="109">
        <f t="shared" si="47"/>
        <v>1071.3136751698653</v>
      </c>
      <c r="CN35" s="109">
        <f t="shared" si="47"/>
        <v>1091.0825342824633</v>
      </c>
      <c r="CO35" s="109">
        <f t="shared" si="47"/>
        <v>1110.8370848345521</v>
      </c>
      <c r="CP35" s="109">
        <f t="shared" si="47"/>
        <v>1130.5778727731936</v>
      </c>
      <c r="CQ35" s="109">
        <f t="shared" si="47"/>
        <v>1150.3054058543107</v>
      </c>
      <c r="CR35" s="109">
        <f t="shared" si="47"/>
        <v>1170.0201574513926</v>
      </c>
      <c r="CS35" s="109">
        <f t="shared" si="47"/>
        <v>1189.7225698779666</v>
      </c>
      <c r="CT35" s="109">
        <f t="shared" ref="CT35:DR35" si="48">CT21-CT33</f>
        <v>1209.4130572986865</v>
      </c>
      <c r="CU35" s="109">
        <f t="shared" si="48"/>
        <v>1229.0920082905041</v>
      </c>
      <c r="CV35" s="109">
        <f t="shared" si="48"/>
        <v>1248.7597881047241</v>
      </c>
      <c r="CW35" s="109">
        <f t="shared" si="48"/>
        <v>1268.4167406721754</v>
      </c>
      <c r="CX35" s="109">
        <f t="shared" si="48"/>
        <v>1288.0631903867811</v>
      </c>
      <c r="CY35" s="109">
        <f t="shared" si="48"/>
        <v>1307.6994436971809</v>
      </c>
      <c r="CZ35" s="109">
        <f t="shared" si="48"/>
        <v>1327.3257905314231</v>
      </c>
      <c r="DA35" s="109">
        <f t="shared" si="48"/>
        <v>1346.5252271326226</v>
      </c>
      <c r="DB35" s="109">
        <f t="shared" si="48"/>
        <v>1365.7156819384791</v>
      </c>
      <c r="DC35" s="109">
        <f t="shared" si="48"/>
        <v>1384.8973873989585</v>
      </c>
      <c r="DD35" s="109">
        <f t="shared" si="48"/>
        <v>1404.0705648170788</v>
      </c>
      <c r="DE35" s="109">
        <f t="shared" si="48"/>
        <v>1423.2354251186453</v>
      </c>
      <c r="DF35" s="109">
        <f t="shared" si="48"/>
        <v>1442.3921695532922</v>
      </c>
      <c r="DG35" s="109">
        <f t="shared" si="48"/>
        <v>1461.5409903342916</v>
      </c>
      <c r="DH35" s="109">
        <f t="shared" si="48"/>
        <v>1480.6820712236417</v>
      </c>
      <c r="DI35" s="109">
        <f t="shared" si="48"/>
        <v>1499.8155880681234</v>
      </c>
      <c r="DJ35" s="109">
        <f t="shared" si="48"/>
        <v>1518.9417092913482</v>
      </c>
      <c r="DK35" s="109">
        <f t="shared" si="48"/>
        <v>1538.0605963461803</v>
      </c>
      <c r="DL35" s="109">
        <f t="shared" si="48"/>
        <v>1557.1724041314415</v>
      </c>
      <c r="DM35" s="109">
        <f t="shared" si="48"/>
        <v>1576.2772813763263</v>
      </c>
      <c r="DN35" s="109">
        <f t="shared" si="48"/>
        <v>1595.3753709955836</v>
      </c>
      <c r="DO35" s="109">
        <f t="shared" si="48"/>
        <v>1614.4668104181778</v>
      </c>
      <c r="DP35" s="109">
        <f t="shared" si="48"/>
        <v>1633.5517318918482</v>
      </c>
      <c r="DQ35" s="109">
        <f t="shared" si="48"/>
        <v>1652.6302627657246</v>
      </c>
      <c r="DR35" s="140">
        <f t="shared" si="48"/>
        <v>1671.702525752929</v>
      </c>
      <c r="DS35" s="125"/>
    </row>
    <row r="36" spans="1:123" x14ac:dyDescent="0.35">
      <c r="A36" s="165" t="s">
        <v>10</v>
      </c>
      <c r="B36" s="166"/>
      <c r="C36" s="5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row>
    <row r="37" spans="1:123" ht="29" x14ac:dyDescent="0.35">
      <c r="A37" s="3" t="s">
        <v>4</v>
      </c>
      <c r="B37" s="13">
        <v>0.47499999999999998</v>
      </c>
      <c r="C37" s="55"/>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row>
    <row r="38" spans="1:123" ht="15" thickBot="1" x14ac:dyDescent="0.4">
      <c r="A38" s="3" t="s">
        <v>5</v>
      </c>
      <c r="B38" s="14">
        <f>IF(B12="Conifères",1.3,1.56)</f>
        <v>1.56</v>
      </c>
      <c r="C38" s="57"/>
      <c r="D38" s="15"/>
      <c r="E38" s="15"/>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1:123" ht="87.5" thickBot="1" x14ac:dyDescent="0.4">
      <c r="A39" s="11" t="s">
        <v>148</v>
      </c>
      <c r="B39" s="17"/>
      <c r="C39" s="58" t="str">
        <f>IF(B39="Alisier torminal",0.62,IF(B39="Arbousier",0.64,IF(B39="Aulne vert",0.42,IF(B39="Grands aulnes",0.42,IF(B39="Bouleaux",0.52,IF(B39="Cèdre de l’Atlas",0.36,IF(B39="Charme",0.61,IF(B39="Charme-houblon",0.66,IF(B39="Châtaignier",0.47,IF(B39="Chêne chevelu",0.67,IF(B39="Chêne-liège",0.7,IF(B39="Chêne pédonculé",0.54,IF(B39="Chêne pubescent",0.65,IF(B39="Chêne rouge d’Amérique",0.56,IF(B39="Chêne rouvre (sessile)",0.58,IF(B39="Chêne tauzin",0.64,IF(B39="Chêne vert",0.73,IF(B39="Chênes indifférenciés",0.56,IF(B39="Cornouiller mâle",0.74,IF(B39="Cyprès",0.4,IF(B39="Cytise aubour",0.6,IF(B39="Douglas",0.43,IF(B39="Epicéa commun",0.37,IF(B39="Epicéa de Sitka",0.36,IF(B39="Grands érables",0.51,IF(B39="Petits érables",0.56,IF(B39="Eucalyptus",0.56,IF(B39="Genévrier thurifère",0.48,IF(B39="Hêtre",0.55,IF(B39="Frênes",0.56,IF(B39="Fruitiers",0.58,IF(B39="If",0.58,IF(B39="Mélèze d’Europe",0.48,IF(B39="Mélèze du Japon",0.42,IF(B39="Merisier",0.5,IF(B39="Micocoulier",0.55,IF(B39="Mûrier",0.53,IF(B39="Noisetier",0.52,IF(B39="Noyer",0.52,IF(B39="Olivier",0.75,IF(B39="Ormes",0.52,IF(B39="Peupliers cultivés",0.35,IF(B39="Peupliers non cultivés",0.37,IF(B39="Pin d'Alep",0.45,IF(B39="Pin cembro",0.39,IF(B39="Pin à crochets",0.44,IF(B39="Pin laricio",0.46,IF(B39="Pin maritime",0.46,IF(B39="Pin mugho",0.44,IF(B39="Pin noir d'Autriche",0.46,IF(B39="Pin pignon",0.48,IF(B39="Pin sylvestre",0.44,IF(B39="Pin Weymouth",0.34,IF(B39="Platanes",0.5,IF(B39="Robinier faux acacia",0.58,IF(B39="Sapin méditerranéen",0.37,IF(B39="Sapin de Nordmann",0.37,IF(B39="Sapin pectiné",0.38,IF(B39="Sapin de Vancouver",0.36,IF(B39="Saules",0.37,IF(B39="Tamaris",0.53,IF(B39="Tilleuls",0.43,IF(B39="Tremble",0.38,IF(B39="Conifères (moyenne)",0.42,IF(B39="Feuillus (moyenne)",0.57,"")))))))))))))))))))))))))))))))))))))))))))))))))))))))))))))))))</f>
        <v/>
      </c>
      <c r="D39" s="25"/>
      <c r="E39" s="26" t="str">
        <f>IF(D39="Conifères (moyenne)",0.42,IF(D39="Feuillus (moyenne)",0.57,IF(D39="Moyenne",0.54,"")))</f>
        <v/>
      </c>
      <c r="F39" s="131" t="s">
        <v>208</v>
      </c>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123" ht="29" x14ac:dyDescent="0.35">
      <c r="A40" s="3" t="s">
        <v>178</v>
      </c>
      <c r="B40" s="27">
        <v>0</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row>
    <row r="41" spans="1:123" x14ac:dyDescent="0.35">
      <c r="A41" s="3" t="s">
        <v>8</v>
      </c>
      <c r="B41" s="27">
        <v>10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123" ht="56.5" x14ac:dyDescent="0.35">
      <c r="A42" s="3" t="s">
        <v>145</v>
      </c>
      <c r="B42" s="27">
        <v>5</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123" ht="43.5" x14ac:dyDescent="0.35">
      <c r="A43" s="3" t="s">
        <v>146</v>
      </c>
      <c r="B43" s="27">
        <v>0</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row>
    <row r="44" spans="1:123" ht="29" x14ac:dyDescent="0.35">
      <c r="A44" s="3" t="s">
        <v>189</v>
      </c>
      <c r="B44" s="27">
        <v>45</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row>
    <row r="45" spans="1:123" ht="58" x14ac:dyDescent="0.35">
      <c r="A45" s="3" t="s">
        <v>147</v>
      </c>
      <c r="B45" s="27">
        <v>70</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row>
    <row r="46" spans="1:123" ht="15" thickBot="1" x14ac:dyDescent="0.4">
      <c r="A46" s="161"/>
      <c r="B46" s="162"/>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row>
    <row r="47" spans="1:123" ht="44" thickBot="1" x14ac:dyDescent="0.4">
      <c r="A47" s="2" t="s">
        <v>140</v>
      </c>
      <c r="B47" s="127">
        <f>AF21-AF33</f>
        <v>718.16395062778224</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row>
    <row r="48" spans="1:123" ht="44" thickBot="1" x14ac:dyDescent="0.4">
      <c r="A48" s="2" t="s">
        <v>180</v>
      </c>
      <c r="B48" s="98">
        <f>(1/B11)*(SUM(B21:DR21))</f>
        <v>1609.6395673198522</v>
      </c>
      <c r="C48" s="100"/>
      <c r="D48" s="100"/>
      <c r="E48" s="100"/>
      <c r="F48" s="100"/>
      <c r="G48" s="100"/>
      <c r="H48" s="100"/>
      <c r="I48" s="100"/>
      <c r="J48" s="100"/>
      <c r="K48" s="100"/>
      <c r="L48" s="100"/>
      <c r="M48" s="100"/>
      <c r="N48" s="100"/>
      <c r="O48" s="100"/>
      <c r="P48" s="100"/>
      <c r="Q48" s="100"/>
      <c r="R48" s="100"/>
      <c r="S48" s="100"/>
      <c r="T48" s="100"/>
      <c r="U48" s="100"/>
      <c r="V48" s="100"/>
      <c r="W48" s="100"/>
      <c r="X48" s="100"/>
      <c r="Y48" s="100"/>
      <c r="Z48" s="100"/>
      <c r="AA48" s="100"/>
      <c r="AB48" s="100"/>
      <c r="AC48" s="100"/>
      <c r="AD48" s="100"/>
      <c r="AE48" s="100"/>
      <c r="AF48" s="100"/>
    </row>
    <row r="49" spans="1:32" ht="44" thickBot="1" x14ac:dyDescent="0.4">
      <c r="A49" s="2" t="s">
        <v>181</v>
      </c>
      <c r="B49" s="98">
        <f>((1/120)*(SUM(B33:DR33)))</f>
        <v>727.65000000000157</v>
      </c>
      <c r="C49" s="100"/>
      <c r="D49" s="100"/>
      <c r="E49" s="100"/>
      <c r="F49" s="100"/>
      <c r="G49" s="100"/>
      <c r="H49" s="100"/>
      <c r="I49" s="100"/>
      <c r="J49" s="100"/>
      <c r="K49" s="100"/>
      <c r="L49" s="100"/>
      <c r="M49" s="100"/>
      <c r="N49" s="100"/>
      <c r="O49" s="100"/>
      <c r="P49" s="100"/>
      <c r="Q49" s="100"/>
      <c r="R49" s="100"/>
      <c r="S49" s="100"/>
      <c r="T49" s="100"/>
      <c r="U49" s="100"/>
      <c r="V49" s="100"/>
      <c r="W49" s="100"/>
      <c r="X49" s="100"/>
      <c r="Y49" s="100"/>
      <c r="Z49" s="100"/>
      <c r="AA49" s="100"/>
      <c r="AB49" s="100"/>
      <c r="AC49" s="100"/>
      <c r="AD49" s="100"/>
      <c r="AE49" s="100"/>
      <c r="AF49" s="100"/>
    </row>
    <row r="50" spans="1:32" ht="58.5" thickBot="1" x14ac:dyDescent="0.4">
      <c r="A50" s="128" t="s">
        <v>182</v>
      </c>
      <c r="B50" s="129">
        <f>B48-B49</f>
        <v>881.98956731985061</v>
      </c>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row>
  </sheetData>
  <mergeCells count="3">
    <mergeCell ref="A46:B46"/>
    <mergeCell ref="A9:B9"/>
    <mergeCell ref="A36:B36"/>
  </mergeCell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5">
        <x14:dataValidation type="list" allowBlank="1" showInputMessage="1" showErrorMessage="1" prompt="Choisir l'essence pour avoir la di pour le scénario de référence">
          <x14:formula1>
            <xm:f>'Listes choix'!$C$65:$C$67</xm:f>
          </x14:formula1>
          <xm:sqref>D39</xm:sqref>
        </x14:dataValidation>
        <x14:dataValidation type="list" showInputMessage="1" showErrorMessage="1" prompt="Choisir l'essence pour avoir la di pour le scénario de projet">
          <x14:formula1>
            <xm:f>'Listes choix'!$C$2:$C$66</xm:f>
          </x14:formula1>
          <xm:sqref>B39</xm:sqref>
        </x14:dataValidation>
        <x14:dataValidation type="list" showInputMessage="1" showErrorMessage="1" prompt="Information nécessaire pour le calcul du stock de la Biomasse Aérienne du scénario de projet">
          <x14:formula1>
            <xm:f>'Listes choix'!$B$2:$B$3</xm:f>
          </x14:formula1>
          <xm:sqref>B12</xm:sqref>
        </x14:dataValidation>
        <x14:dataValidation type="list" showInputMessage="1" showErrorMessage="1" prompt="Choisir une de trois options">
          <x14:formula1>
            <xm:f>'Listes choix'!$A$71:$A$73</xm:f>
          </x14:formula1>
          <xm:sqref>B15</xm:sqref>
        </x14:dataValidation>
        <x14:dataValidation type="list" showInputMessage="1" showErrorMessage="1" prompt="Information nécessaire pour le scénario de référence">
          <x14:formula1>
            <xm:f>'Listes choix'!$T$2:$T$3</xm:f>
          </x14:formula1>
          <xm:sqref>B16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U31"/>
  <sheetViews>
    <sheetView topLeftCell="A6" zoomScale="66" zoomScaleNormal="82" workbookViewId="0">
      <selection activeCell="A21" sqref="A21"/>
    </sheetView>
  </sheetViews>
  <sheetFormatPr baseColWidth="10" defaultRowHeight="14.5" x14ac:dyDescent="0.35"/>
  <cols>
    <col min="1" max="1" width="36.81640625" style="1" customWidth="1"/>
    <col min="2" max="2" width="19.90625" customWidth="1"/>
    <col min="4" max="4" width="13.1796875" customWidth="1"/>
    <col min="27" max="27" width="13.54296875" bestFit="1" customWidth="1"/>
    <col min="28" max="32" width="12.54296875" bestFit="1" customWidth="1"/>
  </cols>
  <sheetData>
    <row r="1" spans="1:177" ht="47" customHeight="1" x14ac:dyDescent="0.35">
      <c r="A1" s="167" t="s">
        <v>211</v>
      </c>
      <c r="B1" s="167"/>
      <c r="C1" s="167"/>
      <c r="D1" s="107"/>
    </row>
    <row r="4" spans="1:177" ht="16" thickBot="1" x14ac:dyDescent="0.4">
      <c r="A4" s="19"/>
      <c r="B4" s="7"/>
    </row>
    <row r="5" spans="1:177" ht="47" thickBot="1" x14ac:dyDescent="0.4">
      <c r="A5" s="20" t="s">
        <v>212</v>
      </c>
      <c r="B5" s="103">
        <f>(SUM(B14:AF14)/30)*(44/12)</f>
        <v>8.3144395642274862</v>
      </c>
    </row>
    <row r="7" spans="1:177" ht="15" thickBot="1" x14ac:dyDescent="0.4"/>
    <row r="8" spans="1:177" x14ac:dyDescent="0.35">
      <c r="A8" s="163" t="s">
        <v>12</v>
      </c>
      <c r="B8" s="164"/>
    </row>
    <row r="9" spans="1:177" ht="15" thickBot="1" x14ac:dyDescent="0.4">
      <c r="A9" s="4" t="s">
        <v>14</v>
      </c>
      <c r="B9" s="21">
        <v>30</v>
      </c>
    </row>
    <row r="10" spans="1:177" ht="15" thickBot="1" x14ac:dyDescent="0.4"/>
    <row r="11" spans="1:177" s="5" customFormat="1" ht="15.5" x14ac:dyDescent="0.35">
      <c r="A11" s="172" t="s">
        <v>1</v>
      </c>
      <c r="B11" s="173"/>
      <c r="C11" s="173"/>
      <c r="D11" s="173"/>
      <c r="E11" s="173"/>
      <c r="F11" s="173"/>
      <c r="G11" s="173"/>
      <c r="H11" s="173"/>
      <c r="I11" s="173"/>
      <c r="J11" s="173"/>
      <c r="K11" s="173"/>
      <c r="L11" s="173"/>
      <c r="M11" s="173"/>
      <c r="N11" s="173"/>
      <c r="O11" s="173"/>
      <c r="P11" s="173"/>
      <c r="Q11" s="173"/>
      <c r="R11" s="173"/>
      <c r="S11" s="173"/>
      <c r="T11" s="173"/>
      <c r="U11" s="173"/>
      <c r="V11" s="173"/>
      <c r="W11" s="173"/>
      <c r="X11" s="173"/>
      <c r="Y11" s="173"/>
      <c r="Z11" s="173"/>
      <c r="AA11" s="173"/>
      <c r="AB11" s="173"/>
      <c r="AC11" s="173"/>
      <c r="AD11" s="173"/>
      <c r="AE11" s="173"/>
      <c r="AF11" s="174"/>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row>
    <row r="12" spans="1:177" ht="29" x14ac:dyDescent="0.35">
      <c r="A12" s="3" t="s">
        <v>160</v>
      </c>
      <c r="B12" s="12">
        <v>0</v>
      </c>
      <c r="C12" s="12">
        <v>1</v>
      </c>
      <c r="D12" s="12">
        <v>2</v>
      </c>
      <c r="E12" s="12">
        <v>3</v>
      </c>
      <c r="F12" s="12">
        <v>4</v>
      </c>
      <c r="G12" s="12">
        <v>5</v>
      </c>
      <c r="H12" s="12">
        <v>6</v>
      </c>
      <c r="I12" s="12">
        <v>7</v>
      </c>
      <c r="J12" s="12">
        <v>8</v>
      </c>
      <c r="K12" s="12">
        <v>9</v>
      </c>
      <c r="L12" s="12">
        <v>10</v>
      </c>
      <c r="M12" s="12">
        <v>11</v>
      </c>
      <c r="N12" s="12">
        <v>12</v>
      </c>
      <c r="O12" s="12">
        <v>13</v>
      </c>
      <c r="P12" s="12">
        <v>14</v>
      </c>
      <c r="Q12" s="12">
        <v>15</v>
      </c>
      <c r="R12" s="12">
        <v>16</v>
      </c>
      <c r="S12" s="12">
        <v>17</v>
      </c>
      <c r="T12" s="12">
        <v>18</v>
      </c>
      <c r="U12" s="12">
        <v>19</v>
      </c>
      <c r="V12" s="12">
        <v>20</v>
      </c>
      <c r="W12" s="12">
        <v>21</v>
      </c>
      <c r="X12" s="12">
        <v>22</v>
      </c>
      <c r="Y12" s="12">
        <v>23</v>
      </c>
      <c r="Z12" s="12">
        <v>24</v>
      </c>
      <c r="AA12" s="139">
        <v>25</v>
      </c>
      <c r="AB12" s="12">
        <v>26</v>
      </c>
      <c r="AC12" s="12">
        <v>27</v>
      </c>
      <c r="AD12" s="12">
        <v>28</v>
      </c>
      <c r="AE12" s="12">
        <v>29</v>
      </c>
      <c r="AF12" s="27">
        <v>30</v>
      </c>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row>
    <row r="13" spans="1:177" s="5" customFormat="1" x14ac:dyDescent="0.35">
      <c r="A13" s="175" t="s">
        <v>3</v>
      </c>
      <c r="B13" s="176"/>
      <c r="C13" s="176"/>
      <c r="D13" s="176"/>
      <c r="E13" s="176"/>
      <c r="F13" s="176"/>
      <c r="G13" s="176"/>
      <c r="H13" s="176"/>
      <c r="I13" s="176"/>
      <c r="J13" s="176"/>
      <c r="K13" s="176"/>
      <c r="L13" s="176"/>
      <c r="M13" s="176"/>
      <c r="N13" s="176"/>
      <c r="O13" s="176"/>
      <c r="P13" s="176"/>
      <c r="Q13" s="176"/>
      <c r="R13" s="176"/>
      <c r="S13" s="176"/>
      <c r="T13" s="176"/>
      <c r="U13" s="176"/>
      <c r="V13" s="176"/>
      <c r="W13" s="176"/>
      <c r="X13" s="176"/>
      <c r="Y13" s="176"/>
      <c r="Z13" s="176"/>
      <c r="AA13" s="176"/>
      <c r="AB13" s="176"/>
      <c r="AC13" s="176"/>
      <c r="AD13" s="176"/>
      <c r="AE13" s="176"/>
      <c r="AF13" s="177"/>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row>
    <row r="14" spans="1:177" x14ac:dyDescent="0.35">
      <c r="A14" s="3" t="s">
        <v>210</v>
      </c>
      <c r="B14" s="12">
        <f>B15*0.5</f>
        <v>0</v>
      </c>
      <c r="C14" s="12">
        <f t="shared" ref="C14:AE14" si="0">C15*0.5</f>
        <v>0</v>
      </c>
      <c r="D14" s="12">
        <f t="shared" si="0"/>
        <v>0</v>
      </c>
      <c r="E14" s="12">
        <f t="shared" si="0"/>
        <v>0</v>
      </c>
      <c r="F14" s="12">
        <f t="shared" si="0"/>
        <v>0</v>
      </c>
      <c r="G14" s="12">
        <f t="shared" si="0"/>
        <v>0</v>
      </c>
      <c r="H14" s="12">
        <f t="shared" si="0"/>
        <v>0</v>
      </c>
      <c r="I14" s="12">
        <f t="shared" si="0"/>
        <v>0</v>
      </c>
      <c r="J14" s="12">
        <f t="shared" si="0"/>
        <v>0</v>
      </c>
      <c r="K14" s="12">
        <f t="shared" si="0"/>
        <v>0</v>
      </c>
      <c r="L14" s="12">
        <f t="shared" si="0"/>
        <v>0</v>
      </c>
      <c r="M14" s="12">
        <f t="shared" si="0"/>
        <v>0</v>
      </c>
      <c r="N14" s="12">
        <f t="shared" si="0"/>
        <v>0</v>
      </c>
      <c r="O14" s="12">
        <f t="shared" si="0"/>
        <v>0</v>
      </c>
      <c r="P14" s="12">
        <f t="shared" si="0"/>
        <v>0</v>
      </c>
      <c r="Q14" s="12">
        <f t="shared" si="0"/>
        <v>0</v>
      </c>
      <c r="R14" s="12">
        <f t="shared" si="0"/>
        <v>0</v>
      </c>
      <c r="S14" s="12">
        <f t="shared" si="0"/>
        <v>0</v>
      </c>
      <c r="T14" s="12">
        <f t="shared" si="0"/>
        <v>0</v>
      </c>
      <c r="U14" s="12">
        <f t="shared" si="0"/>
        <v>0</v>
      </c>
      <c r="V14" s="12">
        <f t="shared" si="0"/>
        <v>0</v>
      </c>
      <c r="W14" s="12">
        <f t="shared" si="0"/>
        <v>0</v>
      </c>
      <c r="X14" s="12">
        <f t="shared" si="0"/>
        <v>0</v>
      </c>
      <c r="Y14" s="12">
        <f t="shared" si="0"/>
        <v>0</v>
      </c>
      <c r="Z14" s="12">
        <f t="shared" si="0"/>
        <v>0</v>
      </c>
      <c r="AA14" s="97">
        <f t="shared" si="0"/>
        <v>0</v>
      </c>
      <c r="AB14" s="97">
        <f t="shared" si="0"/>
        <v>17.612173932507279</v>
      </c>
      <c r="AC14" s="97">
        <f t="shared" si="0"/>
        <v>15.332287937813526</v>
      </c>
      <c r="AD14" s="97">
        <f t="shared" si="0"/>
        <v>13.347531900881934</v>
      </c>
      <c r="AE14" s="97">
        <f t="shared" si="0"/>
        <v>11.619701414925755</v>
      </c>
      <c r="AF14" s="124">
        <f>AF15*0.5</f>
        <v>10.115537612096386</v>
      </c>
      <c r="AG14" s="55"/>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row>
    <row r="15" spans="1:177" x14ac:dyDescent="0.35">
      <c r="A15" s="93" t="s">
        <v>186</v>
      </c>
      <c r="B15" s="12">
        <v>0</v>
      </c>
      <c r="C15" s="31">
        <f>C16+B17</f>
        <v>0</v>
      </c>
      <c r="D15" s="31">
        <f>D16+C17</f>
        <v>0</v>
      </c>
      <c r="E15" s="31">
        <f t="shared" ref="E15:AF15" si="1">E16+D17</f>
        <v>0</v>
      </c>
      <c r="F15" s="31">
        <f t="shared" si="1"/>
        <v>0</v>
      </c>
      <c r="G15" s="31">
        <f t="shared" si="1"/>
        <v>0</v>
      </c>
      <c r="H15" s="31">
        <f t="shared" si="1"/>
        <v>0</v>
      </c>
      <c r="I15" s="31">
        <f t="shared" si="1"/>
        <v>0</v>
      </c>
      <c r="J15" s="31">
        <f t="shared" si="1"/>
        <v>0</v>
      </c>
      <c r="K15" s="31">
        <f>K16+J17</f>
        <v>0</v>
      </c>
      <c r="L15" s="31">
        <f t="shared" si="1"/>
        <v>0</v>
      </c>
      <c r="M15" s="31">
        <f t="shared" si="1"/>
        <v>0</v>
      </c>
      <c r="N15" s="31">
        <f t="shared" si="1"/>
        <v>0</v>
      </c>
      <c r="O15" s="31">
        <f t="shared" si="1"/>
        <v>0</v>
      </c>
      <c r="P15" s="31">
        <f t="shared" si="1"/>
        <v>0</v>
      </c>
      <c r="Q15" s="31">
        <f t="shared" si="1"/>
        <v>0</v>
      </c>
      <c r="R15" s="31">
        <f t="shared" si="1"/>
        <v>0</v>
      </c>
      <c r="S15" s="31">
        <f t="shared" si="1"/>
        <v>0</v>
      </c>
      <c r="T15" s="31">
        <f t="shared" si="1"/>
        <v>0</v>
      </c>
      <c r="U15" s="31">
        <f t="shared" si="1"/>
        <v>0</v>
      </c>
      <c r="V15" s="31">
        <f t="shared" si="1"/>
        <v>0</v>
      </c>
      <c r="W15" s="31">
        <f t="shared" si="1"/>
        <v>0</v>
      </c>
      <c r="X15" s="31">
        <f t="shared" si="1"/>
        <v>0</v>
      </c>
      <c r="Y15" s="31">
        <f t="shared" si="1"/>
        <v>0</v>
      </c>
      <c r="Z15" s="31">
        <f t="shared" si="1"/>
        <v>0</v>
      </c>
      <c r="AA15" s="97">
        <f>AA16+Z17</f>
        <v>0</v>
      </c>
      <c r="AB15" s="97">
        <f t="shared" si="1"/>
        <v>35.224347865014558</v>
      </c>
      <c r="AC15" s="97">
        <f t="shared" si="1"/>
        <v>30.664575875627051</v>
      </c>
      <c r="AD15" s="97">
        <f t="shared" si="1"/>
        <v>26.695063801763869</v>
      </c>
      <c r="AE15" s="97">
        <f t="shared" si="1"/>
        <v>23.23940282985151</v>
      </c>
      <c r="AF15" s="147">
        <f t="shared" si="1"/>
        <v>20.231075224192772</v>
      </c>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row>
    <row r="16" spans="1:177" ht="29" x14ac:dyDescent="0.35">
      <c r="A16" s="93" t="s">
        <v>187</v>
      </c>
      <c r="B16" s="12">
        <v>0</v>
      </c>
      <c r="C16" s="31">
        <f t="shared" ref="C16:AF16" si="2">(EXP(-$C$29))*B15</f>
        <v>0</v>
      </c>
      <c r="D16" s="31">
        <f t="shared" si="2"/>
        <v>0</v>
      </c>
      <c r="E16" s="31">
        <f t="shared" si="2"/>
        <v>0</v>
      </c>
      <c r="F16" s="31">
        <f t="shared" si="2"/>
        <v>0</v>
      </c>
      <c r="G16" s="31">
        <f t="shared" si="2"/>
        <v>0</v>
      </c>
      <c r="H16" s="31">
        <f t="shared" si="2"/>
        <v>0</v>
      </c>
      <c r="I16" s="31">
        <f t="shared" si="2"/>
        <v>0</v>
      </c>
      <c r="J16" s="31">
        <f t="shared" si="2"/>
        <v>0</v>
      </c>
      <c r="K16" s="31">
        <f t="shared" si="2"/>
        <v>0</v>
      </c>
      <c r="L16" s="31">
        <f t="shared" si="2"/>
        <v>0</v>
      </c>
      <c r="M16" s="31">
        <f t="shared" si="2"/>
        <v>0</v>
      </c>
      <c r="N16" s="31">
        <f t="shared" si="2"/>
        <v>0</v>
      </c>
      <c r="O16" s="31">
        <f t="shared" si="2"/>
        <v>0</v>
      </c>
      <c r="P16" s="31">
        <f t="shared" si="2"/>
        <v>0</v>
      </c>
      <c r="Q16" s="31">
        <f t="shared" si="2"/>
        <v>0</v>
      </c>
      <c r="R16" s="31">
        <f t="shared" si="2"/>
        <v>0</v>
      </c>
      <c r="S16" s="31">
        <f t="shared" si="2"/>
        <v>0</v>
      </c>
      <c r="T16" s="31">
        <f t="shared" si="2"/>
        <v>0</v>
      </c>
      <c r="U16" s="31">
        <f t="shared" si="2"/>
        <v>0</v>
      </c>
      <c r="V16" s="31">
        <f t="shared" si="2"/>
        <v>0</v>
      </c>
      <c r="W16" s="31">
        <f t="shared" si="2"/>
        <v>0</v>
      </c>
      <c r="X16" s="31">
        <f t="shared" si="2"/>
        <v>0</v>
      </c>
      <c r="Y16" s="31">
        <f t="shared" si="2"/>
        <v>0</v>
      </c>
      <c r="Z16" s="31">
        <f t="shared" si="2"/>
        <v>0</v>
      </c>
      <c r="AA16" s="97">
        <f t="shared" si="2"/>
        <v>0</v>
      </c>
      <c r="AB16" s="97">
        <f t="shared" si="2"/>
        <v>0</v>
      </c>
      <c r="AC16" s="97">
        <f t="shared" si="2"/>
        <v>30.664575875627051</v>
      </c>
      <c r="AD16" s="97">
        <f t="shared" si="2"/>
        <v>26.695063801763869</v>
      </c>
      <c r="AE16" s="97">
        <f t="shared" si="2"/>
        <v>23.23940282985151</v>
      </c>
      <c r="AF16" s="147">
        <f t="shared" si="2"/>
        <v>20.231075224192772</v>
      </c>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row>
    <row r="17" spans="1:177" ht="43.5" x14ac:dyDescent="0.35">
      <c r="A17" s="93" t="s">
        <v>188</v>
      </c>
      <c r="B17" s="12">
        <f t="shared" ref="B17:AF17" si="3">((1-EXP(-$C$29))/$C$29)*(B18*$C$21*$B$20)</f>
        <v>0</v>
      </c>
      <c r="C17" s="12">
        <f t="shared" si="3"/>
        <v>0</v>
      </c>
      <c r="D17" s="12">
        <f t="shared" si="3"/>
        <v>0</v>
      </c>
      <c r="E17" s="12">
        <f t="shared" si="3"/>
        <v>0</v>
      </c>
      <c r="F17" s="12">
        <f t="shared" si="3"/>
        <v>0</v>
      </c>
      <c r="G17" s="12">
        <f t="shared" si="3"/>
        <v>0</v>
      </c>
      <c r="H17" s="12">
        <f t="shared" si="3"/>
        <v>0</v>
      </c>
      <c r="I17" s="12">
        <f t="shared" si="3"/>
        <v>0</v>
      </c>
      <c r="J17" s="12">
        <f t="shared" si="3"/>
        <v>0</v>
      </c>
      <c r="K17" s="12">
        <f t="shared" si="3"/>
        <v>0</v>
      </c>
      <c r="L17" s="12">
        <f t="shared" si="3"/>
        <v>0</v>
      </c>
      <c r="M17" s="12">
        <f t="shared" si="3"/>
        <v>0</v>
      </c>
      <c r="N17" s="12">
        <f t="shared" si="3"/>
        <v>0</v>
      </c>
      <c r="O17" s="12">
        <f t="shared" si="3"/>
        <v>0</v>
      </c>
      <c r="P17" s="12">
        <f t="shared" si="3"/>
        <v>0</v>
      </c>
      <c r="Q17" s="12">
        <f t="shared" si="3"/>
        <v>0</v>
      </c>
      <c r="R17" s="12">
        <f t="shared" si="3"/>
        <v>0</v>
      </c>
      <c r="S17" s="12">
        <f t="shared" si="3"/>
        <v>0</v>
      </c>
      <c r="T17" s="12">
        <f t="shared" si="3"/>
        <v>0</v>
      </c>
      <c r="U17" s="12">
        <f t="shared" si="3"/>
        <v>0</v>
      </c>
      <c r="V17" s="12">
        <f t="shared" si="3"/>
        <v>0</v>
      </c>
      <c r="W17" s="12">
        <f t="shared" si="3"/>
        <v>0</v>
      </c>
      <c r="X17" s="12">
        <f t="shared" si="3"/>
        <v>0</v>
      </c>
      <c r="Y17" s="12">
        <f t="shared" si="3"/>
        <v>0</v>
      </c>
      <c r="Z17" s="12">
        <f t="shared" si="3"/>
        <v>0</v>
      </c>
      <c r="AA17" s="97">
        <f t="shared" si="3"/>
        <v>35.224347865014558</v>
      </c>
      <c r="AB17" s="97">
        <f t="shared" si="3"/>
        <v>0</v>
      </c>
      <c r="AC17" s="97">
        <f t="shared" si="3"/>
        <v>0</v>
      </c>
      <c r="AD17" s="97">
        <f t="shared" si="3"/>
        <v>0</v>
      </c>
      <c r="AE17" s="97">
        <f t="shared" si="3"/>
        <v>0</v>
      </c>
      <c r="AF17" s="147">
        <f t="shared" si="3"/>
        <v>0</v>
      </c>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row>
    <row r="18" spans="1:177" ht="15" thickBot="1" x14ac:dyDescent="0.4">
      <c r="A18" s="18" t="s">
        <v>209</v>
      </c>
      <c r="B18" s="17"/>
      <c r="C18" s="59"/>
      <c r="D18" s="59"/>
      <c r="E18" s="59"/>
      <c r="F18" s="59"/>
      <c r="G18" s="59"/>
      <c r="H18" s="59"/>
      <c r="I18" s="59"/>
      <c r="J18" s="59"/>
      <c r="K18" s="59"/>
      <c r="L18" s="59"/>
      <c r="M18" s="59"/>
      <c r="N18" s="59"/>
      <c r="O18" s="59"/>
      <c r="P18" s="59"/>
      <c r="Q18" s="59"/>
      <c r="R18" s="59"/>
      <c r="S18" s="59"/>
      <c r="T18" s="59"/>
      <c r="U18" s="59"/>
      <c r="V18" s="59"/>
      <c r="W18" s="59"/>
      <c r="X18" s="59"/>
      <c r="Y18" s="59"/>
      <c r="Z18" s="59"/>
      <c r="AA18" s="144">
        <f>(60*(356/1.56))/100</f>
        <v>136.92307692307691</v>
      </c>
      <c r="AB18" s="144"/>
      <c r="AC18" s="144"/>
      <c r="AD18" s="144"/>
      <c r="AE18" s="144"/>
      <c r="AF18" s="148"/>
    </row>
    <row r="19" spans="1:177" x14ac:dyDescent="0.35">
      <c r="A19" s="178" t="s">
        <v>10</v>
      </c>
      <c r="B19" s="179"/>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row>
    <row r="20" spans="1:177" ht="29.5" thickBot="1" x14ac:dyDescent="0.4">
      <c r="A20" s="3" t="s">
        <v>4</v>
      </c>
      <c r="B20" s="27">
        <v>0.47499999999999998</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1:177" ht="29" x14ac:dyDescent="0.35">
      <c r="A21" s="3" t="s">
        <v>6</v>
      </c>
      <c r="B21" s="23" t="s">
        <v>85</v>
      </c>
      <c r="C21" s="145">
        <f>IF(B21="Alisier torminal",0.62,IF(B21="Arbousier",0.64,IF(B21="Aulne vert",0.42,IF(B21="Grands aulnes",0.42,IF(B21="Bouleaux",0.52,IF(B21="Cèdre de l’Atlas",0.36,IF(B21="Charme",0.61,IF(B21="Charme-houblon",0.66,IF(B21="Châtaignier",0.47,IF(B21="Chêne chevelu",0.67,IF(B21="Chêne-liège",0.7,IF(B21="Chêne pédonculé",0.54,IF(B21="Chêne pubescent",0.65,IF(B21="Chêne rouge d’Amérique",0.56,IF(B21="Chêne rouvre (sessile)",0.58,IF(B21="Chêne tauzin",0.64,IF(B21="Chêne vert",0.73,IF(B21="Chênes indifférenciés",0.56,IF(B21="Cornouiller mâle",0.74,IF(B21="Cyprès",0.4,IF(B21="Cytise aubour",0.6,IF(B21="Douglas",0.43,IF(B21="Epicéa commun",0.37,IF(B21="Epicéa de Sitka",0.36,IF(B21="Grands érables",0.51,IF(B21="Petits érables",0.56,IF(B21="Eucalyptus",0.56,IF(B21="Genévrier thurifère",0.48,IF(B21="Hêtre",0.55,IF(B21="Frênes",0.56,IF(B21="Fruitiers",0.58,IF(B21="If",0.58,IF(B21="Mélèze d’Europe",0.48,IF(B21="Mélèze du Japon",0.42,IF(B21="Merisier",0.5,IF(B21="Micocoulier",0.55,IF(B21="Mûrier",0.53,IF(B21="Noisetier",0.52,IF(B21="Noyer",0.52,IF(B21="Olivier",0.75,IF(B21="Ormes",0.52,IF(B21="Peupliers cultivés",0.35,IF(B21="Peupliers non cultivés",0.37,IF(B21="Pin d'Alep",0.45,IF(B21="Pin cembro",0.39,IF(B21="Pin à crochets",0.44,IF(B21="Pin laricio",0.46,IF(B21="Pin maritime",0.46,IF(B21="Pin mugho",0.44,IF(B21="Pin noir d'Autriche",0.46,IF(B21="Pin pignon",0.48,IF(B21="Pin sylvestre",0.44,IF(B21="Pin Weymouth",0.34,IF(B21="Platanes",0.5,IF(B21="Robinier faux acacia",0.58,IF(B21="Sapin méditerranéen",0.37,IF(B21="Sapin de Nordmann",0.37,IF(B21="Sapin pectiné",0.38,IF(B21="Sapin de Vancouver",0.36,IF(B21="Saules",0.37,IF(B21="Tamaris",0.53,IF(B21="Tilleuls",0.43,IF(B21="Tremble",0.38,IF(B21="Conifères (moyenne)",0.42,IF(B21="Feuillus (moyenne)",0.57,0)))))))))))))))))))))))))))))))))))))))))))))))))))))))))))))))))</f>
        <v>0.57999999999999996</v>
      </c>
      <c r="D21" s="57"/>
      <c r="E21" s="15"/>
      <c r="F21" s="7"/>
      <c r="G21" s="7"/>
      <c r="H21" s="7"/>
      <c r="I21" s="7"/>
      <c r="J21" s="7"/>
      <c r="K21" s="7"/>
      <c r="L21" s="7"/>
      <c r="M21" s="7"/>
      <c r="N21" s="7"/>
      <c r="O21" s="7"/>
      <c r="P21" s="7"/>
      <c r="Q21" s="7"/>
      <c r="R21" s="7"/>
      <c r="S21" s="7"/>
      <c r="T21" s="7"/>
      <c r="U21" s="7"/>
      <c r="V21" s="7"/>
      <c r="W21" s="7"/>
      <c r="X21" s="7"/>
      <c r="Y21" s="7"/>
      <c r="Z21" s="7"/>
      <c r="AA21" s="7"/>
      <c r="AB21" s="7"/>
      <c r="AC21" s="7"/>
      <c r="AD21" s="7"/>
      <c r="AE21" s="7"/>
      <c r="AF21" s="7"/>
    </row>
    <row r="22" spans="1:177" ht="14.5" customHeight="1" x14ac:dyDescent="0.35">
      <c r="A22" s="168" t="s">
        <v>86</v>
      </c>
      <c r="B22" s="12" t="s">
        <v>89</v>
      </c>
      <c r="C22" s="27">
        <v>35</v>
      </c>
      <c r="D22" s="15"/>
      <c r="E22" s="15"/>
      <c r="F22" s="7"/>
      <c r="G22" s="7"/>
      <c r="H22" s="7"/>
      <c r="I22" s="7"/>
      <c r="J22" s="7"/>
      <c r="K22" s="7"/>
      <c r="L22" s="7"/>
      <c r="M22" s="7"/>
      <c r="N22" s="7"/>
      <c r="O22" s="7"/>
      <c r="P22" s="7"/>
      <c r="Q22" s="7"/>
      <c r="R22" s="7"/>
      <c r="S22" s="7"/>
      <c r="T22" s="7"/>
      <c r="U22" s="7"/>
      <c r="V22" s="7"/>
      <c r="W22" s="7"/>
      <c r="X22" s="7"/>
      <c r="Y22" s="7"/>
      <c r="Z22" s="7"/>
      <c r="AA22" s="7"/>
      <c r="AB22" s="7"/>
      <c r="AC22" s="7"/>
      <c r="AD22" s="7"/>
      <c r="AE22" s="7"/>
      <c r="AF22" s="7"/>
    </row>
    <row r="23" spans="1:177" x14ac:dyDescent="0.35">
      <c r="A23" s="169"/>
      <c r="B23" s="12" t="s">
        <v>90</v>
      </c>
      <c r="C23" s="27">
        <v>25</v>
      </c>
      <c r="D23" s="15"/>
      <c r="E23" s="15"/>
      <c r="F23" s="7"/>
      <c r="G23" s="7"/>
      <c r="H23" s="7"/>
      <c r="I23" s="7"/>
      <c r="J23" s="7"/>
      <c r="K23" s="7"/>
      <c r="L23" s="7"/>
      <c r="M23" s="7"/>
      <c r="N23" s="7"/>
      <c r="O23" s="7"/>
      <c r="P23" s="7"/>
      <c r="Q23" s="7"/>
      <c r="R23" s="7"/>
      <c r="S23" s="7"/>
      <c r="T23" s="7"/>
      <c r="U23" s="7"/>
      <c r="V23" s="7"/>
      <c r="W23" s="7"/>
      <c r="X23" s="7"/>
      <c r="Y23" s="7"/>
      <c r="Z23" s="7"/>
      <c r="AA23" s="7"/>
      <c r="AB23" s="7"/>
      <c r="AC23" s="7"/>
      <c r="AD23" s="7"/>
      <c r="AE23" s="7"/>
      <c r="AF23" s="7"/>
    </row>
    <row r="24" spans="1:177" x14ac:dyDescent="0.35">
      <c r="A24" s="169"/>
      <c r="B24" s="12" t="s">
        <v>91</v>
      </c>
      <c r="C24" s="27">
        <v>2</v>
      </c>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row>
    <row r="25" spans="1:177" x14ac:dyDescent="0.35">
      <c r="A25" s="171"/>
      <c r="B25" s="28" t="s">
        <v>149</v>
      </c>
      <c r="C25" s="60">
        <v>5</v>
      </c>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row>
    <row r="26" spans="1:177" ht="29" customHeight="1" x14ac:dyDescent="0.35">
      <c r="A26" s="168" t="s">
        <v>92</v>
      </c>
      <c r="B26" s="28" t="s">
        <v>89</v>
      </c>
      <c r="C26" s="29">
        <f>LN(2)/C22</f>
        <v>1.980420515885558E-2</v>
      </c>
      <c r="D26" s="100"/>
      <c r="E26" s="100"/>
      <c r="F26" s="100"/>
      <c r="G26" s="100"/>
      <c r="H26" s="100"/>
      <c r="I26" s="100"/>
      <c r="J26" s="100"/>
      <c r="K26" s="100"/>
      <c r="L26" s="100"/>
      <c r="M26" s="100"/>
      <c r="N26" s="100"/>
      <c r="O26" s="100"/>
      <c r="P26" s="100"/>
      <c r="Q26" s="100"/>
      <c r="R26" s="100"/>
      <c r="S26" s="100"/>
      <c r="T26" s="100"/>
      <c r="U26" s="100"/>
      <c r="V26" s="100"/>
      <c r="W26" s="100"/>
      <c r="X26" s="100"/>
      <c r="Y26" s="100"/>
      <c r="Z26" s="100"/>
      <c r="AA26" s="100"/>
      <c r="AB26" s="100"/>
      <c r="AC26" s="100"/>
      <c r="AD26" s="100"/>
      <c r="AE26" s="100"/>
      <c r="AF26" s="100"/>
    </row>
    <row r="27" spans="1:177" x14ac:dyDescent="0.35">
      <c r="A27" s="169"/>
      <c r="B27" s="12" t="s">
        <v>90</v>
      </c>
      <c r="C27" s="29">
        <f>LN(2)/C23</f>
        <v>2.7725887222397813E-2</v>
      </c>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row>
    <row r="28" spans="1:177" x14ac:dyDescent="0.35">
      <c r="A28" s="169"/>
      <c r="B28" s="61" t="s">
        <v>91</v>
      </c>
      <c r="C28" s="62">
        <f>LN(2)/C24</f>
        <v>0.34657359027997264</v>
      </c>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row>
    <row r="29" spans="1:177" ht="15" thickBot="1" x14ac:dyDescent="0.4">
      <c r="A29" s="170"/>
      <c r="B29" s="24" t="s">
        <v>149</v>
      </c>
      <c r="C29" s="30">
        <f>LN(2)/C25</f>
        <v>0.13862943611198905</v>
      </c>
      <c r="D29" s="100"/>
      <c r="E29" s="100"/>
      <c r="F29" s="100"/>
      <c r="G29" s="100"/>
      <c r="H29" s="100"/>
      <c r="I29" s="100"/>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row>
    <row r="30" spans="1:177" x14ac:dyDescent="0.35">
      <c r="A30" s="8"/>
      <c r="B30" s="106"/>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row>
    <row r="31" spans="1:177" x14ac:dyDescent="0.35">
      <c r="A31" s="8"/>
      <c r="B31" s="106"/>
      <c r="C31" s="100"/>
      <c r="D31" s="100"/>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row>
  </sheetData>
  <mergeCells count="7">
    <mergeCell ref="A1:C1"/>
    <mergeCell ref="A26:A29"/>
    <mergeCell ref="A22:A25"/>
    <mergeCell ref="A8:B8"/>
    <mergeCell ref="A11:AF11"/>
    <mergeCell ref="A13:AF13"/>
    <mergeCell ref="A19:B19"/>
  </mergeCells>
  <conditionalFormatting sqref="B14:AF18">
    <cfRule type="cellIs" dxfId="0" priority="2" operator="greaterThan">
      <formula>0</formula>
    </cfRule>
  </conditionalFormatting>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Choisir l'essence pour avoir la di pour le scénario de référence">
          <x14:formula1>
            <xm:f>'Listes choix'!$C$2:$C$66</xm:f>
          </x14:formula1>
          <xm:sqref>D21:D23</xm:sqref>
        </x14:dataValidation>
        <x14:dataValidation type="list" showInputMessage="1" showErrorMessage="1" prompt="Choisir l'essence pour avoir la di pour le scénario de projet">
          <x14:formula1>
            <xm:f>'Listes choix'!$C$2:$C$66</xm:f>
          </x14:formula1>
          <xm:sqref>B21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FU28"/>
  <sheetViews>
    <sheetView zoomScale="60" zoomScaleNormal="60" workbookViewId="0">
      <selection activeCell="Z25" sqref="Z25"/>
    </sheetView>
  </sheetViews>
  <sheetFormatPr baseColWidth="10" defaultRowHeight="14.5" x14ac:dyDescent="0.35"/>
  <cols>
    <col min="1" max="1" width="38.08984375" style="1" customWidth="1"/>
    <col min="2" max="2" width="27.08984375" customWidth="1"/>
    <col min="4" max="4" width="13.1796875" customWidth="1"/>
    <col min="26" max="26" width="13.36328125" bestFit="1" customWidth="1"/>
    <col min="27" max="27" width="12.36328125" bestFit="1" customWidth="1"/>
  </cols>
  <sheetData>
    <row r="4" spans="1:177" ht="16" thickBot="1" x14ac:dyDescent="0.4">
      <c r="A4" s="19"/>
      <c r="B4" s="7"/>
    </row>
    <row r="5" spans="1:177" ht="16" thickBot="1" x14ac:dyDescent="0.4">
      <c r="A5" s="20" t="s">
        <v>93</v>
      </c>
      <c r="B5" s="103">
        <f>SUM(B18:AE18)</f>
        <v>61.051282051282044</v>
      </c>
    </row>
    <row r="6" spans="1:177" ht="16" thickBot="1" x14ac:dyDescent="0.4">
      <c r="A6" s="20" t="s">
        <v>183</v>
      </c>
      <c r="B6" s="103">
        <f>B5/B10</f>
        <v>16.500346500346499</v>
      </c>
    </row>
    <row r="8" spans="1:177" ht="15" thickBot="1" x14ac:dyDescent="0.4"/>
    <row r="9" spans="1:177" ht="15" thickBot="1" x14ac:dyDescent="0.4">
      <c r="A9" s="163" t="s">
        <v>12</v>
      </c>
      <c r="B9" s="164"/>
    </row>
    <row r="10" spans="1:177" x14ac:dyDescent="0.35">
      <c r="A10" s="2" t="s">
        <v>7</v>
      </c>
      <c r="B10" s="94">
        <v>3.7</v>
      </c>
    </row>
    <row r="11" spans="1:177" x14ac:dyDescent="0.35">
      <c r="A11" s="99" t="s">
        <v>14</v>
      </c>
      <c r="B11" s="102">
        <v>30</v>
      </c>
    </row>
    <row r="12" spans="1:177" x14ac:dyDescent="0.35">
      <c r="A12" s="3" t="s">
        <v>106</v>
      </c>
      <c r="B12" s="36" t="s">
        <v>17</v>
      </c>
    </row>
    <row r="13" spans="1:177" ht="36" customHeight="1" thickBot="1" x14ac:dyDescent="0.4">
      <c r="A13" s="4" t="s">
        <v>161</v>
      </c>
      <c r="B13" s="40">
        <f>IF(B12="Feuillus",C25,IF(B12="Peuplier",C26,IF(B12="Résineux",C28,IF(B12="Pin maritime en gestion dynamique (3 éclaircies durant les 30 1ères années)",C27,0))))</f>
        <v>0.25</v>
      </c>
    </row>
    <row r="14" spans="1:177" ht="15" thickBot="1" x14ac:dyDescent="0.4">
      <c r="AF14" s="7"/>
    </row>
    <row r="15" spans="1:177" s="5" customFormat="1" ht="15.5" x14ac:dyDescent="0.35">
      <c r="A15" s="172" t="s">
        <v>94</v>
      </c>
      <c r="B15" s="173"/>
      <c r="C15" s="173"/>
      <c r="D15" s="173"/>
      <c r="E15" s="173"/>
      <c r="F15" s="173"/>
      <c r="G15" s="173"/>
      <c r="H15" s="173"/>
      <c r="I15" s="173"/>
      <c r="J15" s="173"/>
      <c r="K15" s="173"/>
      <c r="L15" s="173"/>
      <c r="M15" s="173"/>
      <c r="N15" s="173"/>
      <c r="O15" s="173"/>
      <c r="P15" s="173"/>
      <c r="Q15" s="173"/>
      <c r="R15" s="173"/>
      <c r="S15" s="173"/>
      <c r="T15" s="173"/>
      <c r="U15" s="173"/>
      <c r="V15" s="173"/>
      <c r="W15" s="173"/>
      <c r="X15" s="173"/>
      <c r="Y15" s="173"/>
      <c r="Z15" s="173"/>
      <c r="AA15" s="173"/>
      <c r="AB15" s="173"/>
      <c r="AC15" s="173"/>
      <c r="AD15" s="173"/>
      <c r="AE15" s="174"/>
      <c r="AF15" s="19"/>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row>
    <row r="16" spans="1:177" x14ac:dyDescent="0.35">
      <c r="A16" s="3" t="s">
        <v>15</v>
      </c>
      <c r="B16" s="12">
        <v>1</v>
      </c>
      <c r="C16" s="12">
        <v>2</v>
      </c>
      <c r="D16" s="12">
        <v>3</v>
      </c>
      <c r="E16" s="12">
        <v>4</v>
      </c>
      <c r="F16" s="12">
        <v>5</v>
      </c>
      <c r="G16" s="12">
        <v>6</v>
      </c>
      <c r="H16" s="12">
        <v>7</v>
      </c>
      <c r="I16" s="12">
        <v>8</v>
      </c>
      <c r="J16" s="12">
        <v>9</v>
      </c>
      <c r="K16" s="12">
        <v>10</v>
      </c>
      <c r="L16" s="12">
        <v>11</v>
      </c>
      <c r="M16" s="12">
        <v>12</v>
      </c>
      <c r="N16" s="12">
        <v>13</v>
      </c>
      <c r="O16" s="12">
        <v>14</v>
      </c>
      <c r="P16" s="12">
        <v>15</v>
      </c>
      <c r="Q16" s="12">
        <v>16</v>
      </c>
      <c r="R16" s="132">
        <v>17</v>
      </c>
      <c r="S16" s="12">
        <v>18</v>
      </c>
      <c r="T16" s="12">
        <v>19</v>
      </c>
      <c r="U16" s="12">
        <v>20</v>
      </c>
      <c r="V16" s="12">
        <v>21</v>
      </c>
      <c r="W16" s="12">
        <v>22</v>
      </c>
      <c r="X16" s="12">
        <v>23</v>
      </c>
      <c r="Y16" s="12">
        <v>24</v>
      </c>
      <c r="Z16" s="139">
        <v>25</v>
      </c>
      <c r="AA16" s="132">
        <v>26</v>
      </c>
      <c r="AB16" s="12">
        <v>27</v>
      </c>
      <c r="AC16" s="12">
        <v>28</v>
      </c>
      <c r="AD16" s="12">
        <v>29</v>
      </c>
      <c r="AE16" s="27">
        <v>30</v>
      </c>
      <c r="AF16" s="15"/>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row>
    <row r="17" spans="1:177" s="5" customFormat="1" x14ac:dyDescent="0.35">
      <c r="A17" s="182" t="s">
        <v>3</v>
      </c>
      <c r="B17" s="183"/>
      <c r="C17" s="183"/>
      <c r="D17" s="183"/>
      <c r="E17" s="183"/>
      <c r="F17" s="183"/>
      <c r="G17" s="183"/>
      <c r="H17" s="183"/>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4"/>
      <c r="AF17" s="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row>
    <row r="18" spans="1:177" s="5" customFormat="1" x14ac:dyDescent="0.35">
      <c r="A18" s="66" t="s">
        <v>213</v>
      </c>
      <c r="B18" s="65">
        <f t="shared" ref="B18:AE18" si="0">$B$13*B19</f>
        <v>0</v>
      </c>
      <c r="C18" s="65">
        <f t="shared" si="0"/>
        <v>0</v>
      </c>
      <c r="D18" s="65">
        <f t="shared" si="0"/>
        <v>0</v>
      </c>
      <c r="E18" s="65">
        <f t="shared" si="0"/>
        <v>0</v>
      </c>
      <c r="F18" s="65">
        <f t="shared" si="0"/>
        <v>0</v>
      </c>
      <c r="G18" s="65">
        <f t="shared" si="0"/>
        <v>0</v>
      </c>
      <c r="H18" s="65">
        <f t="shared" si="0"/>
        <v>0</v>
      </c>
      <c r="I18" s="65">
        <f t="shared" si="0"/>
        <v>0</v>
      </c>
      <c r="J18" s="65">
        <f t="shared" si="0"/>
        <v>0</v>
      </c>
      <c r="K18" s="65">
        <f t="shared" si="0"/>
        <v>0</v>
      </c>
      <c r="L18" s="65">
        <f t="shared" si="0"/>
        <v>0</v>
      </c>
      <c r="M18" s="65">
        <f t="shared" si="0"/>
        <v>0</v>
      </c>
      <c r="N18" s="65">
        <f t="shared" si="0"/>
        <v>0</v>
      </c>
      <c r="O18" s="65">
        <f t="shared" si="0"/>
        <v>0</v>
      </c>
      <c r="P18" s="65">
        <f t="shared" si="0"/>
        <v>0</v>
      </c>
      <c r="Q18" s="65">
        <f t="shared" si="0"/>
        <v>0</v>
      </c>
      <c r="R18" s="149">
        <f t="shared" si="0"/>
        <v>4.8076923076923075</v>
      </c>
      <c r="S18" s="65">
        <f t="shared" si="0"/>
        <v>0</v>
      </c>
      <c r="T18" s="65">
        <f t="shared" si="0"/>
        <v>0</v>
      </c>
      <c r="U18" s="65">
        <f t="shared" si="0"/>
        <v>0</v>
      </c>
      <c r="V18" s="65">
        <f t="shared" si="0"/>
        <v>0</v>
      </c>
      <c r="W18" s="65">
        <f t="shared" si="0"/>
        <v>0</v>
      </c>
      <c r="X18" s="65">
        <f t="shared" si="0"/>
        <v>0</v>
      </c>
      <c r="Y18" s="65">
        <f t="shared" si="0"/>
        <v>0</v>
      </c>
      <c r="Z18" s="149">
        <f t="shared" si="0"/>
        <v>45.025641025641022</v>
      </c>
      <c r="AA18" s="149">
        <f t="shared" si="0"/>
        <v>11.217948717948717</v>
      </c>
      <c r="AB18" s="65">
        <f t="shared" si="0"/>
        <v>0</v>
      </c>
      <c r="AC18" s="65">
        <f t="shared" si="0"/>
        <v>0</v>
      </c>
      <c r="AD18" s="65">
        <f t="shared" si="0"/>
        <v>0</v>
      </c>
      <c r="AE18" s="67">
        <f t="shared" si="0"/>
        <v>0</v>
      </c>
      <c r="AF18" s="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ht="15" thickBot="1" x14ac:dyDescent="0.4">
      <c r="A19" s="3" t="s">
        <v>214</v>
      </c>
      <c r="B19" s="17"/>
      <c r="C19" s="59"/>
      <c r="D19" s="143"/>
      <c r="E19" s="143"/>
      <c r="F19" s="143"/>
      <c r="G19" s="143"/>
      <c r="H19" s="143"/>
      <c r="I19" s="143"/>
      <c r="J19" s="143"/>
      <c r="K19" s="143"/>
      <c r="L19" s="143"/>
      <c r="M19" s="143"/>
      <c r="N19" s="143"/>
      <c r="O19" s="143"/>
      <c r="P19" s="143"/>
      <c r="Q19" s="143"/>
      <c r="R19" s="150">
        <f>(30/1.56)*1</f>
        <v>19.23076923076923</v>
      </c>
      <c r="S19" s="143"/>
      <c r="T19" s="143"/>
      <c r="U19" s="143"/>
      <c r="V19" s="143"/>
      <c r="W19" s="143"/>
      <c r="X19" s="143"/>
      <c r="Y19" s="143"/>
      <c r="Z19" s="150">
        <f>(30*2.2)+((356/1.56)*0.5)</f>
        <v>180.10256410256409</v>
      </c>
      <c r="AA19" s="150">
        <f>(70/1.56)</f>
        <v>44.871794871794869</v>
      </c>
      <c r="AB19" s="143"/>
      <c r="AC19" s="143"/>
      <c r="AD19" s="143"/>
      <c r="AE19" s="146"/>
      <c r="AF19" s="39"/>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ht="15" thickBot="1" x14ac:dyDescent="0.4">
      <c r="A20" s="178" t="s">
        <v>10</v>
      </c>
      <c r="B20" s="179"/>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row>
    <row r="21" spans="1:177" x14ac:dyDescent="0.35">
      <c r="A21" s="168" t="s">
        <v>96</v>
      </c>
      <c r="B21" s="12" t="s">
        <v>97</v>
      </c>
      <c r="C21" s="34">
        <v>1.52</v>
      </c>
      <c r="D21" s="15"/>
      <c r="E21" s="15"/>
      <c r="F21" s="7"/>
      <c r="G21" s="7"/>
      <c r="H21" s="7"/>
      <c r="I21" s="7"/>
      <c r="J21" s="7"/>
      <c r="K21" s="7"/>
      <c r="L21" s="7"/>
      <c r="M21" s="7"/>
      <c r="N21" s="7"/>
      <c r="O21" s="7"/>
      <c r="P21" s="7"/>
      <c r="Q21" s="7"/>
      <c r="R21" s="7"/>
      <c r="S21" s="7"/>
      <c r="T21" s="7"/>
      <c r="U21" s="7"/>
      <c r="V21" s="7"/>
      <c r="W21" s="7"/>
      <c r="X21" s="7"/>
      <c r="Y21" s="7"/>
      <c r="Z21" s="7"/>
      <c r="AA21" s="7"/>
      <c r="AB21" s="7"/>
      <c r="AC21" s="7"/>
      <c r="AD21" s="7"/>
      <c r="AE21" s="7"/>
      <c r="AF21" s="7"/>
    </row>
    <row r="22" spans="1:177" x14ac:dyDescent="0.35">
      <c r="A22" s="169"/>
      <c r="B22" s="12" t="s">
        <v>99</v>
      </c>
      <c r="C22" s="27">
        <v>0</v>
      </c>
      <c r="D22" s="15"/>
      <c r="E22" s="15"/>
      <c r="F22" s="7"/>
      <c r="G22" s="7"/>
      <c r="H22" s="7"/>
      <c r="I22" s="7"/>
      <c r="J22" s="7"/>
      <c r="K22" s="7"/>
      <c r="L22" s="7"/>
      <c r="M22" s="7"/>
      <c r="N22" s="7"/>
      <c r="O22" s="7"/>
      <c r="P22" s="7"/>
      <c r="Q22" s="7"/>
      <c r="R22" s="7"/>
      <c r="S22" s="7"/>
      <c r="T22" s="7"/>
      <c r="U22" s="7"/>
      <c r="V22" s="7"/>
      <c r="W22" s="7"/>
      <c r="X22" s="7"/>
      <c r="Y22" s="7"/>
      <c r="Z22" s="7"/>
      <c r="AA22" s="7"/>
      <c r="AB22" s="7"/>
      <c r="AC22" s="7"/>
      <c r="AD22" s="7"/>
      <c r="AE22" s="7"/>
      <c r="AF22" s="7"/>
    </row>
    <row r="23" spans="1:177" x14ac:dyDescent="0.35">
      <c r="A23" s="169"/>
      <c r="B23" s="12" t="s">
        <v>100</v>
      </c>
      <c r="C23" s="27">
        <v>0.77</v>
      </c>
      <c r="D23" s="15"/>
      <c r="E23" s="15"/>
      <c r="F23" s="7"/>
      <c r="G23" s="7"/>
      <c r="H23" s="7"/>
      <c r="I23" s="7"/>
      <c r="J23" s="7"/>
      <c r="K23" s="7"/>
      <c r="L23" s="7"/>
      <c r="M23" s="7"/>
      <c r="N23" s="7"/>
      <c r="O23" s="7"/>
      <c r="P23" s="7"/>
      <c r="Q23" s="7"/>
      <c r="R23" s="7"/>
      <c r="S23" s="7"/>
      <c r="T23" s="7"/>
      <c r="U23" s="7"/>
      <c r="V23" s="7"/>
      <c r="W23" s="7"/>
      <c r="X23" s="7"/>
      <c r="Y23" s="7"/>
      <c r="Z23" s="7"/>
      <c r="AA23" s="7"/>
      <c r="AB23" s="7"/>
      <c r="AC23" s="7"/>
      <c r="AD23" s="7"/>
      <c r="AE23" s="7"/>
      <c r="AF23" s="7"/>
    </row>
    <row r="24" spans="1:177" x14ac:dyDescent="0.35">
      <c r="A24" s="169"/>
      <c r="B24" s="12" t="s">
        <v>98</v>
      </c>
      <c r="C24" s="27">
        <v>0.25</v>
      </c>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row>
    <row r="25" spans="1:177" x14ac:dyDescent="0.35">
      <c r="A25" s="180" t="s">
        <v>101</v>
      </c>
      <c r="B25" s="28" t="s">
        <v>102</v>
      </c>
      <c r="C25" s="37">
        <v>0.25</v>
      </c>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row>
    <row r="26" spans="1:177" x14ac:dyDescent="0.35">
      <c r="A26" s="180"/>
      <c r="B26" s="28" t="s">
        <v>103</v>
      </c>
      <c r="C26" s="37">
        <v>1.03</v>
      </c>
      <c r="D26" s="100"/>
      <c r="E26" s="100"/>
      <c r="F26" s="100"/>
      <c r="G26" s="100"/>
      <c r="H26" s="100"/>
      <c r="I26" s="100"/>
      <c r="J26" s="100"/>
      <c r="K26" s="100"/>
      <c r="L26" s="100"/>
      <c r="M26" s="100"/>
      <c r="N26" s="100"/>
      <c r="O26" s="100"/>
      <c r="P26" s="100"/>
      <c r="Q26" s="100"/>
      <c r="R26" s="100"/>
      <c r="S26" s="100"/>
      <c r="T26" s="100"/>
      <c r="U26" s="100"/>
      <c r="V26" s="100"/>
      <c r="W26" s="100"/>
      <c r="X26" s="100"/>
      <c r="Y26" s="100"/>
      <c r="Z26" s="100"/>
      <c r="AA26" s="100"/>
      <c r="AB26" s="100"/>
      <c r="AC26" s="100"/>
      <c r="AD26" s="100"/>
      <c r="AE26" s="100"/>
    </row>
    <row r="27" spans="1:177" ht="29" x14ac:dyDescent="0.35">
      <c r="A27" s="180"/>
      <c r="B27" s="35" t="s">
        <v>104</v>
      </c>
      <c r="C27" s="37">
        <v>0.59</v>
      </c>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row>
    <row r="28" spans="1:177" ht="15" thickBot="1" x14ac:dyDescent="0.4">
      <c r="A28" s="181"/>
      <c r="B28" s="24" t="s">
        <v>105</v>
      </c>
      <c r="C28" s="38">
        <v>0.43</v>
      </c>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row>
  </sheetData>
  <mergeCells count="6">
    <mergeCell ref="A25:A28"/>
    <mergeCell ref="A9:B9"/>
    <mergeCell ref="A20:B20"/>
    <mergeCell ref="A21:A24"/>
    <mergeCell ref="A15:AE15"/>
    <mergeCell ref="A17:AE17"/>
  </mergeCell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prompt="Choisir l'essence pour avoir la di pour le scénario de référence">
          <x14:formula1>
            <xm:f>'Listes choix'!$C$2:$C$66</xm:f>
          </x14:formula1>
          <xm:sqref>D21:D23</xm:sqref>
        </x14:dataValidation>
        <x14:dataValidation type="list" showInputMessage="1" showErrorMessage="1" prompt="Choisir un type de reboisement pour le calcul du CS projet">
          <x14:formula1>
            <xm:f>'Listes choix'!$G$2:$G$5</xm:f>
          </x14:formula1>
          <xm:sqref>B12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tabSelected="1" zoomScale="76" workbookViewId="0">
      <selection activeCell="C7" sqref="C7"/>
    </sheetView>
  </sheetViews>
  <sheetFormatPr baseColWidth="10" defaultRowHeight="14.5" x14ac:dyDescent="0.35"/>
  <cols>
    <col min="1" max="1" width="55.90625" customWidth="1"/>
    <col min="2" max="2" width="29.7265625" customWidth="1"/>
    <col min="3" max="3" width="22.54296875" customWidth="1"/>
  </cols>
  <sheetData>
    <row r="1" spans="1:4" ht="15" thickBot="1" x14ac:dyDescent="0.4"/>
    <row r="2" spans="1:4" ht="16" thickBot="1" x14ac:dyDescent="0.4">
      <c r="A2" s="41" t="s">
        <v>112</v>
      </c>
      <c r="B2" s="151" t="s">
        <v>111</v>
      </c>
      <c r="C2" s="153"/>
      <c r="D2" s="152"/>
    </row>
    <row r="3" spans="1:4" ht="15.5" x14ac:dyDescent="0.35">
      <c r="A3" s="32" t="s">
        <v>113</v>
      </c>
      <c r="B3" s="154">
        <f>SUM(B4,B6)</f>
        <v>726.47839019200978</v>
      </c>
      <c r="C3" s="153"/>
      <c r="D3" s="152"/>
    </row>
    <row r="4" spans="1:4" ht="15.5" x14ac:dyDescent="0.35">
      <c r="A4" s="42" t="s">
        <v>114</v>
      </c>
      <c r="B4" s="155">
        <f>REAforêtMBoisement!B6</f>
        <v>718.16395062778224</v>
      </c>
      <c r="C4" s="153"/>
      <c r="D4" s="152"/>
    </row>
    <row r="5" spans="1:4" ht="15.5" x14ac:dyDescent="0.35">
      <c r="A5" s="104" t="s">
        <v>118</v>
      </c>
      <c r="B5" s="155">
        <f>B4*(1-C15)*(1-C16)*(1-C17)*(1-C18)</f>
        <v>646.34755556500409</v>
      </c>
      <c r="C5" s="153"/>
      <c r="D5" s="152"/>
    </row>
    <row r="6" spans="1:4" ht="15.5" x14ac:dyDescent="0.35">
      <c r="A6" s="42" t="s">
        <v>115</v>
      </c>
      <c r="B6" s="155">
        <f>REAproduitsMBoisement!B5</f>
        <v>8.3144395642274862</v>
      </c>
      <c r="C6" s="153"/>
      <c r="D6" s="152"/>
    </row>
    <row r="7" spans="1:4" ht="15.5" x14ac:dyDescent="0.35">
      <c r="A7" s="104" t="s">
        <v>119</v>
      </c>
      <c r="B7" s="155">
        <f>B6*(1-C15)*(1-C16)*(1-C17)*(1-C18)</f>
        <v>7.4829956078047379</v>
      </c>
      <c r="C7" s="153"/>
      <c r="D7" s="152"/>
    </row>
    <row r="8" spans="1:4" ht="15.5" x14ac:dyDescent="0.35">
      <c r="A8" s="42" t="s">
        <v>116</v>
      </c>
      <c r="B8" s="155">
        <f>REEsubsMBoisement!B5</f>
        <v>61.051282051282044</v>
      </c>
      <c r="C8" s="153"/>
      <c r="D8" s="152"/>
    </row>
    <row r="9" spans="1:4" ht="16" thickBot="1" x14ac:dyDescent="0.4">
      <c r="A9" s="105" t="s">
        <v>120</v>
      </c>
      <c r="B9" s="156">
        <f>B8*(1-C15)*(1-C16)*(1-C17)*(1-C18)</f>
        <v>54.946153846153841</v>
      </c>
      <c r="C9" s="153"/>
      <c r="D9" s="152"/>
    </row>
    <row r="10" spans="1:4" ht="15.5" x14ac:dyDescent="0.35">
      <c r="A10" s="43" t="s">
        <v>117</v>
      </c>
      <c r="B10" s="157">
        <f>SUM(B3,B8)</f>
        <v>787.52967224329177</v>
      </c>
      <c r="C10" s="57"/>
      <c r="D10" s="15"/>
    </row>
    <row r="11" spans="1:4" ht="16" thickBot="1" x14ac:dyDescent="0.4">
      <c r="A11" s="44" t="s">
        <v>121</v>
      </c>
      <c r="B11" s="160">
        <f>SUM(B5,B7,B9)</f>
        <v>708.77670501896262</v>
      </c>
      <c r="C11" s="57"/>
      <c r="D11" s="15"/>
    </row>
    <row r="13" spans="1:4" ht="15" thickBot="1" x14ac:dyDescent="0.4"/>
    <row r="14" spans="1:4" ht="16" thickBot="1" x14ac:dyDescent="0.4">
      <c r="A14" s="46" t="s">
        <v>122</v>
      </c>
      <c r="B14" s="68" t="s">
        <v>123</v>
      </c>
      <c r="C14" s="92" t="s">
        <v>130</v>
      </c>
    </row>
    <row r="15" spans="1:4" x14ac:dyDescent="0.35">
      <c r="A15" s="111" t="s">
        <v>215</v>
      </c>
      <c r="B15" s="49" t="s">
        <v>131</v>
      </c>
      <c r="C15" s="51">
        <f>IF(B15="Réalisée",0,IF(B15="Pas réalisée",0.2,""))</f>
        <v>0</v>
      </c>
    </row>
    <row r="16" spans="1:4" x14ac:dyDescent="0.35">
      <c r="A16" s="22" t="s">
        <v>216</v>
      </c>
      <c r="B16" s="48" t="s">
        <v>127</v>
      </c>
      <c r="C16" s="52">
        <v>0.1</v>
      </c>
      <c r="D16" s="45"/>
    </row>
    <row r="17" spans="1:5" ht="29" x14ac:dyDescent="0.35">
      <c r="A17" s="116" t="s">
        <v>153</v>
      </c>
      <c r="B17" s="50" t="s">
        <v>138</v>
      </c>
      <c r="C17" s="52">
        <f>IF(B17="Départements sans risque ou risque négligeable",0,IF(B17="Départements avec risque très faible ou faible",0.05,IF(B17="Départements avec risque moyen",0.1,IF(B17="Départements avec risque fort ou très fort", 0.15,""))))</f>
        <v>0</v>
      </c>
      <c r="D17" s="45"/>
    </row>
    <row r="18" spans="1:5" ht="15" thickBot="1" x14ac:dyDescent="0.4">
      <c r="A18" s="117" t="s">
        <v>129</v>
      </c>
      <c r="B18" s="158" t="s">
        <v>136</v>
      </c>
      <c r="C18" s="159">
        <f>IF(B18="Démontrée",0,IF(B18="Non démontrée",0.1,""))</f>
        <v>0</v>
      </c>
    </row>
    <row r="19" spans="1:5" x14ac:dyDescent="0.35">
      <c r="A19" s="53"/>
      <c r="B19" s="15"/>
      <c r="C19" s="15"/>
      <c r="D19" s="53"/>
      <c r="E19" s="90"/>
    </row>
    <row r="20" spans="1:5" x14ac:dyDescent="0.35">
      <c r="A20" s="53"/>
      <c r="B20" s="15"/>
      <c r="C20" s="15"/>
      <c r="D20" s="53"/>
      <c r="E20" s="90"/>
    </row>
    <row r="21" spans="1:5" x14ac:dyDescent="0.35">
      <c r="A21" s="53"/>
      <c r="B21" s="15"/>
      <c r="C21" s="15"/>
      <c r="D21" s="53"/>
      <c r="E21" s="90"/>
    </row>
    <row r="22" spans="1:5" x14ac:dyDescent="0.35">
      <c r="A22" s="53"/>
      <c r="B22" s="15"/>
      <c r="C22" s="54"/>
      <c r="D22" s="53"/>
    </row>
    <row r="23" spans="1:5" x14ac:dyDescent="0.35">
      <c r="A23" s="53"/>
      <c r="B23" s="53"/>
      <c r="C23" s="53"/>
      <c r="D23" s="53"/>
    </row>
    <row r="24" spans="1:5" x14ac:dyDescent="0.35">
      <c r="A24" s="53"/>
      <c r="B24" s="53"/>
      <c r="C24" s="53"/>
      <c r="D24" s="53"/>
    </row>
    <row r="25" spans="1:5" x14ac:dyDescent="0.35">
      <c r="A25" s="53"/>
      <c r="B25" s="53"/>
      <c r="C25" s="53"/>
      <c r="D25" s="53"/>
    </row>
    <row r="26" spans="1:5" x14ac:dyDescent="0.35">
      <c r="A26" s="53"/>
      <c r="B26" s="53"/>
      <c r="C26" s="53"/>
      <c r="D26" s="53"/>
    </row>
  </sheetData>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
        <x14:dataValidation type="list" showInputMessage="1" showErrorMessage="1" prompt="Choisir une des deux options (Méthode Reboisement et Boisement)">
          <x14:formula1>
            <xm:f>'Listes choix'!$J$2:$K$2</xm:f>
          </x14:formula1>
          <xm:sqref>B15</xm:sqref>
        </x14:dataValidation>
        <x14:dataValidation type="list" showInputMessage="1" showErrorMessage="1" prompt="Choisir une des deux options">
          <x14:formula1>
            <xm:f>'Listes choix'!$J$9:$K$9</xm:f>
          </x14:formula1>
          <xm:sqref>B18</xm:sqref>
        </x14:dataValidation>
        <x14:dataValidation type="list" showInputMessage="1" showErrorMessage="1" prompt="Choisir une des quatre options (Méthodes Reboisement et Boisement)">
          <x14:formula1>
            <xm:f>'Listes choix'!$K$5:$K$8</xm:f>
          </x14:formula1>
          <xm:sqref>B17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60"/>
  <sheetViews>
    <sheetView topLeftCell="H1" zoomScale="66" workbookViewId="0">
      <selection activeCell="W2" sqref="W2"/>
    </sheetView>
  </sheetViews>
  <sheetFormatPr baseColWidth="10" defaultRowHeight="14.5" x14ac:dyDescent="0.35"/>
  <cols>
    <col min="1" max="1" width="23.1796875" style="45" customWidth="1"/>
    <col min="2" max="2" width="10.90625" style="45"/>
    <col min="3" max="3" width="22.08984375" style="45" customWidth="1"/>
    <col min="4" max="6" width="10.90625" style="45"/>
    <col min="7" max="7" width="14.90625" style="45" customWidth="1"/>
    <col min="8" max="8" width="16.7265625" style="45" customWidth="1"/>
    <col min="9" max="9" width="22.26953125" style="45" customWidth="1"/>
    <col min="10" max="10" width="25" style="45" customWidth="1"/>
    <col min="11" max="11" width="26.90625" style="45" customWidth="1"/>
    <col min="12" max="15" width="10.90625" style="45"/>
    <col min="16" max="16" width="13.6328125" style="45" customWidth="1"/>
    <col min="17" max="16384" width="10.90625" style="45"/>
  </cols>
  <sheetData>
    <row r="1" spans="1:20" ht="44" thickBot="1" x14ac:dyDescent="0.4">
      <c r="A1" s="72" t="s">
        <v>9</v>
      </c>
      <c r="B1" s="72" t="s">
        <v>16</v>
      </c>
      <c r="C1" s="76" t="s">
        <v>54</v>
      </c>
      <c r="D1" s="77" t="s">
        <v>19</v>
      </c>
      <c r="E1" s="76" t="s">
        <v>87</v>
      </c>
      <c r="F1" s="76" t="s">
        <v>88</v>
      </c>
      <c r="G1" s="76" t="s">
        <v>107</v>
      </c>
      <c r="H1" s="76" t="s">
        <v>109</v>
      </c>
      <c r="I1" s="85" t="s">
        <v>122</v>
      </c>
      <c r="J1" s="185" t="s">
        <v>123</v>
      </c>
      <c r="K1" s="186"/>
      <c r="L1" s="10"/>
      <c r="M1" s="10"/>
      <c r="N1" s="76" t="s">
        <v>54</v>
      </c>
      <c r="O1" s="76" t="s">
        <v>150</v>
      </c>
      <c r="P1" s="77" t="s">
        <v>153</v>
      </c>
      <c r="Q1" s="187" t="s">
        <v>163</v>
      </c>
      <c r="R1" s="188"/>
      <c r="S1" s="189"/>
      <c r="T1" s="76" t="s">
        <v>192</v>
      </c>
    </row>
    <row r="2" spans="1:20" ht="87.5" thickBot="1" x14ac:dyDescent="0.4">
      <c r="A2" s="69" t="s">
        <v>156</v>
      </c>
      <c r="B2" s="74" t="s">
        <v>18</v>
      </c>
      <c r="C2" s="78" t="s">
        <v>20</v>
      </c>
      <c r="D2" s="81">
        <v>0.62</v>
      </c>
      <c r="E2" s="78" t="s">
        <v>89</v>
      </c>
      <c r="F2" s="81">
        <v>35</v>
      </c>
      <c r="G2" s="74" t="s">
        <v>17</v>
      </c>
      <c r="H2" s="74" t="s">
        <v>17</v>
      </c>
      <c r="I2" s="78" t="s">
        <v>124</v>
      </c>
      <c r="J2" s="86" t="s">
        <v>131</v>
      </c>
      <c r="K2" s="86" t="s">
        <v>177</v>
      </c>
      <c r="L2" s="89" t="s">
        <v>131</v>
      </c>
      <c r="M2" s="88" t="s">
        <v>177</v>
      </c>
      <c r="N2" s="74" t="s">
        <v>20</v>
      </c>
      <c r="O2" s="74" t="s">
        <v>151</v>
      </c>
      <c r="P2" s="73" t="s">
        <v>154</v>
      </c>
      <c r="Q2" s="76" t="s">
        <v>162</v>
      </c>
      <c r="R2" s="76" t="s">
        <v>164</v>
      </c>
      <c r="S2" s="110" t="s">
        <v>165</v>
      </c>
      <c r="T2" s="47" t="s">
        <v>193</v>
      </c>
    </row>
    <row r="3" spans="1:20" ht="102" thickBot="1" x14ac:dyDescent="0.4">
      <c r="A3" s="70" t="s">
        <v>157</v>
      </c>
      <c r="B3" s="75" t="s">
        <v>17</v>
      </c>
      <c r="C3" s="63" t="s">
        <v>76</v>
      </c>
      <c r="D3" s="82">
        <v>0.64</v>
      </c>
      <c r="E3" s="63" t="s">
        <v>90</v>
      </c>
      <c r="F3" s="82">
        <v>25</v>
      </c>
      <c r="G3" s="84" t="s">
        <v>103</v>
      </c>
      <c r="H3" s="75" t="s">
        <v>110</v>
      </c>
      <c r="I3" s="63" t="s">
        <v>125</v>
      </c>
      <c r="J3" s="47" t="s">
        <v>137</v>
      </c>
      <c r="K3" s="79" t="s">
        <v>139</v>
      </c>
      <c r="L3" s="10"/>
      <c r="M3" s="10"/>
      <c r="N3" s="84" t="s">
        <v>21</v>
      </c>
      <c r="O3" s="84" t="s">
        <v>25</v>
      </c>
      <c r="P3" s="75" t="s">
        <v>134</v>
      </c>
      <c r="Q3" s="74" t="s">
        <v>166</v>
      </c>
      <c r="R3" s="74" t="s">
        <v>175</v>
      </c>
      <c r="S3" s="74" t="s">
        <v>169</v>
      </c>
      <c r="T3" s="47" t="s">
        <v>194</v>
      </c>
    </row>
    <row r="4" spans="1:20" ht="87.5" thickBot="1" x14ac:dyDescent="0.4">
      <c r="A4" s="70" t="s">
        <v>158</v>
      </c>
      <c r="B4" s="10"/>
      <c r="C4" s="63" t="s">
        <v>21</v>
      </c>
      <c r="D4" s="82">
        <v>0.42</v>
      </c>
      <c r="E4" s="64" t="s">
        <v>91</v>
      </c>
      <c r="F4" s="83">
        <v>2</v>
      </c>
      <c r="G4" s="70" t="s">
        <v>105</v>
      </c>
      <c r="H4" s="10"/>
      <c r="I4" s="63" t="s">
        <v>126</v>
      </c>
      <c r="J4" s="47" t="s">
        <v>127</v>
      </c>
      <c r="K4" s="79" t="s">
        <v>127</v>
      </c>
      <c r="L4" s="10"/>
      <c r="M4" s="10"/>
      <c r="N4" s="84" t="s">
        <v>77</v>
      </c>
      <c r="O4" s="71" t="s">
        <v>152</v>
      </c>
      <c r="P4" s="10"/>
      <c r="Q4" s="84" t="s">
        <v>167</v>
      </c>
      <c r="R4" s="75" t="s">
        <v>168</v>
      </c>
      <c r="S4" s="70" t="s">
        <v>170</v>
      </c>
    </row>
    <row r="5" spans="1:20" ht="87.5" thickBot="1" x14ac:dyDescent="0.4">
      <c r="A5" s="71" t="s">
        <v>159</v>
      </c>
      <c r="B5" s="10"/>
      <c r="C5" s="63" t="s">
        <v>77</v>
      </c>
      <c r="D5" s="79">
        <v>0.42</v>
      </c>
      <c r="E5" s="10"/>
      <c r="F5" s="10"/>
      <c r="G5" s="71" t="s">
        <v>108</v>
      </c>
      <c r="H5" s="10"/>
      <c r="I5" s="168" t="s">
        <v>128</v>
      </c>
      <c r="J5" s="47"/>
      <c r="K5" s="79" t="s">
        <v>138</v>
      </c>
      <c r="L5" s="10"/>
      <c r="M5" s="10"/>
      <c r="N5" s="70" t="s">
        <v>23</v>
      </c>
      <c r="O5" s="10"/>
      <c r="P5" s="10"/>
      <c r="Q5" s="71" t="s">
        <v>174</v>
      </c>
      <c r="S5" s="70" t="s">
        <v>171</v>
      </c>
    </row>
    <row r="6" spans="1:20" ht="72.5" x14ac:dyDescent="0.35">
      <c r="A6" s="10"/>
      <c r="B6" s="10"/>
      <c r="C6" s="63" t="s">
        <v>78</v>
      </c>
      <c r="D6" s="79">
        <v>0.52</v>
      </c>
      <c r="E6" s="10"/>
      <c r="F6" s="10"/>
      <c r="G6" s="10"/>
      <c r="H6" s="10"/>
      <c r="I6" s="169"/>
      <c r="J6" s="47"/>
      <c r="K6" s="79" t="s">
        <v>132</v>
      </c>
      <c r="L6" s="10"/>
      <c r="M6" s="10"/>
      <c r="N6" s="70" t="s">
        <v>24</v>
      </c>
      <c r="O6" s="10"/>
      <c r="P6" s="10"/>
      <c r="S6" s="70" t="s">
        <v>172</v>
      </c>
    </row>
    <row r="7" spans="1:20" ht="101.5" x14ac:dyDescent="0.35">
      <c r="A7" s="10"/>
      <c r="B7" s="10"/>
      <c r="C7" s="63" t="s">
        <v>22</v>
      </c>
      <c r="D7" s="79">
        <v>0.36</v>
      </c>
      <c r="E7" s="10"/>
      <c r="F7" s="10"/>
      <c r="G7" s="10"/>
      <c r="H7" s="10"/>
      <c r="I7" s="169"/>
      <c r="J7" s="47"/>
      <c r="K7" s="79" t="s">
        <v>133</v>
      </c>
      <c r="L7" s="10"/>
      <c r="M7" s="10"/>
      <c r="N7" s="70" t="s">
        <v>25</v>
      </c>
      <c r="O7" s="10"/>
      <c r="P7" s="10"/>
      <c r="S7" s="91" t="s">
        <v>173</v>
      </c>
    </row>
    <row r="8" spans="1:20" ht="29.5" thickBot="1" x14ac:dyDescent="0.4">
      <c r="A8" s="10"/>
      <c r="B8" s="10"/>
      <c r="C8" s="63" t="s">
        <v>23</v>
      </c>
      <c r="D8" s="79">
        <v>0.61</v>
      </c>
      <c r="E8" s="10"/>
      <c r="F8" s="10"/>
      <c r="G8" s="10"/>
      <c r="H8" s="10"/>
      <c r="I8" s="171"/>
      <c r="J8" s="47"/>
      <c r="K8" s="79" t="s">
        <v>134</v>
      </c>
      <c r="L8" s="10"/>
      <c r="M8" s="10"/>
      <c r="N8" s="70" t="s">
        <v>26</v>
      </c>
      <c r="O8" s="10"/>
      <c r="P8" s="10"/>
      <c r="S8" s="71" t="s">
        <v>176</v>
      </c>
    </row>
    <row r="9" spans="1:20" ht="29.5" thickBot="1" x14ac:dyDescent="0.4">
      <c r="A9" s="10"/>
      <c r="B9" s="10"/>
      <c r="C9" s="63" t="s">
        <v>24</v>
      </c>
      <c r="D9" s="79">
        <v>0.66</v>
      </c>
      <c r="E9" s="10"/>
      <c r="F9" s="10"/>
      <c r="G9" s="10"/>
      <c r="H9" s="10"/>
      <c r="I9" s="64" t="s">
        <v>129</v>
      </c>
      <c r="J9" s="87" t="s">
        <v>136</v>
      </c>
      <c r="K9" s="80" t="s">
        <v>135</v>
      </c>
      <c r="L9" s="10"/>
      <c r="M9" s="10"/>
      <c r="N9" s="70" t="s">
        <v>27</v>
      </c>
      <c r="O9" s="10"/>
      <c r="P9" s="10"/>
    </row>
    <row r="10" spans="1:20" ht="29" x14ac:dyDescent="0.35">
      <c r="A10" s="10"/>
      <c r="B10" s="10"/>
      <c r="C10" s="63" t="s">
        <v>25</v>
      </c>
      <c r="D10" s="79">
        <v>0.47</v>
      </c>
      <c r="E10" s="10"/>
      <c r="F10" s="10"/>
      <c r="G10" s="10"/>
      <c r="H10" s="10"/>
      <c r="I10" s="10"/>
      <c r="J10" s="10"/>
      <c r="K10" s="10"/>
      <c r="L10" s="10"/>
      <c r="M10" s="10"/>
      <c r="N10" s="70" t="s">
        <v>28</v>
      </c>
      <c r="O10" s="10"/>
      <c r="P10" s="10"/>
    </row>
    <row r="11" spans="1:20" ht="29" x14ac:dyDescent="0.35">
      <c r="A11" s="10"/>
      <c r="B11" s="10"/>
      <c r="C11" s="63" t="s">
        <v>26</v>
      </c>
      <c r="D11" s="79">
        <v>0.67</v>
      </c>
      <c r="E11" s="10"/>
      <c r="F11" s="10"/>
      <c r="G11" s="10"/>
      <c r="H11" s="10"/>
      <c r="I11" s="10"/>
      <c r="J11" s="10"/>
      <c r="K11" s="10"/>
      <c r="L11" s="10"/>
      <c r="M11" s="10"/>
      <c r="N11" s="70" t="s">
        <v>29</v>
      </c>
      <c r="O11" s="10"/>
      <c r="P11" s="10"/>
    </row>
    <row r="12" spans="1:20" ht="43.5" x14ac:dyDescent="0.35">
      <c r="A12" s="10"/>
      <c r="B12" s="10"/>
      <c r="C12" s="63" t="s">
        <v>27</v>
      </c>
      <c r="D12" s="79">
        <v>0.7</v>
      </c>
      <c r="E12" s="10"/>
      <c r="F12" s="10"/>
      <c r="G12" s="10"/>
      <c r="H12" s="10"/>
      <c r="I12" s="10"/>
      <c r="J12" s="10"/>
      <c r="K12" s="10"/>
      <c r="L12" s="10"/>
      <c r="M12" s="10"/>
      <c r="N12" s="70" t="s">
        <v>30</v>
      </c>
      <c r="O12" s="10"/>
      <c r="P12" s="10"/>
    </row>
    <row r="13" spans="1:20" ht="29" x14ac:dyDescent="0.35">
      <c r="A13" s="10"/>
      <c r="B13" s="10"/>
      <c r="C13" s="63" t="s">
        <v>28</v>
      </c>
      <c r="D13" s="79">
        <v>0.54</v>
      </c>
      <c r="E13" s="10"/>
      <c r="F13" s="10"/>
      <c r="G13" s="10"/>
      <c r="H13" s="10"/>
      <c r="I13" s="10"/>
      <c r="J13" s="10"/>
      <c r="K13" s="10"/>
      <c r="L13" s="10"/>
      <c r="M13" s="10"/>
      <c r="N13" s="70" t="s">
        <v>31</v>
      </c>
      <c r="O13" s="10"/>
      <c r="P13" s="10"/>
    </row>
    <row r="14" spans="1:20" x14ac:dyDescent="0.35">
      <c r="A14" s="10"/>
      <c r="B14" s="10"/>
      <c r="C14" s="63" t="s">
        <v>29</v>
      </c>
      <c r="D14" s="79">
        <v>0.65</v>
      </c>
      <c r="E14" s="10"/>
      <c r="F14" s="10"/>
      <c r="G14" s="10"/>
      <c r="H14" s="10"/>
      <c r="I14" s="10"/>
      <c r="J14" s="10"/>
      <c r="K14" s="10"/>
      <c r="L14" s="10"/>
      <c r="M14" s="10"/>
      <c r="N14" s="70" t="s">
        <v>32</v>
      </c>
      <c r="O14" s="10"/>
      <c r="P14" s="10"/>
    </row>
    <row r="15" spans="1:20" ht="43.5" x14ac:dyDescent="0.35">
      <c r="A15" s="10"/>
      <c r="B15" s="10"/>
      <c r="C15" s="63" t="s">
        <v>79</v>
      </c>
      <c r="D15" s="79">
        <v>0.56000000000000005</v>
      </c>
      <c r="E15" s="10"/>
      <c r="F15" s="10"/>
      <c r="G15" s="10"/>
      <c r="H15" s="10"/>
      <c r="I15" s="10"/>
      <c r="J15" s="10"/>
      <c r="K15" s="10"/>
      <c r="L15" s="10"/>
      <c r="M15" s="10"/>
      <c r="N15" s="70" t="s">
        <v>33</v>
      </c>
      <c r="O15" s="10"/>
      <c r="P15" s="10"/>
    </row>
    <row r="16" spans="1:20" ht="29" x14ac:dyDescent="0.35">
      <c r="A16" s="10"/>
      <c r="B16" s="10"/>
      <c r="C16" s="63" t="s">
        <v>30</v>
      </c>
      <c r="D16" s="79">
        <v>0.57999999999999996</v>
      </c>
      <c r="E16" s="10"/>
      <c r="F16" s="10"/>
      <c r="G16" s="10"/>
      <c r="H16" s="10"/>
      <c r="I16" s="10"/>
      <c r="J16" s="10"/>
      <c r="K16" s="10"/>
      <c r="L16" s="10"/>
      <c r="M16" s="10"/>
      <c r="N16" s="70" t="s">
        <v>40</v>
      </c>
      <c r="O16" s="10"/>
      <c r="P16" s="10"/>
    </row>
    <row r="17" spans="1:16" ht="29" x14ac:dyDescent="0.35">
      <c r="A17" s="10"/>
      <c r="B17" s="10"/>
      <c r="C17" s="63" t="s">
        <v>31</v>
      </c>
      <c r="D17" s="79">
        <v>0.64</v>
      </c>
      <c r="E17" s="10"/>
      <c r="F17" s="10"/>
      <c r="G17" s="10"/>
      <c r="H17" s="10"/>
      <c r="I17" s="10"/>
      <c r="J17" s="10"/>
      <c r="K17" s="10"/>
      <c r="L17" s="10"/>
      <c r="M17" s="10"/>
      <c r="N17" s="70" t="s">
        <v>41</v>
      </c>
      <c r="O17" s="10"/>
      <c r="P17" s="10"/>
    </row>
    <row r="18" spans="1:16" x14ac:dyDescent="0.35">
      <c r="A18" s="10"/>
      <c r="B18" s="10"/>
      <c r="C18" s="63" t="s">
        <v>32</v>
      </c>
      <c r="D18" s="79">
        <v>0.73</v>
      </c>
      <c r="E18" s="10"/>
      <c r="F18" s="10"/>
      <c r="G18" s="10"/>
      <c r="H18" s="10"/>
      <c r="I18" s="10"/>
      <c r="J18" s="10"/>
      <c r="K18" s="10"/>
      <c r="L18" s="10"/>
      <c r="M18" s="10"/>
      <c r="N18" s="70" t="s">
        <v>43</v>
      </c>
      <c r="O18" s="10"/>
      <c r="P18" s="10"/>
    </row>
    <row r="19" spans="1:16" x14ac:dyDescent="0.35">
      <c r="A19" s="10"/>
      <c r="B19" s="10"/>
      <c r="C19" s="63" t="s">
        <v>33</v>
      </c>
      <c r="D19" s="79">
        <v>0.56000000000000005</v>
      </c>
      <c r="E19" s="10"/>
      <c r="F19" s="10"/>
      <c r="G19" s="10"/>
      <c r="H19" s="10"/>
      <c r="I19" s="10"/>
      <c r="J19" s="10"/>
      <c r="K19" s="10"/>
      <c r="L19" s="10"/>
      <c r="M19" s="10"/>
      <c r="N19" s="70" t="s">
        <v>81</v>
      </c>
      <c r="O19" s="10"/>
      <c r="P19" s="10"/>
    </row>
    <row r="20" spans="1:16" x14ac:dyDescent="0.35">
      <c r="A20" s="10"/>
      <c r="B20" s="10"/>
      <c r="C20" s="63" t="s">
        <v>34</v>
      </c>
      <c r="D20" s="79">
        <v>0.74</v>
      </c>
      <c r="E20" s="10"/>
      <c r="F20" s="10"/>
      <c r="G20" s="10"/>
      <c r="H20" s="10"/>
      <c r="I20" s="10"/>
      <c r="J20" s="10"/>
      <c r="K20" s="10"/>
      <c r="L20" s="10"/>
      <c r="M20" s="10"/>
      <c r="N20" s="70" t="s">
        <v>84</v>
      </c>
      <c r="O20" s="10"/>
      <c r="P20" s="10"/>
    </row>
    <row r="21" spans="1:16" x14ac:dyDescent="0.35">
      <c r="A21" s="10"/>
      <c r="B21" s="10"/>
      <c r="C21" s="63" t="s">
        <v>35</v>
      </c>
      <c r="D21" s="79">
        <v>0.4</v>
      </c>
      <c r="E21" s="10"/>
      <c r="F21" s="10"/>
      <c r="G21" s="10"/>
      <c r="H21" s="10"/>
      <c r="I21" s="10"/>
      <c r="J21" s="10"/>
      <c r="K21" s="10"/>
      <c r="L21" s="10"/>
      <c r="M21" s="10"/>
      <c r="N21" s="70" t="s">
        <v>51</v>
      </c>
      <c r="O21" s="10"/>
      <c r="P21" s="10"/>
    </row>
    <row r="22" spans="1:16" x14ac:dyDescent="0.35">
      <c r="A22" s="10"/>
      <c r="B22" s="10"/>
      <c r="C22" s="63" t="s">
        <v>36</v>
      </c>
      <c r="D22" s="79">
        <v>0.6</v>
      </c>
      <c r="E22" s="10"/>
      <c r="F22" s="10"/>
      <c r="G22" s="10"/>
      <c r="H22" s="10"/>
      <c r="I22" s="10"/>
      <c r="J22" s="10"/>
      <c r="K22" s="10"/>
      <c r="L22" s="10"/>
      <c r="M22" s="10"/>
      <c r="N22" s="70" t="s">
        <v>64</v>
      </c>
      <c r="O22" s="10"/>
      <c r="P22" s="10"/>
    </row>
    <row r="23" spans="1:16" ht="29" x14ac:dyDescent="0.35">
      <c r="A23" s="10"/>
      <c r="B23" s="10"/>
      <c r="C23" s="63" t="s">
        <v>37</v>
      </c>
      <c r="D23" s="79">
        <v>0.43</v>
      </c>
      <c r="E23" s="10"/>
      <c r="F23" s="10"/>
      <c r="G23" s="10"/>
      <c r="H23" s="10"/>
      <c r="I23" s="10"/>
      <c r="J23" s="10"/>
      <c r="K23" s="10"/>
      <c r="L23" s="10"/>
      <c r="M23" s="10"/>
      <c r="N23" s="70" t="s">
        <v>85</v>
      </c>
      <c r="O23" s="10"/>
      <c r="P23" s="10"/>
    </row>
    <row r="24" spans="1:16" x14ac:dyDescent="0.35">
      <c r="A24" s="10"/>
      <c r="B24" s="10"/>
      <c r="C24" s="63" t="s">
        <v>38</v>
      </c>
      <c r="D24" s="79">
        <v>0.37</v>
      </c>
      <c r="E24" s="10"/>
      <c r="F24" s="10"/>
      <c r="G24" s="10"/>
      <c r="H24" s="10"/>
      <c r="I24" s="10"/>
      <c r="J24" s="10"/>
      <c r="K24" s="10"/>
      <c r="L24" s="10"/>
      <c r="M24" s="10"/>
      <c r="N24" s="70" t="s">
        <v>71</v>
      </c>
      <c r="O24" s="10"/>
      <c r="P24" s="10"/>
    </row>
    <row r="25" spans="1:16" ht="29.5" thickBot="1" x14ac:dyDescent="0.4">
      <c r="A25" s="10"/>
      <c r="B25" s="10"/>
      <c r="C25" s="63" t="s">
        <v>39</v>
      </c>
      <c r="D25" s="79">
        <v>0.36</v>
      </c>
      <c r="E25" s="10"/>
      <c r="F25" s="10"/>
      <c r="G25" s="10"/>
      <c r="H25" s="10"/>
      <c r="I25" s="10"/>
      <c r="J25" s="10"/>
      <c r="K25" s="10"/>
      <c r="L25" s="10"/>
      <c r="M25" s="10"/>
      <c r="N25" s="71" t="s">
        <v>74</v>
      </c>
      <c r="O25" s="10"/>
      <c r="P25" s="10"/>
    </row>
    <row r="26" spans="1:16" x14ac:dyDescent="0.35">
      <c r="A26" s="10"/>
      <c r="B26" s="10"/>
      <c r="C26" s="63" t="s">
        <v>40</v>
      </c>
      <c r="D26" s="79">
        <v>0.51</v>
      </c>
      <c r="E26" s="10"/>
      <c r="F26" s="10"/>
      <c r="G26" s="10"/>
      <c r="H26" s="10"/>
      <c r="I26" s="10"/>
      <c r="J26" s="10"/>
      <c r="K26" s="10"/>
      <c r="L26" s="10"/>
      <c r="M26" s="10"/>
      <c r="N26" s="10"/>
      <c r="O26" s="10"/>
      <c r="P26" s="10"/>
    </row>
    <row r="27" spans="1:16" x14ac:dyDescent="0.35">
      <c r="A27" s="10"/>
      <c r="B27" s="10"/>
      <c r="C27" s="63" t="s">
        <v>41</v>
      </c>
      <c r="D27" s="79">
        <v>0.56000000000000005</v>
      </c>
      <c r="E27" s="10"/>
      <c r="F27" s="10"/>
      <c r="G27" s="10"/>
      <c r="H27" s="10"/>
      <c r="I27" s="10"/>
      <c r="J27" s="10"/>
      <c r="K27" s="10"/>
      <c r="L27" s="10"/>
      <c r="M27" s="10"/>
      <c r="N27" s="10"/>
      <c r="O27" s="10"/>
      <c r="P27" s="10"/>
    </row>
    <row r="28" spans="1:16" x14ac:dyDescent="0.35">
      <c r="A28" s="10"/>
      <c r="B28" s="10"/>
      <c r="C28" s="63" t="s">
        <v>42</v>
      </c>
      <c r="D28" s="79">
        <v>0.56000000000000005</v>
      </c>
      <c r="E28" s="10"/>
      <c r="F28" s="10"/>
      <c r="G28" s="10"/>
      <c r="H28" s="10"/>
      <c r="I28" s="10"/>
      <c r="J28" s="10"/>
      <c r="K28" s="10"/>
      <c r="L28" s="10"/>
      <c r="M28" s="10"/>
      <c r="N28" s="10"/>
      <c r="O28" s="10"/>
      <c r="P28" s="10"/>
    </row>
    <row r="29" spans="1:16" x14ac:dyDescent="0.35">
      <c r="A29" s="10"/>
      <c r="B29" s="10"/>
      <c r="C29" s="63" t="s">
        <v>80</v>
      </c>
      <c r="D29" s="79">
        <v>0.48</v>
      </c>
      <c r="E29" s="10"/>
      <c r="F29" s="10"/>
      <c r="G29" s="10"/>
      <c r="H29" s="10"/>
      <c r="I29" s="10"/>
      <c r="J29" s="10"/>
      <c r="K29" s="10"/>
      <c r="L29" s="10"/>
      <c r="M29" s="10"/>
      <c r="N29" s="10"/>
      <c r="O29" s="10"/>
      <c r="P29" s="10"/>
    </row>
    <row r="30" spans="1:16" x14ac:dyDescent="0.35">
      <c r="A30" s="10"/>
      <c r="B30" s="10"/>
      <c r="C30" s="63" t="s">
        <v>43</v>
      </c>
      <c r="D30" s="79">
        <v>0.55000000000000004</v>
      </c>
      <c r="E30" s="10"/>
      <c r="F30" s="10"/>
      <c r="G30" s="10"/>
      <c r="H30" s="10"/>
      <c r="I30" s="10"/>
      <c r="J30" s="10"/>
      <c r="K30" s="10"/>
      <c r="L30" s="10"/>
      <c r="M30" s="10"/>
      <c r="N30" s="10"/>
      <c r="O30" s="10"/>
      <c r="P30" s="10"/>
    </row>
    <row r="31" spans="1:16" x14ac:dyDescent="0.35">
      <c r="A31" s="10"/>
      <c r="B31" s="10"/>
      <c r="C31" s="63" t="s">
        <v>81</v>
      </c>
      <c r="D31" s="79">
        <v>0.56000000000000005</v>
      </c>
      <c r="E31" s="10"/>
      <c r="F31" s="10"/>
      <c r="G31" s="10"/>
      <c r="H31" s="10"/>
      <c r="I31" s="10"/>
      <c r="J31" s="10"/>
      <c r="K31" s="10"/>
      <c r="L31" s="10"/>
      <c r="M31" s="10"/>
      <c r="N31" s="10"/>
      <c r="O31" s="10"/>
      <c r="P31" s="10"/>
    </row>
    <row r="32" spans="1:16" x14ac:dyDescent="0.35">
      <c r="A32" s="10"/>
      <c r="B32" s="10"/>
      <c r="C32" s="63" t="s">
        <v>44</v>
      </c>
      <c r="D32" s="79">
        <v>0.57999999999999996</v>
      </c>
      <c r="E32" s="10"/>
      <c r="F32" s="10"/>
      <c r="G32" s="10"/>
      <c r="H32" s="10"/>
      <c r="I32" s="10"/>
      <c r="J32" s="10"/>
      <c r="K32" s="10"/>
      <c r="L32" s="10"/>
      <c r="M32" s="10"/>
      <c r="N32" s="10"/>
      <c r="O32" s="10"/>
      <c r="P32" s="10"/>
    </row>
    <row r="33" spans="1:16" x14ac:dyDescent="0.35">
      <c r="A33" s="10"/>
      <c r="B33" s="10"/>
      <c r="C33" s="63" t="s">
        <v>45</v>
      </c>
      <c r="D33" s="79">
        <v>0.57999999999999996</v>
      </c>
      <c r="E33" s="10"/>
      <c r="F33" s="10"/>
      <c r="G33" s="10"/>
      <c r="H33" s="10"/>
      <c r="I33" s="10"/>
      <c r="J33" s="10"/>
      <c r="K33" s="10"/>
      <c r="L33" s="10"/>
      <c r="M33" s="10"/>
      <c r="N33" s="10"/>
      <c r="O33" s="10"/>
      <c r="P33" s="10"/>
    </row>
    <row r="34" spans="1:16" x14ac:dyDescent="0.35">
      <c r="A34" s="10"/>
      <c r="B34" s="10"/>
      <c r="C34" s="63" t="s">
        <v>46</v>
      </c>
      <c r="D34" s="79">
        <v>0.48</v>
      </c>
      <c r="E34" s="10"/>
      <c r="F34" s="10"/>
      <c r="G34" s="10"/>
      <c r="H34" s="10"/>
      <c r="I34" s="10"/>
      <c r="J34" s="10"/>
      <c r="K34" s="10"/>
      <c r="L34" s="10"/>
      <c r="M34" s="10"/>
      <c r="N34" s="10"/>
      <c r="O34" s="10"/>
      <c r="P34" s="10"/>
    </row>
    <row r="35" spans="1:16" x14ac:dyDescent="0.35">
      <c r="A35" s="10"/>
      <c r="B35" s="10"/>
      <c r="C35" s="63" t="s">
        <v>47</v>
      </c>
      <c r="D35" s="79">
        <v>0.42</v>
      </c>
      <c r="E35" s="10"/>
      <c r="F35" s="10"/>
      <c r="G35" s="10"/>
      <c r="H35" s="10"/>
      <c r="I35" s="10"/>
      <c r="J35" s="10"/>
      <c r="K35" s="10"/>
      <c r="L35" s="10"/>
      <c r="M35" s="10"/>
      <c r="N35" s="10"/>
      <c r="O35" s="10"/>
      <c r="P35" s="10"/>
    </row>
    <row r="36" spans="1:16" x14ac:dyDescent="0.35">
      <c r="A36" s="10"/>
      <c r="B36" s="10"/>
      <c r="C36" s="63" t="s">
        <v>82</v>
      </c>
      <c r="D36" s="79">
        <v>0.5</v>
      </c>
      <c r="E36" s="10"/>
      <c r="F36" s="10"/>
      <c r="G36" s="10"/>
      <c r="H36" s="10"/>
      <c r="I36" s="10"/>
      <c r="J36" s="10"/>
      <c r="K36" s="10"/>
      <c r="L36" s="10"/>
      <c r="M36" s="10"/>
      <c r="N36" s="10"/>
      <c r="O36" s="10"/>
      <c r="P36" s="10"/>
    </row>
    <row r="37" spans="1:16" x14ac:dyDescent="0.35">
      <c r="A37" s="10"/>
      <c r="B37" s="10"/>
      <c r="C37" s="63" t="s">
        <v>48</v>
      </c>
      <c r="D37" s="79">
        <v>0.55000000000000004</v>
      </c>
      <c r="E37" s="10"/>
      <c r="F37" s="10"/>
      <c r="G37" s="10"/>
      <c r="H37" s="10"/>
      <c r="I37" s="10"/>
      <c r="J37" s="10"/>
      <c r="K37" s="10"/>
      <c r="L37" s="10"/>
      <c r="M37" s="10"/>
      <c r="N37" s="10"/>
      <c r="O37" s="10"/>
      <c r="P37" s="10"/>
    </row>
    <row r="38" spans="1:16" x14ac:dyDescent="0.35">
      <c r="A38" s="10"/>
      <c r="B38" s="10"/>
      <c r="C38" s="63" t="s">
        <v>83</v>
      </c>
      <c r="D38" s="79">
        <v>0.53</v>
      </c>
      <c r="E38" s="10"/>
      <c r="F38" s="10"/>
      <c r="G38" s="10"/>
      <c r="H38" s="10"/>
      <c r="I38" s="10"/>
      <c r="J38" s="10"/>
      <c r="K38" s="10"/>
      <c r="L38" s="10"/>
      <c r="M38" s="10"/>
      <c r="N38" s="10"/>
      <c r="O38" s="10"/>
      <c r="P38" s="10"/>
    </row>
    <row r="39" spans="1:16" x14ac:dyDescent="0.35">
      <c r="A39" s="10"/>
      <c r="B39" s="10"/>
      <c r="C39" s="63" t="s">
        <v>84</v>
      </c>
      <c r="D39" s="79">
        <v>0.52</v>
      </c>
      <c r="E39" s="10"/>
      <c r="F39" s="10"/>
      <c r="G39" s="10"/>
      <c r="H39" s="10"/>
      <c r="I39" s="10"/>
      <c r="J39" s="10"/>
      <c r="K39" s="10"/>
      <c r="L39" s="10"/>
      <c r="M39" s="10"/>
      <c r="N39" s="10"/>
      <c r="O39" s="10"/>
      <c r="P39" s="10"/>
    </row>
    <row r="40" spans="1:16" x14ac:dyDescent="0.35">
      <c r="A40" s="10"/>
      <c r="B40" s="10"/>
      <c r="C40" s="63" t="s">
        <v>49</v>
      </c>
      <c r="D40" s="79">
        <v>0.52</v>
      </c>
      <c r="E40" s="10"/>
      <c r="F40" s="10"/>
      <c r="G40" s="10"/>
      <c r="H40" s="10"/>
      <c r="I40" s="10"/>
      <c r="J40" s="10"/>
      <c r="K40" s="10"/>
      <c r="L40" s="10"/>
      <c r="M40" s="10"/>
      <c r="N40" s="10"/>
      <c r="O40" s="10"/>
      <c r="P40" s="10"/>
    </row>
    <row r="41" spans="1:16" x14ac:dyDescent="0.35">
      <c r="A41" s="10"/>
      <c r="B41" s="10"/>
      <c r="C41" s="63" t="s">
        <v>50</v>
      </c>
      <c r="D41" s="79">
        <v>0.75</v>
      </c>
      <c r="E41" s="10"/>
      <c r="F41" s="10"/>
      <c r="G41" s="10"/>
      <c r="H41" s="10"/>
      <c r="I41" s="10"/>
      <c r="J41" s="10"/>
      <c r="K41" s="10"/>
      <c r="L41" s="10"/>
      <c r="M41" s="10"/>
      <c r="N41" s="10"/>
      <c r="O41" s="10"/>
      <c r="P41" s="10"/>
    </row>
    <row r="42" spans="1:16" x14ac:dyDescent="0.35">
      <c r="A42" s="10"/>
      <c r="B42" s="10"/>
      <c r="C42" s="63" t="s">
        <v>51</v>
      </c>
      <c r="D42" s="79">
        <v>0.52</v>
      </c>
      <c r="E42" s="10"/>
      <c r="F42" s="10"/>
      <c r="G42" s="10"/>
      <c r="H42" s="10"/>
      <c r="I42" s="10"/>
      <c r="J42" s="10"/>
      <c r="K42" s="10"/>
      <c r="L42" s="10"/>
      <c r="M42" s="10"/>
      <c r="N42" s="10"/>
      <c r="O42" s="10"/>
      <c r="P42" s="10"/>
    </row>
    <row r="43" spans="1:16" x14ac:dyDescent="0.35">
      <c r="A43" s="10"/>
      <c r="B43" s="10"/>
      <c r="C43" s="63" t="s">
        <v>52</v>
      </c>
      <c r="D43" s="79">
        <v>0.35</v>
      </c>
      <c r="E43" s="10"/>
      <c r="F43" s="10"/>
      <c r="G43" s="10"/>
      <c r="H43" s="10"/>
      <c r="I43" s="10"/>
      <c r="J43" s="10"/>
      <c r="K43" s="10"/>
      <c r="L43" s="10"/>
      <c r="M43" s="10"/>
      <c r="N43" s="10"/>
      <c r="O43" s="10"/>
      <c r="P43" s="10"/>
    </row>
    <row r="44" spans="1:16" x14ac:dyDescent="0.35">
      <c r="A44" s="10"/>
      <c r="B44" s="10"/>
      <c r="C44" s="63" t="s">
        <v>53</v>
      </c>
      <c r="D44" s="79">
        <v>0.37</v>
      </c>
      <c r="E44" s="10"/>
      <c r="F44" s="10"/>
      <c r="G44" s="10"/>
      <c r="H44" s="10"/>
      <c r="I44" s="10"/>
      <c r="J44" s="10"/>
      <c r="K44" s="10"/>
      <c r="L44" s="10"/>
      <c r="M44" s="10"/>
      <c r="N44" s="10"/>
      <c r="O44" s="10"/>
      <c r="P44" s="10"/>
    </row>
    <row r="45" spans="1:16" x14ac:dyDescent="0.35">
      <c r="A45" s="10"/>
      <c r="B45" s="10"/>
      <c r="C45" s="63" t="s">
        <v>55</v>
      </c>
      <c r="D45" s="79">
        <v>0.45</v>
      </c>
      <c r="E45" s="10"/>
      <c r="F45" s="10"/>
      <c r="G45" s="10"/>
      <c r="H45" s="10"/>
      <c r="I45" s="10"/>
      <c r="J45" s="10"/>
      <c r="K45" s="10"/>
      <c r="L45" s="10"/>
      <c r="M45" s="10"/>
      <c r="N45" s="10"/>
      <c r="O45" s="10"/>
      <c r="P45" s="10"/>
    </row>
    <row r="46" spans="1:16" x14ac:dyDescent="0.35">
      <c r="A46" s="10"/>
      <c r="B46" s="10"/>
      <c r="C46" s="63" t="s">
        <v>56</v>
      </c>
      <c r="D46" s="79">
        <v>0.39</v>
      </c>
      <c r="E46" s="10"/>
      <c r="F46" s="10"/>
      <c r="G46" s="10"/>
      <c r="H46" s="10"/>
      <c r="I46" s="10"/>
      <c r="J46" s="10"/>
      <c r="K46" s="10"/>
      <c r="L46" s="10"/>
      <c r="M46" s="10"/>
      <c r="N46" s="10"/>
      <c r="O46" s="10"/>
      <c r="P46" s="10"/>
    </row>
    <row r="47" spans="1:16" x14ac:dyDescent="0.35">
      <c r="A47" s="10"/>
      <c r="B47" s="10"/>
      <c r="C47" s="63" t="s">
        <v>57</v>
      </c>
      <c r="D47" s="79">
        <v>0.44</v>
      </c>
      <c r="E47" s="10"/>
      <c r="F47" s="10"/>
      <c r="G47" s="10"/>
      <c r="H47" s="10"/>
      <c r="I47" s="10"/>
      <c r="J47" s="10"/>
      <c r="K47" s="10"/>
      <c r="L47" s="10"/>
      <c r="M47" s="10"/>
      <c r="N47" s="10"/>
      <c r="O47" s="10"/>
      <c r="P47" s="10"/>
    </row>
    <row r="48" spans="1:16" x14ac:dyDescent="0.35">
      <c r="A48" s="10"/>
      <c r="B48" s="10"/>
      <c r="C48" s="63" t="s">
        <v>58</v>
      </c>
      <c r="D48" s="79">
        <v>0.46</v>
      </c>
      <c r="E48" s="10"/>
      <c r="F48" s="10"/>
      <c r="G48" s="10"/>
      <c r="H48" s="10"/>
      <c r="I48" s="10"/>
      <c r="J48" s="10"/>
      <c r="K48" s="10"/>
      <c r="L48" s="10"/>
      <c r="M48" s="10"/>
      <c r="N48" s="10"/>
      <c r="O48" s="10"/>
      <c r="P48" s="10"/>
    </row>
    <row r="49" spans="1:16" x14ac:dyDescent="0.35">
      <c r="A49" s="10"/>
      <c r="B49" s="10"/>
      <c r="C49" s="63" t="s">
        <v>59</v>
      </c>
      <c r="D49" s="79">
        <v>0.46</v>
      </c>
      <c r="E49" s="10"/>
      <c r="F49" s="10"/>
      <c r="G49" s="10"/>
      <c r="H49" s="10"/>
      <c r="I49" s="10"/>
      <c r="J49" s="10"/>
      <c r="K49" s="10"/>
      <c r="L49" s="10"/>
      <c r="M49" s="10"/>
      <c r="N49" s="10"/>
      <c r="O49" s="10"/>
      <c r="P49" s="10"/>
    </row>
    <row r="50" spans="1:16" x14ac:dyDescent="0.35">
      <c r="A50" s="10"/>
      <c r="B50" s="10"/>
      <c r="C50" s="63" t="s">
        <v>60</v>
      </c>
      <c r="D50" s="79">
        <v>0.44</v>
      </c>
      <c r="E50" s="10"/>
      <c r="F50" s="10"/>
      <c r="G50" s="10"/>
      <c r="H50" s="10"/>
      <c r="I50" s="10"/>
      <c r="J50" s="10"/>
      <c r="K50" s="10"/>
      <c r="L50" s="10"/>
      <c r="M50" s="10"/>
      <c r="N50" s="10"/>
      <c r="O50" s="10"/>
      <c r="P50" s="10"/>
    </row>
    <row r="51" spans="1:16" x14ac:dyDescent="0.35">
      <c r="A51" s="10"/>
      <c r="B51" s="10"/>
      <c r="C51" s="63" t="s">
        <v>61</v>
      </c>
      <c r="D51" s="79">
        <v>0.46</v>
      </c>
      <c r="E51" s="10"/>
      <c r="F51" s="10"/>
      <c r="G51" s="10"/>
      <c r="H51" s="10"/>
      <c r="I51" s="10"/>
      <c r="J51" s="10"/>
      <c r="K51" s="10"/>
      <c r="L51" s="10"/>
      <c r="M51" s="10"/>
      <c r="N51" s="10"/>
      <c r="O51" s="10"/>
      <c r="P51" s="10"/>
    </row>
    <row r="52" spans="1:16" x14ac:dyDescent="0.35">
      <c r="A52" s="10"/>
      <c r="B52" s="10"/>
      <c r="C52" s="63" t="s">
        <v>75</v>
      </c>
      <c r="D52" s="79">
        <v>0.48</v>
      </c>
      <c r="E52" s="10"/>
      <c r="F52" s="10"/>
      <c r="G52" s="10"/>
      <c r="H52" s="10"/>
      <c r="I52" s="10"/>
      <c r="J52" s="10"/>
      <c r="K52" s="10"/>
      <c r="L52" s="10"/>
      <c r="M52" s="10"/>
      <c r="N52" s="10"/>
      <c r="O52" s="10"/>
      <c r="P52" s="10"/>
    </row>
    <row r="53" spans="1:16" x14ac:dyDescent="0.35">
      <c r="A53" s="10"/>
      <c r="B53" s="10"/>
      <c r="C53" s="63" t="s">
        <v>62</v>
      </c>
      <c r="D53" s="79">
        <v>0.44</v>
      </c>
      <c r="E53" s="10"/>
      <c r="F53" s="10"/>
      <c r="G53" s="10"/>
      <c r="H53" s="10"/>
      <c r="I53" s="10"/>
      <c r="J53" s="10"/>
      <c r="K53" s="10"/>
      <c r="L53" s="10"/>
      <c r="M53" s="10"/>
      <c r="N53" s="10"/>
      <c r="O53" s="10"/>
      <c r="P53" s="10"/>
    </row>
    <row r="54" spans="1:16" x14ac:dyDescent="0.35">
      <c r="A54" s="10"/>
      <c r="B54" s="10"/>
      <c r="C54" s="63" t="s">
        <v>63</v>
      </c>
      <c r="D54" s="79">
        <v>0.34</v>
      </c>
      <c r="E54" s="10"/>
      <c r="F54" s="10"/>
      <c r="G54" s="10"/>
      <c r="H54" s="10"/>
      <c r="I54" s="10"/>
      <c r="J54" s="10"/>
      <c r="K54" s="10"/>
      <c r="L54" s="10"/>
      <c r="M54" s="10"/>
      <c r="N54" s="10"/>
      <c r="O54" s="10"/>
      <c r="P54" s="10"/>
    </row>
    <row r="55" spans="1:16" x14ac:dyDescent="0.35">
      <c r="A55" s="10"/>
      <c r="B55" s="10"/>
      <c r="C55" s="63" t="s">
        <v>64</v>
      </c>
      <c r="D55" s="79">
        <v>0.5</v>
      </c>
      <c r="E55" s="10"/>
      <c r="F55" s="10"/>
      <c r="G55" s="10"/>
      <c r="H55" s="10"/>
      <c r="I55" s="10"/>
      <c r="J55" s="10"/>
      <c r="K55" s="10"/>
      <c r="L55" s="10"/>
      <c r="M55" s="10"/>
      <c r="N55" s="10"/>
      <c r="O55" s="10"/>
      <c r="P55" s="10"/>
    </row>
    <row r="56" spans="1:16" x14ac:dyDescent="0.35">
      <c r="A56" s="10"/>
      <c r="B56" s="10"/>
      <c r="C56" s="63" t="s">
        <v>85</v>
      </c>
      <c r="D56" s="79">
        <v>0.57999999999999996</v>
      </c>
      <c r="E56" s="10"/>
      <c r="F56" s="10"/>
      <c r="G56" s="10"/>
      <c r="H56" s="10"/>
      <c r="I56" s="10"/>
      <c r="J56" s="10"/>
      <c r="K56" s="10"/>
      <c r="L56" s="10"/>
      <c r="M56" s="10"/>
      <c r="N56" s="10"/>
      <c r="O56" s="10"/>
      <c r="P56" s="10"/>
    </row>
    <row r="57" spans="1:16" x14ac:dyDescent="0.35">
      <c r="A57" s="10"/>
      <c r="B57" s="10"/>
      <c r="C57" s="63" t="s">
        <v>65</v>
      </c>
      <c r="D57" s="79">
        <v>0.37</v>
      </c>
      <c r="E57" s="10"/>
      <c r="F57" s="10"/>
      <c r="G57" s="10"/>
      <c r="H57" s="10"/>
      <c r="I57" s="10"/>
      <c r="J57" s="10"/>
      <c r="K57" s="10"/>
      <c r="L57" s="10"/>
      <c r="M57" s="10"/>
      <c r="N57" s="10"/>
      <c r="O57" s="10"/>
      <c r="P57" s="10"/>
    </row>
    <row r="58" spans="1:16" x14ac:dyDescent="0.35">
      <c r="A58" s="10"/>
      <c r="B58" s="10"/>
      <c r="C58" s="63" t="s">
        <v>66</v>
      </c>
      <c r="D58" s="79">
        <v>0.37</v>
      </c>
      <c r="E58" s="10"/>
      <c r="F58" s="10"/>
      <c r="G58" s="10"/>
      <c r="H58" s="10"/>
      <c r="I58" s="10"/>
      <c r="J58" s="10"/>
      <c r="K58" s="10"/>
      <c r="L58" s="10"/>
      <c r="M58" s="10"/>
      <c r="N58" s="10"/>
      <c r="O58" s="10"/>
      <c r="P58" s="10"/>
    </row>
    <row r="59" spans="1:16" x14ac:dyDescent="0.35">
      <c r="A59" s="10"/>
      <c r="B59" s="10"/>
      <c r="C59" s="63" t="s">
        <v>67</v>
      </c>
      <c r="D59" s="79">
        <v>0.38</v>
      </c>
      <c r="E59" s="10"/>
      <c r="F59" s="10"/>
      <c r="G59" s="10"/>
      <c r="H59" s="10"/>
      <c r="I59" s="10"/>
      <c r="J59" s="10"/>
      <c r="K59" s="10"/>
      <c r="L59" s="10"/>
      <c r="M59" s="10"/>
      <c r="N59" s="10"/>
      <c r="O59" s="10"/>
      <c r="P59" s="10"/>
    </row>
    <row r="60" spans="1:16" x14ac:dyDescent="0.35">
      <c r="A60" s="10"/>
      <c r="B60" s="10"/>
      <c r="C60" s="63" t="s">
        <v>68</v>
      </c>
      <c r="D60" s="79">
        <v>0.36</v>
      </c>
      <c r="E60" s="10"/>
      <c r="F60" s="10"/>
      <c r="G60" s="10"/>
      <c r="H60" s="10"/>
      <c r="I60" s="10"/>
      <c r="J60" s="10"/>
      <c r="K60" s="10"/>
      <c r="L60" s="10"/>
      <c r="M60" s="10"/>
      <c r="N60" s="10"/>
      <c r="O60" s="10"/>
      <c r="P60" s="10"/>
    </row>
    <row r="61" spans="1:16" x14ac:dyDescent="0.35">
      <c r="A61" s="10"/>
      <c r="B61" s="10"/>
      <c r="C61" s="63" t="s">
        <v>69</v>
      </c>
      <c r="D61" s="79">
        <v>0.37</v>
      </c>
      <c r="E61" s="10"/>
      <c r="F61" s="10"/>
      <c r="G61" s="10"/>
      <c r="H61" s="10"/>
      <c r="I61" s="10"/>
      <c r="J61" s="10"/>
      <c r="K61" s="10"/>
      <c r="L61" s="10"/>
      <c r="M61" s="10"/>
      <c r="N61" s="10"/>
      <c r="O61" s="10"/>
      <c r="P61" s="10"/>
    </row>
    <row r="62" spans="1:16" x14ac:dyDescent="0.35">
      <c r="A62" s="10"/>
      <c r="B62" s="10"/>
      <c r="C62" s="63" t="s">
        <v>70</v>
      </c>
      <c r="D62" s="79">
        <v>0.53</v>
      </c>
      <c r="E62" s="10"/>
      <c r="F62" s="10"/>
      <c r="G62" s="10"/>
      <c r="H62" s="10"/>
      <c r="I62" s="10"/>
      <c r="J62" s="10"/>
      <c r="K62" s="10"/>
      <c r="L62" s="10"/>
      <c r="M62" s="10"/>
      <c r="N62" s="10"/>
      <c r="O62" s="10"/>
      <c r="P62" s="10"/>
    </row>
    <row r="63" spans="1:16" x14ac:dyDescent="0.35">
      <c r="A63" s="10"/>
      <c r="B63" s="10"/>
      <c r="C63" s="63" t="s">
        <v>71</v>
      </c>
      <c r="D63" s="79">
        <v>0.43</v>
      </c>
      <c r="E63" s="10"/>
      <c r="F63" s="10"/>
      <c r="G63" s="10"/>
      <c r="H63" s="10"/>
      <c r="I63" s="10"/>
      <c r="J63" s="10"/>
      <c r="K63" s="10"/>
      <c r="L63" s="10"/>
      <c r="M63" s="10"/>
      <c r="N63" s="10"/>
      <c r="O63" s="10"/>
      <c r="P63" s="10"/>
    </row>
    <row r="64" spans="1:16" x14ac:dyDescent="0.35">
      <c r="A64" s="10"/>
      <c r="B64" s="10"/>
      <c r="C64" s="63" t="s">
        <v>72</v>
      </c>
      <c r="D64" s="79">
        <v>0.38</v>
      </c>
      <c r="E64" s="10"/>
      <c r="F64" s="10"/>
      <c r="G64" s="10"/>
      <c r="H64" s="10"/>
      <c r="I64" s="10"/>
      <c r="J64" s="10"/>
      <c r="K64" s="10"/>
      <c r="L64" s="10"/>
      <c r="M64" s="10"/>
      <c r="N64" s="10"/>
      <c r="O64" s="10"/>
      <c r="P64" s="10"/>
    </row>
    <row r="65" spans="1:16" x14ac:dyDescent="0.35">
      <c r="A65" s="10"/>
      <c r="B65" s="10"/>
      <c r="C65" s="63" t="s">
        <v>73</v>
      </c>
      <c r="D65" s="79">
        <v>0.42</v>
      </c>
      <c r="E65" s="10"/>
      <c r="F65" s="10"/>
      <c r="G65" s="10"/>
      <c r="H65" s="10"/>
      <c r="I65" s="10"/>
      <c r="J65" s="10"/>
      <c r="K65" s="10"/>
      <c r="L65" s="10"/>
      <c r="M65" s="10"/>
      <c r="N65" s="10"/>
      <c r="O65" s="10"/>
      <c r="P65" s="10"/>
    </row>
    <row r="66" spans="1:16" ht="15" thickBot="1" x14ac:dyDescent="0.4">
      <c r="A66" s="10"/>
      <c r="B66" s="10"/>
      <c r="C66" s="64" t="s">
        <v>74</v>
      </c>
      <c r="D66" s="80">
        <v>0.56999999999999995</v>
      </c>
      <c r="E66" s="10"/>
      <c r="F66" s="10"/>
      <c r="G66" s="10"/>
      <c r="H66" s="10"/>
      <c r="I66" s="10"/>
      <c r="J66" s="10"/>
      <c r="K66" s="10"/>
      <c r="L66" s="10"/>
      <c r="M66" s="10"/>
      <c r="N66" s="10"/>
      <c r="O66" s="10"/>
      <c r="P66" s="10"/>
    </row>
    <row r="67" spans="1:16" ht="15" thickBot="1" x14ac:dyDescent="0.4">
      <c r="A67" s="10"/>
      <c r="B67" s="10"/>
      <c r="C67" s="108" t="s">
        <v>190</v>
      </c>
      <c r="D67" s="80">
        <v>0.54</v>
      </c>
      <c r="E67" s="10"/>
      <c r="F67" s="10"/>
      <c r="G67" s="10"/>
      <c r="H67" s="10"/>
      <c r="I67" s="10"/>
      <c r="J67" s="10"/>
      <c r="K67" s="10"/>
      <c r="L67" s="10"/>
      <c r="M67" s="10"/>
      <c r="N67" s="10"/>
      <c r="O67" s="10"/>
      <c r="P67" s="10"/>
    </row>
    <row r="68" spans="1:16" x14ac:dyDescent="0.35">
      <c r="A68" s="10"/>
      <c r="B68" s="10"/>
      <c r="C68" s="10"/>
      <c r="D68" s="10"/>
      <c r="E68" s="10"/>
      <c r="F68" s="10"/>
      <c r="G68" s="10"/>
      <c r="H68" s="10"/>
      <c r="I68" s="10"/>
      <c r="J68" s="10"/>
      <c r="K68" s="10"/>
      <c r="L68" s="10"/>
      <c r="M68" s="10"/>
      <c r="N68" s="10"/>
      <c r="O68" s="10"/>
      <c r="P68" s="10"/>
    </row>
    <row r="69" spans="1:16" ht="15" thickBot="1" x14ac:dyDescent="0.4">
      <c r="A69" s="10"/>
      <c r="B69" s="10"/>
      <c r="C69" s="10"/>
      <c r="D69" s="10"/>
      <c r="E69" s="10"/>
      <c r="F69" s="10"/>
      <c r="G69" s="10"/>
      <c r="H69" s="10"/>
      <c r="I69" s="10"/>
      <c r="J69" s="10"/>
      <c r="K69" s="10"/>
      <c r="L69" s="10"/>
      <c r="M69" s="10"/>
      <c r="N69" s="10"/>
      <c r="O69" s="10"/>
      <c r="P69" s="10"/>
    </row>
    <row r="70" spans="1:16" ht="15" thickBot="1" x14ac:dyDescent="0.4">
      <c r="A70" s="76" t="s">
        <v>141</v>
      </c>
      <c r="B70" s="10"/>
      <c r="C70" s="10"/>
      <c r="D70" s="10"/>
      <c r="E70" s="10"/>
      <c r="F70" s="10"/>
      <c r="G70" s="10"/>
      <c r="H70" s="10"/>
      <c r="I70" s="10"/>
      <c r="J70" s="10"/>
      <c r="K70" s="10"/>
      <c r="L70" s="10"/>
      <c r="M70" s="10"/>
      <c r="N70" s="10"/>
      <c r="O70" s="10"/>
      <c r="P70" s="10"/>
    </row>
    <row r="71" spans="1:16" x14ac:dyDescent="0.35">
      <c r="A71" s="73" t="s">
        <v>142</v>
      </c>
      <c r="B71" s="10"/>
      <c r="C71" s="10"/>
      <c r="D71" s="10"/>
      <c r="E71" s="10"/>
      <c r="F71" s="10"/>
      <c r="G71" s="10"/>
      <c r="H71" s="10"/>
      <c r="I71" s="10"/>
      <c r="J71" s="10"/>
      <c r="K71" s="10"/>
      <c r="L71" s="10"/>
      <c r="M71" s="10"/>
      <c r="N71" s="10"/>
      <c r="O71" s="10"/>
      <c r="P71" s="10"/>
    </row>
    <row r="72" spans="1:16" x14ac:dyDescent="0.35">
      <c r="A72" s="70" t="s">
        <v>143</v>
      </c>
      <c r="B72" s="10"/>
      <c r="C72" s="10"/>
      <c r="D72" s="10"/>
      <c r="E72" s="10"/>
      <c r="F72" s="10"/>
      <c r="G72" s="10"/>
      <c r="H72" s="10"/>
      <c r="I72" s="10"/>
      <c r="J72" s="10"/>
      <c r="K72" s="10"/>
      <c r="L72" s="10"/>
      <c r="M72" s="10"/>
      <c r="N72" s="10"/>
      <c r="O72" s="10"/>
      <c r="P72" s="10"/>
    </row>
    <row r="73" spans="1:16" ht="29.5" thickBot="1" x14ac:dyDescent="0.4">
      <c r="A73" s="71" t="s">
        <v>144</v>
      </c>
      <c r="B73" s="10"/>
      <c r="C73" s="10"/>
      <c r="D73" s="10"/>
      <c r="E73" s="10"/>
      <c r="F73" s="10"/>
      <c r="G73" s="10"/>
      <c r="H73" s="10"/>
      <c r="I73" s="10"/>
      <c r="J73" s="10"/>
      <c r="K73" s="10"/>
      <c r="L73" s="10"/>
      <c r="M73" s="10"/>
      <c r="N73" s="10"/>
      <c r="O73" s="10"/>
      <c r="P73" s="10"/>
    </row>
    <row r="74" spans="1:16" x14ac:dyDescent="0.35">
      <c r="A74" s="10"/>
      <c r="B74" s="10"/>
      <c r="C74" s="10"/>
      <c r="D74" s="10"/>
      <c r="E74" s="10"/>
      <c r="F74" s="10"/>
      <c r="G74" s="10"/>
      <c r="H74" s="10"/>
      <c r="I74" s="10"/>
      <c r="J74" s="10"/>
      <c r="K74" s="10"/>
      <c r="L74" s="10"/>
      <c r="M74" s="10"/>
      <c r="N74" s="10"/>
      <c r="O74" s="10"/>
      <c r="P74" s="10"/>
    </row>
    <row r="75" spans="1:16" x14ac:dyDescent="0.35">
      <c r="A75" s="10"/>
      <c r="B75" s="10"/>
      <c r="C75" s="10"/>
      <c r="D75" s="10"/>
      <c r="E75" s="10"/>
      <c r="F75" s="10"/>
      <c r="G75" s="10"/>
      <c r="H75" s="10"/>
      <c r="I75" s="10"/>
      <c r="J75" s="10"/>
      <c r="K75" s="10"/>
      <c r="L75" s="10"/>
      <c r="M75" s="10"/>
      <c r="N75" s="10"/>
      <c r="O75" s="10"/>
      <c r="P75" s="10"/>
    </row>
    <row r="76" spans="1:16" x14ac:dyDescent="0.35">
      <c r="A76" s="10"/>
      <c r="B76" s="10"/>
      <c r="C76" s="10"/>
      <c r="D76" s="10"/>
      <c r="E76" s="10"/>
      <c r="F76" s="10"/>
      <c r="G76" s="10"/>
      <c r="H76" s="10"/>
      <c r="I76" s="10"/>
      <c r="J76" s="10"/>
      <c r="K76" s="10"/>
      <c r="L76" s="10"/>
      <c r="M76" s="10"/>
      <c r="N76" s="10"/>
      <c r="O76" s="10"/>
      <c r="P76" s="10"/>
    </row>
    <row r="77" spans="1:16" x14ac:dyDescent="0.35">
      <c r="A77" s="10"/>
      <c r="B77" s="10"/>
      <c r="C77" s="10"/>
      <c r="D77" s="10"/>
      <c r="E77" s="10"/>
      <c r="F77" s="10"/>
      <c r="G77" s="10"/>
      <c r="H77" s="10"/>
      <c r="I77" s="10"/>
      <c r="J77" s="10"/>
      <c r="K77" s="10"/>
      <c r="L77" s="10"/>
      <c r="M77" s="10"/>
      <c r="N77" s="10"/>
      <c r="O77" s="10"/>
      <c r="P77" s="10"/>
    </row>
    <row r="78" spans="1:16" x14ac:dyDescent="0.35">
      <c r="A78" s="10"/>
      <c r="B78" s="10"/>
      <c r="C78" s="10"/>
      <c r="D78" s="10"/>
      <c r="E78" s="10"/>
      <c r="F78" s="10"/>
      <c r="G78" s="10"/>
      <c r="H78" s="10"/>
      <c r="I78" s="10"/>
      <c r="J78" s="10"/>
      <c r="K78" s="10"/>
      <c r="L78" s="10"/>
      <c r="M78" s="10"/>
      <c r="N78" s="10"/>
      <c r="O78" s="10"/>
      <c r="P78" s="10"/>
    </row>
    <row r="79" spans="1:16" x14ac:dyDescent="0.35">
      <c r="A79" s="10"/>
      <c r="B79" s="10"/>
      <c r="C79" s="10"/>
      <c r="D79" s="10"/>
      <c r="E79" s="10"/>
      <c r="F79" s="10"/>
      <c r="G79" s="10"/>
      <c r="H79" s="10"/>
      <c r="I79" s="10"/>
      <c r="J79" s="10"/>
      <c r="K79" s="10"/>
      <c r="L79" s="10"/>
      <c r="M79" s="10"/>
      <c r="N79" s="10"/>
      <c r="O79" s="10"/>
      <c r="P79" s="10"/>
    </row>
    <row r="80" spans="1:16" x14ac:dyDescent="0.35">
      <c r="A80" s="10"/>
      <c r="B80" s="10"/>
      <c r="C80" s="10"/>
      <c r="D80" s="10"/>
      <c r="E80" s="10"/>
      <c r="F80" s="10"/>
      <c r="G80" s="10"/>
      <c r="H80" s="10"/>
      <c r="I80" s="10"/>
      <c r="J80" s="10"/>
      <c r="K80" s="10"/>
      <c r="L80" s="10"/>
      <c r="M80" s="10"/>
      <c r="N80" s="10"/>
      <c r="O80" s="10"/>
      <c r="P80" s="10"/>
    </row>
    <row r="81" spans="1:16" x14ac:dyDescent="0.35">
      <c r="A81" s="10"/>
      <c r="B81" s="10"/>
      <c r="C81" s="10"/>
      <c r="D81" s="10"/>
      <c r="E81" s="10"/>
      <c r="F81" s="10"/>
      <c r="G81" s="10"/>
      <c r="H81" s="10"/>
      <c r="I81" s="10"/>
      <c r="J81" s="10"/>
      <c r="K81" s="10"/>
      <c r="L81" s="10"/>
      <c r="M81" s="10"/>
      <c r="N81" s="10"/>
      <c r="O81" s="10"/>
      <c r="P81" s="10"/>
    </row>
    <row r="82" spans="1:16" x14ac:dyDescent="0.35">
      <c r="A82" s="10"/>
      <c r="B82" s="10"/>
      <c r="C82" s="10"/>
      <c r="D82" s="10"/>
      <c r="E82" s="10"/>
      <c r="F82" s="10"/>
      <c r="G82" s="10"/>
      <c r="H82" s="10"/>
      <c r="I82" s="10"/>
      <c r="J82" s="10"/>
      <c r="K82" s="10"/>
      <c r="L82" s="10"/>
      <c r="M82" s="10"/>
      <c r="N82" s="10"/>
      <c r="O82" s="10"/>
      <c r="P82" s="10"/>
    </row>
    <row r="83" spans="1:16" x14ac:dyDescent="0.35">
      <c r="A83" s="10"/>
      <c r="B83" s="10"/>
      <c r="C83" s="10"/>
      <c r="D83" s="10"/>
      <c r="E83" s="10"/>
      <c r="F83" s="10"/>
      <c r="G83" s="10"/>
      <c r="H83" s="10"/>
      <c r="I83" s="10"/>
      <c r="J83" s="10"/>
      <c r="K83" s="10"/>
      <c r="L83" s="10"/>
      <c r="M83" s="10"/>
      <c r="N83" s="10"/>
      <c r="O83" s="10"/>
      <c r="P83" s="10"/>
    </row>
    <row r="84" spans="1:16" x14ac:dyDescent="0.35">
      <c r="A84" s="10"/>
      <c r="B84" s="10"/>
      <c r="C84" s="10"/>
      <c r="D84" s="10"/>
      <c r="E84" s="10"/>
      <c r="F84" s="10"/>
      <c r="G84" s="10"/>
      <c r="H84" s="10"/>
      <c r="I84" s="10"/>
      <c r="J84" s="10"/>
      <c r="K84" s="10"/>
      <c r="L84" s="10"/>
      <c r="M84" s="10"/>
      <c r="N84" s="10"/>
      <c r="O84" s="10"/>
      <c r="P84" s="10"/>
    </row>
    <row r="85" spans="1:16" x14ac:dyDescent="0.35">
      <c r="A85" s="10"/>
      <c r="B85" s="10"/>
      <c r="C85" s="10"/>
      <c r="D85" s="10"/>
      <c r="E85" s="10"/>
      <c r="F85" s="10"/>
      <c r="G85" s="10"/>
      <c r="H85" s="10"/>
      <c r="I85" s="10"/>
      <c r="J85" s="10"/>
      <c r="K85" s="10"/>
      <c r="L85" s="10"/>
      <c r="M85" s="10"/>
      <c r="N85" s="10"/>
      <c r="O85" s="10"/>
      <c r="P85" s="10"/>
    </row>
    <row r="86" spans="1:16" x14ac:dyDescent="0.35">
      <c r="A86" s="10"/>
      <c r="B86" s="10"/>
      <c r="C86" s="10"/>
      <c r="D86" s="10"/>
      <c r="E86" s="10"/>
      <c r="F86" s="10"/>
      <c r="G86" s="10"/>
      <c r="H86" s="10"/>
      <c r="I86" s="10"/>
      <c r="J86" s="10"/>
      <c r="K86" s="10"/>
      <c r="L86" s="10"/>
      <c r="M86" s="10"/>
      <c r="N86" s="10"/>
      <c r="O86" s="10"/>
      <c r="P86" s="10"/>
    </row>
    <row r="87" spans="1:16" x14ac:dyDescent="0.35">
      <c r="A87" s="10"/>
      <c r="B87" s="10"/>
      <c r="C87" s="10"/>
      <c r="D87" s="10"/>
      <c r="E87" s="10"/>
      <c r="F87" s="10"/>
      <c r="G87" s="10"/>
      <c r="H87" s="10"/>
      <c r="I87" s="10"/>
      <c r="J87" s="10"/>
      <c r="K87" s="10"/>
      <c r="L87" s="10"/>
      <c r="M87" s="10"/>
      <c r="N87" s="10"/>
      <c r="O87" s="10"/>
      <c r="P87" s="10"/>
    </row>
    <row r="88" spans="1:16" x14ac:dyDescent="0.35">
      <c r="A88" s="10"/>
      <c r="B88" s="10"/>
      <c r="C88" s="10"/>
      <c r="D88" s="10"/>
      <c r="E88" s="10"/>
      <c r="F88" s="10"/>
      <c r="G88" s="10"/>
      <c r="H88" s="10"/>
      <c r="I88" s="10"/>
      <c r="J88" s="10"/>
      <c r="K88" s="10"/>
      <c r="L88" s="10"/>
      <c r="M88" s="10"/>
      <c r="N88" s="10"/>
      <c r="O88" s="10"/>
      <c r="P88" s="10"/>
    </row>
    <row r="89" spans="1:16" x14ac:dyDescent="0.35">
      <c r="A89" s="10"/>
      <c r="B89" s="10"/>
      <c r="C89" s="10"/>
      <c r="D89" s="10"/>
      <c r="E89" s="10"/>
      <c r="F89" s="10"/>
      <c r="G89" s="10"/>
      <c r="H89" s="10"/>
      <c r="I89" s="10"/>
      <c r="J89" s="10"/>
      <c r="K89" s="10"/>
      <c r="L89" s="10"/>
      <c r="M89" s="10"/>
      <c r="N89" s="10"/>
      <c r="O89" s="10"/>
      <c r="P89" s="10"/>
    </row>
    <row r="90" spans="1:16" x14ac:dyDescent="0.35">
      <c r="A90" s="10"/>
      <c r="B90" s="10"/>
      <c r="C90" s="10"/>
      <c r="D90" s="10"/>
      <c r="E90" s="10"/>
      <c r="F90" s="10"/>
      <c r="G90" s="10"/>
      <c r="H90" s="10"/>
      <c r="I90" s="10"/>
      <c r="J90" s="10"/>
      <c r="K90" s="10"/>
      <c r="L90" s="10"/>
      <c r="M90" s="10"/>
      <c r="N90" s="10"/>
      <c r="O90" s="10"/>
      <c r="P90" s="10"/>
    </row>
    <row r="91" spans="1:16" x14ac:dyDescent="0.35">
      <c r="A91" s="10"/>
      <c r="B91" s="10"/>
      <c r="C91" s="10"/>
      <c r="D91" s="10"/>
      <c r="E91" s="10"/>
      <c r="F91" s="10"/>
      <c r="G91" s="10"/>
      <c r="H91" s="10"/>
      <c r="I91" s="10"/>
      <c r="J91" s="10"/>
      <c r="K91" s="10"/>
      <c r="L91" s="10"/>
      <c r="M91" s="10"/>
      <c r="N91" s="10"/>
      <c r="O91" s="10"/>
      <c r="P91" s="10"/>
    </row>
    <row r="92" spans="1:16" x14ac:dyDescent="0.35">
      <c r="A92" s="10"/>
      <c r="B92" s="10"/>
      <c r="C92" s="10"/>
      <c r="D92" s="10"/>
      <c r="E92" s="10"/>
      <c r="F92" s="10"/>
      <c r="G92" s="10"/>
      <c r="H92" s="10"/>
      <c r="I92" s="10"/>
      <c r="J92" s="10"/>
      <c r="K92" s="10"/>
      <c r="L92" s="10"/>
      <c r="M92" s="10"/>
      <c r="N92" s="10"/>
      <c r="O92" s="10"/>
      <c r="P92" s="10"/>
    </row>
    <row r="93" spans="1:16" x14ac:dyDescent="0.35">
      <c r="A93" s="10"/>
      <c r="B93" s="10"/>
      <c r="C93" s="10"/>
      <c r="D93" s="10"/>
      <c r="E93" s="10"/>
      <c r="F93" s="10"/>
      <c r="G93" s="10"/>
      <c r="H93" s="10"/>
      <c r="I93" s="10"/>
      <c r="J93" s="10"/>
      <c r="K93" s="10"/>
      <c r="L93" s="10"/>
      <c r="M93" s="10"/>
      <c r="N93" s="10"/>
      <c r="O93" s="10"/>
      <c r="P93" s="10"/>
    </row>
    <row r="94" spans="1:16" x14ac:dyDescent="0.35">
      <c r="A94" s="10"/>
      <c r="B94" s="10"/>
      <c r="C94" s="10"/>
      <c r="D94" s="10"/>
      <c r="E94" s="10"/>
      <c r="F94" s="10"/>
      <c r="G94" s="10"/>
      <c r="H94" s="10"/>
      <c r="I94" s="10"/>
      <c r="J94" s="10"/>
      <c r="K94" s="10"/>
      <c r="L94" s="10"/>
      <c r="M94" s="10"/>
      <c r="N94" s="10"/>
      <c r="O94" s="10"/>
      <c r="P94" s="10"/>
    </row>
    <row r="95" spans="1:16" x14ac:dyDescent="0.35">
      <c r="A95" s="10"/>
      <c r="B95" s="10"/>
      <c r="C95" s="10"/>
      <c r="D95" s="10"/>
      <c r="E95" s="10"/>
      <c r="F95" s="10"/>
      <c r="G95" s="10"/>
      <c r="H95" s="10"/>
      <c r="I95" s="10"/>
      <c r="J95" s="10"/>
      <c r="K95" s="10"/>
      <c r="L95" s="10"/>
      <c r="M95" s="10"/>
      <c r="N95" s="10"/>
      <c r="O95" s="10"/>
      <c r="P95" s="10"/>
    </row>
    <row r="96" spans="1:16" x14ac:dyDescent="0.35">
      <c r="A96" s="10"/>
      <c r="B96" s="10"/>
      <c r="C96" s="10"/>
      <c r="D96" s="10"/>
      <c r="E96" s="10"/>
      <c r="F96" s="10"/>
      <c r="G96" s="10"/>
      <c r="H96" s="10"/>
      <c r="I96" s="10"/>
      <c r="J96" s="10"/>
      <c r="K96" s="10"/>
      <c r="L96" s="10"/>
      <c r="M96" s="10"/>
      <c r="N96" s="10"/>
      <c r="O96" s="10"/>
      <c r="P96" s="10"/>
    </row>
    <row r="97" spans="1:16" x14ac:dyDescent="0.35">
      <c r="A97" s="10"/>
      <c r="B97" s="10"/>
      <c r="C97" s="10"/>
      <c r="D97" s="10"/>
      <c r="E97" s="10"/>
      <c r="F97" s="10"/>
      <c r="G97" s="10"/>
      <c r="H97" s="10"/>
      <c r="I97" s="10"/>
      <c r="J97" s="10"/>
      <c r="K97" s="10"/>
      <c r="L97" s="10"/>
      <c r="M97" s="10"/>
      <c r="N97" s="10"/>
      <c r="O97" s="10"/>
      <c r="P97" s="10"/>
    </row>
    <row r="98" spans="1:16" x14ac:dyDescent="0.35">
      <c r="A98" s="10"/>
      <c r="B98" s="10"/>
      <c r="C98" s="10"/>
      <c r="D98" s="10"/>
      <c r="E98" s="10"/>
      <c r="F98" s="10"/>
      <c r="G98" s="10"/>
      <c r="H98" s="10"/>
      <c r="I98" s="10"/>
      <c r="J98" s="10"/>
      <c r="K98" s="10"/>
      <c r="L98" s="10"/>
      <c r="M98" s="10"/>
      <c r="N98" s="10"/>
      <c r="O98" s="10"/>
      <c r="P98" s="10"/>
    </row>
    <row r="99" spans="1:16" x14ac:dyDescent="0.35">
      <c r="A99" s="10"/>
      <c r="B99" s="10"/>
      <c r="C99" s="10"/>
      <c r="D99" s="10"/>
      <c r="E99" s="10"/>
      <c r="F99" s="10"/>
      <c r="G99" s="10"/>
      <c r="H99" s="10"/>
      <c r="I99" s="10"/>
      <c r="J99" s="10"/>
      <c r="K99" s="10"/>
      <c r="L99" s="10"/>
      <c r="M99" s="10"/>
      <c r="N99" s="10"/>
      <c r="O99" s="10"/>
      <c r="P99" s="10"/>
    </row>
    <row r="100" spans="1:16" x14ac:dyDescent="0.35">
      <c r="A100" s="10"/>
      <c r="B100" s="10"/>
      <c r="C100" s="10"/>
      <c r="D100" s="10"/>
      <c r="E100" s="10"/>
      <c r="F100" s="10"/>
      <c r="G100" s="10"/>
      <c r="H100" s="10"/>
      <c r="I100" s="10"/>
      <c r="J100" s="10"/>
      <c r="K100" s="10"/>
      <c r="L100" s="10"/>
      <c r="M100" s="10"/>
      <c r="N100" s="10"/>
      <c r="O100" s="10"/>
      <c r="P100" s="10"/>
    </row>
    <row r="101" spans="1:16" x14ac:dyDescent="0.35">
      <c r="A101" s="10"/>
      <c r="B101" s="10"/>
      <c r="C101" s="10"/>
      <c r="D101" s="10"/>
      <c r="E101" s="10"/>
      <c r="F101" s="10"/>
      <c r="G101" s="10"/>
      <c r="H101" s="10"/>
      <c r="I101" s="10"/>
      <c r="J101" s="10"/>
      <c r="K101" s="10"/>
      <c r="L101" s="10"/>
      <c r="M101" s="10"/>
      <c r="N101" s="10"/>
      <c r="O101" s="10"/>
      <c r="P101" s="10"/>
    </row>
    <row r="102" spans="1:16" x14ac:dyDescent="0.35">
      <c r="A102" s="10"/>
      <c r="B102" s="10"/>
      <c r="C102" s="10"/>
      <c r="D102" s="10"/>
      <c r="E102" s="10"/>
      <c r="F102" s="10"/>
      <c r="G102" s="10"/>
      <c r="H102" s="10"/>
      <c r="I102" s="10"/>
      <c r="J102" s="10"/>
      <c r="K102" s="10"/>
      <c r="L102" s="10"/>
      <c r="M102" s="10"/>
      <c r="N102" s="10"/>
      <c r="O102" s="10"/>
      <c r="P102" s="10"/>
    </row>
    <row r="103" spans="1:16" x14ac:dyDescent="0.35">
      <c r="A103" s="10"/>
      <c r="B103" s="10"/>
      <c r="C103" s="10"/>
      <c r="D103" s="10"/>
      <c r="E103" s="10"/>
      <c r="F103" s="10"/>
      <c r="G103" s="10"/>
      <c r="H103" s="10"/>
      <c r="I103" s="10"/>
      <c r="J103" s="10"/>
      <c r="K103" s="10"/>
      <c r="L103" s="10"/>
      <c r="M103" s="10"/>
      <c r="N103" s="10"/>
      <c r="O103" s="10"/>
      <c r="P103" s="10"/>
    </row>
    <row r="104" spans="1:16" x14ac:dyDescent="0.35">
      <c r="A104" s="10"/>
      <c r="B104" s="10"/>
      <c r="C104" s="10"/>
      <c r="D104" s="10"/>
      <c r="E104" s="10"/>
      <c r="F104" s="10"/>
      <c r="G104" s="10"/>
      <c r="H104" s="10"/>
      <c r="I104" s="10"/>
      <c r="J104" s="10"/>
      <c r="K104" s="10"/>
      <c r="L104" s="10"/>
      <c r="M104" s="10"/>
      <c r="N104" s="10"/>
      <c r="O104" s="10"/>
      <c r="P104" s="10"/>
    </row>
    <row r="105" spans="1:16" x14ac:dyDescent="0.35">
      <c r="A105" s="10"/>
      <c r="B105" s="10"/>
      <c r="C105" s="10"/>
      <c r="D105" s="10"/>
      <c r="E105" s="10"/>
      <c r="F105" s="10"/>
      <c r="G105" s="10"/>
      <c r="H105" s="10"/>
      <c r="I105" s="10"/>
      <c r="J105" s="10"/>
      <c r="K105" s="10"/>
      <c r="L105" s="10"/>
      <c r="M105" s="10"/>
      <c r="N105" s="10"/>
      <c r="O105" s="10"/>
      <c r="P105" s="10"/>
    </row>
    <row r="106" spans="1:16" x14ac:dyDescent="0.35">
      <c r="A106" s="10"/>
      <c r="B106" s="10"/>
      <c r="C106" s="10"/>
      <c r="D106" s="10"/>
      <c r="E106" s="10"/>
      <c r="F106" s="10"/>
      <c r="G106" s="10"/>
      <c r="H106" s="10"/>
      <c r="I106" s="10"/>
      <c r="J106" s="10"/>
      <c r="K106" s="10"/>
      <c r="L106" s="10"/>
      <c r="M106" s="10"/>
      <c r="N106" s="10"/>
      <c r="O106" s="10"/>
      <c r="P106" s="10"/>
    </row>
    <row r="107" spans="1:16" x14ac:dyDescent="0.35">
      <c r="A107" s="10"/>
      <c r="B107" s="10"/>
      <c r="C107" s="10"/>
      <c r="D107" s="10"/>
      <c r="E107" s="10"/>
      <c r="F107" s="10"/>
      <c r="G107" s="10"/>
      <c r="H107" s="10"/>
      <c r="I107" s="10"/>
      <c r="J107" s="10"/>
      <c r="K107" s="10"/>
      <c r="L107" s="10"/>
      <c r="M107" s="10"/>
      <c r="N107" s="10"/>
      <c r="O107" s="10"/>
      <c r="P107" s="10"/>
    </row>
    <row r="108" spans="1:16" x14ac:dyDescent="0.35">
      <c r="A108" s="10"/>
      <c r="B108" s="10"/>
      <c r="C108" s="10"/>
      <c r="D108" s="10"/>
      <c r="E108" s="10"/>
      <c r="F108" s="10"/>
      <c r="G108" s="10"/>
      <c r="H108" s="10"/>
      <c r="I108" s="10"/>
      <c r="J108" s="10"/>
      <c r="K108" s="10"/>
      <c r="L108" s="10"/>
      <c r="M108" s="10"/>
      <c r="N108" s="10"/>
      <c r="O108" s="10"/>
      <c r="P108" s="10"/>
    </row>
    <row r="109" spans="1:16" x14ac:dyDescent="0.35">
      <c r="A109" s="10"/>
      <c r="B109" s="10"/>
      <c r="C109" s="10"/>
      <c r="D109" s="10"/>
      <c r="E109" s="10"/>
      <c r="F109" s="10"/>
      <c r="G109" s="10"/>
      <c r="H109" s="10"/>
      <c r="I109" s="10"/>
      <c r="J109" s="10"/>
      <c r="K109" s="10"/>
      <c r="L109" s="10"/>
      <c r="M109" s="10"/>
      <c r="N109" s="10"/>
      <c r="O109" s="10"/>
      <c r="P109" s="10"/>
    </row>
    <row r="110" spans="1:16" x14ac:dyDescent="0.35">
      <c r="A110" s="10"/>
      <c r="B110" s="10"/>
      <c r="C110" s="10"/>
      <c r="D110" s="10"/>
      <c r="E110" s="10"/>
      <c r="F110" s="10"/>
      <c r="G110" s="10"/>
      <c r="H110" s="10"/>
      <c r="I110" s="10"/>
      <c r="J110" s="10"/>
      <c r="K110" s="10"/>
      <c r="L110" s="10"/>
      <c r="M110" s="10"/>
      <c r="N110" s="10"/>
      <c r="O110" s="10"/>
      <c r="P110" s="10"/>
    </row>
    <row r="111" spans="1:16" x14ac:dyDescent="0.35">
      <c r="A111" s="10"/>
      <c r="B111" s="10"/>
      <c r="C111" s="10"/>
      <c r="D111" s="10"/>
      <c r="E111" s="10"/>
      <c r="F111" s="10"/>
      <c r="G111" s="10"/>
      <c r="H111" s="10"/>
      <c r="I111" s="10"/>
      <c r="J111" s="10"/>
      <c r="K111" s="10"/>
      <c r="L111" s="10"/>
      <c r="M111" s="10"/>
      <c r="N111" s="10"/>
      <c r="O111" s="10"/>
      <c r="P111" s="10"/>
    </row>
    <row r="112" spans="1:16" x14ac:dyDescent="0.35">
      <c r="A112" s="10"/>
      <c r="B112" s="10"/>
      <c r="C112" s="10"/>
      <c r="D112" s="10"/>
      <c r="E112" s="10"/>
      <c r="F112" s="10"/>
      <c r="G112" s="10"/>
      <c r="H112" s="10"/>
      <c r="I112" s="10"/>
      <c r="J112" s="10"/>
      <c r="K112" s="10"/>
      <c r="L112" s="10"/>
      <c r="M112" s="10"/>
      <c r="N112" s="10"/>
      <c r="O112" s="10"/>
      <c r="P112" s="10"/>
    </row>
    <row r="113" spans="1:16" x14ac:dyDescent="0.35">
      <c r="A113" s="10"/>
      <c r="B113" s="10"/>
      <c r="C113" s="10"/>
      <c r="D113" s="10"/>
      <c r="E113" s="10"/>
      <c r="F113" s="10"/>
      <c r="G113" s="10"/>
      <c r="H113" s="10"/>
      <c r="I113" s="10"/>
      <c r="J113" s="10"/>
      <c r="K113" s="10"/>
      <c r="L113" s="10"/>
      <c r="M113" s="10"/>
      <c r="N113" s="10"/>
      <c r="O113" s="10"/>
      <c r="P113" s="10"/>
    </row>
    <row r="114" spans="1:16" x14ac:dyDescent="0.35">
      <c r="A114" s="10"/>
      <c r="B114" s="10"/>
      <c r="C114" s="10"/>
      <c r="D114" s="10"/>
      <c r="E114" s="10"/>
      <c r="F114" s="10"/>
      <c r="G114" s="10"/>
      <c r="H114" s="10"/>
      <c r="I114" s="10"/>
      <c r="J114" s="10"/>
      <c r="K114" s="10"/>
      <c r="L114" s="10"/>
      <c r="M114" s="10"/>
      <c r="N114" s="10"/>
      <c r="O114" s="10"/>
      <c r="P114" s="10"/>
    </row>
    <row r="115" spans="1:16" x14ac:dyDescent="0.35">
      <c r="A115" s="10"/>
      <c r="B115" s="10"/>
      <c r="C115" s="10"/>
      <c r="D115" s="10"/>
      <c r="E115" s="10"/>
      <c r="F115" s="10"/>
      <c r="G115" s="10"/>
      <c r="H115" s="10"/>
      <c r="I115" s="10"/>
      <c r="J115" s="10"/>
      <c r="K115" s="10"/>
      <c r="L115" s="10"/>
      <c r="M115" s="10"/>
      <c r="N115" s="10"/>
      <c r="O115" s="10"/>
      <c r="P115" s="10"/>
    </row>
    <row r="116" spans="1:16" x14ac:dyDescent="0.35">
      <c r="A116" s="10"/>
      <c r="B116" s="10"/>
      <c r="C116" s="10"/>
      <c r="D116" s="10"/>
      <c r="E116" s="10"/>
      <c r="F116" s="10"/>
      <c r="G116" s="10"/>
      <c r="H116" s="10"/>
      <c r="I116" s="10"/>
      <c r="J116" s="10"/>
      <c r="K116" s="10"/>
      <c r="L116" s="10"/>
      <c r="M116" s="10"/>
      <c r="N116" s="10"/>
      <c r="O116" s="10"/>
      <c r="P116" s="10"/>
    </row>
    <row r="117" spans="1:16" x14ac:dyDescent="0.35">
      <c r="A117" s="10"/>
      <c r="B117" s="10"/>
      <c r="C117" s="10"/>
      <c r="D117" s="10"/>
      <c r="E117" s="10"/>
      <c r="F117" s="10"/>
      <c r="G117" s="10"/>
      <c r="H117" s="10"/>
      <c r="I117" s="10"/>
      <c r="J117" s="10"/>
      <c r="K117" s="10"/>
      <c r="L117" s="10"/>
      <c r="M117" s="10"/>
      <c r="N117" s="10"/>
      <c r="O117" s="10"/>
      <c r="P117" s="10"/>
    </row>
    <row r="118" spans="1:16" x14ac:dyDescent="0.35">
      <c r="A118" s="10"/>
      <c r="B118" s="10"/>
      <c r="C118" s="10"/>
      <c r="D118" s="10"/>
      <c r="E118" s="10"/>
      <c r="F118" s="10"/>
      <c r="G118" s="10"/>
      <c r="H118" s="10"/>
      <c r="I118" s="10"/>
      <c r="J118" s="10"/>
      <c r="K118" s="10"/>
      <c r="L118" s="10"/>
      <c r="M118" s="10"/>
      <c r="N118" s="10"/>
      <c r="O118" s="10"/>
      <c r="P118" s="10"/>
    </row>
    <row r="119" spans="1:16" x14ac:dyDescent="0.35">
      <c r="A119" s="10"/>
      <c r="B119" s="10"/>
      <c r="C119" s="10"/>
      <c r="D119" s="10"/>
      <c r="E119" s="10"/>
      <c r="F119" s="10"/>
      <c r="G119" s="10"/>
      <c r="H119" s="10"/>
      <c r="I119" s="10"/>
      <c r="J119" s="10"/>
      <c r="K119" s="10"/>
      <c r="L119" s="10"/>
      <c r="M119" s="10"/>
      <c r="N119" s="10"/>
      <c r="O119" s="10"/>
      <c r="P119" s="10"/>
    </row>
    <row r="120" spans="1:16" x14ac:dyDescent="0.35">
      <c r="A120" s="10"/>
      <c r="B120" s="10"/>
      <c r="C120" s="10"/>
      <c r="D120" s="10"/>
      <c r="E120" s="10"/>
      <c r="F120" s="10"/>
      <c r="G120" s="10"/>
      <c r="H120" s="10"/>
      <c r="I120" s="10"/>
      <c r="J120" s="10"/>
      <c r="K120" s="10"/>
      <c r="L120" s="10"/>
      <c r="M120" s="10"/>
      <c r="N120" s="10"/>
      <c r="O120" s="10"/>
      <c r="P120" s="10"/>
    </row>
    <row r="121" spans="1:16" x14ac:dyDescent="0.35">
      <c r="A121" s="10"/>
      <c r="B121" s="10"/>
      <c r="C121" s="10"/>
      <c r="D121" s="10"/>
      <c r="E121" s="10"/>
      <c r="F121" s="10"/>
      <c r="G121" s="10"/>
      <c r="H121" s="10"/>
      <c r="I121" s="10"/>
      <c r="J121" s="10"/>
      <c r="K121" s="10"/>
      <c r="L121" s="10"/>
      <c r="M121" s="10"/>
      <c r="N121" s="10"/>
      <c r="O121" s="10"/>
      <c r="P121" s="10"/>
    </row>
    <row r="122" spans="1:16" x14ac:dyDescent="0.35">
      <c r="A122" s="10"/>
      <c r="B122" s="10"/>
      <c r="C122" s="10"/>
      <c r="D122" s="10"/>
      <c r="E122" s="10"/>
      <c r="F122" s="10"/>
      <c r="G122" s="10"/>
      <c r="H122" s="10"/>
      <c r="I122" s="10"/>
      <c r="J122" s="10"/>
      <c r="K122" s="10"/>
      <c r="L122" s="10"/>
      <c r="M122" s="10"/>
      <c r="N122" s="10"/>
      <c r="O122" s="10"/>
      <c r="P122" s="10"/>
    </row>
    <row r="123" spans="1:16" x14ac:dyDescent="0.35">
      <c r="A123" s="10"/>
      <c r="B123" s="10"/>
      <c r="C123" s="10"/>
      <c r="D123" s="10"/>
      <c r="E123" s="10"/>
      <c r="F123" s="10"/>
      <c r="G123" s="10"/>
      <c r="H123" s="10"/>
      <c r="I123" s="10"/>
      <c r="J123" s="10"/>
      <c r="K123" s="10"/>
      <c r="L123" s="10"/>
      <c r="M123" s="10"/>
      <c r="N123" s="10"/>
      <c r="O123" s="10"/>
      <c r="P123" s="10"/>
    </row>
    <row r="124" spans="1:16" x14ac:dyDescent="0.35">
      <c r="A124" s="10"/>
      <c r="B124" s="10"/>
      <c r="C124" s="10"/>
      <c r="D124" s="10"/>
      <c r="E124" s="10"/>
      <c r="F124" s="10"/>
      <c r="G124" s="10"/>
      <c r="H124" s="10"/>
      <c r="I124" s="10"/>
      <c r="J124" s="10"/>
      <c r="K124" s="10"/>
      <c r="L124" s="10"/>
      <c r="M124" s="10"/>
      <c r="N124" s="10"/>
      <c r="O124" s="10"/>
      <c r="P124" s="10"/>
    </row>
    <row r="125" spans="1:16" x14ac:dyDescent="0.35">
      <c r="A125" s="10"/>
      <c r="B125" s="10"/>
      <c r="C125" s="10"/>
      <c r="D125" s="10"/>
      <c r="E125" s="10"/>
      <c r="F125" s="10"/>
      <c r="G125" s="10"/>
      <c r="H125" s="10"/>
      <c r="I125" s="10"/>
      <c r="J125" s="10"/>
      <c r="K125" s="10"/>
      <c r="L125" s="10"/>
      <c r="M125" s="10"/>
      <c r="N125" s="10"/>
      <c r="O125" s="10"/>
      <c r="P125" s="10"/>
    </row>
    <row r="126" spans="1:16" x14ac:dyDescent="0.35">
      <c r="A126" s="10"/>
      <c r="B126" s="10"/>
      <c r="C126" s="10"/>
      <c r="D126" s="10"/>
      <c r="E126" s="10"/>
      <c r="F126" s="10"/>
      <c r="G126" s="10"/>
      <c r="H126" s="10"/>
      <c r="I126" s="10"/>
      <c r="J126" s="10"/>
      <c r="K126" s="10"/>
      <c r="L126" s="10"/>
      <c r="M126" s="10"/>
      <c r="N126" s="10"/>
      <c r="O126" s="10"/>
      <c r="P126" s="10"/>
    </row>
    <row r="127" spans="1:16" x14ac:dyDescent="0.35">
      <c r="A127" s="10"/>
      <c r="B127" s="10"/>
      <c r="C127" s="10"/>
      <c r="D127" s="10"/>
      <c r="E127" s="10"/>
      <c r="F127" s="10"/>
      <c r="G127" s="10"/>
      <c r="H127" s="10"/>
      <c r="I127" s="10"/>
      <c r="J127" s="10"/>
      <c r="K127" s="10"/>
      <c r="L127" s="10"/>
      <c r="M127" s="10"/>
      <c r="N127" s="10"/>
      <c r="O127" s="10"/>
      <c r="P127" s="10"/>
    </row>
    <row r="128" spans="1:16" x14ac:dyDescent="0.35">
      <c r="A128" s="10"/>
      <c r="B128" s="10"/>
      <c r="C128" s="10"/>
      <c r="D128" s="10"/>
      <c r="E128" s="10"/>
      <c r="F128" s="10"/>
      <c r="G128" s="10"/>
      <c r="H128" s="10"/>
      <c r="I128" s="10"/>
      <c r="J128" s="10"/>
      <c r="K128" s="10"/>
      <c r="L128" s="10"/>
      <c r="M128" s="10"/>
      <c r="N128" s="10"/>
      <c r="O128" s="10"/>
      <c r="P128" s="10"/>
    </row>
    <row r="129" spans="1:16" x14ac:dyDescent="0.35">
      <c r="A129" s="10"/>
      <c r="B129" s="10"/>
      <c r="C129" s="10"/>
      <c r="D129" s="10"/>
      <c r="E129" s="10"/>
      <c r="F129" s="10"/>
      <c r="G129" s="10"/>
      <c r="H129" s="10"/>
      <c r="I129" s="10"/>
      <c r="J129" s="10"/>
      <c r="K129" s="10"/>
      <c r="L129" s="10"/>
      <c r="M129" s="10"/>
      <c r="N129" s="10"/>
      <c r="O129" s="10"/>
      <c r="P129" s="10"/>
    </row>
    <row r="130" spans="1:16" x14ac:dyDescent="0.35">
      <c r="A130" s="10"/>
      <c r="B130" s="10"/>
      <c r="C130" s="10"/>
      <c r="D130" s="10"/>
      <c r="E130" s="10"/>
      <c r="F130" s="10"/>
      <c r="G130" s="10"/>
      <c r="H130" s="10"/>
      <c r="I130" s="10"/>
      <c r="J130" s="10"/>
      <c r="K130" s="10"/>
      <c r="L130" s="10"/>
      <c r="M130" s="10"/>
      <c r="N130" s="10"/>
      <c r="O130" s="10"/>
      <c r="P130" s="10"/>
    </row>
    <row r="131" spans="1:16" x14ac:dyDescent="0.35">
      <c r="A131" s="10"/>
      <c r="B131" s="10"/>
      <c r="C131" s="10"/>
      <c r="D131" s="10"/>
      <c r="E131" s="10"/>
      <c r="F131" s="10"/>
      <c r="G131" s="10"/>
      <c r="H131" s="10"/>
      <c r="I131" s="10"/>
      <c r="J131" s="10"/>
      <c r="K131" s="10"/>
      <c r="L131" s="10"/>
      <c r="M131" s="10"/>
      <c r="N131" s="10"/>
      <c r="O131" s="10"/>
      <c r="P131" s="10"/>
    </row>
    <row r="132" spans="1:16" x14ac:dyDescent="0.35">
      <c r="A132" s="10"/>
      <c r="B132" s="10"/>
      <c r="C132" s="10"/>
      <c r="D132" s="10"/>
      <c r="E132" s="10"/>
      <c r="F132" s="10"/>
      <c r="G132" s="10"/>
      <c r="H132" s="10"/>
      <c r="I132" s="10"/>
      <c r="J132" s="10"/>
      <c r="K132" s="10"/>
      <c r="L132" s="10"/>
      <c r="M132" s="10"/>
      <c r="N132" s="10"/>
      <c r="O132" s="10"/>
      <c r="P132" s="10"/>
    </row>
    <row r="133" spans="1:16" x14ac:dyDescent="0.35">
      <c r="A133" s="10"/>
      <c r="B133" s="10"/>
      <c r="C133" s="10"/>
      <c r="D133" s="10"/>
      <c r="E133" s="10"/>
      <c r="F133" s="10"/>
      <c r="G133" s="10"/>
      <c r="H133" s="10"/>
      <c r="I133" s="10"/>
      <c r="J133" s="10"/>
      <c r="K133" s="10"/>
      <c r="L133" s="10"/>
      <c r="M133" s="10"/>
      <c r="N133" s="10"/>
      <c r="O133" s="10"/>
      <c r="P133" s="10"/>
    </row>
    <row r="134" spans="1:16" x14ac:dyDescent="0.35">
      <c r="A134" s="10"/>
      <c r="B134" s="10"/>
      <c r="C134" s="10"/>
      <c r="D134" s="10"/>
      <c r="E134" s="10"/>
      <c r="F134" s="10"/>
      <c r="G134" s="10"/>
      <c r="H134" s="10"/>
      <c r="I134" s="10"/>
      <c r="J134" s="10"/>
      <c r="K134" s="10"/>
      <c r="L134" s="10"/>
      <c r="M134" s="10"/>
      <c r="N134" s="10"/>
      <c r="O134" s="10"/>
      <c r="P134" s="10"/>
    </row>
    <row r="135" spans="1:16" x14ac:dyDescent="0.35">
      <c r="A135" s="10"/>
      <c r="B135" s="10"/>
      <c r="C135" s="10"/>
      <c r="D135" s="10"/>
      <c r="E135" s="10"/>
      <c r="F135" s="10"/>
      <c r="G135" s="10"/>
      <c r="H135" s="10"/>
      <c r="I135" s="10"/>
      <c r="J135" s="10"/>
      <c r="K135" s="10"/>
      <c r="L135" s="10"/>
      <c r="M135" s="10"/>
      <c r="N135" s="10"/>
      <c r="O135" s="10"/>
      <c r="P135" s="10"/>
    </row>
    <row r="136" spans="1:16" x14ac:dyDescent="0.35">
      <c r="A136" s="10"/>
      <c r="B136" s="10"/>
      <c r="C136" s="10"/>
      <c r="D136" s="10"/>
      <c r="E136" s="10"/>
      <c r="F136" s="10"/>
      <c r="G136" s="10"/>
      <c r="H136" s="10"/>
      <c r="I136" s="10"/>
      <c r="J136" s="10"/>
      <c r="K136" s="10"/>
      <c r="L136" s="10"/>
      <c r="M136" s="10"/>
      <c r="N136" s="10"/>
      <c r="O136" s="10"/>
      <c r="P136" s="10"/>
    </row>
    <row r="137" spans="1:16" x14ac:dyDescent="0.35">
      <c r="A137" s="10"/>
      <c r="B137" s="10"/>
      <c r="C137" s="10"/>
      <c r="D137" s="10"/>
      <c r="E137" s="10"/>
      <c r="F137" s="10"/>
      <c r="G137" s="10"/>
      <c r="H137" s="10"/>
      <c r="I137" s="10"/>
      <c r="J137" s="10"/>
      <c r="K137" s="10"/>
      <c r="L137" s="10"/>
      <c r="M137" s="10"/>
      <c r="N137" s="10"/>
      <c r="O137" s="10"/>
      <c r="P137" s="10"/>
    </row>
    <row r="138" spans="1:16" x14ac:dyDescent="0.35">
      <c r="A138" s="10"/>
      <c r="B138" s="10"/>
      <c r="C138" s="10"/>
      <c r="D138" s="10"/>
      <c r="E138" s="10"/>
      <c r="F138" s="10"/>
      <c r="G138" s="10"/>
      <c r="H138" s="10"/>
      <c r="I138" s="10"/>
      <c r="J138" s="10"/>
      <c r="K138" s="10"/>
      <c r="L138" s="10"/>
      <c r="M138" s="10"/>
      <c r="N138" s="10"/>
      <c r="O138" s="10"/>
      <c r="P138" s="10"/>
    </row>
    <row r="139" spans="1:16" x14ac:dyDescent="0.35">
      <c r="A139" s="10"/>
      <c r="B139" s="10"/>
      <c r="C139" s="10"/>
      <c r="D139" s="10"/>
      <c r="E139" s="10"/>
      <c r="F139" s="10"/>
      <c r="G139" s="10"/>
      <c r="H139" s="10"/>
      <c r="I139" s="10"/>
      <c r="J139" s="10"/>
      <c r="K139" s="10"/>
      <c r="L139" s="10"/>
      <c r="M139" s="10"/>
      <c r="N139" s="10"/>
      <c r="O139" s="10"/>
      <c r="P139" s="10"/>
    </row>
    <row r="140" spans="1:16" x14ac:dyDescent="0.35">
      <c r="A140" s="10"/>
      <c r="B140" s="10"/>
      <c r="C140" s="10"/>
      <c r="D140" s="10"/>
      <c r="E140" s="10"/>
      <c r="F140" s="10"/>
      <c r="G140" s="10"/>
      <c r="H140" s="10"/>
      <c r="I140" s="10"/>
      <c r="J140" s="10"/>
      <c r="K140" s="10"/>
      <c r="L140" s="10"/>
      <c r="M140" s="10"/>
      <c r="N140" s="10"/>
      <c r="O140" s="10"/>
      <c r="P140" s="10"/>
    </row>
    <row r="141" spans="1:16" x14ac:dyDescent="0.35">
      <c r="A141" s="10"/>
      <c r="B141" s="10"/>
      <c r="C141" s="10"/>
      <c r="D141" s="10"/>
      <c r="E141" s="10"/>
      <c r="F141" s="10"/>
      <c r="G141" s="10"/>
      <c r="H141" s="10"/>
      <c r="I141" s="10"/>
      <c r="J141" s="10"/>
      <c r="K141" s="10"/>
      <c r="L141" s="10"/>
      <c r="M141" s="10"/>
      <c r="N141" s="10"/>
      <c r="O141" s="10"/>
      <c r="P141" s="10"/>
    </row>
    <row r="142" spans="1:16" x14ac:dyDescent="0.35">
      <c r="A142" s="10"/>
      <c r="B142" s="10"/>
      <c r="C142" s="10"/>
      <c r="D142" s="10"/>
      <c r="E142" s="10"/>
      <c r="F142" s="10"/>
      <c r="G142" s="10"/>
      <c r="H142" s="10"/>
      <c r="I142" s="10"/>
      <c r="J142" s="10"/>
      <c r="K142" s="10"/>
      <c r="L142" s="10"/>
      <c r="M142" s="10"/>
      <c r="N142" s="10"/>
      <c r="O142" s="10"/>
      <c r="P142" s="10"/>
    </row>
    <row r="143" spans="1:16" x14ac:dyDescent="0.35">
      <c r="A143" s="10"/>
      <c r="B143" s="10"/>
      <c r="C143" s="10"/>
      <c r="D143" s="10"/>
      <c r="E143" s="10"/>
      <c r="F143" s="10"/>
      <c r="G143" s="10"/>
      <c r="H143" s="10"/>
      <c r="I143" s="10"/>
      <c r="J143" s="10"/>
      <c r="K143" s="10"/>
      <c r="L143" s="10"/>
      <c r="M143" s="10"/>
      <c r="N143" s="10"/>
      <c r="O143" s="10"/>
      <c r="P143" s="10"/>
    </row>
    <row r="144" spans="1:16" x14ac:dyDescent="0.35">
      <c r="A144" s="10"/>
      <c r="B144" s="10"/>
      <c r="C144" s="10"/>
      <c r="D144" s="10"/>
      <c r="E144" s="10"/>
      <c r="F144" s="10"/>
      <c r="G144" s="10"/>
      <c r="H144" s="10"/>
      <c r="I144" s="10"/>
      <c r="J144" s="10"/>
      <c r="K144" s="10"/>
      <c r="L144" s="10"/>
      <c r="M144" s="10"/>
      <c r="N144" s="10"/>
      <c r="O144" s="10"/>
      <c r="P144" s="10"/>
    </row>
    <row r="145" spans="1:16" x14ac:dyDescent="0.35">
      <c r="A145" s="10"/>
      <c r="B145" s="10"/>
      <c r="C145" s="10"/>
      <c r="D145" s="10"/>
      <c r="E145" s="10"/>
      <c r="F145" s="10"/>
      <c r="G145" s="10"/>
      <c r="H145" s="10"/>
      <c r="I145" s="10"/>
      <c r="J145" s="10"/>
      <c r="K145" s="10"/>
      <c r="L145" s="10"/>
      <c r="M145" s="10"/>
      <c r="N145" s="10"/>
      <c r="O145" s="10"/>
      <c r="P145" s="10"/>
    </row>
    <row r="146" spans="1:16" x14ac:dyDescent="0.35">
      <c r="A146" s="10"/>
      <c r="B146" s="10"/>
      <c r="C146" s="10"/>
      <c r="D146" s="10"/>
      <c r="E146" s="10"/>
      <c r="F146" s="10"/>
      <c r="G146" s="10"/>
      <c r="H146" s="10"/>
      <c r="I146" s="10"/>
      <c r="J146" s="10"/>
      <c r="K146" s="10"/>
      <c r="L146" s="10"/>
      <c r="M146" s="10"/>
      <c r="N146" s="10"/>
      <c r="O146" s="10"/>
      <c r="P146" s="10"/>
    </row>
    <row r="147" spans="1:16" x14ac:dyDescent="0.35">
      <c r="A147" s="10"/>
      <c r="B147" s="10"/>
      <c r="C147" s="10"/>
      <c r="D147" s="10"/>
      <c r="E147" s="10"/>
      <c r="F147" s="10"/>
      <c r="G147" s="10"/>
      <c r="H147" s="10"/>
      <c r="I147" s="10"/>
      <c r="J147" s="10"/>
      <c r="K147" s="10"/>
      <c r="L147" s="10"/>
      <c r="M147" s="10"/>
      <c r="N147" s="10"/>
      <c r="O147" s="10"/>
      <c r="P147" s="10"/>
    </row>
    <row r="148" spans="1:16" x14ac:dyDescent="0.35">
      <c r="A148" s="10"/>
      <c r="B148" s="10"/>
      <c r="C148" s="10"/>
      <c r="D148" s="10"/>
      <c r="E148" s="10"/>
      <c r="F148" s="10"/>
      <c r="G148" s="10"/>
      <c r="H148" s="10"/>
      <c r="I148" s="10"/>
      <c r="J148" s="10"/>
      <c r="K148" s="10"/>
      <c r="L148" s="10"/>
      <c r="M148" s="10"/>
      <c r="N148" s="10"/>
      <c r="O148" s="10"/>
      <c r="P148" s="10"/>
    </row>
    <row r="149" spans="1:16" x14ac:dyDescent="0.35">
      <c r="A149" s="10"/>
      <c r="B149" s="10"/>
      <c r="C149" s="10"/>
      <c r="D149" s="10"/>
      <c r="E149" s="10"/>
      <c r="F149" s="10"/>
      <c r="G149" s="10"/>
      <c r="H149" s="10"/>
      <c r="I149" s="10"/>
      <c r="J149" s="10"/>
      <c r="K149" s="10"/>
      <c r="L149" s="10"/>
      <c r="M149" s="10"/>
      <c r="N149" s="10"/>
      <c r="O149" s="10"/>
      <c r="P149" s="10"/>
    </row>
    <row r="150" spans="1:16" x14ac:dyDescent="0.35">
      <c r="A150" s="10"/>
      <c r="B150" s="10"/>
      <c r="C150" s="10"/>
      <c r="D150" s="10"/>
      <c r="E150" s="10"/>
      <c r="F150" s="10"/>
      <c r="G150" s="10"/>
      <c r="H150" s="10"/>
      <c r="I150" s="10"/>
      <c r="J150" s="10"/>
      <c r="K150" s="10"/>
      <c r="L150" s="10"/>
      <c r="M150" s="10"/>
      <c r="N150" s="10"/>
      <c r="O150" s="10"/>
      <c r="P150" s="10"/>
    </row>
    <row r="151" spans="1:16" x14ac:dyDescent="0.35">
      <c r="A151" s="10"/>
      <c r="B151" s="10"/>
      <c r="C151" s="10"/>
      <c r="D151" s="10"/>
      <c r="E151" s="10"/>
      <c r="F151" s="10"/>
      <c r="G151" s="10"/>
      <c r="H151" s="10"/>
      <c r="I151" s="10"/>
      <c r="J151" s="10"/>
      <c r="K151" s="10"/>
      <c r="L151" s="10"/>
      <c r="M151" s="10"/>
      <c r="N151" s="10"/>
      <c r="O151" s="10"/>
      <c r="P151" s="10"/>
    </row>
    <row r="152" spans="1:16" x14ac:dyDescent="0.35">
      <c r="A152" s="10"/>
      <c r="B152" s="10"/>
      <c r="C152" s="10"/>
      <c r="D152" s="10"/>
      <c r="E152" s="10"/>
      <c r="F152" s="10"/>
      <c r="G152" s="10"/>
      <c r="H152" s="10"/>
      <c r="I152" s="10"/>
      <c r="J152" s="10"/>
      <c r="K152" s="10"/>
      <c r="L152" s="10"/>
      <c r="M152" s="10"/>
      <c r="N152" s="10"/>
      <c r="O152" s="10"/>
      <c r="P152" s="10"/>
    </row>
    <row r="153" spans="1:16" x14ac:dyDescent="0.35">
      <c r="A153" s="10"/>
      <c r="B153" s="10"/>
      <c r="C153" s="10"/>
      <c r="D153" s="10"/>
      <c r="E153" s="10"/>
      <c r="F153" s="10"/>
      <c r="G153" s="10"/>
      <c r="H153" s="10"/>
      <c r="I153" s="10"/>
      <c r="J153" s="10"/>
      <c r="K153" s="10"/>
      <c r="L153" s="10"/>
      <c r="M153" s="10"/>
      <c r="N153" s="10"/>
      <c r="O153" s="10"/>
      <c r="P153" s="10"/>
    </row>
    <row r="154" spans="1:16" x14ac:dyDescent="0.35">
      <c r="A154" s="10"/>
      <c r="B154" s="10"/>
      <c r="C154" s="10"/>
      <c r="D154" s="10"/>
      <c r="E154" s="10"/>
      <c r="F154" s="10"/>
      <c r="G154" s="10"/>
      <c r="H154" s="10"/>
      <c r="I154" s="10"/>
      <c r="J154" s="10"/>
      <c r="K154" s="10"/>
      <c r="L154" s="10"/>
      <c r="M154" s="10"/>
      <c r="N154" s="10"/>
      <c r="O154" s="10"/>
      <c r="P154" s="10"/>
    </row>
    <row r="155" spans="1:16" x14ac:dyDescent="0.35">
      <c r="A155" s="10"/>
      <c r="B155" s="10"/>
      <c r="C155" s="10"/>
      <c r="D155" s="10"/>
      <c r="E155" s="10"/>
      <c r="F155" s="10"/>
      <c r="G155" s="10"/>
      <c r="H155" s="10"/>
      <c r="I155" s="10"/>
      <c r="J155" s="10"/>
      <c r="K155" s="10"/>
      <c r="L155" s="10"/>
      <c r="M155" s="10"/>
      <c r="N155" s="10"/>
      <c r="O155" s="10"/>
      <c r="P155" s="10"/>
    </row>
    <row r="156" spans="1:16" x14ac:dyDescent="0.35">
      <c r="A156" s="10"/>
      <c r="B156" s="10"/>
      <c r="C156" s="10"/>
      <c r="D156" s="10"/>
      <c r="E156" s="10"/>
      <c r="F156" s="10"/>
      <c r="G156" s="10"/>
      <c r="H156" s="10"/>
      <c r="I156" s="10"/>
      <c r="J156" s="10"/>
      <c r="K156" s="10"/>
      <c r="L156" s="10"/>
      <c r="M156" s="10"/>
      <c r="N156" s="10"/>
      <c r="O156" s="10"/>
      <c r="P156" s="10"/>
    </row>
    <row r="157" spans="1:16" x14ac:dyDescent="0.35">
      <c r="A157" s="10"/>
      <c r="B157" s="10"/>
      <c r="C157" s="10"/>
      <c r="D157" s="10"/>
      <c r="E157" s="10"/>
      <c r="F157" s="10"/>
      <c r="G157" s="10"/>
      <c r="H157" s="10"/>
      <c r="I157" s="10"/>
      <c r="J157" s="10"/>
      <c r="K157" s="10"/>
      <c r="L157" s="10"/>
      <c r="M157" s="10"/>
      <c r="N157" s="10"/>
      <c r="O157" s="10"/>
      <c r="P157" s="10"/>
    </row>
    <row r="158" spans="1:16" x14ac:dyDescent="0.35">
      <c r="A158" s="10"/>
      <c r="B158" s="10"/>
      <c r="C158" s="10"/>
      <c r="D158" s="10"/>
      <c r="E158" s="10"/>
      <c r="F158" s="10"/>
      <c r="G158" s="10"/>
      <c r="H158" s="10"/>
      <c r="I158" s="10"/>
      <c r="J158" s="10"/>
      <c r="K158" s="10"/>
      <c r="L158" s="10"/>
      <c r="M158" s="10"/>
      <c r="N158" s="10"/>
      <c r="O158" s="10"/>
      <c r="P158" s="10"/>
    </row>
    <row r="159" spans="1:16" x14ac:dyDescent="0.35">
      <c r="A159" s="10"/>
      <c r="B159" s="10"/>
      <c r="C159" s="10"/>
      <c r="D159" s="10"/>
      <c r="E159" s="10"/>
      <c r="F159" s="10"/>
      <c r="G159" s="10"/>
      <c r="H159" s="10"/>
      <c r="I159" s="10"/>
      <c r="J159" s="10"/>
      <c r="K159" s="10"/>
      <c r="L159" s="10"/>
      <c r="M159" s="10"/>
      <c r="N159" s="10"/>
      <c r="O159" s="10"/>
      <c r="P159" s="10"/>
    </row>
    <row r="160" spans="1:16" x14ac:dyDescent="0.35">
      <c r="A160" s="10"/>
      <c r="B160" s="10"/>
      <c r="C160" s="10"/>
      <c r="D160" s="10"/>
      <c r="E160" s="10"/>
      <c r="F160" s="10"/>
      <c r="G160" s="10"/>
      <c r="H160" s="10"/>
      <c r="I160" s="10"/>
      <c r="J160" s="10"/>
      <c r="K160" s="10"/>
      <c r="L160" s="10"/>
      <c r="M160" s="10"/>
      <c r="N160" s="10"/>
      <c r="O160" s="10"/>
      <c r="P160" s="10"/>
    </row>
  </sheetData>
  <mergeCells count="3">
    <mergeCell ref="J1:K1"/>
    <mergeCell ref="I5:I8"/>
    <mergeCell ref="Q1:S1"/>
  </mergeCell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REAforêtMBoisement</vt:lpstr>
      <vt:lpstr>REAproduitsMBoisement</vt:lpstr>
      <vt:lpstr>REEsubsMBoisement</vt:lpstr>
      <vt:lpstr>REG&amp;Rabais</vt:lpstr>
      <vt:lpstr>Listes choix</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Florence HEUSCHMIDT</dc:creator>
  <cp:lastModifiedBy>Florence HEUSCHMIDT</cp:lastModifiedBy>
  <dcterms:created xsi:type="dcterms:W3CDTF">2019-12-30T13:35:15Z</dcterms:created>
  <dcterms:modified xsi:type="dcterms:W3CDTF">2021-01-19T16:13:16Z</dcterms:modified>
</cp:coreProperties>
</file>